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omments1.xml" ContentType="application/vnd.openxmlformats-officedocument.spreadsheetml.comments+xml"/>
  <Override PartName="/xl/drawings/drawing29.xml" ContentType="application/vnd.openxmlformats-officedocument.drawing+xml"/>
  <Override PartName="/xl/drawings/drawing3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m6p-my.sharepoint.com/personal/abiola_ajao_um6p_ma/Documents/"/>
    </mc:Choice>
  </mc:AlternateContent>
  <xr:revisionPtr revIDLastSave="9303" documentId="8_{883539D7-3E8B-4008-A08C-E0AD267A3842}" xr6:coauthVersionLast="47" xr6:coauthVersionMax="47" xr10:uidLastSave="{7AAF2C1E-B7D7-4F27-9A66-B31B8797CD12}"/>
  <bookViews>
    <workbookView xWindow="-110" yWindow="-110" windowWidth="18490" windowHeight="11020" firstSheet="25" activeTab="25" xr2:uid="{7F24708A-9DB3-495C-8D8B-D6049914B42C}"/>
  </bookViews>
  <sheets>
    <sheet name="LP-INVESTMENT ALLOCATION" sheetId="13" r:id="rId1"/>
    <sheet name="NCAA-TSHIRT VENDOR" sheetId="1" r:id="rId2"/>
    <sheet name="WOODWORKS CO." sheetId="2" r:id="rId3"/>
    <sheet name="QUALITY SWEATER CO" sheetId="3" r:id="rId4"/>
    <sheet name="B &amp; N BOOKSTORE" sheetId="4" r:id="rId5"/>
    <sheet name="19th HOLE" sheetId="5" r:id="rId6"/>
    <sheet name="Net Present Value-Gopher Drugs" sheetId="6" r:id="rId7"/>
    <sheet name="Sales analysis" sheetId="7" r:id="rId8"/>
    <sheet name="What-if (Toy Company)" sheetId="8" r:id="rId9"/>
    <sheet name="Linear Progamming-Ads" sheetId="9" r:id="rId10"/>
    <sheet name="Sheet1" sheetId="10" r:id="rId11"/>
    <sheet name="Linear Progamming-Net Proft " sheetId="11" r:id="rId12"/>
    <sheet name="LP-TECTONA fURNITURE MODEL" sheetId="12" r:id="rId13"/>
    <sheet name="LP-INVESTMENT ALLOCATION " sheetId="14" r:id="rId14"/>
    <sheet name="Sheet5" sheetId="15" r:id="rId15"/>
    <sheet name="LP-TRANSPORTATION" sheetId="16" r:id="rId16"/>
    <sheet name="LP-TRANPORT ASSIGNMENT PROBLEM" sheetId="18" r:id="rId17"/>
    <sheet name="LP-TRANPORT ASSIGNMENT PROB (2)" sheetId="19" r:id="rId18"/>
    <sheet name="LP-TRANPORT ASSIGNMENT PROB (3)" sheetId="20" r:id="rId19"/>
    <sheet name="INTEGER LINEAR PROGRAM (ADS) " sheetId="21" r:id="rId20"/>
    <sheet name="MIXED INTEGER LP (PROFIT MAX)" sheetId="22" r:id="rId21"/>
    <sheet name=" INTEGER LP (ART POSTER)" sheetId="23" r:id="rId22"/>
    <sheet name="INTEGER LINEAR PROGRAM (BOOKS)" sheetId="29" r:id="rId23"/>
    <sheet name="BINARY INT LP (INVESTMENT)" sheetId="24" r:id="rId24"/>
    <sheet name="BINARY INT LP (AREA COVERA)" sheetId="25" r:id="rId25"/>
    <sheet name="NON LINEAR PROGRAM(PORTFOLIO)" sheetId="26" r:id="rId26"/>
    <sheet name="NON LINEAR PROGRAM (MOTORCROSS)" sheetId="27" r:id="rId27"/>
    <sheet name="NON LINEAR PROGRAM (HOT DOG)" sheetId="28" r:id="rId28"/>
    <sheet name="NON LINEAR PROGRAM (M&amp;T SALES)" sheetId="30" r:id="rId29"/>
    <sheet name="Project Model " sheetId="33" r:id="rId30"/>
    <sheet name="Solution Solver Summary" sheetId="34" r:id="rId31"/>
    <sheet name="Approved Line Charts" sheetId="35" r:id="rId32"/>
  </sheets>
  <externalReferences>
    <externalReference r:id="rId33"/>
  </externalReferences>
  <definedNames>
    <definedName name="_xlnm.Print_Area" localSheetId="30">'Solution Solver Summary'!$A$1:$U$28</definedName>
    <definedName name="solver_adj" localSheetId="21" hidden="1">' INTEGER LP (ART POSTER)'!$B$3:$C$3</definedName>
    <definedName name="solver_adj" localSheetId="24" hidden="1">'BINARY INT LP (AREA COVERA)'!$B$4:$G$4</definedName>
    <definedName name="solver_adj" localSheetId="23" hidden="1">'BINARY INT LP (INVESTMENT)'!$B$4:$H$4</definedName>
    <definedName name="solver_adj" localSheetId="19" hidden="1">'INTEGER LINEAR PROGRAM (ADS) '!$B$3:$C$3</definedName>
    <definedName name="solver_adj" localSheetId="22" hidden="1">'INTEGER LINEAR PROGRAM (BOOKS)'!$B$3:$C$3</definedName>
    <definedName name="solver_adj" localSheetId="9" hidden="1">'Linear Progamming-Ads'!$B$3:$C$3</definedName>
    <definedName name="solver_adj" localSheetId="11" hidden="1">'Linear Progamming-Net Proft '!$B$3:$C$3</definedName>
    <definedName name="solver_adj" localSheetId="0" hidden="1">'LP-INVESTMENT ALLOCATION'!$B$4:$C$4</definedName>
    <definedName name="solver_adj" localSheetId="13" hidden="1">'LP-INVESTMENT ALLOCATION '!$B$4:$F$4</definedName>
    <definedName name="solver_adj" localSheetId="12" hidden="1">'LP-TECTONA fURNITURE MODEL'!$B$4:$C$4</definedName>
    <definedName name="solver_adj" localSheetId="17" hidden="1">'LP-TRANPORT ASSIGNMENT PROB (2)'!$B$12:$E$15</definedName>
    <definedName name="solver_adj" localSheetId="18" hidden="1">'LP-TRANPORT ASSIGNMENT PROB (3)'!$B$12:$E$15</definedName>
    <definedName name="solver_adj" localSheetId="16" hidden="1">'LP-TRANPORT ASSIGNMENT PROBLEM'!$B$11:$E$13</definedName>
    <definedName name="solver_adj" localSheetId="15" hidden="1">'LP-TRANSPORTATION'!$B$17:$P$17</definedName>
    <definedName name="solver_adj" localSheetId="20" hidden="1">'MIXED INTEGER LP (PROFIT MAX)'!$B$3:$C$3</definedName>
    <definedName name="solver_adj" localSheetId="27" hidden="1">'NON LINEAR PROGRAM (HOT DOG)'!$B$3</definedName>
    <definedName name="solver_adj" localSheetId="28" hidden="1">'NON LINEAR PROGRAM (M&amp;T SALES)'!$B$3</definedName>
    <definedName name="solver_adj" localSheetId="26" hidden="1">'NON LINEAR PROGRAM (MOTORCROSS)'!$B$3:$C$3</definedName>
    <definedName name="solver_adj" localSheetId="25" hidden="1">'NON LINEAR PROGRAM(PORTFOLIO)'!$B$3:$C$3</definedName>
    <definedName name="solver_adj" localSheetId="29" hidden="1">'Project Model '!$K$19:$K$23,'Project Model '!$K$26:$K$29,'Project Model '!$K$32:$K$34,'Project Model '!$C$71:$J$82</definedName>
    <definedName name="solver_adj" localSheetId="10" hidden="1">Sheet1!$B$4:$C$4</definedName>
    <definedName name="solver_adj" localSheetId="14" hidden="1">Sheet5!$B$4:$D$4</definedName>
    <definedName name="solver_cvg" localSheetId="21" hidden="1">0.0001</definedName>
    <definedName name="solver_cvg" localSheetId="24" hidden="1">0.0001</definedName>
    <definedName name="solver_cvg" localSheetId="23" hidden="1">0.0001</definedName>
    <definedName name="solver_cvg" localSheetId="19" hidden="1">0.0001</definedName>
    <definedName name="solver_cvg" localSheetId="22" hidden="1">0.0001</definedName>
    <definedName name="solver_cvg" localSheetId="9" hidden="1">0.0001</definedName>
    <definedName name="solver_cvg" localSheetId="11" hidden="1">0.0001</definedName>
    <definedName name="solver_cvg" localSheetId="0" hidden="1">0.0001</definedName>
    <definedName name="solver_cvg" localSheetId="13" hidden="1">0.0001</definedName>
    <definedName name="solver_cvg" localSheetId="12" hidden="1">0.0001</definedName>
    <definedName name="solver_cvg" localSheetId="17" hidden="1">0.0001</definedName>
    <definedName name="solver_cvg" localSheetId="18" hidden="1">0.0001</definedName>
    <definedName name="solver_cvg" localSheetId="16" hidden="1">0.0001</definedName>
    <definedName name="solver_cvg" localSheetId="15" hidden="1">0.0001</definedName>
    <definedName name="solver_cvg" localSheetId="20" hidden="1">0.0001</definedName>
    <definedName name="solver_cvg" localSheetId="27" hidden="1">0.0001</definedName>
    <definedName name="solver_cvg" localSheetId="28" hidden="1">0.0001</definedName>
    <definedName name="solver_cvg" localSheetId="26" hidden="1">0.0001</definedName>
    <definedName name="solver_cvg" localSheetId="25" hidden="1">0.0001</definedName>
    <definedName name="solver_cvg" localSheetId="29" hidden="1">0.0001</definedName>
    <definedName name="solver_cvg" localSheetId="10" hidden="1">0.0001</definedName>
    <definedName name="solver_cvg" localSheetId="14" hidden="1">0.0001</definedName>
    <definedName name="solver_drv" localSheetId="21" hidden="1">1</definedName>
    <definedName name="solver_drv" localSheetId="24" hidden="1">1</definedName>
    <definedName name="solver_drv" localSheetId="23" hidden="1">1</definedName>
    <definedName name="solver_drv" localSheetId="19" hidden="1">1</definedName>
    <definedName name="solver_drv" localSheetId="22" hidden="1">1</definedName>
    <definedName name="solver_drv" localSheetId="9" hidden="1">1</definedName>
    <definedName name="solver_drv" localSheetId="11" hidden="1">1</definedName>
    <definedName name="solver_drv" localSheetId="0" hidden="1">1</definedName>
    <definedName name="solver_drv" localSheetId="13" hidden="1">1</definedName>
    <definedName name="solver_drv" localSheetId="12" hidden="1">1</definedName>
    <definedName name="solver_drv" localSheetId="17" hidden="1">1</definedName>
    <definedName name="solver_drv" localSheetId="18" hidden="1">1</definedName>
    <definedName name="solver_drv" localSheetId="16" hidden="1">1</definedName>
    <definedName name="solver_drv" localSheetId="15" hidden="1">1</definedName>
    <definedName name="solver_drv" localSheetId="20" hidden="1">1</definedName>
    <definedName name="solver_drv" localSheetId="27" hidden="1">1</definedName>
    <definedName name="solver_drv" localSheetId="28" hidden="1">1</definedName>
    <definedName name="solver_drv" localSheetId="26" hidden="1">1</definedName>
    <definedName name="solver_drv" localSheetId="25" hidden="1">1</definedName>
    <definedName name="solver_drv" localSheetId="29" hidden="1">2</definedName>
    <definedName name="solver_drv" localSheetId="10" hidden="1">1</definedName>
    <definedName name="solver_drv" localSheetId="14" hidden="1">1</definedName>
    <definedName name="solver_eng" localSheetId="21" hidden="1">2</definedName>
    <definedName name="solver_eng" localSheetId="24" hidden="1">2</definedName>
    <definedName name="solver_eng" localSheetId="23" hidden="1">2</definedName>
    <definedName name="solver_eng" localSheetId="19" hidden="1">2</definedName>
    <definedName name="solver_eng" localSheetId="22" hidden="1">2</definedName>
    <definedName name="solver_eng" localSheetId="9" hidden="1">2</definedName>
    <definedName name="solver_eng" localSheetId="11" hidden="1">2</definedName>
    <definedName name="solver_eng" localSheetId="0" hidden="1">2</definedName>
    <definedName name="solver_eng" localSheetId="13" hidden="1">2</definedName>
    <definedName name="solver_eng" localSheetId="12" hidden="1">2</definedName>
    <definedName name="solver_eng" localSheetId="17" hidden="1">2</definedName>
    <definedName name="solver_eng" localSheetId="18" hidden="1">2</definedName>
    <definedName name="solver_eng" localSheetId="16" hidden="1">2</definedName>
    <definedName name="solver_eng" localSheetId="15" hidden="1">2</definedName>
    <definedName name="solver_eng" localSheetId="20" hidden="1">2</definedName>
    <definedName name="solver_eng" localSheetId="27" hidden="1">1</definedName>
    <definedName name="solver_eng" localSheetId="28" hidden="1">1</definedName>
    <definedName name="solver_eng" localSheetId="26" hidden="1">1</definedName>
    <definedName name="solver_eng" localSheetId="25" hidden="1">1</definedName>
    <definedName name="solver_eng" localSheetId="29" hidden="1">2</definedName>
    <definedName name="solver_eng" localSheetId="10" hidden="1">2</definedName>
    <definedName name="solver_eng" localSheetId="14" hidden="1">2</definedName>
    <definedName name="solver_eng" localSheetId="30" hidden="1">1</definedName>
    <definedName name="solver_est" localSheetId="21" hidden="1">1</definedName>
    <definedName name="solver_est" localSheetId="24" hidden="1">1</definedName>
    <definedName name="solver_est" localSheetId="23" hidden="1">1</definedName>
    <definedName name="solver_est" localSheetId="19" hidden="1">1</definedName>
    <definedName name="solver_est" localSheetId="22" hidden="1">1</definedName>
    <definedName name="solver_est" localSheetId="9" hidden="1">1</definedName>
    <definedName name="solver_est" localSheetId="11" hidden="1">1</definedName>
    <definedName name="solver_est" localSheetId="0" hidden="1">1</definedName>
    <definedName name="solver_est" localSheetId="13" hidden="1">1</definedName>
    <definedName name="solver_est" localSheetId="12" hidden="1">1</definedName>
    <definedName name="solver_est" localSheetId="17" hidden="1">1</definedName>
    <definedName name="solver_est" localSheetId="18" hidden="1">1</definedName>
    <definedName name="solver_est" localSheetId="16" hidden="1">1</definedName>
    <definedName name="solver_est" localSheetId="15" hidden="1">1</definedName>
    <definedName name="solver_est" localSheetId="20" hidden="1">1</definedName>
    <definedName name="solver_est" localSheetId="27" hidden="1">1</definedName>
    <definedName name="solver_est" localSheetId="28" hidden="1">1</definedName>
    <definedName name="solver_est" localSheetId="26" hidden="1">1</definedName>
    <definedName name="solver_est" localSheetId="25" hidden="1">1</definedName>
    <definedName name="solver_est" localSheetId="29" hidden="1">1</definedName>
    <definedName name="solver_est" localSheetId="10" hidden="1">1</definedName>
    <definedName name="solver_est" localSheetId="14" hidden="1">1</definedName>
    <definedName name="solver_itr" localSheetId="21" hidden="1">2147483647</definedName>
    <definedName name="solver_itr" localSheetId="24" hidden="1">2147483647</definedName>
    <definedName name="solver_itr" localSheetId="23" hidden="1">2147483647</definedName>
    <definedName name="solver_itr" localSheetId="19" hidden="1">2147483647</definedName>
    <definedName name="solver_itr" localSheetId="22" hidden="1">2147483647</definedName>
    <definedName name="solver_itr" localSheetId="9" hidden="1">2147483647</definedName>
    <definedName name="solver_itr" localSheetId="11" hidden="1">2147483647</definedName>
    <definedName name="solver_itr" localSheetId="0" hidden="1">2147483647</definedName>
    <definedName name="solver_itr" localSheetId="13" hidden="1">2147483647</definedName>
    <definedName name="solver_itr" localSheetId="12" hidden="1">2147483647</definedName>
    <definedName name="solver_itr" localSheetId="17" hidden="1">2147483647</definedName>
    <definedName name="solver_itr" localSheetId="18" hidden="1">2147483647</definedName>
    <definedName name="solver_itr" localSheetId="16" hidden="1">2147483647</definedName>
    <definedName name="solver_itr" localSheetId="15" hidden="1">2147483647</definedName>
    <definedName name="solver_itr" localSheetId="20" hidden="1">2147483647</definedName>
    <definedName name="solver_itr" localSheetId="27" hidden="1">2147483647</definedName>
    <definedName name="solver_itr" localSheetId="28" hidden="1">2147483647</definedName>
    <definedName name="solver_itr" localSheetId="26" hidden="1">2147483647</definedName>
    <definedName name="solver_itr" localSheetId="25" hidden="1">2147483647</definedName>
    <definedName name="solver_itr" localSheetId="29" hidden="1">2147483647</definedName>
    <definedName name="solver_itr" localSheetId="10" hidden="1">2147483647</definedName>
    <definedName name="solver_itr" localSheetId="14" hidden="1">2147483647</definedName>
    <definedName name="solver_lhs1" localSheetId="21" hidden="1">' INTEGER LP (ART POSTER)'!$B$3:$C$3</definedName>
    <definedName name="solver_lhs1" localSheetId="24" hidden="1">'BINARY INT LP (AREA COVERA)'!$B$4:$G$4</definedName>
    <definedName name="solver_lhs1" localSheetId="23" hidden="1">'BINARY INT LP (INVESTMENT)'!$B$4:$H$4</definedName>
    <definedName name="solver_lhs1" localSheetId="19" hidden="1">'INTEGER LINEAR PROGRAM (ADS) '!$B$3:$C$3</definedName>
    <definedName name="solver_lhs1" localSheetId="22" hidden="1">'INTEGER LINEAR PROGRAM (BOOKS)'!$B$3:$C$3</definedName>
    <definedName name="solver_lhs1" localSheetId="9" hidden="1">'Linear Progamming-Ads'!$D$11</definedName>
    <definedName name="solver_lhs1" localSheetId="11" hidden="1">'Linear Progamming-Net Proft '!$D$16</definedName>
    <definedName name="solver_lhs1" localSheetId="0" hidden="1">'LP-INVESTMENT ALLOCATION'!$D$15</definedName>
    <definedName name="solver_lhs1" localSheetId="13" hidden="1">'LP-INVESTMENT ALLOCATION '!$G$13</definedName>
    <definedName name="solver_lhs1" localSheetId="12" hidden="1">'LP-TECTONA fURNITURE MODEL'!$D$15</definedName>
    <definedName name="solver_lhs1" localSheetId="17" hidden="1">'LP-TRANPORT ASSIGNMENT PROB (2)'!$B$16:$E$16</definedName>
    <definedName name="solver_lhs1" localSheetId="18" hidden="1">'LP-TRANPORT ASSIGNMENT PROB (3)'!$B$16:$E$16</definedName>
    <definedName name="solver_lhs1" localSheetId="16" hidden="1">'LP-TRANPORT ASSIGNMENT PROBLEM'!$B$14:$E$14</definedName>
    <definedName name="solver_lhs1" localSheetId="15" hidden="1">'LP-TRANSPORTATION'!$Q$23:$Q$25</definedName>
    <definedName name="solver_lhs1" localSheetId="20" hidden="1">'MIXED INTEGER LP (PROFIT MAX)'!$B$3</definedName>
    <definedName name="solver_lhs1" localSheetId="27" hidden="1">'NON LINEAR PROGRAM (HOT DOG)'!$B$3</definedName>
    <definedName name="solver_lhs1" localSheetId="28" hidden="1">'NON LINEAR PROGRAM (M&amp;T SALES)'!$B$3</definedName>
    <definedName name="solver_lhs1" localSheetId="26" hidden="1">'NON LINEAR PROGRAM (MOTORCROSS)'!$B$3:$C$3</definedName>
    <definedName name="solver_lhs1" localSheetId="25" hidden="1">'NON LINEAR PROGRAM(PORTFOLIO)'!$D$13</definedName>
    <definedName name="solver_lhs1" localSheetId="29" hidden="1">'Project Model '!$C$71:$J$82</definedName>
    <definedName name="solver_lhs1" localSheetId="10" hidden="1">Sheet1!$D$12</definedName>
    <definedName name="solver_lhs1" localSheetId="14" hidden="1">Sheet5!$E$13</definedName>
    <definedName name="solver_lhs2" localSheetId="21" hidden="1">' INTEGER LP (ART POSTER)'!$D$11:$D$13</definedName>
    <definedName name="solver_lhs2" localSheetId="24" hidden="1">'BINARY INT LP (AREA COVERA)'!$H$9:$H$16</definedName>
    <definedName name="solver_lhs2" localSheetId="23" hidden="1">'BINARY INT LP (INVESTMENT)'!$I$11</definedName>
    <definedName name="solver_lhs2" localSheetId="19" hidden="1">'INTEGER LINEAR PROGRAM (ADS) '!$D$10:$D$11</definedName>
    <definedName name="solver_lhs2" localSheetId="22" hidden="1">'INTEGER LINEAR PROGRAM (BOOKS)'!$D$10:$D$11</definedName>
    <definedName name="solver_lhs2" localSheetId="9" hidden="1">'Linear Progamming-Ads'!$D$12</definedName>
    <definedName name="solver_lhs2" localSheetId="11" hidden="1">'Linear Progamming-Net Proft '!$D$17</definedName>
    <definedName name="solver_lhs2" localSheetId="0" hidden="1">'LP-INVESTMENT ALLOCATION'!$D$16</definedName>
    <definedName name="solver_lhs2" localSheetId="13" hidden="1">'LP-INVESTMENT ALLOCATION '!$G$14</definedName>
    <definedName name="solver_lhs2" localSheetId="12" hidden="1">'LP-TECTONA fURNITURE MODEL'!$D$16</definedName>
    <definedName name="solver_lhs2" localSheetId="17" hidden="1">'LP-TRANPORT ASSIGNMENT PROB (2)'!$E$14</definedName>
    <definedName name="solver_lhs2" localSheetId="18" hidden="1">'LP-TRANPORT ASSIGNMENT PROB (3)'!$F$12:$F$15</definedName>
    <definedName name="solver_lhs2" localSheetId="16" hidden="1">'LP-TRANPORT ASSIGNMENT PROBLEM'!$F$11:$F$13</definedName>
    <definedName name="solver_lhs2" localSheetId="15" hidden="1">'LP-TRANSPORTATION'!$Q$26:$Q$30</definedName>
    <definedName name="solver_lhs2" localSheetId="20" hidden="1">'MIXED INTEGER LP (PROFIT MAX)'!$D$10:$D$12</definedName>
    <definedName name="solver_lhs2" localSheetId="27" hidden="1">'NON LINEAR PROGRAM (HOT DOG)'!$B$3</definedName>
    <definedName name="solver_lhs2" localSheetId="28" hidden="1">'NON LINEAR PROGRAM (M&amp;T SALES)'!$B$3</definedName>
    <definedName name="solver_lhs2" localSheetId="26" hidden="1">'NON LINEAR PROGRAM (MOTORCROSS)'!$D$12</definedName>
    <definedName name="solver_lhs2" localSheetId="25" hidden="1">'NON LINEAR PROGRAM(PORTFOLIO)'!$D$14</definedName>
    <definedName name="solver_lhs2" localSheetId="29" hidden="1">'Project Model '!$C$83:$J$83</definedName>
    <definedName name="solver_lhs2" localSheetId="10" hidden="1">Sheet1!$D$13</definedName>
    <definedName name="solver_lhs2" localSheetId="14" hidden="1">Sheet5!$E$14:$E$17</definedName>
    <definedName name="solver_lhs3" localSheetId="21" hidden="1">' INTEGER LP (ART POSTER)'!$D$13</definedName>
    <definedName name="solver_lhs3" localSheetId="24" hidden="1">'BINARY INT LP (AREA COVERA)'!$I$9:$I$14</definedName>
    <definedName name="solver_lhs3" localSheetId="23" hidden="1">'BINARY INT LP (INVESTMENT)'!$I$12</definedName>
    <definedName name="solver_lhs3" localSheetId="19" hidden="1">'INTEGER LINEAR PROGRAM (ADS) '!$D$12</definedName>
    <definedName name="solver_lhs3" localSheetId="22" hidden="1">'INTEGER LINEAR PROGRAM (BOOKS)'!$D$10:$D$11</definedName>
    <definedName name="solver_lhs3" localSheetId="9" hidden="1">'Linear Progamming-Ads'!$D$13</definedName>
    <definedName name="solver_lhs3" localSheetId="11" hidden="1">'Linear Progamming-Net Proft '!$D$18</definedName>
    <definedName name="solver_lhs3" localSheetId="0" hidden="1">'LP-INVESTMENT ALLOCATION'!$D$17</definedName>
    <definedName name="solver_lhs3" localSheetId="13" hidden="1">'LP-INVESTMENT ALLOCATION '!$G$15</definedName>
    <definedName name="solver_lhs3" localSheetId="12" hidden="1">'LP-TECTONA fURNITURE MODEL'!$D$17</definedName>
    <definedName name="solver_lhs3" localSheetId="17" hidden="1">'LP-TRANPORT ASSIGNMENT PROB (2)'!$F$12:$F$15</definedName>
    <definedName name="solver_lhs3" localSheetId="18" hidden="1">'LP-TRANPORT ASSIGNMENT PROB (3)'!$F$12:$F$15</definedName>
    <definedName name="solver_lhs3" localSheetId="15" hidden="1">'LP-TRANSPORTATION'!$G$15</definedName>
    <definedName name="solver_lhs3" localSheetId="20" hidden="1">'MIXED INTEGER LP (PROFIT MAX)'!$D$12</definedName>
    <definedName name="solver_lhs3" localSheetId="27" hidden="1">'NON LINEAR PROGRAM (HOT DOG)'!$G$14:$G$19</definedName>
    <definedName name="solver_lhs3" localSheetId="28" hidden="1">'NON LINEAR PROGRAM (M&amp;T SALES)'!$G$14:$G$19</definedName>
    <definedName name="solver_lhs3" localSheetId="26" hidden="1">'NON LINEAR PROGRAM (MOTORCROSS)'!$H$9:$H$13</definedName>
    <definedName name="solver_lhs3" localSheetId="25" hidden="1">'NON LINEAR PROGRAM(PORTFOLIO)'!$I$10:$I$15</definedName>
    <definedName name="solver_lhs3" localSheetId="29" hidden="1">'Project Model '!$D$38:$G$38</definedName>
    <definedName name="solver_lhs3" localSheetId="10" hidden="1">Sheet1!$B$13:$C$13</definedName>
    <definedName name="solver_lhs3" localSheetId="14" hidden="1">Sheet5!$E$18</definedName>
    <definedName name="solver_lhs4" localSheetId="21" hidden="1">' INTEGER LP (ART POSTER)'!#REF!</definedName>
    <definedName name="solver_lhs4" localSheetId="24" hidden="1">'BINARY INT LP (AREA COVERA)'!$H$11</definedName>
    <definedName name="solver_lhs4" localSheetId="23" hidden="1">'BINARY INT LP (INVESTMENT)'!$I$13</definedName>
    <definedName name="solver_lhs4" localSheetId="19" hidden="1">'INTEGER LINEAR PROGRAM (ADS) '!#REF!</definedName>
    <definedName name="solver_lhs4" localSheetId="22" hidden="1">'INTEGER LINEAR PROGRAM (BOOKS)'!$G$9</definedName>
    <definedName name="solver_lhs4" localSheetId="9" hidden="1">'Linear Progamming-Ads'!$D$14</definedName>
    <definedName name="solver_lhs4" localSheetId="11" hidden="1">'Linear Progamming-Net Proft '!$D$19</definedName>
    <definedName name="solver_lhs4" localSheetId="13" hidden="1">'LP-INVESTMENT ALLOCATION '!$G$16</definedName>
    <definedName name="solver_lhs4" localSheetId="17" hidden="1">'LP-TRANPORT ASSIGNMENT PROB (2)'!$F$12:$F$15</definedName>
    <definedName name="solver_lhs4" localSheetId="18" hidden="1">'LP-TRANPORT ASSIGNMENT PROB (3)'!$F$12:$F$15</definedName>
    <definedName name="solver_lhs4" localSheetId="15" hidden="1">'LP-TRANSPORTATION'!#REF!</definedName>
    <definedName name="solver_lhs4" localSheetId="20" hidden="1">'MIXED INTEGER LP (PROFIT MAX)'!#REF!</definedName>
    <definedName name="solver_lhs4" localSheetId="27" hidden="1">'NON LINEAR PROGRAM (HOT DOG)'!$F$17</definedName>
    <definedName name="solver_lhs4" localSheetId="28" hidden="1">'NON LINEAR PROGRAM (M&amp;T SALES)'!$F$17</definedName>
    <definedName name="solver_lhs4" localSheetId="26" hidden="1">'NON LINEAR PROGRAM (MOTORCROSS)'!$G$11</definedName>
    <definedName name="solver_lhs4" localSheetId="25" hidden="1">'NON LINEAR PROGRAM(PORTFOLIO)'!$H$12</definedName>
    <definedName name="solver_lhs4" localSheetId="29" hidden="1">'Project Model '!$K$19:$K$23</definedName>
    <definedName name="solver_lhs5" localSheetId="21" hidden="1">' INTEGER LP (ART POSTER)'!#REF!</definedName>
    <definedName name="solver_lhs5" localSheetId="24" hidden="1">'BINARY INT LP (AREA COVERA)'!$H$12</definedName>
    <definedName name="solver_lhs5" localSheetId="23" hidden="1">'BINARY INT LP (INVESTMENT)'!$I$14</definedName>
    <definedName name="solver_lhs5" localSheetId="19" hidden="1">'INTEGER LINEAR PROGRAM (ADS) '!#REF!</definedName>
    <definedName name="solver_lhs5" localSheetId="22" hidden="1">'INTEGER LINEAR PROGRAM (BOOKS)'!$G$10</definedName>
    <definedName name="solver_lhs5" localSheetId="9" hidden="1">'Linear Progamming-Ads'!$D$14</definedName>
    <definedName name="solver_lhs5" localSheetId="11" hidden="1">'Linear Progamming-Net Proft '!#REF!</definedName>
    <definedName name="solver_lhs5" localSheetId="18" hidden="1">'LP-TRANPORT ASSIGNMENT PROB (3)'!$F$12:$F$15</definedName>
    <definedName name="solver_lhs5" localSheetId="20" hidden="1">'MIXED INTEGER LP (PROFIT MAX)'!#REF!</definedName>
    <definedName name="solver_lhs5" localSheetId="27" hidden="1">'NON LINEAR PROGRAM (HOT DOG)'!$F$18</definedName>
    <definedName name="solver_lhs5" localSheetId="28" hidden="1">'NON LINEAR PROGRAM (M&amp;T SALES)'!$F$18</definedName>
    <definedName name="solver_lhs5" localSheetId="26" hidden="1">'NON LINEAR PROGRAM (MOTORCROSS)'!$G$12</definedName>
    <definedName name="solver_lhs5" localSheetId="25" hidden="1">'NON LINEAR PROGRAM(PORTFOLIO)'!$H$13</definedName>
    <definedName name="solver_lhs5" localSheetId="29" hidden="1">'Project Model '!$K$26:$K$29</definedName>
    <definedName name="solver_lhs6" localSheetId="21" hidden="1">' INTEGER LP (ART POSTER)'!$F$11:$F$12</definedName>
    <definedName name="solver_lhs6" localSheetId="24" hidden="1">'BINARY INT LP (AREA COVERA)'!$H$12</definedName>
    <definedName name="solver_lhs6" localSheetId="23" hidden="1">'BINARY INT LP (INVESTMENT)'!$I$14</definedName>
    <definedName name="solver_lhs6" localSheetId="19" hidden="1">'INTEGER LINEAR PROGRAM (ADS) '!$F$10:$F$11</definedName>
    <definedName name="solver_lhs6" localSheetId="22" hidden="1">'INTEGER LINEAR PROGRAM (BOOKS)'!$G$10</definedName>
    <definedName name="solver_lhs6" localSheetId="20" hidden="1">'MIXED INTEGER LP (PROFIT MAX)'!$F$10:$F$11</definedName>
    <definedName name="solver_lhs6" localSheetId="27" hidden="1">'NON LINEAR PROGRAM (HOT DOG)'!$F$18</definedName>
    <definedName name="solver_lhs6" localSheetId="28" hidden="1">'NON LINEAR PROGRAM (M&amp;T SALES)'!$F$18</definedName>
    <definedName name="solver_lhs6" localSheetId="26" hidden="1">'NON LINEAR PROGRAM (MOTORCROSS)'!$G$12</definedName>
    <definedName name="solver_lhs6" localSheetId="25" hidden="1">'NON LINEAR PROGRAM(PORTFOLIO)'!$H$13</definedName>
    <definedName name="solver_lhs6" localSheetId="29" hidden="1">'Project Model '!$K$32:$K$34</definedName>
    <definedName name="solver_lhs7" localSheetId="29" hidden="1">'Project Model '!$K$71:$K$82</definedName>
    <definedName name="solver_lhs8" localSheetId="29" hidden="1">'Project Model '!$N$15:$N$18</definedName>
    <definedName name="solver_mip" localSheetId="21" hidden="1">2147483647</definedName>
    <definedName name="solver_mip" localSheetId="24" hidden="1">2147483647</definedName>
    <definedName name="solver_mip" localSheetId="23" hidden="1">2147483647</definedName>
    <definedName name="solver_mip" localSheetId="19" hidden="1">2147483647</definedName>
    <definedName name="solver_mip" localSheetId="22" hidden="1">2147483647</definedName>
    <definedName name="solver_mip" localSheetId="9" hidden="1">2147483647</definedName>
    <definedName name="solver_mip" localSheetId="11" hidden="1">2147483647</definedName>
    <definedName name="solver_mip" localSheetId="0" hidden="1">2147483647</definedName>
    <definedName name="solver_mip" localSheetId="13" hidden="1">2147483647</definedName>
    <definedName name="solver_mip" localSheetId="12" hidden="1">2147483647</definedName>
    <definedName name="solver_mip" localSheetId="17" hidden="1">2147483647</definedName>
    <definedName name="solver_mip" localSheetId="18" hidden="1">2147483647</definedName>
    <definedName name="solver_mip" localSheetId="16" hidden="1">2147483647</definedName>
    <definedName name="solver_mip" localSheetId="15" hidden="1">2147483647</definedName>
    <definedName name="solver_mip" localSheetId="20" hidden="1">2147483647</definedName>
    <definedName name="solver_mip" localSheetId="27" hidden="1">2147483647</definedName>
    <definedName name="solver_mip" localSheetId="28" hidden="1">2147483647</definedName>
    <definedName name="solver_mip" localSheetId="26" hidden="1">2147483647</definedName>
    <definedName name="solver_mip" localSheetId="25" hidden="1">2147483647</definedName>
    <definedName name="solver_mip" localSheetId="29" hidden="1">2147483647</definedName>
    <definedName name="solver_mip" localSheetId="10" hidden="1">2147483647</definedName>
    <definedName name="solver_mip" localSheetId="14" hidden="1">2147483647</definedName>
    <definedName name="solver_mni" localSheetId="21" hidden="1">30</definedName>
    <definedName name="solver_mni" localSheetId="24" hidden="1">30</definedName>
    <definedName name="solver_mni" localSheetId="23" hidden="1">30</definedName>
    <definedName name="solver_mni" localSheetId="19" hidden="1">30</definedName>
    <definedName name="solver_mni" localSheetId="22" hidden="1">30</definedName>
    <definedName name="solver_mni" localSheetId="9" hidden="1">30</definedName>
    <definedName name="solver_mni" localSheetId="11" hidden="1">30</definedName>
    <definedName name="solver_mni" localSheetId="0" hidden="1">30</definedName>
    <definedName name="solver_mni" localSheetId="13" hidden="1">30</definedName>
    <definedName name="solver_mni" localSheetId="12" hidden="1">30</definedName>
    <definedName name="solver_mni" localSheetId="17" hidden="1">30</definedName>
    <definedName name="solver_mni" localSheetId="18" hidden="1">30</definedName>
    <definedName name="solver_mni" localSheetId="16" hidden="1">30</definedName>
    <definedName name="solver_mni" localSheetId="15" hidden="1">30</definedName>
    <definedName name="solver_mni" localSheetId="20" hidden="1">30</definedName>
    <definedName name="solver_mni" localSheetId="27" hidden="1">30</definedName>
    <definedName name="solver_mni" localSheetId="28" hidden="1">30</definedName>
    <definedName name="solver_mni" localSheetId="26" hidden="1">30</definedName>
    <definedName name="solver_mni" localSheetId="25" hidden="1">30</definedName>
    <definedName name="solver_mni" localSheetId="29" hidden="1">30</definedName>
    <definedName name="solver_mni" localSheetId="10" hidden="1">30</definedName>
    <definedName name="solver_mni" localSheetId="14" hidden="1">30</definedName>
    <definedName name="solver_mrt" localSheetId="21" hidden="1">0.075</definedName>
    <definedName name="solver_mrt" localSheetId="24" hidden="1">0.075</definedName>
    <definedName name="solver_mrt" localSheetId="23" hidden="1">0.075</definedName>
    <definedName name="solver_mrt" localSheetId="19" hidden="1">0.075</definedName>
    <definedName name="solver_mrt" localSheetId="22" hidden="1">0.075</definedName>
    <definedName name="solver_mrt" localSheetId="9" hidden="1">0.075</definedName>
    <definedName name="solver_mrt" localSheetId="11" hidden="1">0.075</definedName>
    <definedName name="solver_mrt" localSheetId="0" hidden="1">0.075</definedName>
    <definedName name="solver_mrt" localSheetId="13" hidden="1">0.075</definedName>
    <definedName name="solver_mrt" localSheetId="12" hidden="1">0.075</definedName>
    <definedName name="solver_mrt" localSheetId="17" hidden="1">0.075</definedName>
    <definedName name="solver_mrt" localSheetId="18" hidden="1">0.075</definedName>
    <definedName name="solver_mrt" localSheetId="16" hidden="1">0.075</definedName>
    <definedName name="solver_mrt" localSheetId="15" hidden="1">0.075</definedName>
    <definedName name="solver_mrt" localSheetId="20" hidden="1">0.075</definedName>
    <definedName name="solver_mrt" localSheetId="27" hidden="1">0.075</definedName>
    <definedName name="solver_mrt" localSheetId="28" hidden="1">0.075</definedName>
    <definedName name="solver_mrt" localSheetId="26" hidden="1">0.075</definedName>
    <definedName name="solver_mrt" localSheetId="25" hidden="1">0.075</definedName>
    <definedName name="solver_mrt" localSheetId="29" hidden="1">0.075</definedName>
    <definedName name="solver_mrt" localSheetId="10" hidden="1">0.075</definedName>
    <definedName name="solver_mrt" localSheetId="14" hidden="1">0.075</definedName>
    <definedName name="solver_msl" localSheetId="21" hidden="1">2</definedName>
    <definedName name="solver_msl" localSheetId="24" hidden="1">2</definedName>
    <definedName name="solver_msl" localSheetId="23" hidden="1">2</definedName>
    <definedName name="solver_msl" localSheetId="19" hidden="1">2</definedName>
    <definedName name="solver_msl" localSheetId="22" hidden="1">2</definedName>
    <definedName name="solver_msl" localSheetId="9" hidden="1">2</definedName>
    <definedName name="solver_msl" localSheetId="11" hidden="1">2</definedName>
    <definedName name="solver_msl" localSheetId="0" hidden="1">2</definedName>
    <definedName name="solver_msl" localSheetId="13" hidden="1">2</definedName>
    <definedName name="solver_msl" localSheetId="12" hidden="1">2</definedName>
    <definedName name="solver_msl" localSheetId="17" hidden="1">2</definedName>
    <definedName name="solver_msl" localSheetId="18" hidden="1">2</definedName>
    <definedName name="solver_msl" localSheetId="16" hidden="1">2</definedName>
    <definedName name="solver_msl" localSheetId="15" hidden="1">2</definedName>
    <definedName name="solver_msl" localSheetId="20" hidden="1">2</definedName>
    <definedName name="solver_msl" localSheetId="27" hidden="1">2</definedName>
    <definedName name="solver_msl" localSheetId="28" hidden="1">2</definedName>
    <definedName name="solver_msl" localSheetId="26" hidden="1">2</definedName>
    <definedName name="solver_msl" localSheetId="25" hidden="1">2</definedName>
    <definedName name="solver_msl" localSheetId="29" hidden="1">2</definedName>
    <definedName name="solver_msl" localSheetId="10" hidden="1">2</definedName>
    <definedName name="solver_msl" localSheetId="14" hidden="1">2</definedName>
    <definedName name="solver_neg" localSheetId="21" hidden="1">1</definedName>
    <definedName name="solver_neg" localSheetId="24" hidden="1">1</definedName>
    <definedName name="solver_neg" localSheetId="23" hidden="1">1</definedName>
    <definedName name="solver_neg" localSheetId="19" hidden="1">1</definedName>
    <definedName name="solver_neg" localSheetId="22" hidden="1">1</definedName>
    <definedName name="solver_neg" localSheetId="9" hidden="1">1</definedName>
    <definedName name="solver_neg" localSheetId="11" hidden="1">1</definedName>
    <definedName name="solver_neg" localSheetId="0" hidden="1">1</definedName>
    <definedName name="solver_neg" localSheetId="13" hidden="1">1</definedName>
    <definedName name="solver_neg" localSheetId="12" hidden="1">1</definedName>
    <definedName name="solver_neg" localSheetId="17" hidden="1">1</definedName>
    <definedName name="solver_neg" localSheetId="18" hidden="1">1</definedName>
    <definedName name="solver_neg" localSheetId="16" hidden="1">1</definedName>
    <definedName name="solver_neg" localSheetId="15" hidden="1">1</definedName>
    <definedName name="solver_neg" localSheetId="20" hidden="1">1</definedName>
    <definedName name="solver_neg" localSheetId="27" hidden="1">1</definedName>
    <definedName name="solver_neg" localSheetId="28" hidden="1">1</definedName>
    <definedName name="solver_neg" localSheetId="26" hidden="1">1</definedName>
    <definedName name="solver_neg" localSheetId="25" hidden="1">1</definedName>
    <definedName name="solver_neg" localSheetId="29" hidden="1">1</definedName>
    <definedName name="solver_neg" localSheetId="10" hidden="1">1</definedName>
    <definedName name="solver_neg" localSheetId="14" hidden="1">1</definedName>
    <definedName name="solver_neg" localSheetId="30" hidden="1">1</definedName>
    <definedName name="solver_nod" localSheetId="21" hidden="1">2147483647</definedName>
    <definedName name="solver_nod" localSheetId="24" hidden="1">2147483647</definedName>
    <definedName name="solver_nod" localSheetId="23" hidden="1">2147483647</definedName>
    <definedName name="solver_nod" localSheetId="19" hidden="1">2147483647</definedName>
    <definedName name="solver_nod" localSheetId="22" hidden="1">2147483647</definedName>
    <definedName name="solver_nod" localSheetId="9" hidden="1">2147483647</definedName>
    <definedName name="solver_nod" localSheetId="11" hidden="1">2147483647</definedName>
    <definedName name="solver_nod" localSheetId="0" hidden="1">2147483647</definedName>
    <definedName name="solver_nod" localSheetId="13" hidden="1">2147483647</definedName>
    <definedName name="solver_nod" localSheetId="12" hidden="1">2147483647</definedName>
    <definedName name="solver_nod" localSheetId="17" hidden="1">2147483647</definedName>
    <definedName name="solver_nod" localSheetId="18" hidden="1">2147483647</definedName>
    <definedName name="solver_nod" localSheetId="16" hidden="1">2147483647</definedName>
    <definedName name="solver_nod" localSheetId="15" hidden="1">2147483647</definedName>
    <definedName name="solver_nod" localSheetId="20" hidden="1">2147483647</definedName>
    <definedName name="solver_nod" localSheetId="27" hidden="1">2147483647</definedName>
    <definedName name="solver_nod" localSheetId="28" hidden="1">2147483647</definedName>
    <definedName name="solver_nod" localSheetId="26" hidden="1">2147483647</definedName>
    <definedName name="solver_nod" localSheetId="25" hidden="1">2147483647</definedName>
    <definedName name="solver_nod" localSheetId="29" hidden="1">2147483647</definedName>
    <definedName name="solver_nod" localSheetId="10" hidden="1">2147483647</definedName>
    <definedName name="solver_nod" localSheetId="14" hidden="1">2147483647</definedName>
    <definedName name="solver_num" localSheetId="21" hidden="1">2</definedName>
    <definedName name="solver_num" localSheetId="24" hidden="1">2</definedName>
    <definedName name="solver_num" localSheetId="23" hidden="1">5</definedName>
    <definedName name="solver_num" localSheetId="19" hidden="1">3</definedName>
    <definedName name="solver_num" localSheetId="22" hidden="1">2</definedName>
    <definedName name="solver_num" localSheetId="9" hidden="1">4</definedName>
    <definedName name="solver_num" localSheetId="11" hidden="1">4</definedName>
    <definedName name="solver_num" localSheetId="0" hidden="1">3</definedName>
    <definedName name="solver_num" localSheetId="13" hidden="1">4</definedName>
    <definedName name="solver_num" localSheetId="12" hidden="1">3</definedName>
    <definedName name="solver_num" localSheetId="17" hidden="1">3</definedName>
    <definedName name="solver_num" localSheetId="18" hidden="1">2</definedName>
    <definedName name="solver_num" localSheetId="16" hidden="1">2</definedName>
    <definedName name="solver_num" localSheetId="15" hidden="1">2</definedName>
    <definedName name="solver_num" localSheetId="20" hidden="1">2</definedName>
    <definedName name="solver_num" localSheetId="27" hidden="1">1</definedName>
    <definedName name="solver_num" localSheetId="28" hidden="1">0</definedName>
    <definedName name="solver_num" localSheetId="26" hidden="1">2</definedName>
    <definedName name="solver_num" localSheetId="25" hidden="1">2</definedName>
    <definedName name="solver_num" localSheetId="29" hidden="1">8</definedName>
    <definedName name="solver_num" localSheetId="10" hidden="1">2</definedName>
    <definedName name="solver_num" localSheetId="14" hidden="1">3</definedName>
    <definedName name="solver_num" localSheetId="30" hidden="1">0</definedName>
    <definedName name="solver_nwt" localSheetId="21" hidden="1">1</definedName>
    <definedName name="solver_nwt" localSheetId="24" hidden="1">1</definedName>
    <definedName name="solver_nwt" localSheetId="23" hidden="1">1</definedName>
    <definedName name="solver_nwt" localSheetId="19" hidden="1">1</definedName>
    <definedName name="solver_nwt" localSheetId="22" hidden="1">1</definedName>
    <definedName name="solver_nwt" localSheetId="9" hidden="1">1</definedName>
    <definedName name="solver_nwt" localSheetId="11" hidden="1">1</definedName>
    <definedName name="solver_nwt" localSheetId="0" hidden="1">1</definedName>
    <definedName name="solver_nwt" localSheetId="13" hidden="1">1</definedName>
    <definedName name="solver_nwt" localSheetId="12" hidden="1">1</definedName>
    <definedName name="solver_nwt" localSheetId="17" hidden="1">1</definedName>
    <definedName name="solver_nwt" localSheetId="18" hidden="1">1</definedName>
    <definedName name="solver_nwt" localSheetId="16" hidden="1">1</definedName>
    <definedName name="solver_nwt" localSheetId="15" hidden="1">1</definedName>
    <definedName name="solver_nwt" localSheetId="20" hidden="1">1</definedName>
    <definedName name="solver_nwt" localSheetId="27" hidden="1">1</definedName>
    <definedName name="solver_nwt" localSheetId="28" hidden="1">1</definedName>
    <definedName name="solver_nwt" localSheetId="26" hidden="1">1</definedName>
    <definedName name="solver_nwt" localSheetId="25" hidden="1">1</definedName>
    <definedName name="solver_nwt" localSheetId="29" hidden="1">1</definedName>
    <definedName name="solver_nwt" localSheetId="10" hidden="1">1</definedName>
    <definedName name="solver_nwt" localSheetId="14" hidden="1">1</definedName>
    <definedName name="solver_opt" localSheetId="21" hidden="1">' INTEGER LP (ART POSTER)'!$B$8</definedName>
    <definedName name="solver_opt" localSheetId="24" hidden="1">'BINARY INT LP (AREA COVERA)'!$B$5</definedName>
    <definedName name="solver_opt" localSheetId="23" hidden="1">'BINARY INT LP (INVESTMENT)'!$B$8</definedName>
    <definedName name="solver_opt" localSheetId="19" hidden="1">'INTEGER LINEAR PROGRAM (ADS) '!$B$7</definedName>
    <definedName name="solver_opt" localSheetId="22" hidden="1">'INTEGER LINEAR PROGRAM (BOOKS)'!$B$7</definedName>
    <definedName name="solver_opt" localSheetId="9" hidden="1">'Linear Progamming-Ads'!$B$6</definedName>
    <definedName name="solver_opt" localSheetId="11" hidden="1">'Linear Progamming-Net Proft '!$D$11</definedName>
    <definedName name="solver_opt" localSheetId="0" hidden="1">'LP-INVESTMENT ALLOCATION'!$B$10</definedName>
    <definedName name="solver_opt" localSheetId="13" hidden="1">'LP-INVESTMENT ALLOCATION '!$B$8</definedName>
    <definedName name="solver_opt" localSheetId="12" hidden="1">'LP-TECTONA fURNITURE MODEL'!$B$10</definedName>
    <definedName name="solver_opt" localSheetId="17" hidden="1">'LP-TRANPORT ASSIGNMENT PROB (2)'!$B$21</definedName>
    <definedName name="solver_opt" localSheetId="18" hidden="1">'LP-TRANPORT ASSIGNMENT PROB (3)'!$B$21</definedName>
    <definedName name="solver_opt" localSheetId="16" hidden="1">'LP-TRANPORT ASSIGNMENT PROBLEM'!$B$19</definedName>
    <definedName name="solver_opt" localSheetId="15" hidden="1">'LP-TRANSPORTATION'!$B$20</definedName>
    <definedName name="solver_opt" localSheetId="20" hidden="1">'MIXED INTEGER LP (PROFIT MAX)'!$B$7</definedName>
    <definedName name="solver_opt" localSheetId="27" hidden="1">'NON LINEAR PROGRAM (HOT DOG)'!$B$3</definedName>
    <definedName name="solver_opt" localSheetId="28" hidden="1">'NON LINEAR PROGRAM (M&amp;T SALES)'!$B$15</definedName>
    <definedName name="solver_opt" localSheetId="26" hidden="1">'NON LINEAR PROGRAM (MOTORCROSS)'!$B$9</definedName>
    <definedName name="solver_opt" localSheetId="25" hidden="1">'NON LINEAR PROGRAM(PORTFOLIO)'!$B$10</definedName>
    <definedName name="solver_opt" localSheetId="29" hidden="1">'Project Model '!$I$38</definedName>
    <definedName name="solver_opt" localSheetId="10" hidden="1">Sheet1!$B$7</definedName>
    <definedName name="solver_opt" localSheetId="14" hidden="1">Sheet5!$B$8</definedName>
    <definedName name="solver_opt" localSheetId="30" hidden="1">'Solution Solver Summary'!$I$38</definedName>
    <definedName name="solver_pre" localSheetId="21" hidden="1">0.000001</definedName>
    <definedName name="solver_pre" localSheetId="24" hidden="1">0.000001</definedName>
    <definedName name="solver_pre" localSheetId="23" hidden="1">0.000001</definedName>
    <definedName name="solver_pre" localSheetId="19" hidden="1">0.000001</definedName>
    <definedName name="solver_pre" localSheetId="22" hidden="1">0.000001</definedName>
    <definedName name="solver_pre" localSheetId="9" hidden="1">0.000001</definedName>
    <definedName name="solver_pre" localSheetId="11" hidden="1">0.000001</definedName>
    <definedName name="solver_pre" localSheetId="0" hidden="1">0.000001</definedName>
    <definedName name="solver_pre" localSheetId="13" hidden="1">0.000001</definedName>
    <definedName name="solver_pre" localSheetId="12" hidden="1">0.000001</definedName>
    <definedName name="solver_pre" localSheetId="17" hidden="1">0.000001</definedName>
    <definedName name="solver_pre" localSheetId="18" hidden="1">0.000001</definedName>
    <definedName name="solver_pre" localSheetId="16" hidden="1">0.000001</definedName>
    <definedName name="solver_pre" localSheetId="15" hidden="1">0.000001</definedName>
    <definedName name="solver_pre" localSheetId="20" hidden="1">0.000001</definedName>
    <definedName name="solver_pre" localSheetId="27" hidden="1">0.000001</definedName>
    <definedName name="solver_pre" localSheetId="28" hidden="1">0.000001</definedName>
    <definedName name="solver_pre" localSheetId="26" hidden="1">0.000001</definedName>
    <definedName name="solver_pre" localSheetId="25" hidden="1">0.000001</definedName>
    <definedName name="solver_pre" localSheetId="29" hidden="1">0.000001</definedName>
    <definedName name="solver_pre" localSheetId="10" hidden="1">0.000001</definedName>
    <definedName name="solver_pre" localSheetId="14" hidden="1">0.000001</definedName>
    <definedName name="solver_rbv" localSheetId="21" hidden="1">1</definedName>
    <definedName name="solver_rbv" localSheetId="24" hidden="1">1</definedName>
    <definedName name="solver_rbv" localSheetId="23" hidden="1">1</definedName>
    <definedName name="solver_rbv" localSheetId="19" hidden="1">1</definedName>
    <definedName name="solver_rbv" localSheetId="22" hidden="1">1</definedName>
    <definedName name="solver_rbv" localSheetId="9" hidden="1">1</definedName>
    <definedName name="solver_rbv" localSheetId="11" hidden="1">1</definedName>
    <definedName name="solver_rbv" localSheetId="0" hidden="1">1</definedName>
    <definedName name="solver_rbv" localSheetId="13" hidden="1">1</definedName>
    <definedName name="solver_rbv" localSheetId="12" hidden="1">1</definedName>
    <definedName name="solver_rbv" localSheetId="17" hidden="1">1</definedName>
    <definedName name="solver_rbv" localSheetId="18" hidden="1">1</definedName>
    <definedName name="solver_rbv" localSheetId="16" hidden="1">1</definedName>
    <definedName name="solver_rbv" localSheetId="15" hidden="1">1</definedName>
    <definedName name="solver_rbv" localSheetId="20" hidden="1">1</definedName>
    <definedName name="solver_rbv" localSheetId="27" hidden="1">1</definedName>
    <definedName name="solver_rbv" localSheetId="28" hidden="1">1</definedName>
    <definedName name="solver_rbv" localSheetId="26" hidden="1">1</definedName>
    <definedName name="solver_rbv" localSheetId="25" hidden="1">1</definedName>
    <definedName name="solver_rbv" localSheetId="29" hidden="1">2</definedName>
    <definedName name="solver_rbv" localSheetId="10" hidden="1">1</definedName>
    <definedName name="solver_rbv" localSheetId="14" hidden="1">1</definedName>
    <definedName name="solver_rel1" localSheetId="21" hidden="1">4</definedName>
    <definedName name="solver_rel1" localSheetId="24" hidden="1">5</definedName>
    <definedName name="solver_rel1" localSheetId="23" hidden="1">5</definedName>
    <definedName name="solver_rel1" localSheetId="19" hidden="1">4</definedName>
    <definedName name="solver_rel1" localSheetId="22" hidden="1">4</definedName>
    <definedName name="solver_rel1" localSheetId="9" hidden="1">1</definedName>
    <definedName name="solver_rel1" localSheetId="11" hidden="1">1</definedName>
    <definedName name="solver_rel1" localSheetId="0" hidden="1">1</definedName>
    <definedName name="solver_rel1" localSheetId="13" hidden="1">1</definedName>
    <definedName name="solver_rel1" localSheetId="12" hidden="1">1</definedName>
    <definedName name="solver_rel1" localSheetId="17" hidden="1">1</definedName>
    <definedName name="solver_rel1" localSheetId="18" hidden="1">1</definedName>
    <definedName name="solver_rel1" localSheetId="16" hidden="1">1</definedName>
    <definedName name="solver_rel1" localSheetId="15" hidden="1">1</definedName>
    <definedName name="solver_rel1" localSheetId="20" hidden="1">4</definedName>
    <definedName name="solver_rel1" localSheetId="27" hidden="1">4</definedName>
    <definedName name="solver_rel1" localSheetId="28" hidden="1">4</definedName>
    <definedName name="solver_rel1" localSheetId="26" hidden="1">4</definedName>
    <definedName name="solver_rel1" localSheetId="25" hidden="1">2</definedName>
    <definedName name="solver_rel1" localSheetId="29" hidden="1">5</definedName>
    <definedName name="solver_rel1" localSheetId="10" hidden="1">1</definedName>
    <definedName name="solver_rel1" localSheetId="14" hidden="1">3</definedName>
    <definedName name="solver_rel2" localSheetId="21" hidden="1">1</definedName>
    <definedName name="solver_rel2" localSheetId="24" hidden="1">3</definedName>
    <definedName name="solver_rel2" localSheetId="23" hidden="1">3</definedName>
    <definedName name="solver_rel2" localSheetId="19" hidden="1">1</definedName>
    <definedName name="solver_rel2" localSheetId="22" hidden="1">1</definedName>
    <definedName name="solver_rel2" localSheetId="9" hidden="1">3</definedName>
    <definedName name="solver_rel2" localSheetId="11" hidden="1">1</definedName>
    <definedName name="solver_rel2" localSheetId="0" hidden="1">1</definedName>
    <definedName name="solver_rel2" localSheetId="13" hidden="1">3</definedName>
    <definedName name="solver_rel2" localSheetId="12" hidden="1">1</definedName>
    <definedName name="solver_rel2" localSheetId="17" hidden="1">2</definedName>
    <definedName name="solver_rel2" localSheetId="18" hidden="1">2</definedName>
    <definedName name="solver_rel2" localSheetId="16" hidden="1">2</definedName>
    <definedName name="solver_rel2" localSheetId="15" hidden="1">2</definedName>
    <definedName name="solver_rel2" localSheetId="20" hidden="1">1</definedName>
    <definedName name="solver_rel2" localSheetId="27" hidden="1">4</definedName>
    <definedName name="solver_rel2" localSheetId="28" hidden="1">4</definedName>
    <definedName name="solver_rel2" localSheetId="26" hidden="1">1</definedName>
    <definedName name="solver_rel2" localSheetId="25" hidden="1">3</definedName>
    <definedName name="solver_rel2" localSheetId="29" hidden="1">2</definedName>
    <definedName name="solver_rel2" localSheetId="10" hidden="1">1</definedName>
    <definedName name="solver_rel2" localSheetId="14" hidden="1">3</definedName>
    <definedName name="solver_rel3" localSheetId="21" hidden="1">3</definedName>
    <definedName name="solver_rel3" localSheetId="24" hidden="1">5</definedName>
    <definedName name="solver_rel3" localSheetId="23" hidden="1">1</definedName>
    <definedName name="solver_rel3" localSheetId="19" hidden="1">3</definedName>
    <definedName name="solver_rel3" localSheetId="22" hidden="1">1</definedName>
    <definedName name="solver_rel3" localSheetId="9" hidden="1">3</definedName>
    <definedName name="solver_rel3" localSheetId="11" hidden="1">1</definedName>
    <definedName name="solver_rel3" localSheetId="0" hidden="1">3</definedName>
    <definedName name="solver_rel3" localSheetId="13" hidden="1">3</definedName>
    <definedName name="solver_rel3" localSheetId="12" hidden="1">3</definedName>
    <definedName name="solver_rel3" localSheetId="17" hidden="1">2</definedName>
    <definedName name="solver_rel3" localSheetId="18" hidden="1">2</definedName>
    <definedName name="solver_rel3" localSheetId="15" hidden="1">3</definedName>
    <definedName name="solver_rel3" localSheetId="20" hidden="1">3</definedName>
    <definedName name="solver_rel3" localSheetId="27" hidden="1">5</definedName>
    <definedName name="solver_rel3" localSheetId="28" hidden="1">5</definedName>
    <definedName name="solver_rel3" localSheetId="26" hidden="1">5</definedName>
    <definedName name="solver_rel3" localSheetId="25" hidden="1">5</definedName>
    <definedName name="solver_rel3" localSheetId="29" hidden="1">1</definedName>
    <definedName name="solver_rel3" localSheetId="10" hidden="1">1</definedName>
    <definedName name="solver_rel3" localSheetId="14" hidden="1">1</definedName>
    <definedName name="solver_rel4" localSheetId="21" hidden="1">1</definedName>
    <definedName name="solver_rel4" localSheetId="24" hidden="1">2</definedName>
    <definedName name="solver_rel4" localSheetId="23" hidden="1">2</definedName>
    <definedName name="solver_rel4" localSheetId="19" hidden="1">1</definedName>
    <definedName name="solver_rel4" localSheetId="22" hidden="1">2</definedName>
    <definedName name="solver_rel4" localSheetId="9" hidden="1">3</definedName>
    <definedName name="solver_rel4" localSheetId="11" hidden="1">1</definedName>
    <definedName name="solver_rel4" localSheetId="13" hidden="1">1</definedName>
    <definedName name="solver_rel4" localSheetId="17" hidden="1">2</definedName>
    <definedName name="solver_rel4" localSheetId="18" hidden="1">2</definedName>
    <definedName name="solver_rel4" localSheetId="15" hidden="1">1</definedName>
    <definedName name="solver_rel4" localSheetId="20" hidden="1">1</definedName>
    <definedName name="solver_rel4" localSheetId="27" hidden="1">2</definedName>
    <definedName name="solver_rel4" localSheetId="28" hidden="1">2</definedName>
    <definedName name="solver_rel4" localSheetId="26" hidden="1">2</definedName>
    <definedName name="solver_rel4" localSheetId="25" hidden="1">2</definedName>
    <definedName name="solver_rel4" localSheetId="29" hidden="1">5</definedName>
    <definedName name="solver_rel5" localSheetId="21" hidden="1">1</definedName>
    <definedName name="solver_rel5" localSheetId="24" hidden="1">1</definedName>
    <definedName name="solver_rel5" localSheetId="23" hidden="1">1</definedName>
    <definedName name="solver_rel5" localSheetId="19" hidden="1">1</definedName>
    <definedName name="solver_rel5" localSheetId="22" hidden="1">1</definedName>
    <definedName name="solver_rel5" localSheetId="9" hidden="1">3</definedName>
    <definedName name="solver_rel5" localSheetId="11" hidden="1">3</definedName>
    <definedName name="solver_rel5" localSheetId="18" hidden="1">2</definedName>
    <definedName name="solver_rel5" localSheetId="20" hidden="1">1</definedName>
    <definedName name="solver_rel5" localSheetId="27" hidden="1">1</definedName>
    <definedName name="solver_rel5" localSheetId="28" hidden="1">1</definedName>
    <definedName name="solver_rel5" localSheetId="26" hidden="1">1</definedName>
    <definedName name="solver_rel5" localSheetId="25" hidden="1">1</definedName>
    <definedName name="solver_rel5" localSheetId="29" hidden="1">5</definedName>
    <definedName name="solver_rel6" localSheetId="21" hidden="1">1</definedName>
    <definedName name="solver_rel6" localSheetId="24" hidden="1">1</definedName>
    <definedName name="solver_rel6" localSheetId="23" hidden="1">1</definedName>
    <definedName name="solver_rel6" localSheetId="19" hidden="1">1</definedName>
    <definedName name="solver_rel6" localSheetId="22" hidden="1">1</definedName>
    <definedName name="solver_rel6" localSheetId="20" hidden="1">1</definedName>
    <definedName name="solver_rel6" localSheetId="27" hidden="1">1</definedName>
    <definedName name="solver_rel6" localSheetId="28" hidden="1">1</definedName>
    <definedName name="solver_rel6" localSheetId="26" hidden="1">1</definedName>
    <definedName name="solver_rel6" localSheetId="25" hidden="1">1</definedName>
    <definedName name="solver_rel6" localSheetId="29" hidden="1">5</definedName>
    <definedName name="solver_rel7" localSheetId="29" hidden="1">2</definedName>
    <definedName name="solver_rel8" localSheetId="29" hidden="1">3</definedName>
    <definedName name="solver_rhs1" localSheetId="21" hidden="1">"integer"</definedName>
    <definedName name="solver_rhs1" localSheetId="24" hidden="1">"binary"</definedName>
    <definedName name="solver_rhs1" localSheetId="23" hidden="1">"binary"</definedName>
    <definedName name="solver_rhs1" localSheetId="19" hidden="1">"integer"</definedName>
    <definedName name="solver_rhs1" localSheetId="22" hidden="1">"integer"</definedName>
    <definedName name="solver_rhs1" localSheetId="9" hidden="1">'Linear Progamming-Ads'!$F$11</definedName>
    <definedName name="solver_rhs1" localSheetId="11" hidden="1">'Linear Progamming-Net Proft '!$F$16</definedName>
    <definedName name="solver_rhs1" localSheetId="0" hidden="1">'LP-INVESTMENT ALLOCATION'!$F$15</definedName>
    <definedName name="solver_rhs1" localSheetId="13" hidden="1">'LP-INVESTMENT ALLOCATION '!$I$13</definedName>
    <definedName name="solver_rhs1" localSheetId="12" hidden="1">'LP-TECTONA fURNITURE MODEL'!$F$15</definedName>
    <definedName name="solver_rhs1" localSheetId="17" hidden="1">'LP-TRANPORT ASSIGNMENT PROB (2)'!$B$18:$E$18</definedName>
    <definedName name="solver_rhs1" localSheetId="18" hidden="1">1</definedName>
    <definedName name="solver_rhs1" localSheetId="16" hidden="1">'LP-TRANPORT ASSIGNMENT PROBLEM'!$B$16:$E$16</definedName>
    <definedName name="solver_rhs1" localSheetId="15" hidden="1">'LP-TRANSPORTATION'!$S$23:$S$25</definedName>
    <definedName name="solver_rhs1" localSheetId="20" hidden="1">"integer"</definedName>
    <definedName name="solver_rhs1" localSheetId="27" hidden="1">"integer"</definedName>
    <definedName name="solver_rhs1" localSheetId="28" hidden="1">"integer"</definedName>
    <definedName name="solver_rhs1" localSheetId="26" hidden="1">"integer"</definedName>
    <definedName name="solver_rhs1" localSheetId="25" hidden="1">'NON LINEAR PROGRAM(PORTFOLIO)'!$F$13</definedName>
    <definedName name="solver_rhs1" localSheetId="29" hidden="1">"binary"</definedName>
    <definedName name="solver_rhs1" localSheetId="10" hidden="1">Sheet1!$F$12</definedName>
    <definedName name="solver_rhs1" localSheetId="14" hidden="1">Sheet5!$G$13</definedName>
    <definedName name="solver_rhs2" localSheetId="21" hidden="1">' INTEGER LP (ART POSTER)'!$F$11:$F$13</definedName>
    <definedName name="solver_rhs2" localSheetId="24" hidden="1">1</definedName>
    <definedName name="solver_rhs2" localSheetId="23" hidden="1">'BINARY INT LP (INVESTMENT)'!$K$11</definedName>
    <definedName name="solver_rhs2" localSheetId="19" hidden="1">'INTEGER LINEAR PROGRAM (ADS) '!$F$10:$F$11</definedName>
    <definedName name="solver_rhs2" localSheetId="22" hidden="1">'INTEGER LINEAR PROGRAM (BOOKS)'!$F$10:$F$11</definedName>
    <definedName name="solver_rhs2" localSheetId="9" hidden="1">'Linear Progamming-Ads'!$F$12</definedName>
    <definedName name="solver_rhs2" localSheetId="11" hidden="1">'Linear Progamming-Net Proft '!$F$17</definedName>
    <definedName name="solver_rhs2" localSheetId="0" hidden="1">'LP-INVESTMENT ALLOCATION'!$F$16</definedName>
    <definedName name="solver_rhs2" localSheetId="13" hidden="1">'LP-INVESTMENT ALLOCATION '!$I$14</definedName>
    <definedName name="solver_rhs2" localSheetId="12" hidden="1">'LP-TECTONA fURNITURE MODEL'!$F$16</definedName>
    <definedName name="solver_rhs2" localSheetId="17" hidden="1">0</definedName>
    <definedName name="solver_rhs2" localSheetId="18" hidden="1">1</definedName>
    <definedName name="solver_rhs2" localSheetId="16" hidden="1">1</definedName>
    <definedName name="solver_rhs2" localSheetId="15" hidden="1">'LP-TRANSPORTATION'!$S$26:$S$30</definedName>
    <definedName name="solver_rhs2" localSheetId="20" hidden="1">'MIXED INTEGER LP (PROFIT MAX)'!$F$10:$F$12</definedName>
    <definedName name="solver_rhs2" localSheetId="27" hidden="1">"integer"</definedName>
    <definedName name="solver_rhs2" localSheetId="28" hidden="1">"integer"</definedName>
    <definedName name="solver_rhs2" localSheetId="26" hidden="1">'NON LINEAR PROGRAM (MOTORCROSS)'!$F$12</definedName>
    <definedName name="solver_rhs2" localSheetId="25" hidden="1">'NON LINEAR PROGRAM(PORTFOLIO)'!$F$14</definedName>
    <definedName name="solver_rhs2" localSheetId="29" hidden="1">'Project Model '!$C$85:$J$85</definedName>
    <definedName name="solver_rhs2" localSheetId="10" hidden="1">Sheet1!$F$13</definedName>
    <definedName name="solver_rhs2" localSheetId="14" hidden="1">Sheet5!$G$14:$G$17</definedName>
    <definedName name="solver_rhs3" localSheetId="21" hidden="1">' INTEGER LP (ART POSTER)'!$F$13</definedName>
    <definedName name="solver_rhs3" localSheetId="24" hidden="1">"binary"</definedName>
    <definedName name="solver_rhs3" localSheetId="23" hidden="1">'BINARY INT LP (INVESTMENT)'!$K$12</definedName>
    <definedName name="solver_rhs3" localSheetId="19" hidden="1">'INTEGER LINEAR PROGRAM (ADS) '!$F$12</definedName>
    <definedName name="solver_rhs3" localSheetId="22" hidden="1">'INTEGER LINEAR PROGRAM (BOOKS)'!$F$10:$F$11</definedName>
    <definedName name="solver_rhs3" localSheetId="9" hidden="1">'Linear Progamming-Ads'!$F$13</definedName>
    <definedName name="solver_rhs3" localSheetId="11" hidden="1">'Linear Progamming-Net Proft '!$F$18</definedName>
    <definedName name="solver_rhs3" localSheetId="0" hidden="1">0</definedName>
    <definedName name="solver_rhs3" localSheetId="13" hidden="1">'LP-INVESTMENT ALLOCATION '!$I$15</definedName>
    <definedName name="solver_rhs3" localSheetId="12" hidden="1">0</definedName>
    <definedName name="solver_rhs3" localSheetId="17" hidden="1">1</definedName>
    <definedName name="solver_rhs3" localSheetId="18" hidden="1">1</definedName>
    <definedName name="solver_rhs3" localSheetId="15" hidden="1">'LP-TRANSPORTATION'!#REF!</definedName>
    <definedName name="solver_rhs3" localSheetId="20" hidden="1">'MIXED INTEGER LP (PROFIT MAX)'!$F$12</definedName>
    <definedName name="solver_rhs3" localSheetId="27" hidden="1">"binary"</definedName>
    <definedName name="solver_rhs3" localSheetId="28" hidden="1">"binary"</definedName>
    <definedName name="solver_rhs3" localSheetId="26" hidden="1">"binary"</definedName>
    <definedName name="solver_rhs3" localSheetId="25" hidden="1">"binary"</definedName>
    <definedName name="solver_rhs3" localSheetId="29" hidden="1">'Project Model '!$D$40:$G$40</definedName>
    <definedName name="solver_rhs3" localSheetId="10" hidden="1">Sheet1!$F$13</definedName>
    <definedName name="solver_rhs3" localSheetId="14" hidden="1">Sheet5!$G$18</definedName>
    <definedName name="solver_rhs4" localSheetId="21" hidden="1">' INTEGER LP (ART POSTER)'!#REF!</definedName>
    <definedName name="solver_rhs4" localSheetId="24" hidden="1">'BINARY INT LP (AREA COVERA)'!$I$11</definedName>
    <definedName name="solver_rhs4" localSheetId="23" hidden="1">'BINARY INT LP (INVESTMENT)'!$K$13</definedName>
    <definedName name="solver_rhs4" localSheetId="19" hidden="1">'INTEGER LINEAR PROGRAM (ADS) '!#REF!</definedName>
    <definedName name="solver_rhs4" localSheetId="22" hidden="1">'INTEGER LINEAR PROGRAM (BOOKS)'!$H$9</definedName>
    <definedName name="solver_rhs4" localSheetId="9" hidden="1">'Linear Progamming-Ads'!$F$14</definedName>
    <definedName name="solver_rhs4" localSheetId="11" hidden="1">'Linear Progamming-Net Proft '!$F$19</definedName>
    <definedName name="solver_rhs4" localSheetId="13" hidden="1">'LP-INVESTMENT ALLOCATION '!$I$16</definedName>
    <definedName name="solver_rhs4" localSheetId="17" hidden="1">1</definedName>
    <definedName name="solver_rhs4" localSheetId="18" hidden="1">1</definedName>
    <definedName name="solver_rhs4" localSheetId="15" hidden="1">'LP-TRANSPORTATION'!#REF!</definedName>
    <definedName name="solver_rhs4" localSheetId="20" hidden="1">'MIXED INTEGER LP (PROFIT MAX)'!#REF!</definedName>
    <definedName name="solver_rhs4" localSheetId="27" hidden="1">'NON LINEAR PROGRAM (HOT DOG)'!$G$17</definedName>
    <definedName name="solver_rhs4" localSheetId="28" hidden="1">'NON LINEAR PROGRAM (M&amp;T SALES)'!$G$17</definedName>
    <definedName name="solver_rhs4" localSheetId="26" hidden="1">'NON LINEAR PROGRAM (MOTORCROSS)'!$H$11</definedName>
    <definedName name="solver_rhs4" localSheetId="25" hidden="1">'NON LINEAR PROGRAM(PORTFOLIO)'!$I$12</definedName>
    <definedName name="solver_rhs4" localSheetId="29" hidden="1">"binary"</definedName>
    <definedName name="solver_rhs5" localSheetId="21" hidden="1">' INTEGER LP (ART POSTER)'!#REF!</definedName>
    <definedName name="solver_rhs5" localSheetId="24" hidden="1">'BINARY INT LP (AREA COVERA)'!$I$12</definedName>
    <definedName name="solver_rhs5" localSheetId="23" hidden="1">'BINARY INT LP (INVESTMENT)'!$K$14</definedName>
    <definedName name="solver_rhs5" localSheetId="19" hidden="1">'INTEGER LINEAR PROGRAM (ADS) '!#REF!</definedName>
    <definedName name="solver_rhs5" localSheetId="22" hidden="1">'INTEGER LINEAR PROGRAM (BOOKS)'!$H$10</definedName>
    <definedName name="solver_rhs5" localSheetId="9" hidden="1">'Linear Progamming-Ads'!$F$14</definedName>
    <definedName name="solver_rhs5" localSheetId="11" hidden="1">'Linear Progamming-Net Proft '!#REF!</definedName>
    <definedName name="solver_rhs5" localSheetId="18" hidden="1">1</definedName>
    <definedName name="solver_rhs5" localSheetId="20" hidden="1">'MIXED INTEGER LP (PROFIT MAX)'!#REF!</definedName>
    <definedName name="solver_rhs5" localSheetId="27" hidden="1">'NON LINEAR PROGRAM (HOT DOG)'!$G$18</definedName>
    <definedName name="solver_rhs5" localSheetId="28" hidden="1">'NON LINEAR PROGRAM (M&amp;T SALES)'!$G$18</definedName>
    <definedName name="solver_rhs5" localSheetId="26" hidden="1">'NON LINEAR PROGRAM (MOTORCROSS)'!$H$12</definedName>
    <definedName name="solver_rhs5" localSheetId="25" hidden="1">'NON LINEAR PROGRAM(PORTFOLIO)'!$I$13</definedName>
    <definedName name="solver_rhs5" localSheetId="29" hidden="1">"binary"</definedName>
    <definedName name="solver_rhs6" localSheetId="21" hidden="1">' INTEGER LP (ART POSTER)'!#REF!</definedName>
    <definedName name="solver_rhs6" localSheetId="24" hidden="1">'BINARY INT LP (AREA COVERA)'!$I$12</definedName>
    <definedName name="solver_rhs6" localSheetId="23" hidden="1">'BINARY INT LP (INVESTMENT)'!$K$14</definedName>
    <definedName name="solver_rhs6" localSheetId="19" hidden="1">'INTEGER LINEAR PROGRAM (ADS) '!#REF!</definedName>
    <definedName name="solver_rhs6" localSheetId="22" hidden="1">'INTEGER LINEAR PROGRAM (BOOKS)'!$H$10</definedName>
    <definedName name="solver_rhs6" localSheetId="20" hidden="1">'MIXED INTEGER LP (PROFIT MAX)'!#REF!</definedName>
    <definedName name="solver_rhs6" localSheetId="27" hidden="1">'NON LINEAR PROGRAM (HOT DOG)'!$G$18</definedName>
    <definedName name="solver_rhs6" localSheetId="28" hidden="1">'NON LINEAR PROGRAM (M&amp;T SALES)'!$G$18</definedName>
    <definedName name="solver_rhs6" localSheetId="26" hidden="1">'NON LINEAR PROGRAM (MOTORCROSS)'!$H$12</definedName>
    <definedName name="solver_rhs6" localSheetId="25" hidden="1">'NON LINEAR PROGRAM(PORTFOLIO)'!$I$13</definedName>
    <definedName name="solver_rhs6" localSheetId="29" hidden="1">"binary"</definedName>
    <definedName name="solver_rhs7" localSheetId="29" hidden="1">'Project Model '!$M$71:$M$82</definedName>
    <definedName name="solver_rhs8" localSheetId="29" hidden="1">'Project Model '!$P$15:$P$18</definedName>
    <definedName name="solver_rlx" localSheetId="21" hidden="1">2</definedName>
    <definedName name="solver_rlx" localSheetId="24" hidden="1">2</definedName>
    <definedName name="solver_rlx" localSheetId="23" hidden="1">2</definedName>
    <definedName name="solver_rlx" localSheetId="19" hidden="1">2</definedName>
    <definedName name="solver_rlx" localSheetId="22" hidden="1">2</definedName>
    <definedName name="solver_rlx" localSheetId="9" hidden="1">2</definedName>
    <definedName name="solver_rlx" localSheetId="11" hidden="1">2</definedName>
    <definedName name="solver_rlx" localSheetId="0" hidden="1">2</definedName>
    <definedName name="solver_rlx" localSheetId="13" hidden="1">2</definedName>
    <definedName name="solver_rlx" localSheetId="12" hidden="1">2</definedName>
    <definedName name="solver_rlx" localSheetId="17" hidden="1">2</definedName>
    <definedName name="solver_rlx" localSheetId="18" hidden="1">2</definedName>
    <definedName name="solver_rlx" localSheetId="16" hidden="1">2</definedName>
    <definedName name="solver_rlx" localSheetId="15" hidden="1">2</definedName>
    <definedName name="solver_rlx" localSheetId="20" hidden="1">2</definedName>
    <definedName name="solver_rlx" localSheetId="27" hidden="1">2</definedName>
    <definedName name="solver_rlx" localSheetId="28" hidden="1">2</definedName>
    <definedName name="solver_rlx" localSheetId="26" hidden="1">2</definedName>
    <definedName name="solver_rlx" localSheetId="25" hidden="1">2</definedName>
    <definedName name="solver_rlx" localSheetId="29" hidden="1">2</definedName>
    <definedName name="solver_rlx" localSheetId="10" hidden="1">2</definedName>
    <definedName name="solver_rlx" localSheetId="14" hidden="1">2</definedName>
    <definedName name="solver_rsd" localSheetId="21" hidden="1">0</definedName>
    <definedName name="solver_rsd" localSheetId="24" hidden="1">0</definedName>
    <definedName name="solver_rsd" localSheetId="23" hidden="1">0</definedName>
    <definedName name="solver_rsd" localSheetId="19" hidden="1">0</definedName>
    <definedName name="solver_rsd" localSheetId="22" hidden="1">0</definedName>
    <definedName name="solver_rsd" localSheetId="9" hidden="1">0</definedName>
    <definedName name="solver_rsd" localSheetId="11" hidden="1">0</definedName>
    <definedName name="solver_rsd" localSheetId="0" hidden="1">0</definedName>
    <definedName name="solver_rsd" localSheetId="13" hidden="1">0</definedName>
    <definedName name="solver_rsd" localSheetId="12" hidden="1">0</definedName>
    <definedName name="solver_rsd" localSheetId="17" hidden="1">0</definedName>
    <definedName name="solver_rsd" localSheetId="18" hidden="1">0</definedName>
    <definedName name="solver_rsd" localSheetId="16" hidden="1">0</definedName>
    <definedName name="solver_rsd" localSheetId="15" hidden="1">0</definedName>
    <definedName name="solver_rsd" localSheetId="20" hidden="1">0</definedName>
    <definedName name="solver_rsd" localSheetId="27" hidden="1">0</definedName>
    <definedName name="solver_rsd" localSheetId="28" hidden="1">0</definedName>
    <definedName name="solver_rsd" localSheetId="26" hidden="1">0</definedName>
    <definedName name="solver_rsd" localSheetId="25" hidden="1">0</definedName>
    <definedName name="solver_rsd" localSheetId="29" hidden="1">0</definedName>
    <definedName name="solver_rsd" localSheetId="10" hidden="1">0</definedName>
    <definedName name="solver_rsd" localSheetId="14" hidden="1">0</definedName>
    <definedName name="solver_scl" localSheetId="21" hidden="1">1</definedName>
    <definedName name="solver_scl" localSheetId="24" hidden="1">1</definedName>
    <definedName name="solver_scl" localSheetId="23" hidden="1">1</definedName>
    <definedName name="solver_scl" localSheetId="19" hidden="1">1</definedName>
    <definedName name="solver_scl" localSheetId="22" hidden="1">1</definedName>
    <definedName name="solver_scl" localSheetId="9" hidden="1">1</definedName>
    <definedName name="solver_scl" localSheetId="11" hidden="1">1</definedName>
    <definedName name="solver_scl" localSheetId="0" hidden="1">1</definedName>
    <definedName name="solver_scl" localSheetId="13" hidden="1">1</definedName>
    <definedName name="solver_scl" localSheetId="12" hidden="1">1</definedName>
    <definedName name="solver_scl" localSheetId="17" hidden="1">1</definedName>
    <definedName name="solver_scl" localSheetId="18" hidden="1">1</definedName>
    <definedName name="solver_scl" localSheetId="16" hidden="1">1</definedName>
    <definedName name="solver_scl" localSheetId="15" hidden="1">1</definedName>
    <definedName name="solver_scl" localSheetId="20" hidden="1">1</definedName>
    <definedName name="solver_scl" localSheetId="27" hidden="1">1</definedName>
    <definedName name="solver_scl" localSheetId="28" hidden="1">1</definedName>
    <definedName name="solver_scl" localSheetId="26" hidden="1">1</definedName>
    <definedName name="solver_scl" localSheetId="25" hidden="1">1</definedName>
    <definedName name="solver_scl" localSheetId="29" hidden="1">2</definedName>
    <definedName name="solver_scl" localSheetId="10" hidden="1">1</definedName>
    <definedName name="solver_scl" localSheetId="14" hidden="1">1</definedName>
    <definedName name="solver_sho" localSheetId="21" hidden="1">2</definedName>
    <definedName name="solver_sho" localSheetId="24" hidden="1">2</definedName>
    <definedName name="solver_sho" localSheetId="23" hidden="1">2</definedName>
    <definedName name="solver_sho" localSheetId="19" hidden="1">2</definedName>
    <definedName name="solver_sho" localSheetId="22" hidden="1">2</definedName>
    <definedName name="solver_sho" localSheetId="9" hidden="1">2</definedName>
    <definedName name="solver_sho" localSheetId="11" hidden="1">2</definedName>
    <definedName name="solver_sho" localSheetId="0" hidden="1">2</definedName>
    <definedName name="solver_sho" localSheetId="13" hidden="1">2</definedName>
    <definedName name="solver_sho" localSheetId="12" hidden="1">2</definedName>
    <definedName name="solver_sho" localSheetId="17" hidden="1">2</definedName>
    <definedName name="solver_sho" localSheetId="18" hidden="1">2</definedName>
    <definedName name="solver_sho" localSheetId="16" hidden="1">2</definedName>
    <definedName name="solver_sho" localSheetId="15" hidden="1">2</definedName>
    <definedName name="solver_sho" localSheetId="20" hidden="1">2</definedName>
    <definedName name="solver_sho" localSheetId="27" hidden="1">2</definedName>
    <definedName name="solver_sho" localSheetId="28" hidden="1">2</definedName>
    <definedName name="solver_sho" localSheetId="26" hidden="1">2</definedName>
    <definedName name="solver_sho" localSheetId="25" hidden="1">2</definedName>
    <definedName name="solver_sho" localSheetId="29" hidden="1">2</definedName>
    <definedName name="solver_sho" localSheetId="10" hidden="1">2</definedName>
    <definedName name="solver_sho" localSheetId="14" hidden="1">2</definedName>
    <definedName name="solver_ssz" localSheetId="21" hidden="1">100</definedName>
    <definedName name="solver_ssz" localSheetId="24" hidden="1">100</definedName>
    <definedName name="solver_ssz" localSheetId="23" hidden="1">100</definedName>
    <definedName name="solver_ssz" localSheetId="19" hidden="1">100</definedName>
    <definedName name="solver_ssz" localSheetId="22" hidden="1">100</definedName>
    <definedName name="solver_ssz" localSheetId="9" hidden="1">100</definedName>
    <definedName name="solver_ssz" localSheetId="11" hidden="1">100</definedName>
    <definedName name="solver_ssz" localSheetId="0" hidden="1">100</definedName>
    <definedName name="solver_ssz" localSheetId="13" hidden="1">100</definedName>
    <definedName name="solver_ssz" localSheetId="12" hidden="1">100</definedName>
    <definedName name="solver_ssz" localSheetId="17" hidden="1">100</definedName>
    <definedName name="solver_ssz" localSheetId="18" hidden="1">100</definedName>
    <definedName name="solver_ssz" localSheetId="16" hidden="1">100</definedName>
    <definedName name="solver_ssz" localSheetId="15" hidden="1">100</definedName>
    <definedName name="solver_ssz" localSheetId="20" hidden="1">100</definedName>
    <definedName name="solver_ssz" localSheetId="27" hidden="1">100</definedName>
    <definedName name="solver_ssz" localSheetId="28" hidden="1">100</definedName>
    <definedName name="solver_ssz" localSheetId="26" hidden="1">100</definedName>
    <definedName name="solver_ssz" localSheetId="25" hidden="1">100</definedName>
    <definedName name="solver_ssz" localSheetId="29" hidden="1">100</definedName>
    <definedName name="solver_ssz" localSheetId="10" hidden="1">100</definedName>
    <definedName name="solver_ssz" localSheetId="14" hidden="1">100</definedName>
    <definedName name="solver_tim" localSheetId="21" hidden="1">2147483647</definedName>
    <definedName name="solver_tim" localSheetId="24" hidden="1">2147483647</definedName>
    <definedName name="solver_tim" localSheetId="23" hidden="1">2147483647</definedName>
    <definedName name="solver_tim" localSheetId="19" hidden="1">2147483647</definedName>
    <definedName name="solver_tim" localSheetId="22" hidden="1">2147483647</definedName>
    <definedName name="solver_tim" localSheetId="9" hidden="1">2147483647</definedName>
    <definedName name="solver_tim" localSheetId="11" hidden="1">2147483647</definedName>
    <definedName name="solver_tim" localSheetId="0" hidden="1">2147483647</definedName>
    <definedName name="solver_tim" localSheetId="13" hidden="1">2147483647</definedName>
    <definedName name="solver_tim" localSheetId="12" hidden="1">2147483647</definedName>
    <definedName name="solver_tim" localSheetId="17" hidden="1">2147483647</definedName>
    <definedName name="solver_tim" localSheetId="18" hidden="1">2147483647</definedName>
    <definedName name="solver_tim" localSheetId="16" hidden="1">2147483647</definedName>
    <definedName name="solver_tim" localSheetId="15" hidden="1">2147483647</definedName>
    <definedName name="solver_tim" localSheetId="20" hidden="1">2147483647</definedName>
    <definedName name="solver_tim" localSheetId="27" hidden="1">2147483647</definedName>
    <definedName name="solver_tim" localSheetId="28" hidden="1">2147483647</definedName>
    <definedName name="solver_tim" localSheetId="26" hidden="1">2147483647</definedName>
    <definedName name="solver_tim" localSheetId="25" hidden="1">2147483647</definedName>
    <definedName name="solver_tim" localSheetId="29" hidden="1">2147483647</definedName>
    <definedName name="solver_tim" localSheetId="10" hidden="1">2147483647</definedName>
    <definedName name="solver_tim" localSheetId="14" hidden="1">2147483647</definedName>
    <definedName name="solver_tol" localSheetId="21" hidden="1">0.01</definedName>
    <definedName name="solver_tol" localSheetId="24" hidden="1">0.01</definedName>
    <definedName name="solver_tol" localSheetId="23" hidden="1">0.01</definedName>
    <definedName name="solver_tol" localSheetId="19" hidden="1">0.01</definedName>
    <definedName name="solver_tol" localSheetId="22" hidden="1">0.01</definedName>
    <definedName name="solver_tol" localSheetId="9" hidden="1">0.01</definedName>
    <definedName name="solver_tol" localSheetId="11" hidden="1">0.01</definedName>
    <definedName name="solver_tol" localSheetId="0" hidden="1">0.01</definedName>
    <definedName name="solver_tol" localSheetId="13" hidden="1">0.01</definedName>
    <definedName name="solver_tol" localSheetId="12" hidden="1">0.01</definedName>
    <definedName name="solver_tol" localSheetId="17" hidden="1">0.01</definedName>
    <definedName name="solver_tol" localSheetId="18" hidden="1">0.01</definedName>
    <definedName name="solver_tol" localSheetId="16" hidden="1">0.01</definedName>
    <definedName name="solver_tol" localSheetId="15" hidden="1">0.01</definedName>
    <definedName name="solver_tol" localSheetId="20" hidden="1">0.01</definedName>
    <definedName name="solver_tol" localSheetId="27" hidden="1">0.01</definedName>
    <definedName name="solver_tol" localSheetId="28" hidden="1">0.01</definedName>
    <definedName name="solver_tol" localSheetId="26" hidden="1">0.01</definedName>
    <definedName name="solver_tol" localSheetId="25" hidden="1">0.01</definedName>
    <definedName name="solver_tol" localSheetId="29" hidden="1">0.01</definedName>
    <definedName name="solver_tol" localSheetId="10" hidden="1">0.01</definedName>
    <definedName name="solver_tol" localSheetId="14" hidden="1">0.01</definedName>
    <definedName name="solver_typ" localSheetId="21" hidden="1">1</definedName>
    <definedName name="solver_typ" localSheetId="24" hidden="1">2</definedName>
    <definedName name="solver_typ" localSheetId="23" hidden="1">1</definedName>
    <definedName name="solver_typ" localSheetId="19" hidden="1">1</definedName>
    <definedName name="solver_typ" localSheetId="22" hidden="1">1</definedName>
    <definedName name="solver_typ" localSheetId="9" hidden="1">1</definedName>
    <definedName name="solver_typ" localSheetId="11" hidden="1">1</definedName>
    <definedName name="solver_typ" localSheetId="0" hidden="1">1</definedName>
    <definedName name="solver_typ" localSheetId="13" hidden="1">1</definedName>
    <definedName name="solver_typ" localSheetId="12" hidden="1">1</definedName>
    <definedName name="solver_typ" localSheetId="17" hidden="1">2</definedName>
    <definedName name="solver_typ" localSheetId="18" hidden="1">1</definedName>
    <definedName name="solver_typ" localSheetId="16" hidden="1">2</definedName>
    <definedName name="solver_typ" localSheetId="15" hidden="1">2</definedName>
    <definedName name="solver_typ" localSheetId="20" hidden="1">1</definedName>
    <definedName name="solver_typ" localSheetId="27" hidden="1">1</definedName>
    <definedName name="solver_typ" localSheetId="28" hidden="1">1</definedName>
    <definedName name="solver_typ" localSheetId="26" hidden="1">1</definedName>
    <definedName name="solver_typ" localSheetId="25" hidden="1">2</definedName>
    <definedName name="solver_typ" localSheetId="29" hidden="1">1</definedName>
    <definedName name="solver_typ" localSheetId="10" hidden="1">1</definedName>
    <definedName name="solver_typ" localSheetId="14" hidden="1">1</definedName>
    <definedName name="solver_typ" localSheetId="30" hidden="1">1</definedName>
    <definedName name="solver_val" localSheetId="21" hidden="1">0</definedName>
    <definedName name="solver_val" localSheetId="24" hidden="1">0</definedName>
    <definedName name="solver_val" localSheetId="23" hidden="1">0</definedName>
    <definedName name="solver_val" localSheetId="19" hidden="1">0</definedName>
    <definedName name="solver_val" localSheetId="22" hidden="1">0</definedName>
    <definedName name="solver_val" localSheetId="9" hidden="1">0</definedName>
    <definedName name="solver_val" localSheetId="11" hidden="1">0</definedName>
    <definedName name="solver_val" localSheetId="0" hidden="1">0</definedName>
    <definedName name="solver_val" localSheetId="13" hidden="1">0</definedName>
    <definedName name="solver_val" localSheetId="12" hidden="1">0</definedName>
    <definedName name="solver_val" localSheetId="17" hidden="1">0</definedName>
    <definedName name="solver_val" localSheetId="18" hidden="1">0</definedName>
    <definedName name="solver_val" localSheetId="16" hidden="1">0</definedName>
    <definedName name="solver_val" localSheetId="15" hidden="1">0</definedName>
    <definedName name="solver_val" localSheetId="20" hidden="1">0</definedName>
    <definedName name="solver_val" localSheetId="27" hidden="1">0</definedName>
    <definedName name="solver_val" localSheetId="28" hidden="1">0</definedName>
    <definedName name="solver_val" localSheetId="26" hidden="1">0</definedName>
    <definedName name="solver_val" localSheetId="25" hidden="1">0</definedName>
    <definedName name="solver_val" localSheetId="29" hidden="1">0</definedName>
    <definedName name="solver_val" localSheetId="10" hidden="1">0</definedName>
    <definedName name="solver_val" localSheetId="14" hidden="1">0</definedName>
    <definedName name="solver_val" localSheetId="30" hidden="1">0</definedName>
    <definedName name="solver_ver" localSheetId="21" hidden="1">3</definedName>
    <definedName name="solver_ver" localSheetId="24" hidden="1">3</definedName>
    <definedName name="solver_ver" localSheetId="23" hidden="1">3</definedName>
    <definedName name="solver_ver" localSheetId="19" hidden="1">3</definedName>
    <definedName name="solver_ver" localSheetId="22" hidden="1">3</definedName>
    <definedName name="solver_ver" localSheetId="9" hidden="1">3</definedName>
    <definedName name="solver_ver" localSheetId="11" hidden="1">3</definedName>
    <definedName name="solver_ver" localSheetId="0" hidden="1">3</definedName>
    <definedName name="solver_ver" localSheetId="13" hidden="1">3</definedName>
    <definedName name="solver_ver" localSheetId="12" hidden="1">3</definedName>
    <definedName name="solver_ver" localSheetId="17" hidden="1">3</definedName>
    <definedName name="solver_ver" localSheetId="18" hidden="1">3</definedName>
    <definedName name="solver_ver" localSheetId="16" hidden="1">3</definedName>
    <definedName name="solver_ver" localSheetId="15" hidden="1">3</definedName>
    <definedName name="solver_ver" localSheetId="20" hidden="1">3</definedName>
    <definedName name="solver_ver" localSheetId="27" hidden="1">3</definedName>
    <definedName name="solver_ver" localSheetId="28" hidden="1">3</definedName>
    <definedName name="solver_ver" localSheetId="26" hidden="1">3</definedName>
    <definedName name="solver_ver" localSheetId="25" hidden="1">3</definedName>
    <definedName name="solver_ver" localSheetId="29" hidden="1">3</definedName>
    <definedName name="solver_ver" localSheetId="10" hidden="1">3</definedName>
    <definedName name="solver_ver" localSheetId="14" hidden="1">3</definedName>
    <definedName name="solver_ver" localSheetId="3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3" i="33" l="1"/>
  <c r="I83" i="33"/>
  <c r="H83" i="33"/>
  <c r="G83" i="33"/>
  <c r="F83" i="33"/>
  <c r="E83" i="33"/>
  <c r="D83" i="33"/>
  <c r="C83" i="33"/>
  <c r="M82" i="33"/>
  <c r="K82" i="33"/>
  <c r="M81" i="33"/>
  <c r="K81" i="33"/>
  <c r="M80" i="33"/>
  <c r="K80" i="33"/>
  <c r="M79" i="33"/>
  <c r="K79" i="33"/>
  <c r="M78" i="33"/>
  <c r="K78" i="33"/>
  <c r="M77" i="33"/>
  <c r="K77" i="33"/>
  <c r="M76" i="33"/>
  <c r="K76" i="33"/>
  <c r="M75" i="33"/>
  <c r="K75" i="33"/>
  <c r="M74" i="33"/>
  <c r="K74" i="33"/>
  <c r="M73" i="33"/>
  <c r="K73" i="33"/>
  <c r="M72" i="33"/>
  <c r="K72" i="33"/>
  <c r="M71" i="33"/>
  <c r="K71" i="33"/>
  <c r="L34" i="33"/>
  <c r="J34" i="33"/>
  <c r="H34" i="33"/>
  <c r="I34" i="33" s="1"/>
  <c r="F34" i="33"/>
  <c r="E34" i="33"/>
  <c r="D34" i="33"/>
  <c r="G34" i="33" s="1"/>
  <c r="L33" i="33"/>
  <c r="H33" i="33"/>
  <c r="I33" i="33" s="1"/>
  <c r="J33" i="33" s="1"/>
  <c r="F33" i="33"/>
  <c r="E33" i="33"/>
  <c r="D33" i="33"/>
  <c r="G33" i="33" s="1"/>
  <c r="L32" i="33"/>
  <c r="J32" i="33"/>
  <c r="H32" i="33"/>
  <c r="I32" i="33" s="1"/>
  <c r="F32" i="33"/>
  <c r="F35" i="33" s="1"/>
  <c r="Q28" i="33" s="1"/>
  <c r="E32" i="33"/>
  <c r="E35" i="33" s="1"/>
  <c r="P28" i="33" s="1"/>
  <c r="D32" i="33"/>
  <c r="G32" i="33" s="1"/>
  <c r="D30" i="33"/>
  <c r="L29" i="33"/>
  <c r="H29" i="33"/>
  <c r="I29" i="33" s="1"/>
  <c r="J29" i="33" s="1"/>
  <c r="F29" i="33"/>
  <c r="E29" i="33"/>
  <c r="D29" i="33"/>
  <c r="G29" i="33" s="1"/>
  <c r="L28" i="33"/>
  <c r="H28" i="33"/>
  <c r="I28" i="33" s="1"/>
  <c r="J28" i="33" s="1"/>
  <c r="G28" i="33"/>
  <c r="F28" i="33"/>
  <c r="E28" i="33"/>
  <c r="D28" i="33"/>
  <c r="L27" i="33"/>
  <c r="H27" i="33"/>
  <c r="I27" i="33" s="1"/>
  <c r="J27" i="33" s="1"/>
  <c r="F27" i="33"/>
  <c r="G27" i="33" s="1"/>
  <c r="E27" i="33"/>
  <c r="D27" i="33"/>
  <c r="L26" i="33"/>
  <c r="I26" i="33"/>
  <c r="J26" i="33" s="1"/>
  <c r="H26" i="33"/>
  <c r="F26" i="33"/>
  <c r="F30" i="33" s="1"/>
  <c r="Q27" i="33" s="1"/>
  <c r="E26" i="33"/>
  <c r="G26" i="33" s="1"/>
  <c r="D26" i="33"/>
  <c r="L23" i="33"/>
  <c r="I23" i="33"/>
  <c r="J23" i="33" s="1"/>
  <c r="H23" i="33"/>
  <c r="F23" i="33"/>
  <c r="E23" i="33"/>
  <c r="G23" i="33" s="1"/>
  <c r="D23" i="33"/>
  <c r="L22" i="33"/>
  <c r="I22" i="33"/>
  <c r="J22" i="33" s="1"/>
  <c r="H22" i="33"/>
  <c r="F22" i="33"/>
  <c r="E22" i="33"/>
  <c r="G22" i="33" s="1"/>
  <c r="D22" i="33"/>
  <c r="L21" i="33"/>
  <c r="J21" i="33"/>
  <c r="I21" i="33"/>
  <c r="H21" i="33"/>
  <c r="F21" i="33"/>
  <c r="E21" i="33"/>
  <c r="E24" i="33" s="1"/>
  <c r="P26" i="33" s="1"/>
  <c r="D21" i="33"/>
  <c r="L20" i="33"/>
  <c r="H20" i="33"/>
  <c r="I20" i="33" s="1"/>
  <c r="J20" i="33" s="1"/>
  <c r="F20" i="33"/>
  <c r="G20" i="33" s="1"/>
  <c r="E20" i="33"/>
  <c r="D20" i="33"/>
  <c r="L19" i="33"/>
  <c r="J19" i="33"/>
  <c r="H19" i="33"/>
  <c r="I19" i="33" s="1"/>
  <c r="F19" i="33"/>
  <c r="F38" i="33" s="1"/>
  <c r="N12" i="33" s="1"/>
  <c r="E19" i="33"/>
  <c r="D19" i="33"/>
  <c r="D24" i="33" s="1"/>
  <c r="N17" i="33"/>
  <c r="N18" i="33" s="1"/>
  <c r="N16" i="33"/>
  <c r="N15" i="33"/>
  <c r="B5" i="30"/>
  <c r="B14" i="30" s="1"/>
  <c r="D11" i="29"/>
  <c r="D10" i="29"/>
  <c r="B7" i="29"/>
  <c r="B5" i="28"/>
  <c r="B14" i="28" s="1"/>
  <c r="C18" i="28"/>
  <c r="B10" i="28"/>
  <c r="B11" i="28" s="1"/>
  <c r="C5" i="27"/>
  <c r="D12" i="27"/>
  <c r="B5" i="27"/>
  <c r="B9" i="27" s="1"/>
  <c r="D14" i="26"/>
  <c r="D13" i="26"/>
  <c r="D5" i="26"/>
  <c r="C5" i="26"/>
  <c r="B5" i="26"/>
  <c r="H10" i="25"/>
  <c r="H11" i="25"/>
  <c r="H12" i="25"/>
  <c r="H13" i="25"/>
  <c r="H14" i="25"/>
  <c r="H15" i="25"/>
  <c r="H9" i="25"/>
  <c r="B5" i="25"/>
  <c r="I12" i="24"/>
  <c r="I13" i="24"/>
  <c r="I14" i="24"/>
  <c r="I11" i="24"/>
  <c r="B8" i="24"/>
  <c r="D13" i="23"/>
  <c r="D12" i="23"/>
  <c r="D11" i="23"/>
  <c r="B8" i="23"/>
  <c r="D13" i="22"/>
  <c r="D12" i="22"/>
  <c r="D11" i="22"/>
  <c r="D10" i="22"/>
  <c r="B7" i="22"/>
  <c r="D12" i="21"/>
  <c r="D11" i="21"/>
  <c r="D10" i="21"/>
  <c r="B7" i="21"/>
  <c r="B21" i="20"/>
  <c r="E16" i="20"/>
  <c r="D16" i="20"/>
  <c r="C16" i="20"/>
  <c r="B16" i="20"/>
  <c r="F15" i="20"/>
  <c r="F14" i="20"/>
  <c r="F13" i="20"/>
  <c r="F12" i="20"/>
  <c r="B21" i="19"/>
  <c r="C16" i="19"/>
  <c r="D16" i="19"/>
  <c r="E16" i="19"/>
  <c r="B16" i="19"/>
  <c r="F13" i="19"/>
  <c r="F14" i="19"/>
  <c r="F15" i="19"/>
  <c r="F12" i="19"/>
  <c r="B19" i="18"/>
  <c r="C14" i="18"/>
  <c r="D14" i="18"/>
  <c r="E14" i="18"/>
  <c r="B14" i="18"/>
  <c r="F12" i="18"/>
  <c r="F13" i="18"/>
  <c r="F11" i="18"/>
  <c r="Q26" i="16"/>
  <c r="Q27" i="16"/>
  <c r="Q28" i="16"/>
  <c r="Q29" i="16"/>
  <c r="Q30" i="16"/>
  <c r="Q24" i="16"/>
  <c r="Q25" i="16"/>
  <c r="Q23" i="16"/>
  <c r="B20" i="16"/>
  <c r="E18" i="15"/>
  <c r="E17" i="15"/>
  <c r="E14" i="15"/>
  <c r="E15" i="15"/>
  <c r="E16" i="15"/>
  <c r="E13" i="15"/>
  <c r="B8" i="15"/>
  <c r="B8" i="14"/>
  <c r="G16" i="14"/>
  <c r="I15" i="14"/>
  <c r="G14" i="14"/>
  <c r="G15" i="14"/>
  <c r="I14" i="14"/>
  <c r="G13" i="14"/>
  <c r="D17" i="13"/>
  <c r="D16" i="13"/>
  <c r="D15" i="13"/>
  <c r="B10" i="13"/>
  <c r="D17" i="12"/>
  <c r="D16" i="12"/>
  <c r="D15" i="12"/>
  <c r="B10" i="12"/>
  <c r="D10" i="11"/>
  <c r="D19" i="11"/>
  <c r="D18" i="11"/>
  <c r="D9" i="11"/>
  <c r="D8" i="11"/>
  <c r="D6" i="11"/>
  <c r="D17" i="11"/>
  <c r="N74" i="33"/>
  <c r="N81" i="33"/>
  <c r="N75" i="33"/>
  <c r="C11" i="30"/>
  <c r="C15" i="28"/>
  <c r="B6" i="27"/>
  <c r="K15" i="25"/>
  <c r="G11" i="22"/>
  <c r="E11" i="11"/>
  <c r="D6" i="26"/>
  <c r="C20" i="16"/>
  <c r="C6" i="26"/>
  <c r="K12" i="25"/>
  <c r="C7" i="22"/>
  <c r="C21" i="20"/>
  <c r="D9" i="27"/>
  <c r="N77" i="33"/>
  <c r="N71" i="33"/>
  <c r="B6" i="30"/>
  <c r="C10" i="28"/>
  <c r="K9" i="25"/>
  <c r="C21" i="19"/>
  <c r="K13" i="25"/>
  <c r="C7" i="21"/>
  <c r="N80" i="33"/>
  <c r="N82" i="33"/>
  <c r="N76" i="33"/>
  <c r="N73" i="33"/>
  <c r="C10" i="30"/>
  <c r="C14" i="30"/>
  <c r="C11" i="28"/>
  <c r="G11" i="23"/>
  <c r="C10" i="26"/>
  <c r="K10" i="25"/>
  <c r="G17" i="11"/>
  <c r="L13" i="24"/>
  <c r="G13" i="23"/>
  <c r="G10" i="21"/>
  <c r="K16" i="25"/>
  <c r="C8" i="24"/>
  <c r="G12" i="23"/>
  <c r="G18" i="11"/>
  <c r="G11" i="21"/>
  <c r="N78" i="33"/>
  <c r="N72" i="33"/>
  <c r="N79" i="33"/>
  <c r="C15" i="30"/>
  <c r="B6" i="28"/>
  <c r="C14" i="28"/>
  <c r="E6" i="11"/>
  <c r="K11" i="25"/>
  <c r="G12" i="22"/>
  <c r="G19" i="11"/>
  <c r="L11" i="24"/>
  <c r="C6" i="27"/>
  <c r="L12" i="24"/>
  <c r="G12" i="21"/>
  <c r="C8" i="23"/>
  <c r="G16" i="11"/>
  <c r="B6" i="26"/>
  <c r="G10" i="22"/>
  <c r="Q21" i="16"/>
  <c r="K14" i="25"/>
  <c r="I38" i="33" l="1"/>
  <c r="O26" i="33"/>
  <c r="G24" i="33"/>
  <c r="G44" i="33"/>
  <c r="D35" i="33"/>
  <c r="D38" i="33"/>
  <c r="N14" i="33"/>
  <c r="G19" i="33"/>
  <c r="F24" i="33"/>
  <c r="Q26" i="33" s="1"/>
  <c r="E30" i="33"/>
  <c r="P27" i="33" s="1"/>
  <c r="E38" i="33"/>
  <c r="N11" i="33" s="1"/>
  <c r="G21" i="33"/>
  <c r="O27" i="33"/>
  <c r="F44" i="33"/>
  <c r="E44" i="33"/>
  <c r="B10" i="30"/>
  <c r="B11" i="30" s="1"/>
  <c r="B15" i="30" s="1"/>
  <c r="C18" i="30"/>
  <c r="B15" i="28"/>
  <c r="B10" i="26"/>
  <c r="D7" i="11"/>
  <c r="D11" i="11" s="1"/>
  <c r="D16" i="11"/>
  <c r="D13" i="10"/>
  <c r="D12" i="10"/>
  <c r="B7" i="10"/>
  <c r="D14" i="9"/>
  <c r="D13" i="9"/>
  <c r="D12" i="9"/>
  <c r="B6" i="9"/>
  <c r="D11" i="9"/>
  <c r="B8" i="8"/>
  <c r="B9" i="8" s="1"/>
  <c r="B10" i="8" s="1"/>
  <c r="B11" i="8" s="1"/>
  <c r="D11" i="8" s="1"/>
  <c r="D7" i="8"/>
  <c r="F7" i="8" s="1"/>
  <c r="B24" i="7"/>
  <c r="G4" i="7"/>
  <c r="G5" i="7"/>
  <c r="G6" i="7"/>
  <c r="G3" i="7"/>
  <c r="E35" i="7"/>
  <c r="E3" i="7"/>
  <c r="F3" i="7" s="1"/>
  <c r="E4" i="7"/>
  <c r="F4" i="7" s="1"/>
  <c r="E5" i="7"/>
  <c r="F5" i="7" s="1"/>
  <c r="E6" i="7"/>
  <c r="F6" i="7" s="1"/>
  <c r="E7" i="7"/>
  <c r="F7" i="7" s="1"/>
  <c r="E8" i="7"/>
  <c r="F8" i="7" s="1"/>
  <c r="E9" i="7"/>
  <c r="F9" i="7" s="1"/>
  <c r="E10" i="7"/>
  <c r="F10" i="7" s="1"/>
  <c r="E11" i="7"/>
  <c r="F11" i="7" s="1"/>
  <c r="E12" i="7"/>
  <c r="F12" i="7" s="1"/>
  <c r="E13" i="7"/>
  <c r="F13" i="7" s="1"/>
  <c r="E14" i="7"/>
  <c r="F14" i="7" s="1"/>
  <c r="E15" i="7"/>
  <c r="F15" i="7" s="1"/>
  <c r="E16" i="7"/>
  <c r="F16" i="7" s="1"/>
  <c r="E17" i="7"/>
  <c r="F17" i="7" s="1"/>
  <c r="E18" i="7"/>
  <c r="F18" i="7" s="1"/>
  <c r="E19" i="7"/>
  <c r="F19" i="7" s="1"/>
  <c r="E20" i="7"/>
  <c r="F20" i="7" s="1"/>
  <c r="E21" i="7"/>
  <c r="K23" i="7" s="1"/>
  <c r="E2" i="7"/>
  <c r="F2" i="7" s="1"/>
  <c r="D4" i="7"/>
  <c r="D5" i="7"/>
  <c r="D6" i="7"/>
  <c r="D7" i="7"/>
  <c r="D8" i="7"/>
  <c r="D9" i="7"/>
  <c r="D10" i="7"/>
  <c r="D11" i="7"/>
  <c r="D12" i="7"/>
  <c r="D13" i="7"/>
  <c r="D14" i="7"/>
  <c r="D15" i="7"/>
  <c r="D16" i="7"/>
  <c r="D17" i="7"/>
  <c r="D18" i="7"/>
  <c r="D19" i="7"/>
  <c r="D20" i="7"/>
  <c r="D21" i="7"/>
  <c r="D3" i="7"/>
  <c r="B38" i="5"/>
  <c r="B39" i="5" s="1"/>
  <c r="B41" i="5" s="1"/>
  <c r="F4" i="6"/>
  <c r="F5" i="6" s="1"/>
  <c r="F6" i="6" s="1"/>
  <c r="F7" i="6" s="1"/>
  <c r="F8" i="6" s="1"/>
  <c r="F9" i="6" s="1"/>
  <c r="F10" i="6" s="1"/>
  <c r="F11" i="6" s="1"/>
  <c r="F12" i="6" s="1"/>
  <c r="F13" i="6" s="1"/>
  <c r="F14" i="6" s="1"/>
  <c r="F15" i="6" s="1"/>
  <c r="F16" i="6" s="1"/>
  <c r="F17" i="6" s="1"/>
  <c r="F18" i="6" s="1"/>
  <c r="F19" i="6" s="1"/>
  <c r="F20" i="6" s="1"/>
  <c r="F21" i="6" s="1"/>
  <c r="F22" i="6" s="1"/>
  <c r="F23" i="6" s="1"/>
  <c r="F25" i="5"/>
  <c r="F29" i="5"/>
  <c r="F33" i="5"/>
  <c r="D23" i="5"/>
  <c r="H23" i="5" s="1"/>
  <c r="D24" i="5"/>
  <c r="H24" i="5" s="1"/>
  <c r="D25" i="5"/>
  <c r="H25" i="5" s="1"/>
  <c r="D26" i="5"/>
  <c r="H26" i="5" s="1"/>
  <c r="D27" i="5"/>
  <c r="H27" i="5" s="1"/>
  <c r="D28" i="5"/>
  <c r="H28" i="5" s="1"/>
  <c r="D29" i="5"/>
  <c r="H29" i="5" s="1"/>
  <c r="D30" i="5"/>
  <c r="H30" i="5" s="1"/>
  <c r="D31" i="5"/>
  <c r="H31" i="5" s="1"/>
  <c r="D32" i="5"/>
  <c r="H32" i="5" s="1"/>
  <c r="D33" i="5"/>
  <c r="H33" i="5" s="1"/>
  <c r="D22" i="5"/>
  <c r="H22" i="5" s="1"/>
  <c r="C23" i="5"/>
  <c r="G23" i="5" s="1"/>
  <c r="C24" i="5"/>
  <c r="G24" i="5" s="1"/>
  <c r="C25" i="5"/>
  <c r="G25" i="5" s="1"/>
  <c r="C26" i="5"/>
  <c r="G26" i="5" s="1"/>
  <c r="C27" i="5"/>
  <c r="G27" i="5" s="1"/>
  <c r="C28" i="5"/>
  <c r="G28" i="5" s="1"/>
  <c r="C29" i="5"/>
  <c r="G29" i="5" s="1"/>
  <c r="C30" i="5"/>
  <c r="G30" i="5" s="1"/>
  <c r="C31" i="5"/>
  <c r="G31" i="5" s="1"/>
  <c r="C32" i="5"/>
  <c r="G32" i="5" s="1"/>
  <c r="C33" i="5"/>
  <c r="G33" i="5" s="1"/>
  <c r="C22" i="5"/>
  <c r="G22" i="5" s="1"/>
  <c r="B23" i="5"/>
  <c r="F23" i="5" s="1"/>
  <c r="B24" i="5"/>
  <c r="F24" i="5" s="1"/>
  <c r="B25" i="5"/>
  <c r="B26" i="5"/>
  <c r="F26" i="5" s="1"/>
  <c r="B27" i="5"/>
  <c r="F27" i="5" s="1"/>
  <c r="B28" i="5"/>
  <c r="F28" i="5" s="1"/>
  <c r="B29" i="5"/>
  <c r="B30" i="5"/>
  <c r="F30" i="5" s="1"/>
  <c r="B31" i="5"/>
  <c r="F31" i="5" s="1"/>
  <c r="B32" i="5"/>
  <c r="F32" i="5" s="1"/>
  <c r="B33" i="5"/>
  <c r="B22" i="5"/>
  <c r="F22" i="5" s="1"/>
  <c r="F34" i="5" s="1"/>
  <c r="B12" i="4"/>
  <c r="B10" i="4"/>
  <c r="B9" i="4"/>
  <c r="B13" i="4" s="1"/>
  <c r="B16" i="3"/>
  <c r="B19" i="3" s="1"/>
  <c r="F20" i="2"/>
  <c r="F21" i="2"/>
  <c r="F22" i="2"/>
  <c r="F23" i="2"/>
  <c r="F19" i="2"/>
  <c r="E20" i="2"/>
  <c r="E21" i="2"/>
  <c r="E22" i="2"/>
  <c r="E23" i="2"/>
  <c r="E19" i="2"/>
  <c r="D21" i="2"/>
  <c r="D22" i="2" s="1"/>
  <c r="D23" i="2" s="1"/>
  <c r="D20" i="2"/>
  <c r="C21" i="2"/>
  <c r="C22" i="2" s="1"/>
  <c r="C23" i="2" s="1"/>
  <c r="C20" i="2"/>
  <c r="B21" i="2"/>
  <c r="B22" i="2" s="1"/>
  <c r="B23" i="2" s="1"/>
  <c r="B20" i="2"/>
  <c r="D19" i="2"/>
  <c r="C19" i="2"/>
  <c r="B19" i="2"/>
  <c r="C13" i="2"/>
  <c r="B13" i="2"/>
  <c r="C8" i="2"/>
  <c r="B8" i="2"/>
  <c r="B15" i="1"/>
  <c r="B18" i="1"/>
  <c r="G13" i="6"/>
  <c r="G9" i="8"/>
  <c r="D43" i="5"/>
  <c r="C12" i="4"/>
  <c r="G23" i="6"/>
  <c r="G5" i="6"/>
  <c r="C20" i="3"/>
  <c r="G6" i="6"/>
  <c r="C11" i="3"/>
  <c r="G16" i="6"/>
  <c r="G9" i="6"/>
  <c r="G10" i="8"/>
  <c r="G8" i="6"/>
  <c r="G22" i="7"/>
  <c r="D38" i="5"/>
  <c r="C11" i="6"/>
  <c r="G13" i="9"/>
  <c r="C9" i="4"/>
  <c r="G11" i="9"/>
  <c r="G14" i="6"/>
  <c r="G10" i="6"/>
  <c r="G11" i="8"/>
  <c r="G20" i="6"/>
  <c r="D41" i="5"/>
  <c r="G22" i="6"/>
  <c r="D42" i="5"/>
  <c r="G21" i="6"/>
  <c r="G12" i="6"/>
  <c r="G7" i="6"/>
  <c r="C16" i="3"/>
  <c r="G4" i="6"/>
  <c r="G7" i="8"/>
  <c r="G14" i="9"/>
  <c r="C12" i="3"/>
  <c r="G12" i="9"/>
  <c r="G18" i="6"/>
  <c r="C10" i="4"/>
  <c r="C19" i="3"/>
  <c r="G15" i="6"/>
  <c r="G8" i="8"/>
  <c r="G19" i="6"/>
  <c r="G11" i="6"/>
  <c r="E22" i="7"/>
  <c r="G17" i="6"/>
  <c r="D39" i="5"/>
  <c r="C14" i="4"/>
  <c r="G35" i="33" l="1"/>
  <c r="O28" i="33"/>
  <c r="G38" i="33"/>
  <c r="N13" i="33" s="1"/>
  <c r="N10" i="33"/>
  <c r="N20" i="33" s="1"/>
  <c r="G30" i="33"/>
  <c r="F11" i="8"/>
  <c r="E11" i="8"/>
  <c r="D10" i="8"/>
  <c r="D9" i="8"/>
  <c r="D8" i="8"/>
  <c r="E7" i="8"/>
  <c r="H7" i="8" s="1"/>
  <c r="I7" i="8" s="1"/>
  <c r="D22" i="7"/>
  <c r="F21" i="7"/>
  <c r="F22" i="7" s="1"/>
  <c r="B11" i="6"/>
  <c r="B13" i="6" s="1"/>
  <c r="G34" i="5"/>
  <c r="B42" i="5"/>
  <c r="B43" i="5" s="1"/>
  <c r="H38" i="5" s="1"/>
  <c r="H34" i="5"/>
  <c r="B14" i="4"/>
  <c r="B20" i="4" s="1"/>
  <c r="B11" i="3"/>
  <c r="B12" i="3" s="1"/>
  <c r="B20" i="3" s="1"/>
  <c r="E3" i="3" s="1"/>
  <c r="B16" i="1"/>
  <c r="B19" i="1" s="1"/>
  <c r="B20" i="1" s="1"/>
  <c r="B4" i="8" l="1"/>
  <c r="D13" i="8" s="1"/>
  <c r="E13" i="8" s="1"/>
  <c r="H13" i="8" s="1"/>
  <c r="I13" i="8" s="1"/>
  <c r="D12" i="8"/>
  <c r="E12" i="8" s="1"/>
  <c r="H11" i="8"/>
  <c r="I11" i="8" s="1"/>
  <c r="E9" i="8"/>
  <c r="F9" i="8"/>
  <c r="F10" i="8"/>
  <c r="E10" i="8"/>
  <c r="E8" i="8"/>
  <c r="F8" i="8"/>
  <c r="F37" i="5"/>
  <c r="F12" i="8" l="1"/>
  <c r="H10" i="8"/>
  <c r="I10" i="8" s="1"/>
  <c r="H8" i="8"/>
  <c r="H9" i="8"/>
  <c r="I9" i="8" s="1"/>
  <c r="I8" i="8" l="1"/>
  <c r="I12" i="8" s="1"/>
  <c r="H1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18" authorId="0" shapeId="0" xr:uid="{09C4B9E1-B2F6-4779-B318-C7506E871771}">
      <text>
        <r>
          <rPr>
            <b/>
            <sz val="9"/>
            <rFont val="Tahoma"/>
            <family val="2"/>
          </rPr>
          <t xml:space="preserve">Based on Adjusted ROI; not based on % partnership
</t>
        </r>
        <r>
          <rPr>
            <sz val="9"/>
            <rFont val="Tahoma"/>
            <family val="2"/>
          </rPr>
          <t xml:space="preserve">
</t>
        </r>
      </text>
    </comment>
  </commentList>
</comments>
</file>

<file path=xl/sharedStrings.xml><?xml version="1.0" encoding="utf-8"?>
<sst xmlns="http://schemas.openxmlformats.org/spreadsheetml/2006/main" count="913" uniqueCount="467">
  <si>
    <t>Fixed cost</t>
  </si>
  <si>
    <t>Variable cost</t>
  </si>
  <si>
    <t>Cost</t>
  </si>
  <si>
    <t>Full price</t>
  </si>
  <si>
    <t>Reduced Price</t>
  </si>
  <si>
    <t>Given</t>
  </si>
  <si>
    <t>NCAA T-SHIRT VENDOR</t>
  </si>
  <si>
    <t>per t-shirt</t>
  </si>
  <si>
    <t>Revenue</t>
  </si>
  <si>
    <t>No of T-shirt Ordered</t>
  </si>
  <si>
    <t>Demand</t>
  </si>
  <si>
    <t>No of Tshirt Sold (Reduced)</t>
  </si>
  <si>
    <t>No of T-shirt Sold (Full)</t>
  </si>
  <si>
    <t>MAX(B13-B15),0)</t>
  </si>
  <si>
    <t>Total Cost</t>
  </si>
  <si>
    <t>Total Revenue</t>
  </si>
  <si>
    <t>Total Profit</t>
  </si>
  <si>
    <t>B13*B6+B5</t>
  </si>
  <si>
    <t>B15*B9+B16*B10</t>
  </si>
  <si>
    <t>FORMULAS</t>
  </si>
  <si>
    <t>MIN(B13:B14)</t>
  </si>
  <si>
    <t>Sales</t>
  </si>
  <si>
    <t>Cherry</t>
  </si>
  <si>
    <t>Oak</t>
  </si>
  <si>
    <t xml:space="preserve">Cherry </t>
  </si>
  <si>
    <t>Unit Cost</t>
  </si>
  <si>
    <t>Labour</t>
  </si>
  <si>
    <t>Material</t>
  </si>
  <si>
    <t xml:space="preserve">Total </t>
  </si>
  <si>
    <t>Hours per Bookshelf</t>
  </si>
  <si>
    <t xml:space="preserve"> Qty per Bookshelf</t>
  </si>
  <si>
    <t>Wages per Hour</t>
  </si>
  <si>
    <t>Total Labour Cost</t>
  </si>
  <si>
    <t xml:space="preserve">Inflation </t>
  </si>
  <si>
    <t>Increament Rate</t>
  </si>
  <si>
    <t>Years</t>
  </si>
  <si>
    <t xml:space="preserve">Total Cherry </t>
  </si>
  <si>
    <t>Total Oak</t>
  </si>
  <si>
    <t>WOODWORKS BOOKSHELF CO.</t>
  </si>
  <si>
    <t>Fixed Cost Printing</t>
  </si>
  <si>
    <t xml:space="preserve">Variable </t>
  </si>
  <si>
    <t>Printing</t>
  </si>
  <si>
    <t>Mailing</t>
  </si>
  <si>
    <t>Reply envelopes</t>
  </si>
  <si>
    <t>Average Customer order</t>
  </si>
  <si>
    <t>Labor &amp; Material</t>
  </si>
  <si>
    <t>Projected Mail</t>
  </si>
  <si>
    <t>per catalogs</t>
  </si>
  <si>
    <t>per respondent</t>
  </si>
  <si>
    <t>per order</t>
  </si>
  <si>
    <t>Response Rate</t>
  </si>
  <si>
    <t>Total Order</t>
  </si>
  <si>
    <t>Total Variable Cost</t>
  </si>
  <si>
    <t>Profit</t>
  </si>
  <si>
    <t>Factors</t>
  </si>
  <si>
    <t>Inputs</t>
  </si>
  <si>
    <t>QUALITY SWEATER COMPANY</t>
  </si>
  <si>
    <t>Data Table</t>
  </si>
  <si>
    <t>Description/Formula</t>
  </si>
  <si>
    <t>&lt;-dummy value</t>
  </si>
  <si>
    <t>B &amp; N  BOOKSTORE</t>
  </si>
  <si>
    <t>Order</t>
  </si>
  <si>
    <t>Cost Price</t>
  </si>
  <si>
    <t>at least Order</t>
  </si>
  <si>
    <t>Regular Price</t>
  </si>
  <si>
    <t>Sales Price</t>
  </si>
  <si>
    <t>Surplus</t>
  </si>
  <si>
    <t>(500-4500)</t>
  </si>
  <si>
    <t>Way #2</t>
  </si>
  <si>
    <t xml:space="preserve">Purchasing </t>
  </si>
  <si>
    <t>DEMAND</t>
  </si>
  <si>
    <t>ORDER</t>
  </si>
  <si>
    <t>Price</t>
  </si>
  <si>
    <t>Demand (00s)</t>
  </si>
  <si>
    <t>S/N</t>
  </si>
  <si>
    <t>Linear</t>
  </si>
  <si>
    <t>Intercept (b)</t>
  </si>
  <si>
    <t>Slope (m)</t>
  </si>
  <si>
    <t>Constant a:</t>
  </si>
  <si>
    <t>Exponent b:</t>
  </si>
  <si>
    <t>Linear: y =mx +b</t>
  </si>
  <si>
    <t>Exponential: y=ae^(bx)</t>
  </si>
  <si>
    <t>Prediction Based on Models</t>
  </si>
  <si>
    <t>Power</t>
  </si>
  <si>
    <t>Exponential</t>
  </si>
  <si>
    <t>Demand (00)s)</t>
  </si>
  <si>
    <t>Absolute Percent Error</t>
  </si>
  <si>
    <t>Average</t>
  </si>
  <si>
    <t>&lt;- Use the Model with least % error</t>
  </si>
  <si>
    <t>Model the Business</t>
  </si>
  <si>
    <t>Sale price:</t>
  </si>
  <si>
    <t>Unit Cost:</t>
  </si>
  <si>
    <t>per set of clubs</t>
  </si>
  <si>
    <t>&lt;- multiple of 10</t>
  </si>
  <si>
    <t>Power: y=ax^b</t>
  </si>
  <si>
    <t>actual Demand</t>
  </si>
  <si>
    <t>Cost :</t>
  </si>
  <si>
    <t>Profit:</t>
  </si>
  <si>
    <t>&lt;-from power model</t>
  </si>
  <si>
    <t>a.) Sell at price of $530 for a profit of $1,042,213</t>
  </si>
  <si>
    <t>Unit cost</t>
  </si>
  <si>
    <t>Development Cost</t>
  </si>
  <si>
    <t>Lifetime</t>
  </si>
  <si>
    <t>Year 1 Margin</t>
  </si>
  <si>
    <t>Annual Increament Rate</t>
  </si>
  <si>
    <t>Annual Decreament Rate</t>
  </si>
  <si>
    <t>Discount Rate</t>
  </si>
  <si>
    <t>millions</t>
  </si>
  <si>
    <t>years</t>
  </si>
  <si>
    <t>Cash Flow</t>
  </si>
  <si>
    <t>End of Year</t>
  </si>
  <si>
    <t>Gross Margin ($M)</t>
  </si>
  <si>
    <t>Incr through year:</t>
  </si>
  <si>
    <t>True (NPV)</t>
  </si>
  <si>
    <t>(NPV) Net Present Value</t>
  </si>
  <si>
    <t>Gopher: Drugs</t>
  </si>
  <si>
    <t>Year</t>
  </si>
  <si>
    <t>Average of Seasonally Adjusted Sales (USD)</t>
  </si>
  <si>
    <t>% growth rate</t>
  </si>
  <si>
    <t>AVG growth rate (%)</t>
  </si>
  <si>
    <t>Absolute % error</t>
  </si>
  <si>
    <t>MAPE</t>
  </si>
  <si>
    <t>Predicted Sales</t>
  </si>
  <si>
    <t>Predicted sales</t>
  </si>
  <si>
    <t>Profit ($)</t>
  </si>
  <si>
    <t>Discount rate(Yr 1-5)</t>
  </si>
  <si>
    <t>Net Present Value</t>
  </si>
  <si>
    <t>Unit Sold</t>
  </si>
  <si>
    <t>Unit Price</t>
  </si>
  <si>
    <t>SG&amp;A Cost</t>
  </si>
  <si>
    <t>Sales Growth rate (%)</t>
  </si>
  <si>
    <t>TOTAL COST</t>
  </si>
  <si>
    <t>TOTAL</t>
  </si>
  <si>
    <t>Using Goal seek (What-If Analysis)</t>
  </si>
  <si>
    <t>Variable Cost=D6/2</t>
  </si>
  <si>
    <t>Formula</t>
  </si>
  <si>
    <t>NPV</t>
  </si>
  <si>
    <t>LINEAR PROGRAMMING</t>
  </si>
  <si>
    <t>No. Radio Ads</t>
  </si>
  <si>
    <t>No.TV Ads</t>
  </si>
  <si>
    <t>Variables</t>
  </si>
  <si>
    <t>Objective: (max)</t>
  </si>
  <si>
    <t>Constraint Table:</t>
  </si>
  <si>
    <t>Budget:</t>
  </si>
  <si>
    <t>&lt;- dummy numbers</t>
  </si>
  <si>
    <t>LHS</t>
  </si>
  <si>
    <t>Sign</t>
  </si>
  <si>
    <t>RHS</t>
  </si>
  <si>
    <t>(formula)</t>
  </si>
  <si>
    <t>&lt;=</t>
  </si>
  <si>
    <t>&lt;-coeff for objective</t>
  </si>
  <si>
    <t>No of People Reached:</t>
  </si>
  <si>
    <t>&gt;=</t>
  </si>
  <si>
    <t>R&gt;=T</t>
  </si>
  <si>
    <t>Recommendation</t>
  </si>
  <si>
    <t>Purchase 175 Radio &amp; 10 TV ads to reach a max of 595,000 people</t>
  </si>
  <si>
    <t>at least 10 TV(T)</t>
  </si>
  <si>
    <t>at least 10 Radio ®</t>
  </si>
  <si>
    <t>X</t>
  </si>
  <si>
    <t>Y</t>
  </si>
  <si>
    <t>products</t>
  </si>
  <si>
    <t>Unit Profit</t>
  </si>
  <si>
    <t>2X+Y≤1202X+3Y≤240</t>
  </si>
  <si>
    <t>2X+Y2X+3Y​≤120≤240​</t>
  </si>
  <si>
    <t>No. Basics</t>
  </si>
  <si>
    <t>No. of XPs</t>
  </si>
  <si>
    <t>at most 600 Basics</t>
  </si>
  <si>
    <t>at most 1200 Xps</t>
  </si>
  <si>
    <t>Revenue:</t>
  </si>
  <si>
    <t>Cost:</t>
  </si>
  <si>
    <t>Total:</t>
  </si>
  <si>
    <t>Parts:</t>
  </si>
  <si>
    <t>Assemble hours</t>
  </si>
  <si>
    <t>Labour/Assem</t>
  </si>
  <si>
    <t>Labour/Testing:</t>
  </si>
  <si>
    <t>Labor</t>
  </si>
  <si>
    <t>Assemply</t>
  </si>
  <si>
    <t>Objective: (max Profit)</t>
  </si>
  <si>
    <t>Testing Hours</t>
  </si>
  <si>
    <t>Produce 560 Basic  Computers &amp; 1200 XP Computers for a max profit of $199,600</t>
  </si>
  <si>
    <t>B</t>
  </si>
  <si>
    <t>T</t>
  </si>
  <si>
    <t>Labor hours</t>
  </si>
  <si>
    <t>Board feet(teak)</t>
  </si>
  <si>
    <t>no of labor hours</t>
  </si>
  <si>
    <t>material (teakrequired)</t>
  </si>
  <si>
    <t>no. of products</t>
  </si>
  <si>
    <t>Material(Board Feet)</t>
  </si>
  <si>
    <t>Investment</t>
  </si>
  <si>
    <t>Rate of Return (%)</t>
  </si>
  <si>
    <t>L.A. Municipal Bond</t>
  </si>
  <si>
    <t>Thompson Electronics, Inc.</t>
  </si>
  <si>
    <t>United Aerospace Corp.</t>
  </si>
  <si>
    <t>Palmer Technologies</t>
  </si>
  <si>
    <t>HDN Stock (high risk)</t>
  </si>
  <si>
    <t>Rate of return</t>
  </si>
  <si>
    <t>X1</t>
  </si>
  <si>
    <t>X2</t>
  </si>
  <si>
    <t>X3</t>
  </si>
  <si>
    <t>X4</t>
  </si>
  <si>
    <t>X5</t>
  </si>
  <si>
    <t>no. of Investement</t>
  </si>
  <si>
    <t>&lt;-dummy variable</t>
  </si>
  <si>
    <t>Budget</t>
  </si>
  <si>
    <t>Muni Bonds</t>
  </si>
  <si>
    <t>Tech stocks</t>
  </si>
  <si>
    <t>No more than 50% in High Risk</t>
  </si>
  <si>
    <t>tech</t>
  </si>
  <si>
    <t>Diet Requirement (Ingredients)</t>
  </si>
  <si>
    <t>Oat Product (units/lb)</t>
  </si>
  <si>
    <t>Enriched Grain (units/lb)</t>
  </si>
  <si>
    <t>Mineral Product (units/lb)</t>
  </si>
  <si>
    <t>Minimum Daily Requirement (units)</t>
  </si>
  <si>
    <t>A</t>
  </si>
  <si>
    <t>C</t>
  </si>
  <si>
    <t>D</t>
  </si>
  <si>
    <t>E</t>
  </si>
  <si>
    <t>Cost/lb</t>
  </si>
  <si>
    <t>O</t>
  </si>
  <si>
    <t>G</t>
  </si>
  <si>
    <t>M</t>
  </si>
  <si>
    <t>Variable(pound)</t>
  </si>
  <si>
    <t>Object(min)</t>
  </si>
  <si>
    <t>Unit cost/lb</t>
  </si>
  <si>
    <t>Cost of feeding</t>
  </si>
  <si>
    <t>Constraint</t>
  </si>
  <si>
    <t>Ingredient qty</t>
  </si>
  <si>
    <t>Max feed for work</t>
  </si>
  <si>
    <t>non negativity</t>
  </si>
  <si>
    <t>AB</t>
  </si>
  <si>
    <t>AC</t>
  </si>
  <si>
    <t>AE</t>
  </si>
  <si>
    <t>BB</t>
  </si>
  <si>
    <t>BC</t>
  </si>
  <si>
    <t>BE</t>
  </si>
  <si>
    <t>DB</t>
  </si>
  <si>
    <t>CB</t>
  </si>
  <si>
    <t>CC</t>
  </si>
  <si>
    <t>CE</t>
  </si>
  <si>
    <t>DC</t>
  </si>
  <si>
    <t>DE</t>
  </si>
  <si>
    <t>EB</t>
  </si>
  <si>
    <t>EC</t>
  </si>
  <si>
    <t>EE</t>
  </si>
  <si>
    <t>&lt;- dummmy variables</t>
  </si>
  <si>
    <t>Objective(min)</t>
  </si>
  <si>
    <t>Student bus miles:</t>
  </si>
  <si>
    <t>Constraints:</t>
  </si>
  <si>
    <t>&lt;-miles travelled</t>
  </si>
  <si>
    <t>900 in school B</t>
  </si>
  <si>
    <t>900 in school C</t>
  </si>
  <si>
    <t>900 in school E</t>
  </si>
  <si>
    <t>No of Students to assign from A to High School in B</t>
  </si>
  <si>
    <t>Variable:</t>
  </si>
  <si>
    <t>700 in A</t>
  </si>
  <si>
    <t>500 in B</t>
  </si>
  <si>
    <t>100 in C</t>
  </si>
  <si>
    <t>800 in D</t>
  </si>
  <si>
    <t>400 in E</t>
  </si>
  <si>
    <t>=</t>
  </si>
  <si>
    <t>Summary Sentence:</t>
  </si>
  <si>
    <t>For a minimun of 5,400 student bus miles</t>
  </si>
  <si>
    <t>400 Students from A to B, remaining 300 from A to E, 500 in B, 100 in C, 800 from D to C, 400 in E</t>
  </si>
  <si>
    <t>Cost Table (Given):</t>
  </si>
  <si>
    <t>Relocation</t>
  </si>
  <si>
    <t>Stafff Names</t>
  </si>
  <si>
    <t>Jones</t>
  </si>
  <si>
    <t>Smith</t>
  </si>
  <si>
    <t>Wilson</t>
  </si>
  <si>
    <t>Omaha</t>
  </si>
  <si>
    <t>Miami</t>
  </si>
  <si>
    <t xml:space="preserve">Dallas </t>
  </si>
  <si>
    <t>NY</t>
  </si>
  <si>
    <t>Assignment Table</t>
  </si>
  <si>
    <t>Staff Name</t>
  </si>
  <si>
    <t>Totral</t>
  </si>
  <si>
    <t>"Each Candidate Get an Office"</t>
  </si>
  <si>
    <t>Total</t>
  </si>
  <si>
    <t>Objective (min):</t>
  </si>
  <si>
    <t>Relocation Cost:</t>
  </si>
  <si>
    <t>Assignment Problem Template 2</t>
  </si>
  <si>
    <t>Distance (miles)</t>
  </si>
  <si>
    <t>To;</t>
  </si>
  <si>
    <t>From</t>
  </si>
  <si>
    <t>Seattle</t>
  </si>
  <si>
    <t>Arlington</t>
  </si>
  <si>
    <t>Baltimore</t>
  </si>
  <si>
    <t>x</t>
  </si>
  <si>
    <t>Oakland</t>
  </si>
  <si>
    <t>To:</t>
  </si>
  <si>
    <t>KansasCity</t>
  </si>
  <si>
    <t>Chicago</t>
  </si>
  <si>
    <t>Detroit</t>
  </si>
  <si>
    <t>Toronto</t>
  </si>
  <si>
    <t>"Each Crew to A City"</t>
  </si>
  <si>
    <t>Send Jobes to Miami, Smith to NY, and Wilson to Omaha for a total of $2,400</t>
  </si>
  <si>
    <t>New Hire Assignment Problem Template</t>
  </si>
  <si>
    <t>Statistics</t>
  </si>
  <si>
    <t>Management</t>
  </si>
  <si>
    <t>Finance</t>
  </si>
  <si>
    <t>Economics</t>
  </si>
  <si>
    <t>Bain</t>
  </si>
  <si>
    <t>Carey</t>
  </si>
  <si>
    <t>Dio</t>
  </si>
  <si>
    <t>Powell</t>
  </si>
  <si>
    <t>Overall teacher rating</t>
  </si>
  <si>
    <t>"Each Prof to A Course"</t>
  </si>
  <si>
    <t>Objective (max):</t>
  </si>
  <si>
    <t>INTEGER LINEAR PROGRAMMING</t>
  </si>
  <si>
    <t xml:space="preserve">Prime </t>
  </si>
  <si>
    <t>Off Peak</t>
  </si>
  <si>
    <t>Ad Type( Variables)</t>
  </si>
  <si>
    <t>No. of Ads</t>
  </si>
  <si>
    <t>People reached</t>
  </si>
  <si>
    <t>SIGN</t>
  </si>
  <si>
    <t>No more than 6 Off peak Ads</t>
  </si>
  <si>
    <t>At least 2 Prime Ads</t>
  </si>
  <si>
    <t>Purchase 4 Prime Ads &amp; 1 Off-Peak Ads to Maximize reach of 37,900 Audience</t>
  </si>
  <si>
    <t>MIXED INTEGER LP (MAXIMIZING PROFIT FROM PRODUCTION)</t>
  </si>
  <si>
    <t>20 lb bag</t>
  </si>
  <si>
    <t>lb of grinded beans</t>
  </si>
  <si>
    <t>No</t>
  </si>
  <si>
    <t>Selling Price</t>
  </si>
  <si>
    <t>Gross Profit</t>
  </si>
  <si>
    <t>Constraints: Beans Type</t>
  </si>
  <si>
    <t>No. of 20lb Bags must be Integer</t>
  </si>
  <si>
    <t>Integer</t>
  </si>
  <si>
    <t>Summary Sentence</t>
  </si>
  <si>
    <t xml:space="preserve">Recommend Production of 44 (20 lb bags) &amp; 20 (lb bags of grinded beans) for a max profit of $3,770 </t>
  </si>
  <si>
    <t>Large Poster</t>
  </si>
  <si>
    <t>Small Poster</t>
  </si>
  <si>
    <t>Up to 4 Large Poster can be sold</t>
  </si>
  <si>
    <t>Up to 6  Smaller  Poster can be sold</t>
  </si>
  <si>
    <t>Up to 15 Hours can be used</t>
  </si>
  <si>
    <t>Production time (Hours) per Poster</t>
  </si>
  <si>
    <t>Recommend Production of 2 (Large Poster) &amp; 6 (Small Poster) for a max profit of $52</t>
  </si>
  <si>
    <t>BINARY LP (MAXIMIZING RETURN ON INVESTMENT)</t>
  </si>
  <si>
    <t>X6</t>
  </si>
  <si>
    <t>X7</t>
  </si>
  <si>
    <t>&lt;- dummybinary no</t>
  </si>
  <si>
    <t>(0,1)</t>
  </si>
  <si>
    <t>Return(000s)</t>
  </si>
  <si>
    <t>Return</t>
  </si>
  <si>
    <t>Constraints</t>
  </si>
  <si>
    <t>no more than 1 foreign oil</t>
  </si>
  <si>
    <t>INVESTMENT/OIL COMPANIES</t>
  </si>
  <si>
    <t>at least Texas oil</t>
  </si>
  <si>
    <t>one California oil</t>
  </si>
  <si>
    <t>Invest Shares through oil companies X2 to X6 to maximize return of $360,000</t>
  </si>
  <si>
    <t>Tower Location</t>
  </si>
  <si>
    <t>L1</t>
  </si>
  <si>
    <t>L2</t>
  </si>
  <si>
    <t>L3</t>
  </si>
  <si>
    <t>L4</t>
  </si>
  <si>
    <t>L5</t>
  </si>
  <si>
    <t>L6</t>
  </si>
  <si>
    <t>F</t>
  </si>
  <si>
    <t>H</t>
  </si>
  <si>
    <t>Area</t>
  </si>
  <si>
    <t>Objective (min)</t>
  </si>
  <si>
    <t>Constraints; Coverage</t>
  </si>
  <si>
    <t>BINARY LP (MAXIMIZING AREA COVERAGE)</t>
  </si>
  <si>
    <t>TOWER ALLOCATION PER AREA</t>
  </si>
  <si>
    <t>NON-LINEAR PROGRAMMING(PORTFOLIO VARIANCE)</t>
  </si>
  <si>
    <t>Proportion of Invest</t>
  </si>
  <si>
    <t>Non_Linear Variables</t>
  </si>
  <si>
    <t>X^2</t>
  </si>
  <si>
    <t>X*Y</t>
  </si>
  <si>
    <t>Y^2</t>
  </si>
  <si>
    <t>Variance(Risk)</t>
  </si>
  <si>
    <t>Coefficient</t>
  </si>
  <si>
    <t>Formulatext</t>
  </si>
  <si>
    <t>Values</t>
  </si>
  <si>
    <t>All funds invested</t>
  </si>
  <si>
    <t>Exp.Return 9%</t>
  </si>
  <si>
    <t>NON-LINEAR PROGRAMMING(MOTORCROSS SNOWMOBILES)</t>
  </si>
  <si>
    <t>X = XJ6</t>
  </si>
  <si>
    <t>Y = XJ8</t>
  </si>
  <si>
    <t>Snowmobile models</t>
  </si>
  <si>
    <t>4-0.1X</t>
  </si>
  <si>
    <t>Product Qty</t>
  </si>
  <si>
    <t>(000s)</t>
  </si>
  <si>
    <t>Production Time(Hrs)</t>
  </si>
  <si>
    <t>STOCK</t>
  </si>
  <si>
    <t>5-0.02Y</t>
  </si>
  <si>
    <t>Produce 10 (XJ6) &amp; 15 (XJ8) Snowmobiles to reach a max revenue of $100,500</t>
  </si>
  <si>
    <t>Hot Dog</t>
  </si>
  <si>
    <t>Non_Linear Price</t>
  </si>
  <si>
    <t>4-0.0001X</t>
  </si>
  <si>
    <t xml:space="preserve">Cost </t>
  </si>
  <si>
    <t>Fixed Cost</t>
  </si>
  <si>
    <t>Varable Cost</t>
  </si>
  <si>
    <t>Max Profit of $24100 will be realizedat $2.40</t>
  </si>
  <si>
    <t>TEXTBOOK TYPES</t>
  </si>
  <si>
    <t>Proofing time (hrs)</t>
  </si>
  <si>
    <t>Production Qty</t>
  </si>
  <si>
    <t>TOTAL PROFIT</t>
  </si>
  <si>
    <t>Calculus</t>
  </si>
  <si>
    <t>Geometry</t>
  </si>
  <si>
    <t>Total Assembling time(hrs)</t>
  </si>
  <si>
    <t>Produce 35 Geometry books &amp; 50 Calculus Books to reach a max profit of $5,050</t>
  </si>
  <si>
    <t>Qty</t>
  </si>
  <si>
    <t>Non_Linear Demand</t>
  </si>
  <si>
    <t>70000-10000p</t>
  </si>
  <si>
    <t>NON-LINEAR PROGRAMMING(M&amp;T STADIUM HAMBURGERS SALES)</t>
  </si>
  <si>
    <t>NON-LINEAR PROGRAMMING(CARMEN YARDS HOT DOG SALES)</t>
  </si>
  <si>
    <t>Bluejay Natural Gas Financials (in millions)</t>
  </si>
  <si>
    <t>Given:</t>
  </si>
  <si>
    <t>Project Index</t>
  </si>
  <si>
    <t>Functional Area</t>
  </si>
  <si>
    <t>Partnership %</t>
  </si>
  <si>
    <t>Capex Year 1</t>
  </si>
  <si>
    <t>Capex Year 2</t>
  </si>
  <si>
    <t>Capex Year 3</t>
  </si>
  <si>
    <t>FA 1</t>
  </si>
  <si>
    <t>Annual Revenue (millions)</t>
  </si>
  <si>
    <t>Expenditure (millions)</t>
  </si>
  <si>
    <t>Yearly Cap (millions)</t>
  </si>
  <si>
    <t>NPV Discount Rate % decrease:</t>
  </si>
  <si>
    <t>FA 2</t>
  </si>
  <si>
    <t xml:space="preserve">Requirement Checks </t>
  </si>
  <si>
    <t>Capital Ex. Under 4000 (Y1)</t>
  </si>
  <si>
    <t>Capital Ex. under 4000 (Y2)</t>
  </si>
  <si>
    <t>Capital Ex. under 4000 (Y3)</t>
  </si>
  <si>
    <t>FA 3</t>
  </si>
  <si>
    <t>Under $10,000 (year 1-3)</t>
  </si>
  <si>
    <t xml:space="preserve">Each FA has at least 1 project approved </t>
  </si>
  <si>
    <t>Number of Approved Project for FA 1</t>
  </si>
  <si>
    <t>Number of Approved Project for FA 2</t>
  </si>
  <si>
    <t>Adjusted based on % Partnership:</t>
  </si>
  <si>
    <t>Number of Approved Project for FA 3</t>
  </si>
  <si>
    <t>Cap Ex. Yr1</t>
  </si>
  <si>
    <t>Cap Ex. Yr2</t>
  </si>
  <si>
    <t>Cap Ex. Yr3</t>
  </si>
  <si>
    <t xml:space="preserve">Total Cost </t>
  </si>
  <si>
    <t>New NPV</t>
  </si>
  <si>
    <t>ROI</t>
  </si>
  <si>
    <t xml:space="preserve">Approval Rating </t>
  </si>
  <si>
    <t xml:space="preserve">Total Number of Approved Projects </t>
  </si>
  <si>
    <t>Are the Conditions Met?</t>
  </si>
  <si>
    <t>FA 1 Approved Totals:</t>
  </si>
  <si>
    <t xml:space="preserve">Approved Cap Ex. Year Totals </t>
  </si>
  <si>
    <t>Year 1</t>
  </si>
  <si>
    <t xml:space="preserve">Year 2 </t>
  </si>
  <si>
    <t xml:space="preserve">Year 3 </t>
  </si>
  <si>
    <t>Functional Area:</t>
  </si>
  <si>
    <t xml:space="preserve">FA 1 </t>
  </si>
  <si>
    <t>FA 2  Approved Totals:</t>
  </si>
  <si>
    <t>FA 3 Approved Totals:</t>
  </si>
  <si>
    <t>Total Approved NPV:</t>
  </si>
  <si>
    <t>Overall Totals for Approved Projects:</t>
  </si>
  <si>
    <t xml:space="preserve">ROI </t>
  </si>
  <si>
    <t xml:space="preserve">% Change </t>
  </si>
  <si>
    <t>Minimum</t>
  </si>
  <si>
    <t>Maximum</t>
  </si>
  <si>
    <t>Manager:</t>
  </si>
  <si>
    <t>&lt;---use as objective for first question</t>
  </si>
  <si>
    <t>Qualified Managers:</t>
  </si>
  <si>
    <t>Manager</t>
  </si>
  <si>
    <t>Project</t>
  </si>
  <si>
    <t>Totals:</t>
  </si>
  <si>
    <t xml:space="preserve">Approved? </t>
  </si>
  <si>
    <t xml:space="preserve">Without the restriction of assigning qualified managers, based on this spreadsheet, solver looks like this: </t>
  </si>
  <si>
    <t>With the addition of assigning managers, based on this spreadsheet, solver looks like this:</t>
  </si>
  <si>
    <t xml:space="preserve">To give a maximum NPV of $2024 with all projects approved except 1, 10, and 12. </t>
  </si>
  <si>
    <t xml:space="preserve">This gives a maximum NPV of $1954 meeting all constraints for all approved projects except 1, 3 and 12. </t>
  </si>
  <si>
    <t xml:space="preserve">The manager assignment is given in L19 - L34 for each approved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</si>
</sst>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_(* #,##0.0_);_(* \(#,##0.0\);_(* &quot;-&quot;??_);_(@_)"/>
    <numFmt numFmtId="167" formatCode="0.0"/>
    <numFmt numFmtId="168" formatCode="0.0%"/>
    <numFmt numFmtId="169" formatCode="&quot;$&quot;#,##0"/>
    <numFmt numFmtId="170" formatCode="_(&quot;$&quot;* #,##0_);_(&quot;$&quot;* \(#,##0\);_(&quot;$&quot;* &quot;-&quot;?_);_(@_)"/>
  </numFmts>
  <fonts count="28">
    <font>
      <sz val="11"/>
      <color theme="1"/>
      <name val="Aptos Narrow"/>
      <family val="2"/>
      <scheme val="minor"/>
    </font>
    <font>
      <sz val="11"/>
      <color theme="1"/>
      <name val="Aptos Narrow"/>
      <family val="2"/>
      <scheme val="minor"/>
    </font>
    <font>
      <b/>
      <sz val="11"/>
      <color theme="1"/>
      <name val="Aptos Narrow"/>
      <family val="2"/>
      <scheme val="minor"/>
    </font>
    <font>
      <sz val="11"/>
      <color theme="0" tint="-4.9989318521683403E-2"/>
      <name val="Aptos Narrow"/>
      <family val="2"/>
      <scheme val="minor"/>
    </font>
    <font>
      <sz val="11"/>
      <color theme="0" tint="-0.14999847407452621"/>
      <name val="Aptos Narrow"/>
      <family val="2"/>
      <scheme val="minor"/>
    </font>
    <font>
      <b/>
      <sz val="11"/>
      <color theme="0" tint="-0.14999847407452621"/>
      <name val="Aptos Narrow"/>
      <family val="2"/>
      <scheme val="minor"/>
    </font>
    <font>
      <b/>
      <sz val="11"/>
      <name val="Aptos Narrow"/>
      <family val="2"/>
      <scheme val="minor"/>
    </font>
    <font>
      <sz val="11"/>
      <color theme="3"/>
      <name val="Aptos Narrow"/>
      <family val="2"/>
      <scheme val="minor"/>
    </font>
    <font>
      <sz val="11"/>
      <name val="Aptos Narrow"/>
      <family val="2"/>
      <scheme val="minor"/>
    </font>
    <font>
      <sz val="11"/>
      <color theme="2"/>
      <name val="Aptos Narrow"/>
      <family val="2"/>
      <scheme val="minor"/>
    </font>
    <font>
      <b/>
      <sz val="16"/>
      <color theme="1"/>
      <name val="Aptos Narrow"/>
      <family val="2"/>
      <scheme val="minor"/>
    </font>
    <font>
      <sz val="10"/>
      <color rgb="FF0F1114"/>
      <name val="Times New Roman"/>
      <family val="1"/>
    </font>
    <font>
      <sz val="8"/>
      <name val="Aptos Narrow"/>
      <family val="2"/>
      <scheme val="minor"/>
    </font>
    <font>
      <b/>
      <sz val="8"/>
      <color rgb="FF0F1114"/>
      <name val="Aptos Narrow"/>
      <family val="2"/>
      <scheme val="minor"/>
    </font>
    <font>
      <sz val="8"/>
      <color rgb="FF0F1114"/>
      <name val="Aptos Narrow"/>
      <family val="2"/>
      <scheme val="minor"/>
    </font>
    <font>
      <b/>
      <sz val="12"/>
      <color theme="1"/>
      <name val="Aptos Narrow"/>
      <family val="2"/>
      <scheme val="minor"/>
    </font>
    <font>
      <sz val="16"/>
      <color theme="1"/>
      <name val="Aptos Narrow"/>
      <family val="2"/>
      <scheme val="minor"/>
    </font>
    <font>
      <b/>
      <sz val="15"/>
      <color theme="3"/>
      <name val="Aptos Narrow"/>
      <family val="2"/>
      <scheme val="minor"/>
    </font>
    <font>
      <sz val="12"/>
      <color theme="1"/>
      <name val="Aptos Narrow"/>
      <family val="2"/>
      <scheme val="minor"/>
    </font>
    <font>
      <b/>
      <sz val="11"/>
      <color rgb="FF000000"/>
      <name val="Aptos Narrow"/>
      <family val="2"/>
      <scheme val="minor"/>
    </font>
    <font>
      <b/>
      <sz val="12"/>
      <color rgb="FF000000"/>
      <name val="Aptos Narrow"/>
      <family val="2"/>
      <scheme val="minor"/>
    </font>
    <font>
      <sz val="11"/>
      <color rgb="FF000000"/>
      <name val="Aptos Narrow"/>
      <family val="2"/>
      <scheme val="minor"/>
    </font>
    <font>
      <sz val="12"/>
      <color rgb="FF000000"/>
      <name val="Aptos Narrow"/>
      <family val="2"/>
      <scheme val="minor"/>
    </font>
    <font>
      <sz val="16"/>
      <color rgb="FF24588D"/>
      <name val="Helvetica Neue"/>
      <charset val="134"/>
    </font>
    <font>
      <sz val="12"/>
      <name val="Aptos Narrow"/>
      <family val="2"/>
      <scheme val="minor"/>
    </font>
    <font>
      <sz val="12"/>
      <color theme="0" tint="-0.499984740745262"/>
      <name val="Aptos Narrow"/>
      <family val="2"/>
      <scheme val="minor"/>
    </font>
    <font>
      <b/>
      <sz val="9"/>
      <name val="Tahoma"/>
      <family val="2"/>
    </font>
    <font>
      <sz val="9"/>
      <name val="Tahoma"/>
      <family val="2"/>
    </font>
  </fonts>
  <fills count="20">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2"/>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B4C6E7"/>
        <bgColor indexed="64"/>
      </patternFill>
    </fill>
    <fill>
      <patternFill patternType="solid">
        <fgColor rgb="FFF8CBAD"/>
        <bgColor indexed="64"/>
      </patternFill>
    </fill>
    <fill>
      <patternFill patternType="solid">
        <fgColor rgb="FFFFE699"/>
        <bgColor indexed="64"/>
      </patternFill>
    </fill>
    <fill>
      <patternFill patternType="solid">
        <fgColor theme="0" tint="-0.14996795556505021"/>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top/>
      <bottom style="thick">
        <color theme="4"/>
      </bottom>
      <diagonal/>
    </border>
    <border>
      <left style="thin">
        <color rgb="FF000000"/>
      </left>
      <right/>
      <top style="thin">
        <color rgb="FF000000"/>
      </top>
      <bottom style="thin">
        <color auto="1"/>
      </bottom>
      <diagonal/>
    </border>
    <border>
      <left/>
      <right style="thin">
        <color rgb="FF000000"/>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auto="1"/>
      </top>
      <bottom style="thin">
        <color auto="1"/>
      </bottom>
      <diagonal/>
    </border>
    <border>
      <left style="thin">
        <color auto="1"/>
      </left>
      <right style="thin">
        <color auto="1"/>
      </right>
      <top style="thin">
        <color auto="1"/>
      </top>
      <bottom style="double">
        <color auto="1"/>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7" fillId="0" borderId="42" applyNumberFormat="0" applyFill="0" applyAlignment="0" applyProtection="0"/>
    <xf numFmtId="0" fontId="18" fillId="0" borderId="0"/>
    <xf numFmtId="9" fontId="18" fillId="0" borderId="0" applyFont="0" applyFill="0" applyBorder="0" applyAlignment="0" applyProtection="0"/>
    <xf numFmtId="44" fontId="18" fillId="0" borderId="0" applyFont="0" applyFill="0" applyBorder="0" applyAlignment="0" applyProtection="0"/>
  </cellStyleXfs>
  <cellXfs count="303">
    <xf numFmtId="0" fontId="0" fillId="0" borderId="0" xfId="0"/>
    <xf numFmtId="0" fontId="0" fillId="0" borderId="0" xfId="0" applyAlignment="1">
      <alignment vertical="top" wrapText="1"/>
    </xf>
    <xf numFmtId="44" fontId="0" fillId="0" borderId="0" xfId="1" applyFont="1"/>
    <xf numFmtId="0" fontId="2" fillId="0" borderId="0" xfId="0" applyFont="1"/>
    <xf numFmtId="44" fontId="0" fillId="0" borderId="0" xfId="0" applyNumberFormat="1"/>
    <xf numFmtId="44" fontId="2" fillId="0" borderId="0" xfId="0" applyNumberFormat="1" applyFont="1"/>
    <xf numFmtId="44" fontId="2" fillId="0" borderId="0" xfId="1" applyFont="1"/>
    <xf numFmtId="0" fontId="2" fillId="0" borderId="0" xfId="0" applyFont="1" applyAlignment="1">
      <alignment vertical="top" wrapText="1"/>
    </xf>
    <xf numFmtId="0" fontId="2" fillId="2" borderId="0" xfId="0" applyFont="1" applyFill="1"/>
    <xf numFmtId="0" fontId="2" fillId="3" borderId="0" xfId="0" applyFont="1" applyFill="1"/>
    <xf numFmtId="0" fontId="2" fillId="0" borderId="1" xfId="0" applyFont="1" applyBorder="1"/>
    <xf numFmtId="10" fontId="2" fillId="4" borderId="0" xfId="2" applyNumberFormat="1" applyFont="1" applyFill="1"/>
    <xf numFmtId="0" fontId="0" fillId="0" borderId="1" xfId="0" applyBorder="1"/>
    <xf numFmtId="44" fontId="0" fillId="0" borderId="1" xfId="0" applyNumberFormat="1" applyBorder="1"/>
    <xf numFmtId="0" fontId="0" fillId="0" borderId="0" xfId="0" applyAlignment="1">
      <alignment wrapText="1"/>
    </xf>
    <xf numFmtId="0" fontId="0" fillId="0" borderId="0" xfId="0" applyAlignment="1">
      <alignment vertical="top"/>
    </xf>
    <xf numFmtId="164" fontId="0" fillId="0" borderId="0" xfId="1" applyNumberFormat="1" applyFont="1"/>
    <xf numFmtId="165" fontId="0" fillId="0" borderId="0" xfId="3" applyNumberFormat="1" applyFont="1"/>
    <xf numFmtId="9" fontId="0" fillId="2" borderId="0" xfId="0" applyNumberFormat="1" applyFill="1"/>
    <xf numFmtId="165" fontId="0" fillId="0" borderId="0" xfId="0" applyNumberFormat="1"/>
    <xf numFmtId="164" fontId="0" fillId="0" borderId="0" xfId="0" applyNumberFormat="1"/>
    <xf numFmtId="10" fontId="0" fillId="0" borderId="0" xfId="0" applyNumberFormat="1"/>
    <xf numFmtId="164" fontId="3" fillId="0" borderId="0" xfId="0" applyNumberFormat="1" applyFont="1"/>
    <xf numFmtId="10" fontId="2" fillId="0" borderId="0" xfId="0" applyNumberFormat="1" applyFont="1"/>
    <xf numFmtId="0" fontId="2" fillId="0" borderId="3" xfId="0" applyFont="1" applyBorder="1"/>
    <xf numFmtId="44" fontId="2" fillId="0" borderId="4" xfId="1" applyFont="1" applyBorder="1"/>
    <xf numFmtId="0" fontId="2" fillId="0" borderId="5" xfId="0" applyFont="1" applyBorder="1"/>
    <xf numFmtId="44" fontId="2" fillId="0" borderId="6" xfId="1" applyFont="1" applyBorder="1"/>
    <xf numFmtId="0" fontId="0" fillId="0" borderId="0" xfId="0" applyAlignment="1">
      <alignment horizontal="center" vertical="center"/>
    </xf>
    <xf numFmtId="44" fontId="0" fillId="0" borderId="0" xfId="1" applyFont="1" applyAlignment="1">
      <alignment horizontal="center" vertical="center"/>
    </xf>
    <xf numFmtId="0" fontId="0" fillId="2" borderId="0" xfId="0" applyFill="1" applyAlignment="1">
      <alignment horizontal="center" vertical="center"/>
    </xf>
    <xf numFmtId="164" fontId="0" fillId="0" borderId="0" xfId="1" applyNumberFormat="1"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left"/>
    </xf>
    <xf numFmtId="164" fontId="4" fillId="0" borderId="0" xfId="0" applyNumberFormat="1" applyFont="1"/>
    <xf numFmtId="0" fontId="2" fillId="0" borderId="23" xfId="0" applyFont="1" applyBorder="1" applyAlignment="1">
      <alignment vertical="center" textRotation="255"/>
    </xf>
    <xf numFmtId="0" fontId="2" fillId="0" borderId="0" xfId="0" applyFont="1" applyAlignment="1">
      <alignment vertical="center" textRotation="255"/>
    </xf>
    <xf numFmtId="164" fontId="5" fillId="0" borderId="7" xfId="0" applyNumberFormat="1" applyFont="1" applyBorder="1"/>
    <xf numFmtId="0" fontId="2" fillId="0" borderId="12" xfId="0" applyFont="1" applyBorder="1"/>
    <xf numFmtId="0" fontId="2" fillId="0" borderId="13" xfId="0" applyFont="1" applyBorder="1"/>
    <xf numFmtId="0" fontId="2" fillId="0" borderId="14" xfId="0" applyFont="1" applyBorder="1"/>
    <xf numFmtId="0" fontId="2" fillId="0" borderId="24" xfId="0" applyFont="1" applyBorder="1"/>
    <xf numFmtId="164" fontId="2" fillId="0" borderId="10" xfId="1" applyNumberFormat="1" applyFont="1" applyBorder="1"/>
    <xf numFmtId="164" fontId="2" fillId="0" borderId="11" xfId="1" applyNumberFormat="1" applyFont="1" applyBorder="1"/>
    <xf numFmtId="0" fontId="2" fillId="0" borderId="25" xfId="0" applyFont="1" applyBorder="1"/>
    <xf numFmtId="164" fontId="2" fillId="0" borderId="15" xfId="1" applyNumberFormat="1" applyFont="1" applyBorder="1" applyAlignment="1">
      <alignment horizontal="center" vertical="center"/>
    </xf>
    <xf numFmtId="164" fontId="2" fillId="0" borderId="1" xfId="1" applyNumberFormat="1" applyFont="1" applyBorder="1"/>
    <xf numFmtId="164" fontId="2" fillId="0" borderId="4" xfId="1" applyNumberFormat="1" applyFont="1" applyBorder="1"/>
    <xf numFmtId="0" fontId="2" fillId="0" borderId="22" xfId="0" applyFont="1" applyBorder="1"/>
    <xf numFmtId="164" fontId="2" fillId="0" borderId="16" xfId="1" applyNumberFormat="1" applyFont="1" applyBorder="1" applyAlignment="1">
      <alignment horizontal="center" vertical="center"/>
    </xf>
    <xf numFmtId="164" fontId="2" fillId="0" borderId="9" xfId="1" applyNumberFormat="1" applyFont="1" applyBorder="1"/>
    <xf numFmtId="164" fontId="2" fillId="0" borderId="6" xfId="1" applyNumberFormat="1" applyFont="1" applyBorder="1"/>
    <xf numFmtId="164" fontId="6" fillId="0" borderId="8" xfId="1" applyNumberFormat="1" applyFont="1" applyBorder="1"/>
    <xf numFmtId="0" fontId="2" fillId="3" borderId="0" xfId="0" applyFont="1" applyFill="1" applyAlignment="1">
      <alignment wrapText="1"/>
    </xf>
    <xf numFmtId="0" fontId="7" fillId="0" borderId="1" xfId="0" applyFont="1" applyBorder="1"/>
    <xf numFmtId="0" fontId="7" fillId="0" borderId="3" xfId="0" applyFont="1" applyBorder="1"/>
    <xf numFmtId="0" fontId="7" fillId="0" borderId="4" xfId="0" applyFont="1" applyBorder="1"/>
    <xf numFmtId="0" fontId="7" fillId="0" borderId="5" xfId="0" applyFont="1" applyBorder="1"/>
    <xf numFmtId="0" fontId="7" fillId="0" borderId="9" xfId="0" applyFont="1" applyBorder="1"/>
    <xf numFmtId="0" fontId="7" fillId="0" borderId="6" xfId="0" applyFont="1" applyBorder="1"/>
    <xf numFmtId="165" fontId="0" fillId="0" borderId="1" xfId="3" applyNumberFormat="1" applyFont="1" applyBorder="1"/>
    <xf numFmtId="167" fontId="0" fillId="0" borderId="1" xfId="0" applyNumberFormat="1" applyBorder="1"/>
    <xf numFmtId="166" fontId="0" fillId="0" borderId="1" xfId="0" applyNumberFormat="1" applyBorder="1"/>
    <xf numFmtId="0" fontId="0" fillId="0" borderId="27" xfId="0" applyBorder="1"/>
    <xf numFmtId="0" fontId="8" fillId="0" borderId="26" xfId="0" applyFont="1" applyBorder="1"/>
    <xf numFmtId="168" fontId="0" fillId="0" borderId="1" xfId="2" applyNumberFormat="1" applyFont="1" applyBorder="1"/>
    <xf numFmtId="168" fontId="2" fillId="0" borderId="1" xfId="0" applyNumberFormat="1" applyFont="1" applyBorder="1"/>
    <xf numFmtId="0" fontId="8" fillId="0" borderId="29" xfId="0" applyFont="1" applyBorder="1"/>
    <xf numFmtId="168" fontId="2" fillId="5" borderId="1" xfId="0" applyNumberFormat="1" applyFont="1" applyFill="1" applyBorder="1"/>
    <xf numFmtId="1" fontId="0" fillId="0" borderId="0" xfId="0" applyNumberFormat="1"/>
    <xf numFmtId="164" fontId="2" fillId="0" borderId="0" xfId="0" applyNumberFormat="1" applyFont="1"/>
    <xf numFmtId="164" fontId="0" fillId="5" borderId="0" xfId="1" applyNumberFormat="1" applyFont="1" applyFill="1"/>
    <xf numFmtId="164" fontId="9" fillId="0" borderId="0" xfId="0" applyNumberFormat="1" applyFont="1"/>
    <xf numFmtId="164" fontId="0" fillId="0" borderId="0" xfId="1" applyNumberFormat="1" applyFont="1" applyBorder="1"/>
    <xf numFmtId="164" fontId="9" fillId="0" borderId="30" xfId="1" applyNumberFormat="1" applyFont="1" applyBorder="1"/>
    <xf numFmtId="164" fontId="8" fillId="0" borderId="30" xfId="0" applyNumberFormat="1" applyFont="1" applyBorder="1"/>
    <xf numFmtId="0" fontId="0" fillId="0" borderId="30" xfId="0" applyBorder="1"/>
    <xf numFmtId="164" fontId="8" fillId="0" borderId="31" xfId="0" applyNumberFormat="1" applyFont="1" applyBorder="1"/>
    <xf numFmtId="164" fontId="0" fillId="0" borderId="32" xfId="1" applyNumberFormat="1" applyFont="1" applyBorder="1"/>
    <xf numFmtId="0" fontId="0" fillId="0" borderId="33" xfId="0" applyBorder="1"/>
    <xf numFmtId="164" fontId="0" fillId="0" borderId="33" xfId="1" applyNumberFormat="1" applyFont="1" applyBorder="1"/>
    <xf numFmtId="164" fontId="0" fillId="0" borderId="34" xfId="1" applyNumberFormat="1" applyFont="1" applyBorder="1"/>
    <xf numFmtId="0" fontId="0" fillId="0" borderId="35" xfId="0" applyBorder="1"/>
    <xf numFmtId="0" fontId="0" fillId="0" borderId="19" xfId="0" applyBorder="1"/>
    <xf numFmtId="0" fontId="0" fillId="0" borderId="17" xfId="0" applyBorder="1"/>
    <xf numFmtId="9" fontId="0" fillId="0" borderId="0" xfId="0" applyNumberFormat="1"/>
    <xf numFmtId="44" fontId="2" fillId="0" borderId="1" xfId="1" applyFont="1" applyBorder="1" applyAlignment="1">
      <alignment horizontal="center" vertical="center"/>
    </xf>
    <xf numFmtId="44" fontId="0" fillId="0" borderId="1" xfId="1" applyFont="1" applyBorder="1" applyAlignment="1">
      <alignment horizontal="center" vertical="center"/>
    </xf>
    <xf numFmtId="8" fontId="0" fillId="0" borderId="0" xfId="0" applyNumberFormat="1"/>
    <xf numFmtId="0" fontId="10" fillId="0" borderId="0" xfId="0" applyFont="1"/>
    <xf numFmtId="6" fontId="0" fillId="0" borderId="0" xfId="0" applyNumberFormat="1"/>
    <xf numFmtId="168" fontId="0" fillId="0" borderId="0" xfId="2" applyNumberFormat="1" applyFont="1"/>
    <xf numFmtId="168" fontId="0" fillId="0" borderId="0" xfId="0" applyNumberFormat="1"/>
    <xf numFmtId="0" fontId="0" fillId="0" borderId="0" xfId="0" applyAlignment="1">
      <alignment horizontal="center" vertical="center" wrapText="1"/>
    </xf>
    <xf numFmtId="44" fontId="0" fillId="0" borderId="0" xfId="1" applyFont="1" applyAlignment="1">
      <alignment horizontal="center" vertical="center" wrapText="1"/>
    </xf>
    <xf numFmtId="43" fontId="0" fillId="0" borderId="0" xfId="3" applyFont="1"/>
    <xf numFmtId="43" fontId="2" fillId="0" borderId="0" xfId="3" applyFont="1"/>
    <xf numFmtId="164" fontId="4" fillId="0" borderId="0" xfId="1" applyNumberFormat="1" applyFont="1"/>
    <xf numFmtId="164" fontId="1" fillId="0" borderId="0" xfId="1" applyNumberFormat="1" applyFont="1"/>
    <xf numFmtId="0" fontId="2" fillId="0" borderId="38" xfId="0" applyFont="1" applyBorder="1"/>
    <xf numFmtId="0" fontId="2" fillId="0" borderId="35" xfId="0" applyFont="1" applyBorder="1"/>
    <xf numFmtId="164" fontId="2" fillId="0" borderId="35" xfId="0" applyNumberFormat="1" applyFont="1" applyBorder="1"/>
    <xf numFmtId="164" fontId="2" fillId="0" borderId="35" xfId="1" applyNumberFormat="1" applyFont="1" applyBorder="1"/>
    <xf numFmtId="164" fontId="2" fillId="0" borderId="36" xfId="0" applyNumberFormat="1" applyFont="1" applyBorder="1"/>
    <xf numFmtId="0" fontId="2" fillId="0" borderId="39" xfId="0" applyFont="1" applyBorder="1"/>
    <xf numFmtId="43" fontId="0" fillId="0" borderId="1" xfId="3" applyFont="1" applyBorder="1"/>
    <xf numFmtId="164" fontId="0" fillId="0" borderId="1" xfId="1" applyNumberFormat="1" applyFont="1" applyBorder="1"/>
    <xf numFmtId="164" fontId="0" fillId="0" borderId="1" xfId="0" applyNumberFormat="1" applyBorder="1"/>
    <xf numFmtId="165" fontId="0" fillId="0" borderId="1" xfId="0" applyNumberFormat="1" applyBorder="1"/>
    <xf numFmtId="0" fontId="0" fillId="0" borderId="10" xfId="0" applyBorder="1"/>
    <xf numFmtId="165" fontId="0" fillId="0" borderId="10" xfId="3" applyNumberFormat="1" applyFont="1" applyBorder="1"/>
    <xf numFmtId="43" fontId="0" fillId="0" borderId="10" xfId="3" applyFont="1" applyBorder="1"/>
    <xf numFmtId="164" fontId="0" fillId="0" borderId="10" xfId="1" applyNumberFormat="1" applyFont="1" applyBorder="1"/>
    <xf numFmtId="164" fontId="0" fillId="0" borderId="10" xfId="0" applyNumberFormat="1" applyBorder="1"/>
    <xf numFmtId="0" fontId="0" fillId="0" borderId="40" xfId="0" applyBorder="1"/>
    <xf numFmtId="165" fontId="0" fillId="0" borderId="40" xfId="0" applyNumberFormat="1" applyBorder="1"/>
    <xf numFmtId="43" fontId="0" fillId="0" borderId="40" xfId="3" applyFont="1" applyBorder="1"/>
    <xf numFmtId="164" fontId="0" fillId="0" borderId="40" xfId="1" applyNumberFormat="1" applyFont="1" applyBorder="1"/>
    <xf numFmtId="164" fontId="0" fillId="0" borderId="40" xfId="0" applyNumberFormat="1" applyBorder="1"/>
    <xf numFmtId="0" fontId="2" fillId="0" borderId="41" xfId="0" applyFont="1" applyBorder="1"/>
    <xf numFmtId="168" fontId="2" fillId="6" borderId="2" xfId="2" applyNumberFormat="1" applyFont="1" applyFill="1" applyBorder="1"/>
    <xf numFmtId="165" fontId="2" fillId="0" borderId="4" xfId="3" applyNumberFormat="1" applyFont="1" applyBorder="1"/>
    <xf numFmtId="168" fontId="2" fillId="0" borderId="6" xfId="2" applyNumberFormat="1" applyFont="1" applyBorder="1"/>
    <xf numFmtId="0" fontId="2" fillId="7" borderId="39" xfId="0" applyFont="1" applyFill="1" applyBorder="1"/>
    <xf numFmtId="43" fontId="2" fillId="7" borderId="33" xfId="3" applyFont="1" applyFill="1" applyBorder="1"/>
    <xf numFmtId="43" fontId="2" fillId="7" borderId="35" xfId="3" applyFont="1" applyFill="1" applyBorder="1"/>
    <xf numFmtId="43" fontId="2" fillId="7" borderId="36" xfId="3" applyFont="1" applyFill="1" applyBorder="1"/>
    <xf numFmtId="44" fontId="2" fillId="0" borderId="33" xfId="1" applyFont="1" applyBorder="1"/>
    <xf numFmtId="169" fontId="2" fillId="0" borderId="6" xfId="2" applyNumberFormat="1" applyFont="1" applyBorder="1"/>
    <xf numFmtId="169" fontId="0" fillId="0" borderId="0" xfId="0" applyNumberFormat="1"/>
    <xf numFmtId="164" fontId="0" fillId="0" borderId="0" xfId="1" applyNumberFormat="1" applyFont="1" applyFill="1" applyBorder="1"/>
    <xf numFmtId="0" fontId="0" fillId="8" borderId="0" xfId="0" applyFill="1"/>
    <xf numFmtId="3" fontId="0" fillId="0" borderId="0" xfId="0" applyNumberFormat="1"/>
    <xf numFmtId="165" fontId="2" fillId="9" borderId="0" xfId="3" applyNumberFormat="1" applyFont="1" applyFill="1"/>
    <xf numFmtId="0" fontId="11" fillId="0" borderId="0" xfId="0" applyFont="1"/>
    <xf numFmtId="3" fontId="0" fillId="0" borderId="1" xfId="0" applyNumberFormat="1" applyBorder="1"/>
    <xf numFmtId="164" fontId="2" fillId="9" borderId="0" xfId="1" applyNumberFormat="1" applyFont="1" applyFill="1"/>
    <xf numFmtId="0" fontId="0" fillId="0" borderId="15" xfId="0" applyBorder="1"/>
    <xf numFmtId="164" fontId="2" fillId="9" borderId="1" xfId="1" applyNumberFormat="1" applyFont="1" applyFill="1" applyBorder="1"/>
    <xf numFmtId="0" fontId="2" fillId="8" borderId="0" xfId="0" applyFont="1" applyFill="1"/>
    <xf numFmtId="0" fontId="0" fillId="0" borderId="26" xfId="0" applyBorder="1"/>
    <xf numFmtId="3" fontId="0" fillId="0" borderId="26" xfId="0" applyNumberFormat="1" applyBorder="1"/>
    <xf numFmtId="0" fontId="0" fillId="0" borderId="0" xfId="1" applyNumberFormat="1" applyFont="1"/>
    <xf numFmtId="0" fontId="0" fillId="10" borderId="0" xfId="0" applyFill="1"/>
    <xf numFmtId="44" fontId="0" fillId="8" borderId="0" xfId="1" applyFont="1" applyFill="1"/>
    <xf numFmtId="44" fontId="2" fillId="9" borderId="0" xfId="1" applyFont="1" applyFill="1"/>
    <xf numFmtId="170" fontId="0" fillId="0" borderId="0" xfId="0" applyNumberFormat="1"/>
    <xf numFmtId="0" fontId="13" fillId="10" borderId="0" xfId="0" applyFont="1" applyFill="1" applyAlignment="1">
      <alignment horizontal="left" vertical="center" wrapText="1"/>
    </xf>
    <xf numFmtId="0" fontId="14" fillId="10" borderId="0" xfId="0" applyFont="1" applyFill="1" applyAlignment="1">
      <alignment horizontal="left" vertical="center" wrapText="1"/>
    </xf>
    <xf numFmtId="8" fontId="14" fillId="10" borderId="0" xfId="0" applyNumberFormat="1" applyFont="1" applyFill="1" applyAlignment="1">
      <alignment horizontal="left" vertical="center" wrapText="1"/>
    </xf>
    <xf numFmtId="2" fontId="0" fillId="0" borderId="0" xfId="0" applyNumberFormat="1"/>
    <xf numFmtId="0" fontId="2" fillId="0" borderId="40" xfId="0" applyFont="1" applyBorder="1"/>
    <xf numFmtId="0" fontId="0" fillId="2" borderId="0" xfId="0" applyFill="1"/>
    <xf numFmtId="0" fontId="2" fillId="11" borderId="0" xfId="0" applyFont="1" applyFill="1"/>
    <xf numFmtId="0" fontId="2" fillId="0" borderId="27" xfId="0" applyFont="1" applyBorder="1"/>
    <xf numFmtId="0" fontId="2" fillId="0" borderId="1" xfId="0" applyFont="1" applyBorder="1" applyAlignment="1">
      <alignment horizontal="center"/>
    </xf>
    <xf numFmtId="0" fontId="0" fillId="0" borderId="0" xfId="0" applyAlignment="1">
      <alignment horizontal="center"/>
    </xf>
    <xf numFmtId="0" fontId="0" fillId="2" borderId="1" xfId="0" applyFill="1" applyBorder="1" applyAlignment="1">
      <alignment horizontal="center"/>
    </xf>
    <xf numFmtId="164" fontId="0" fillId="12" borderId="1" xfId="1" applyNumberFormat="1" applyFont="1" applyFill="1" applyBorder="1"/>
    <xf numFmtId="164" fontId="2" fillId="11" borderId="0" xfId="1" applyNumberFormat="1" applyFont="1" applyFill="1"/>
    <xf numFmtId="0" fontId="0" fillId="3" borderId="0" xfId="0" applyFill="1" applyAlignment="1">
      <alignment horizontal="center"/>
    </xf>
    <xf numFmtId="1" fontId="0" fillId="12" borderId="1" xfId="1" applyNumberFormat="1" applyFont="1" applyFill="1" applyBorder="1"/>
    <xf numFmtId="1" fontId="0" fillId="12" borderId="40" xfId="1" applyNumberFormat="1" applyFont="1" applyFill="1" applyBorder="1"/>
    <xf numFmtId="0" fontId="2" fillId="0" borderId="0" xfId="0" applyFont="1" applyAlignment="1">
      <alignment horizontal="center" vertical="center"/>
    </xf>
    <xf numFmtId="1" fontId="2" fillId="11" borderId="0" xfId="1" applyNumberFormat="1" applyFont="1" applyFill="1"/>
    <xf numFmtId="0" fontId="15" fillId="6" borderId="0" xfId="0" applyFont="1" applyFill="1" applyAlignment="1">
      <alignment horizontal="center"/>
    </xf>
    <xf numFmtId="0" fontId="16" fillId="0" borderId="0" xfId="0" applyFont="1"/>
    <xf numFmtId="0" fontId="2" fillId="8" borderId="1" xfId="0" applyFont="1" applyFill="1" applyBorder="1"/>
    <xf numFmtId="164" fontId="2" fillId="11" borderId="1" xfId="1" applyNumberFormat="1" applyFont="1" applyFill="1" applyBorder="1"/>
    <xf numFmtId="2" fontId="2" fillId="0" borderId="1" xfId="0" applyNumberFormat="1" applyFont="1" applyBorder="1"/>
    <xf numFmtId="164" fontId="2" fillId="0" borderId="1" xfId="0" applyNumberFormat="1" applyFont="1" applyBorder="1"/>
    <xf numFmtId="44" fontId="2" fillId="0" borderId="1" xfId="1" applyFont="1" applyBorder="1"/>
    <xf numFmtId="1" fontId="2" fillId="0" borderId="1" xfId="0" applyNumberFormat="1" applyFont="1" applyBorder="1"/>
    <xf numFmtId="0" fontId="2" fillId="3" borderId="1" xfId="0" applyFont="1" applyFill="1" applyBorder="1"/>
    <xf numFmtId="164" fontId="2" fillId="11" borderId="7" xfId="1" applyNumberFormat="1" applyFont="1" applyFill="1" applyBorder="1" applyAlignment="1"/>
    <xf numFmtId="0" fontId="16" fillId="3" borderId="0" xfId="0" applyFont="1" applyFill="1"/>
    <xf numFmtId="0" fontId="15" fillId="3" borderId="28" xfId="0" applyFont="1" applyFill="1" applyBorder="1" applyAlignment="1">
      <alignment horizontal="center"/>
    </xf>
    <xf numFmtId="1" fontId="2" fillId="0" borderId="1" xfId="0" applyNumberFormat="1" applyFont="1" applyBorder="1" applyAlignment="1">
      <alignment horizontal="center"/>
    </xf>
    <xf numFmtId="0" fontId="0" fillId="0" borderId="1" xfId="0" applyBorder="1" applyAlignment="1">
      <alignment horizontal="center"/>
    </xf>
    <xf numFmtId="1" fontId="2" fillId="2" borderId="1" xfId="0" applyNumberFormat="1" applyFont="1" applyFill="1" applyBorder="1" applyAlignment="1">
      <alignment horizontal="center"/>
    </xf>
    <xf numFmtId="0" fontId="2" fillId="0" borderId="0" xfId="0" applyFont="1" applyAlignment="1">
      <alignment horizontal="center" vertical="center" wrapText="1"/>
    </xf>
    <xf numFmtId="1" fontId="2" fillId="11" borderId="0" xfId="0" applyNumberFormat="1" applyFont="1" applyFill="1"/>
    <xf numFmtId="1" fontId="2" fillId="3" borderId="1" xfId="0" applyNumberFormat="1" applyFont="1" applyFill="1" applyBorder="1" applyAlignment="1">
      <alignment horizontal="center"/>
    </xf>
    <xf numFmtId="0" fontId="2" fillId="0" borderId="1" xfId="0" applyFont="1" applyBorder="1" applyAlignment="1">
      <alignment horizontal="center" vertical="center" wrapText="1"/>
    </xf>
    <xf numFmtId="0" fontId="15" fillId="6" borderId="0" xfId="0" applyFont="1" applyFill="1" applyAlignment="1">
      <alignment horizontal="left" vertical="center"/>
    </xf>
    <xf numFmtId="0" fontId="2" fillId="0" borderId="1" xfId="0" applyFont="1" applyBorder="1" applyAlignment="1">
      <alignment horizontal="center" vertical="center"/>
    </xf>
    <xf numFmtId="0" fontId="2" fillId="9" borderId="0" xfId="0" applyFont="1" applyFill="1"/>
    <xf numFmtId="9" fontId="2" fillId="0" borderId="1" xfId="0" applyNumberFormat="1" applyFont="1" applyBorder="1" applyAlignment="1">
      <alignment horizontal="center" vertical="center"/>
    </xf>
    <xf numFmtId="0" fontId="2" fillId="0" borderId="1" xfId="0" applyFont="1" applyBorder="1" applyAlignment="1">
      <alignment horizontal="left" vertical="top"/>
    </xf>
    <xf numFmtId="0" fontId="0" fillId="0" borderId="0" xfId="0" applyAlignment="1">
      <alignment horizontal="left" vertical="top"/>
    </xf>
    <xf numFmtId="9" fontId="2" fillId="2" borderId="0" xfId="2" applyFont="1" applyFill="1"/>
    <xf numFmtId="9" fontId="2" fillId="0" borderId="1" xfId="2" applyFont="1" applyBorder="1" applyAlignment="1">
      <alignment horizontal="center" vertical="center"/>
    </xf>
    <xf numFmtId="1" fontId="2" fillId="2" borderId="0" xfId="2" applyNumberFormat="1" applyFont="1" applyFill="1"/>
    <xf numFmtId="167"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0" fontId="2" fillId="12" borderId="0" xfId="0" applyFont="1" applyFill="1"/>
    <xf numFmtId="44" fontId="2" fillId="3" borderId="1" xfId="1" applyFont="1" applyFill="1" applyBorder="1"/>
    <xf numFmtId="44" fontId="2" fillId="9" borderId="1" xfId="1" applyFont="1" applyFill="1" applyBorder="1"/>
    <xf numFmtId="44" fontId="2" fillId="2" borderId="0" xfId="1" applyFont="1" applyFill="1"/>
    <xf numFmtId="2" fontId="2" fillId="0" borderId="1" xfId="1" applyNumberFormat="1" applyFont="1" applyBorder="1" applyAlignment="1">
      <alignment horizontal="center" vertical="center"/>
    </xf>
    <xf numFmtId="1" fontId="2" fillId="0" borderId="1" xfId="1" applyNumberFormat="1" applyFont="1" applyBorder="1" applyAlignment="1">
      <alignment horizontal="center" vertical="center"/>
    </xf>
    <xf numFmtId="0" fontId="2" fillId="0" borderId="1" xfId="0" applyFont="1" applyBorder="1" applyAlignment="1">
      <alignment horizontal="left" vertical="center"/>
    </xf>
    <xf numFmtId="1" fontId="2" fillId="2" borderId="1" xfId="1" applyNumberFormat="1" applyFont="1" applyFill="1" applyBorder="1" applyAlignment="1">
      <alignment horizontal="center"/>
    </xf>
    <xf numFmtId="44" fontId="2" fillId="3" borderId="1" xfId="1" applyFont="1" applyFill="1" applyBorder="1" applyAlignment="1">
      <alignment horizontal="center"/>
    </xf>
    <xf numFmtId="0" fontId="0" fillId="6" borderId="0" xfId="0" applyFill="1"/>
    <xf numFmtId="0" fontId="18" fillId="0" borderId="0" xfId="5"/>
    <xf numFmtId="0" fontId="15" fillId="0" borderId="0" xfId="5" applyFont="1"/>
    <xf numFmtId="0" fontId="19" fillId="0" borderId="1" xfId="5" applyFont="1" applyBorder="1"/>
    <xf numFmtId="0" fontId="15" fillId="0" borderId="1" xfId="5" applyFont="1" applyBorder="1"/>
    <xf numFmtId="0" fontId="15" fillId="0" borderId="26" xfId="5" applyFont="1" applyBorder="1"/>
    <xf numFmtId="0" fontId="21" fillId="13" borderId="1" xfId="5" applyFont="1" applyFill="1" applyBorder="1"/>
    <xf numFmtId="0" fontId="18" fillId="13" borderId="1" xfId="5" applyFill="1" applyBorder="1"/>
    <xf numFmtId="9" fontId="0" fillId="13" borderId="1" xfId="6" applyFont="1" applyFill="1" applyBorder="1"/>
    <xf numFmtId="164" fontId="0" fillId="13" borderId="1" xfId="7" applyNumberFormat="1" applyFont="1" applyFill="1" applyBorder="1"/>
    <xf numFmtId="164" fontId="0" fillId="13" borderId="26" xfId="7" applyNumberFormat="1" applyFont="1" applyFill="1" applyBorder="1"/>
    <xf numFmtId="0" fontId="22" fillId="0" borderId="1" xfId="5" applyFont="1" applyBorder="1"/>
    <xf numFmtId="164" fontId="22" fillId="0" borderId="1" xfId="5" applyNumberFormat="1" applyFont="1" applyBorder="1"/>
    <xf numFmtId="0" fontId="23" fillId="0" borderId="0" xfId="5" applyFont="1"/>
    <xf numFmtId="9" fontId="24" fillId="8" borderId="1" xfId="5" applyNumberFormat="1" applyFont="1" applyFill="1" applyBorder="1"/>
    <xf numFmtId="0" fontId="21" fillId="14" borderId="1" xfId="5" applyFont="1" applyFill="1" applyBorder="1"/>
    <xf numFmtId="0" fontId="18" fillId="14" borderId="1" xfId="5" applyFill="1" applyBorder="1"/>
    <xf numFmtId="9" fontId="0" fillId="14" borderId="1" xfId="6" applyFont="1" applyFill="1" applyBorder="1"/>
    <xf numFmtId="164" fontId="0" fillId="14" borderId="1" xfId="7" applyNumberFormat="1" applyFont="1" applyFill="1" applyBorder="1"/>
    <xf numFmtId="164" fontId="0" fillId="14" borderId="26" xfId="7" applyNumberFormat="1" applyFont="1" applyFill="1" applyBorder="1"/>
    <xf numFmtId="0" fontId="18" fillId="0" borderId="1" xfId="5" applyBorder="1"/>
    <xf numFmtId="0" fontId="21" fillId="15" borderId="1" xfId="5" applyFont="1" applyFill="1" applyBorder="1"/>
    <xf numFmtId="0" fontId="18" fillId="15" borderId="1" xfId="5" applyFill="1" applyBorder="1"/>
    <xf numFmtId="9" fontId="0" fillId="15" borderId="1" xfId="6" applyFont="1" applyFill="1" applyBorder="1"/>
    <xf numFmtId="164" fontId="0" fillId="15" borderId="1" xfId="7" applyNumberFormat="1" applyFont="1" applyFill="1" applyBorder="1"/>
    <xf numFmtId="164" fontId="0" fillId="15" borderId="26" xfId="7" applyNumberFormat="1" applyFont="1" applyFill="1" applyBorder="1"/>
    <xf numFmtId="0" fontId="18" fillId="0" borderId="0" xfId="5" applyAlignment="1">
      <alignment horizontal="center"/>
    </xf>
    <xf numFmtId="0" fontId="19" fillId="0" borderId="1" xfId="5" applyFont="1" applyBorder="1" applyAlignment="1">
      <alignment horizontal="center"/>
    </xf>
    <xf numFmtId="0" fontId="15" fillId="0" borderId="1" xfId="5" applyFont="1" applyBorder="1" applyAlignment="1">
      <alignment horizontal="center"/>
    </xf>
    <xf numFmtId="0" fontId="15" fillId="0" borderId="26" xfId="5" applyFont="1" applyBorder="1" applyAlignment="1">
      <alignment horizontal="center"/>
    </xf>
    <xf numFmtId="0" fontId="15" fillId="0" borderId="45" xfId="5" applyFont="1" applyBorder="1" applyAlignment="1">
      <alignment horizontal="center"/>
    </xf>
    <xf numFmtId="0" fontId="21" fillId="0" borderId="1" xfId="5" applyFont="1" applyBorder="1"/>
    <xf numFmtId="0" fontId="18" fillId="16" borderId="1" xfId="5" applyFill="1" applyBorder="1"/>
    <xf numFmtId="9" fontId="0" fillId="0" borderId="1" xfId="6" applyFont="1" applyBorder="1"/>
    <xf numFmtId="164" fontId="0" fillId="0" borderId="1" xfId="7" applyNumberFormat="1" applyFont="1" applyBorder="1"/>
    <xf numFmtId="164" fontId="0" fillId="0" borderId="26" xfId="7" applyNumberFormat="1" applyFont="1" applyBorder="1"/>
    <xf numFmtId="0" fontId="18" fillId="8" borderId="45" xfId="5" applyFill="1" applyBorder="1" applyAlignment="1">
      <alignment horizontal="center"/>
    </xf>
    <xf numFmtId="9" fontId="0" fillId="0" borderId="1" xfId="6" applyFont="1" applyFill="1" applyBorder="1"/>
    <xf numFmtId="9" fontId="0" fillId="0" borderId="26" xfId="6" applyFont="1" applyBorder="1"/>
    <xf numFmtId="0" fontId="15" fillId="0" borderId="0" xfId="5" applyFont="1" applyAlignment="1">
      <alignment horizontal="right"/>
    </xf>
    <xf numFmtId="164" fontId="0" fillId="0" borderId="1" xfId="7" applyNumberFormat="1" applyFont="1" applyFill="1" applyBorder="1"/>
    <xf numFmtId="0" fontId="18" fillId="0" borderId="1" xfId="5" applyBorder="1" applyAlignment="1">
      <alignment horizontal="center"/>
    </xf>
    <xf numFmtId="0" fontId="18" fillId="17" borderId="1" xfId="5" applyFill="1" applyBorder="1"/>
    <xf numFmtId="164" fontId="18" fillId="0" borderId="1" xfId="5" applyNumberFormat="1" applyBorder="1"/>
    <xf numFmtId="0" fontId="18" fillId="18" borderId="1" xfId="5" applyFill="1" applyBorder="1"/>
    <xf numFmtId="164" fontId="0" fillId="0" borderId="46" xfId="7" applyNumberFormat="1" applyFont="1" applyBorder="1"/>
    <xf numFmtId="164" fontId="0" fillId="0" borderId="0" xfId="7" applyNumberFormat="1" applyFont="1"/>
    <xf numFmtId="0" fontId="15" fillId="0" borderId="7" xfId="5" applyFont="1" applyBorder="1" applyAlignment="1">
      <alignment horizontal="center"/>
    </xf>
    <xf numFmtId="164" fontId="0" fillId="0" borderId="47" xfId="7" applyNumberFormat="1" applyFont="1" applyBorder="1"/>
    <xf numFmtId="164" fontId="0" fillId="19" borderId="0" xfId="7" applyNumberFormat="1" applyFont="1" applyFill="1"/>
    <xf numFmtId="9" fontId="18" fillId="0" borderId="1" xfId="5" applyNumberFormat="1" applyBorder="1"/>
    <xf numFmtId="9" fontId="25" fillId="0" borderId="1" xfId="5" applyNumberFormat="1" applyFont="1" applyBorder="1"/>
    <xf numFmtId="0" fontId="15" fillId="0" borderId="0" xfId="5" applyFont="1" applyAlignment="1">
      <alignment horizontal="center"/>
    </xf>
    <xf numFmtId="0" fontId="17" fillId="0" borderId="42" xfId="4"/>
    <xf numFmtId="0" fontId="15" fillId="0" borderId="48" xfId="5" applyFont="1" applyBorder="1"/>
    <xf numFmtId="0" fontId="18" fillId="0" borderId="10" xfId="5" applyBorder="1"/>
    <xf numFmtId="0" fontId="15" fillId="0" borderId="48" xfId="5" applyFont="1" applyBorder="1" applyAlignment="1">
      <alignment horizontal="center"/>
    </xf>
    <xf numFmtId="0" fontId="18" fillId="8" borderId="10" xfId="5" applyFill="1" applyBorder="1" applyAlignment="1">
      <alignment horizontal="center"/>
    </xf>
    <xf numFmtId="0" fontId="18" fillId="8" borderId="1" xfId="5" applyFill="1" applyBorder="1" applyAlignment="1">
      <alignment horizontal="center"/>
    </xf>
    <xf numFmtId="164" fontId="0" fillId="0" borderId="0" xfId="7" applyNumberFormat="1" applyFont="1" applyFill="1"/>
    <xf numFmtId="164" fontId="18" fillId="0" borderId="0" xfId="5" applyNumberFormat="1"/>
    <xf numFmtId="0" fontId="2" fillId="0" borderId="0" xfId="0" applyFont="1" applyAlignment="1">
      <alignment horizontal="center"/>
    </xf>
    <xf numFmtId="0" fontId="0" fillId="0" borderId="0" xfId="0" applyAlignment="1">
      <alignment horizontal="center" vertical="center"/>
    </xf>
    <xf numFmtId="0" fontId="2" fillId="0" borderId="17" xfId="0" applyFont="1" applyBorder="1" applyAlignment="1">
      <alignment horizontal="center" vertical="center" textRotation="255"/>
    </xf>
    <xf numFmtId="0" fontId="2" fillId="0" borderId="18" xfId="0" applyFont="1" applyBorder="1" applyAlignment="1">
      <alignment horizontal="center" vertical="center" textRotation="255"/>
    </xf>
    <xf numFmtId="0" fontId="2" fillId="0" borderId="19" xfId="0" applyFont="1" applyBorder="1" applyAlignment="1">
      <alignment horizontal="center" vertical="center" textRotation="255"/>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8" xfId="0" applyBorder="1" applyAlignment="1">
      <alignment horizontal="center" vertical="center" textRotation="255"/>
    </xf>
    <xf numFmtId="0" fontId="0" fillId="0" borderId="19" xfId="0" applyBorder="1" applyAlignment="1">
      <alignment horizontal="center" vertical="center" textRotation="255"/>
    </xf>
    <xf numFmtId="0" fontId="0" fillId="0" borderId="35" xfId="0" applyBorder="1" applyAlignment="1">
      <alignment horizontal="center"/>
    </xf>
    <xf numFmtId="0" fontId="0" fillId="0" borderId="36" xfId="0" applyBorder="1" applyAlignment="1">
      <alignment horizontal="center"/>
    </xf>
    <xf numFmtId="0" fontId="2" fillId="0" borderId="26" xfId="0" applyFont="1" applyBorder="1" applyAlignment="1">
      <alignment horizontal="center"/>
    </xf>
    <xf numFmtId="0" fontId="2" fillId="0" borderId="15" xfId="0" applyFont="1" applyBorder="1" applyAlignment="1">
      <alignment horizontal="center"/>
    </xf>
    <xf numFmtId="0" fontId="2" fillId="0" borderId="28" xfId="0" applyFont="1" applyBorder="1" applyAlignment="1">
      <alignment horizontal="center"/>
    </xf>
    <xf numFmtId="0" fontId="2" fillId="0" borderId="1" xfId="0" applyFont="1" applyBorder="1" applyAlignment="1">
      <alignment horizontal="center"/>
    </xf>
    <xf numFmtId="0" fontId="0" fillId="0" borderId="37" xfId="0" applyBorder="1" applyAlignment="1">
      <alignment horizontal="center" vertical="center"/>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wrapText="1"/>
    </xf>
    <xf numFmtId="0" fontId="2" fillId="0" borderId="28" xfId="0" applyFont="1" applyBorder="1" applyAlignment="1">
      <alignment horizontal="center" wrapText="1"/>
    </xf>
    <xf numFmtId="0" fontId="10" fillId="6" borderId="0" xfId="0" applyFont="1" applyFill="1" applyAlignment="1">
      <alignment horizontal="center"/>
    </xf>
    <xf numFmtId="0" fontId="15" fillId="6" borderId="0" xfId="0" applyFont="1" applyFill="1" applyAlignment="1">
      <alignment horizontal="center"/>
    </xf>
    <xf numFmtId="0" fontId="15" fillId="3" borderId="28" xfId="0" applyFont="1" applyFill="1" applyBorder="1" applyAlignment="1">
      <alignment horizontal="center"/>
    </xf>
    <xf numFmtId="0" fontId="15" fillId="0" borderId="1" xfId="5" applyFont="1" applyBorder="1" applyAlignment="1">
      <alignment horizontal="center"/>
    </xf>
    <xf numFmtId="0" fontId="15" fillId="0" borderId="1" xfId="5" applyFont="1" applyBorder="1" applyAlignment="1">
      <alignment horizontal="center" vertical="center" textRotation="90"/>
    </xf>
    <xf numFmtId="0" fontId="10" fillId="0" borderId="7" xfId="5" applyFont="1" applyBorder="1" applyAlignment="1">
      <alignment horizontal="center"/>
    </xf>
    <xf numFmtId="0" fontId="10" fillId="0" borderId="0" xfId="5" applyFont="1" applyAlignment="1">
      <alignment horizontal="center"/>
    </xf>
    <xf numFmtId="0" fontId="20" fillId="0" borderId="1" xfId="5" applyFont="1" applyBorder="1" applyAlignment="1">
      <alignment horizontal="center"/>
    </xf>
    <xf numFmtId="0" fontId="15" fillId="0" borderId="43" xfId="5" applyFont="1" applyBorder="1" applyAlignment="1">
      <alignment horizontal="center"/>
    </xf>
    <xf numFmtId="0" fontId="15" fillId="0" borderId="44" xfId="5" applyFont="1" applyBorder="1" applyAlignment="1">
      <alignment horizontal="center"/>
    </xf>
    <xf numFmtId="0" fontId="15" fillId="0" borderId="28" xfId="5" applyFont="1" applyBorder="1" applyAlignment="1">
      <alignment horizontal="center"/>
    </xf>
    <xf numFmtId="0" fontId="18" fillId="0" borderId="1" xfId="5" applyBorder="1" applyAlignment="1">
      <alignment horizontal="center"/>
    </xf>
    <xf numFmtId="0" fontId="18" fillId="0" borderId="1" xfId="5" applyBorder="1" applyAlignment="1">
      <alignment horizontal="center" vertical="center"/>
    </xf>
  </cellXfs>
  <cellStyles count="8">
    <cellStyle name="Comma" xfId="3" builtinId="3"/>
    <cellStyle name="Currency" xfId="1" builtinId="4"/>
    <cellStyle name="Currency 2" xfId="7" xr:uid="{EDD3B776-4B3D-4E2A-B87B-2CF555BDFBAD}"/>
    <cellStyle name="Heading 1" xfId="4" builtinId="16"/>
    <cellStyle name="Normal" xfId="0" builtinId="0"/>
    <cellStyle name="Normal 2" xfId="5" xr:uid="{5710BD6C-E246-4184-9CB4-3A9127200395}"/>
    <cellStyle name="Percent" xfId="2" builtinId="5"/>
    <cellStyle name="Percent 2" xfId="6" xr:uid="{8DBA2BC8-380E-4A56-9727-F60B9A6A6BB4}"/>
  </cellStyles>
  <dxfs count="16">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microsoft.com/office/2017/10/relationships/person" Target="persons/person.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WOODWORKS BOOKSHELF CO. COST PROJECTIONS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'WOODWORKS CO.'!$E$18</c:f>
              <c:strCache>
                <c:ptCount val="1"/>
                <c:pt idx="0">
                  <c:v>Total Cherry </c:v>
                </c:pt>
              </c:strCache>
            </c:strRef>
          </c:tx>
          <c:spPr>
            <a:ln w="28575" cap="rnd">
              <a:solidFill>
                <a:schemeClr val="accent4"/>
              </a:solidFill>
              <a:round/>
            </a:ln>
            <a:effectLst/>
          </c:spPr>
          <c:marker>
            <c:symbol val="none"/>
          </c:marker>
          <c:cat>
            <c:numRef>
              <c:f>'WOODWORKS CO.'!$A$19:$A$23</c:f>
              <c:numCache>
                <c:formatCode>General</c:formatCode>
                <c:ptCount val="5"/>
                <c:pt idx="0">
                  <c:v>0</c:v>
                </c:pt>
                <c:pt idx="1">
                  <c:v>1</c:v>
                </c:pt>
                <c:pt idx="2">
                  <c:v>2</c:v>
                </c:pt>
                <c:pt idx="3">
                  <c:v>3</c:v>
                </c:pt>
                <c:pt idx="4">
                  <c:v>4</c:v>
                </c:pt>
              </c:numCache>
            </c:numRef>
          </c:cat>
          <c:val>
            <c:numRef>
              <c:f>'WOODWORKS CO.'!$E$19:$E$23</c:f>
              <c:numCache>
                <c:formatCode>_("$"* #,##0.00_);_("$"* \(#,##0.00\);_("$"* "-"??_);_(@_)</c:formatCode>
                <c:ptCount val="5"/>
                <c:pt idx="0">
                  <c:v>461</c:v>
                </c:pt>
                <c:pt idx="1">
                  <c:v>469.4</c:v>
                </c:pt>
                <c:pt idx="2">
                  <c:v>477.96163999999999</c:v>
                </c:pt>
                <c:pt idx="3">
                  <c:v>486.68819995999996</c:v>
                </c:pt>
                <c:pt idx="4">
                  <c:v>495.58302956803993</c:v>
                </c:pt>
              </c:numCache>
            </c:numRef>
          </c:val>
          <c:smooth val="0"/>
          <c:extLst>
            <c:ext xmlns:c16="http://schemas.microsoft.com/office/drawing/2014/chart" uri="{C3380CC4-5D6E-409C-BE32-E72D297353CC}">
              <c16:uniqueId val="{00000003-04C5-4DD0-B5FE-30DB6E9D2323}"/>
            </c:ext>
          </c:extLst>
        </c:ser>
        <c:ser>
          <c:idx val="4"/>
          <c:order val="1"/>
          <c:tx>
            <c:strRef>
              <c:f>'WOODWORKS CO.'!$F$18</c:f>
              <c:strCache>
                <c:ptCount val="1"/>
                <c:pt idx="0">
                  <c:v>Total Oak</c:v>
                </c:pt>
              </c:strCache>
            </c:strRef>
          </c:tx>
          <c:spPr>
            <a:ln w="28575" cap="rnd">
              <a:solidFill>
                <a:schemeClr val="accent5"/>
              </a:solidFill>
              <a:round/>
            </a:ln>
            <a:effectLst/>
          </c:spPr>
          <c:marker>
            <c:symbol val="none"/>
          </c:marker>
          <c:cat>
            <c:numRef>
              <c:f>'WOODWORKS CO.'!$A$19:$A$23</c:f>
              <c:numCache>
                <c:formatCode>General</c:formatCode>
                <c:ptCount val="5"/>
                <c:pt idx="0">
                  <c:v>0</c:v>
                </c:pt>
                <c:pt idx="1">
                  <c:v>1</c:v>
                </c:pt>
                <c:pt idx="2">
                  <c:v>2</c:v>
                </c:pt>
                <c:pt idx="3">
                  <c:v>3</c:v>
                </c:pt>
                <c:pt idx="4">
                  <c:v>4</c:v>
                </c:pt>
              </c:numCache>
            </c:numRef>
          </c:cat>
          <c:val>
            <c:numRef>
              <c:f>'WOODWORKS CO.'!$F$19:$F$23</c:f>
              <c:numCache>
                <c:formatCode>_("$"* #,##0.00_);_("$"* \(#,##0.00\);_("$"* "-"??_);_(@_)</c:formatCode>
                <c:ptCount val="5"/>
                <c:pt idx="0">
                  <c:v>425</c:v>
                </c:pt>
                <c:pt idx="1">
                  <c:v>431.63299999999998</c:v>
                </c:pt>
                <c:pt idx="2">
                  <c:v>438.36988099999996</c:v>
                </c:pt>
                <c:pt idx="3">
                  <c:v>445.21227577699995</c:v>
                </c:pt>
                <c:pt idx="4">
                  <c:v>452.16184286720886</c:v>
                </c:pt>
              </c:numCache>
            </c:numRef>
          </c:val>
          <c:smooth val="0"/>
          <c:extLst>
            <c:ext xmlns:c16="http://schemas.microsoft.com/office/drawing/2014/chart" uri="{C3380CC4-5D6E-409C-BE32-E72D297353CC}">
              <c16:uniqueId val="{00000004-04C5-4DD0-B5FE-30DB6E9D2323}"/>
            </c:ext>
          </c:extLst>
        </c:ser>
        <c:dLbls>
          <c:showLegendKey val="0"/>
          <c:showVal val="0"/>
          <c:showCatName val="0"/>
          <c:showSerName val="0"/>
          <c:showPercent val="0"/>
          <c:showBubbleSize val="0"/>
        </c:dLbls>
        <c:smooth val="0"/>
        <c:axId val="1358602368"/>
        <c:axId val="1358619648"/>
      </c:lineChart>
      <c:catAx>
        <c:axId val="1358602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619648"/>
        <c:crosses val="autoZero"/>
        <c:auto val="1"/>
        <c:lblAlgn val="ctr"/>
        <c:lblOffset val="100"/>
        <c:noMultiLvlLbl val="0"/>
      </c:catAx>
      <c:valAx>
        <c:axId val="135861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Total Cost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60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Quality Sweater Co Response Rate (%) vs Profit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960956563989598"/>
          <c:y val="0.14114029372127274"/>
          <c:w val="0.84414848614663385"/>
          <c:h val="0.68336998006940541"/>
        </c:manualLayout>
      </c:layout>
      <c:barChart>
        <c:barDir val="col"/>
        <c:grouping val="clustered"/>
        <c:varyColors val="0"/>
        <c:ser>
          <c:idx val="0"/>
          <c:order val="0"/>
          <c:spPr>
            <a:solidFill>
              <a:schemeClr val="accent1"/>
            </a:solidFill>
            <a:ln>
              <a:noFill/>
            </a:ln>
            <a:effectLst/>
          </c:spPr>
          <c:invertIfNegative val="0"/>
          <c:cat>
            <c:numRef>
              <c:f>'QUALITY SWEATER CO'!$D$4:$D$14</c:f>
              <c:numCache>
                <c:formatCode>0.00%</c:formatCode>
                <c:ptCount val="11"/>
                <c:pt idx="0">
                  <c:v>0.03</c:v>
                </c:pt>
                <c:pt idx="1">
                  <c:v>3.5000000000000003E-2</c:v>
                </c:pt>
                <c:pt idx="2">
                  <c:v>0.04</c:v>
                </c:pt>
                <c:pt idx="3">
                  <c:v>4.4999999999999998E-2</c:v>
                </c:pt>
                <c:pt idx="4">
                  <c:v>0.05</c:v>
                </c:pt>
                <c:pt idx="5">
                  <c:v>5.5E-2</c:v>
                </c:pt>
                <c:pt idx="6">
                  <c:v>0.06</c:v>
                </c:pt>
                <c:pt idx="7">
                  <c:v>6.5000000000000002E-2</c:v>
                </c:pt>
                <c:pt idx="8">
                  <c:v>7.0000000000000007E-2</c:v>
                </c:pt>
                <c:pt idx="9">
                  <c:v>7.4999999999999997E-2</c:v>
                </c:pt>
                <c:pt idx="10">
                  <c:v>0.08</c:v>
                </c:pt>
              </c:numCache>
            </c:numRef>
          </c:cat>
          <c:val>
            <c:numRef>
              <c:f>'QUALITY SWEATER CO'!$E$4:$E$14</c:f>
              <c:numCache>
                <c:formatCode>General</c:formatCode>
                <c:ptCount val="11"/>
                <c:pt idx="0">
                  <c:v>-21600</c:v>
                </c:pt>
                <c:pt idx="1">
                  <c:v>-17700</c:v>
                </c:pt>
                <c:pt idx="2">
                  <c:v>-13800</c:v>
                </c:pt>
                <c:pt idx="3">
                  <c:v>-9900</c:v>
                </c:pt>
                <c:pt idx="4">
                  <c:v>-6000</c:v>
                </c:pt>
                <c:pt idx="5">
                  <c:v>-2100.0000000000291</c:v>
                </c:pt>
                <c:pt idx="6">
                  <c:v>1799.9999999999709</c:v>
                </c:pt>
                <c:pt idx="7">
                  <c:v>5699.9999999999709</c:v>
                </c:pt>
                <c:pt idx="8">
                  <c:v>9600</c:v>
                </c:pt>
                <c:pt idx="9">
                  <c:v>13500</c:v>
                </c:pt>
                <c:pt idx="10">
                  <c:v>17400</c:v>
                </c:pt>
              </c:numCache>
            </c:numRef>
          </c:val>
          <c:extLst>
            <c:ext xmlns:c16="http://schemas.microsoft.com/office/drawing/2014/chart" uri="{C3380CC4-5D6E-409C-BE32-E72D297353CC}">
              <c16:uniqueId val="{00000000-E0A1-403F-92D8-05AB108230D1}"/>
            </c:ext>
          </c:extLst>
        </c:ser>
        <c:dLbls>
          <c:showLegendKey val="0"/>
          <c:showVal val="0"/>
          <c:showCatName val="0"/>
          <c:showSerName val="0"/>
          <c:showPercent val="0"/>
          <c:showBubbleSize val="0"/>
        </c:dLbls>
        <c:gapWidth val="219"/>
        <c:overlap val="-27"/>
        <c:axId val="1762494879"/>
        <c:axId val="1762495839"/>
      </c:barChart>
      <c:catAx>
        <c:axId val="176249487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Response Rate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495839"/>
        <c:crosses val="autoZero"/>
        <c:auto val="1"/>
        <c:lblAlgn val="ctr"/>
        <c:lblOffset val="100"/>
        <c:noMultiLvlLbl val="0"/>
      </c:catAx>
      <c:valAx>
        <c:axId val="1762495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Profit ($)</a:t>
                </a:r>
              </a:p>
            </c:rich>
          </c:tx>
          <c:layout>
            <c:manualLayout>
              <c:xMode val="edge"/>
              <c:yMode val="edge"/>
              <c:x val="9.7869639951465911E-3"/>
              <c:y val="0.402364369049664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494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vs </a:t>
            </a:r>
            <a:r>
              <a:rPr lang="en-US"/>
              <a:t>Demand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675846147503798E-2"/>
          <c:y val="0.21524314668999708"/>
          <c:w val="0.82320897060642284"/>
          <c:h val="0.62308654126567509"/>
        </c:manualLayout>
      </c:layout>
      <c:scatterChart>
        <c:scatterStyle val="lineMarker"/>
        <c:varyColors val="0"/>
        <c:ser>
          <c:idx val="0"/>
          <c:order val="0"/>
          <c:tx>
            <c:strRef>
              <c:f>'19th HOLE'!$C$2</c:f>
              <c:strCache>
                <c:ptCount val="1"/>
                <c:pt idx="0">
                  <c:v>Demand (00s)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32253782413324"/>
                  <c:y val="-0.6268624234470691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8.3850641052067451E-2"/>
                  <c:y val="-0.52840040828229806"/>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1"/>
            <c:trendlineLbl>
              <c:layout>
                <c:manualLayout>
                  <c:x val="0.10315682071154718"/>
                  <c:y val="-0.4610702828813065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'19th HOLE'!$B$3:$B$14</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'19th HOLE'!$C$3:$C$14</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08C6-4A02-9A14-75E8FBE5405F}"/>
            </c:ext>
          </c:extLst>
        </c:ser>
        <c:dLbls>
          <c:showLegendKey val="0"/>
          <c:showVal val="0"/>
          <c:showCatName val="0"/>
          <c:showSerName val="0"/>
          <c:showPercent val="0"/>
          <c:showBubbleSize val="0"/>
        </c:dLbls>
        <c:axId val="1406968992"/>
        <c:axId val="1406969472"/>
      </c:scatterChart>
      <c:valAx>
        <c:axId val="14069689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969472"/>
        <c:crosses val="autoZero"/>
        <c:crossBetween val="midCat"/>
      </c:valAx>
      <c:valAx>
        <c:axId val="1406969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Demand (00s)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9689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HOLE'!$F$36</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'19th HOLE'!$E$37:$E$95</c:f>
              <c:numCache>
                <c:formatCode>_("$"* #,##0_);_("$"* \(#,##0\);_("$"* "-"??_);_(@_)</c:formatCode>
                <c:ptCount val="59"/>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pt idx="37">
                  <c:v>610</c:v>
                </c:pt>
                <c:pt idx="38">
                  <c:v>620</c:v>
                </c:pt>
                <c:pt idx="39">
                  <c:v>630</c:v>
                </c:pt>
                <c:pt idx="40">
                  <c:v>640</c:v>
                </c:pt>
                <c:pt idx="41">
                  <c:v>650</c:v>
                </c:pt>
                <c:pt idx="42">
                  <c:v>660</c:v>
                </c:pt>
                <c:pt idx="43">
                  <c:v>670</c:v>
                </c:pt>
                <c:pt idx="44">
                  <c:v>680</c:v>
                </c:pt>
                <c:pt idx="45">
                  <c:v>690</c:v>
                </c:pt>
                <c:pt idx="46">
                  <c:v>700</c:v>
                </c:pt>
                <c:pt idx="47">
                  <c:v>710</c:v>
                </c:pt>
                <c:pt idx="48">
                  <c:v>720</c:v>
                </c:pt>
                <c:pt idx="49">
                  <c:v>730</c:v>
                </c:pt>
                <c:pt idx="50">
                  <c:v>740</c:v>
                </c:pt>
                <c:pt idx="51">
                  <c:v>750</c:v>
                </c:pt>
                <c:pt idx="52">
                  <c:v>760</c:v>
                </c:pt>
                <c:pt idx="53">
                  <c:v>770</c:v>
                </c:pt>
                <c:pt idx="54">
                  <c:v>780</c:v>
                </c:pt>
                <c:pt idx="55">
                  <c:v>790</c:v>
                </c:pt>
                <c:pt idx="56">
                  <c:v>800</c:v>
                </c:pt>
                <c:pt idx="57">
                  <c:v>810</c:v>
                </c:pt>
                <c:pt idx="58">
                  <c:v>820</c:v>
                </c:pt>
              </c:numCache>
            </c:numRef>
          </c:xVal>
          <c:yVal>
            <c:numRef>
              <c:f>'19th HOLE'!$F$37:$F$95</c:f>
              <c:numCache>
                <c:formatCode>_("$"* #,##0_);_("$"* \(#,##0\);_("$"* "-"??_);_(@_)</c:formatCode>
                <c:ptCount val="59"/>
                <c:pt idx="0">
                  <c:v>955163.26238462282</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pt idx="37">
                  <c:v>1024731.2726827315</c:v>
                </c:pt>
                <c:pt idx="38">
                  <c:v>1021022.2237432048</c:v>
                </c:pt>
                <c:pt idx="39">
                  <c:v>1017088.2634793159</c:v>
                </c:pt>
                <c:pt idx="40">
                  <c:v>1012954.7173026291</c:v>
                </c:pt>
                <c:pt idx="41">
                  <c:v>1008644.4924491229</c:v>
                </c:pt>
                <c:pt idx="42">
                  <c:v>1004178.3234829371</c:v>
                </c:pt>
                <c:pt idx="43">
                  <c:v>999574.99043870345</c:v>
                </c:pt>
                <c:pt idx="44">
                  <c:v>994851.51295467373</c:v>
                </c:pt>
                <c:pt idx="45">
                  <c:v>990023.32329994719</c:v>
                </c:pt>
                <c:pt idx="46">
                  <c:v>985104.42081539321</c:v>
                </c:pt>
                <c:pt idx="47">
                  <c:v>980107.50995916908</c:v>
                </c:pt>
                <c:pt idx="48">
                  <c:v>975044.1238656675</c:v>
                </c:pt>
                <c:pt idx="49">
                  <c:v>969924.73508398188</c:v>
                </c:pt>
                <c:pt idx="50">
                  <c:v>964758.8549528002</c:v>
                </c:pt>
                <c:pt idx="51">
                  <c:v>959555.12288789009</c:v>
                </c:pt>
                <c:pt idx="52">
                  <c:v>954321.38670201262</c:v>
                </c:pt>
                <c:pt idx="53">
                  <c:v>949064.7749414182</c:v>
                </c:pt>
                <c:pt idx="54">
                  <c:v>943791.76210536808</c:v>
                </c:pt>
                <c:pt idx="55">
                  <c:v>938508.22751260083</c:v>
                </c:pt>
                <c:pt idx="56">
                  <c:v>933219.50848926988</c:v>
                </c:pt>
                <c:pt idx="57">
                  <c:v>927930.44847494666</c:v>
                </c:pt>
                <c:pt idx="58">
                  <c:v>922645.44057495799</c:v>
                </c:pt>
              </c:numCache>
            </c:numRef>
          </c:yVal>
          <c:smooth val="0"/>
          <c:extLst>
            <c:ext xmlns:c16="http://schemas.microsoft.com/office/drawing/2014/chart" uri="{C3380CC4-5D6E-409C-BE32-E72D297353CC}">
              <c16:uniqueId val="{00000000-F618-4CE7-BE09-61ED3342796E}"/>
            </c:ext>
          </c:extLst>
        </c:ser>
        <c:dLbls>
          <c:showLegendKey val="0"/>
          <c:showVal val="0"/>
          <c:showCatName val="0"/>
          <c:showSerName val="0"/>
          <c:showPercent val="0"/>
          <c:showBubbleSize val="0"/>
        </c:dLbls>
        <c:axId val="1369936367"/>
        <c:axId val="1369934927"/>
      </c:scatterChart>
      <c:valAx>
        <c:axId val="1369936367"/>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34927"/>
        <c:crosses val="autoZero"/>
        <c:crossBetween val="midCat"/>
      </c:valAx>
      <c:valAx>
        <c:axId val="136993492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363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 analysis'!$C$1</c:f>
              <c:strCache>
                <c:ptCount val="1"/>
                <c:pt idx="0">
                  <c:v> Average of Seasonally Adjusted Sales (USD) </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layout>
                <c:manualLayout>
                  <c:x val="0.19876159230096238"/>
                  <c:y val="-8.37500000000000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'Sales analysis'!$B$2:$B$21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'Sales analysis'!$C$2:$C$21</c:f>
              <c:numCache>
                <c:formatCode>_("$"* #,##0.00_);_("$"* \(#,##0.00\);_("$"* "-"??_);_(@_)</c:formatCode>
                <c:ptCount val="20"/>
                <c:pt idx="0">
                  <c:v>150781.17000000001</c:v>
                </c:pt>
                <c:pt idx="1">
                  <c:v>161696.25</c:v>
                </c:pt>
                <c:pt idx="2">
                  <c:v>175688.83</c:v>
                </c:pt>
                <c:pt idx="3">
                  <c:v>185437.25</c:v>
                </c:pt>
                <c:pt idx="4">
                  <c:v>196728.17</c:v>
                </c:pt>
                <c:pt idx="5">
                  <c:v>206334.07999999999</c:v>
                </c:pt>
                <c:pt idx="6">
                  <c:v>215657.67</c:v>
                </c:pt>
                <c:pt idx="7">
                  <c:v>233872</c:v>
                </c:pt>
                <c:pt idx="8">
                  <c:v>248748.25</c:v>
                </c:pt>
                <c:pt idx="9">
                  <c:v>255663.75</c:v>
                </c:pt>
                <c:pt idx="10">
                  <c:v>261272.42</c:v>
                </c:pt>
                <c:pt idx="11">
                  <c:v>272232.5</c:v>
                </c:pt>
                <c:pt idx="12">
                  <c:v>288987.5</c:v>
                </c:pt>
                <c:pt idx="13">
                  <c:v>307826.08</c:v>
                </c:pt>
                <c:pt idx="14">
                  <c:v>323823.08</c:v>
                </c:pt>
                <c:pt idx="15">
                  <c:v>334008</c:v>
                </c:pt>
                <c:pt idx="16">
                  <c:v>328780.33</c:v>
                </c:pt>
                <c:pt idx="17">
                  <c:v>303288.92</c:v>
                </c:pt>
                <c:pt idx="18">
                  <c:v>323964.17</c:v>
                </c:pt>
                <c:pt idx="19">
                  <c:v>349717.75</c:v>
                </c:pt>
              </c:numCache>
            </c:numRef>
          </c:yVal>
          <c:smooth val="0"/>
          <c:extLst>
            <c:ext xmlns:c16="http://schemas.microsoft.com/office/drawing/2014/chart" uri="{C3380CC4-5D6E-409C-BE32-E72D297353CC}">
              <c16:uniqueId val="{00000000-3428-4B8E-8415-57C655F69336}"/>
            </c:ext>
          </c:extLst>
        </c:ser>
        <c:dLbls>
          <c:showLegendKey val="0"/>
          <c:showVal val="0"/>
          <c:showCatName val="0"/>
          <c:showSerName val="0"/>
          <c:showPercent val="0"/>
          <c:showBubbleSize val="0"/>
        </c:dLbls>
        <c:axId val="1164696671"/>
        <c:axId val="1164697151"/>
      </c:scatterChart>
      <c:valAx>
        <c:axId val="1164696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697151"/>
        <c:crosses val="autoZero"/>
        <c:crossBetween val="midCat"/>
      </c:valAx>
      <c:valAx>
        <c:axId val="11646971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69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Capital Expenditure for all</a:t>
            </a:r>
            <a:r>
              <a:rPr lang="en-US" baseline="0"/>
              <a:t> Functional Area Approved Projects Y1-Y3 </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'[1]Project Model'!$N$26</c:f>
              <c:strCache>
                <c:ptCount val="1"/>
                <c:pt idx="0">
                  <c:v>FA 1 </c:v>
                </c:pt>
              </c:strCache>
            </c:strRef>
          </c:tx>
          <c:spPr>
            <a:ln w="28575" cap="rnd">
              <a:solidFill>
                <a:schemeClr val="accent1"/>
              </a:solidFill>
              <a:round/>
            </a:ln>
            <a:effectLst/>
          </c:spPr>
          <c:marker>
            <c:symbol val="none"/>
          </c:marker>
          <c:cat>
            <c:strRef>
              <c:f>'[1]Project Model'!$O$25:$Q$25</c:f>
              <c:strCache>
                <c:ptCount val="3"/>
                <c:pt idx="0">
                  <c:v>Year 1</c:v>
                </c:pt>
                <c:pt idx="1">
                  <c:v>Year 2 </c:v>
                </c:pt>
                <c:pt idx="2">
                  <c:v>Year 3 </c:v>
                </c:pt>
              </c:strCache>
            </c:strRef>
          </c:cat>
          <c:val>
            <c:numRef>
              <c:f>'[1]Project Model'!$O$26:$Q$26</c:f>
              <c:numCache>
                <c:formatCode>General</c:formatCode>
                <c:ptCount val="3"/>
                <c:pt idx="0">
                  <c:v>1065</c:v>
                </c:pt>
                <c:pt idx="1">
                  <c:v>899</c:v>
                </c:pt>
                <c:pt idx="2">
                  <c:v>999</c:v>
                </c:pt>
              </c:numCache>
            </c:numRef>
          </c:val>
          <c:smooth val="0"/>
          <c:extLst>
            <c:ext xmlns:c16="http://schemas.microsoft.com/office/drawing/2014/chart" uri="{C3380CC4-5D6E-409C-BE32-E72D297353CC}">
              <c16:uniqueId val="{00000000-26C3-429B-9AC4-BFE7323E22D9}"/>
            </c:ext>
          </c:extLst>
        </c:ser>
        <c:ser>
          <c:idx val="1"/>
          <c:order val="1"/>
          <c:tx>
            <c:strRef>
              <c:f>'[1]Project Model'!$N$27</c:f>
              <c:strCache>
                <c:ptCount val="1"/>
                <c:pt idx="0">
                  <c:v>FA 2</c:v>
                </c:pt>
              </c:strCache>
            </c:strRef>
          </c:tx>
          <c:spPr>
            <a:ln w="28575" cap="rnd">
              <a:solidFill>
                <a:schemeClr val="accent2"/>
              </a:solidFill>
              <a:round/>
            </a:ln>
            <a:effectLst/>
          </c:spPr>
          <c:marker>
            <c:symbol val="none"/>
          </c:marker>
          <c:cat>
            <c:strRef>
              <c:f>'[1]Project Model'!$O$25:$Q$25</c:f>
              <c:strCache>
                <c:ptCount val="3"/>
                <c:pt idx="0">
                  <c:v>Year 1</c:v>
                </c:pt>
                <c:pt idx="1">
                  <c:v>Year 2 </c:v>
                </c:pt>
                <c:pt idx="2">
                  <c:v>Year 3 </c:v>
                </c:pt>
              </c:strCache>
            </c:strRef>
          </c:cat>
          <c:val>
            <c:numRef>
              <c:f>'[1]Project Model'!$O$27:$Q$27</c:f>
              <c:numCache>
                <c:formatCode>General</c:formatCode>
                <c:ptCount val="3"/>
                <c:pt idx="0">
                  <c:v>2318</c:v>
                </c:pt>
                <c:pt idx="1">
                  <c:v>2002</c:v>
                </c:pt>
                <c:pt idx="2">
                  <c:v>1586</c:v>
                </c:pt>
              </c:numCache>
            </c:numRef>
          </c:val>
          <c:smooth val="0"/>
          <c:extLst>
            <c:ext xmlns:c16="http://schemas.microsoft.com/office/drawing/2014/chart" uri="{C3380CC4-5D6E-409C-BE32-E72D297353CC}">
              <c16:uniqueId val="{00000001-26C3-429B-9AC4-BFE7323E22D9}"/>
            </c:ext>
          </c:extLst>
        </c:ser>
        <c:ser>
          <c:idx val="2"/>
          <c:order val="2"/>
          <c:tx>
            <c:strRef>
              <c:f>'[1]Project Model'!$N$28</c:f>
              <c:strCache>
                <c:ptCount val="1"/>
                <c:pt idx="0">
                  <c:v>FA 3</c:v>
                </c:pt>
              </c:strCache>
            </c:strRef>
          </c:tx>
          <c:spPr>
            <a:ln w="28575" cap="rnd">
              <a:solidFill>
                <a:schemeClr val="accent4"/>
              </a:solidFill>
              <a:round/>
            </a:ln>
            <a:effectLst/>
          </c:spPr>
          <c:marker>
            <c:symbol val="none"/>
          </c:marker>
          <c:cat>
            <c:strRef>
              <c:f>'[1]Project Model'!$O$25:$Q$25</c:f>
              <c:strCache>
                <c:ptCount val="3"/>
                <c:pt idx="0">
                  <c:v>Year 1</c:v>
                </c:pt>
                <c:pt idx="1">
                  <c:v>Year 2 </c:v>
                </c:pt>
                <c:pt idx="2">
                  <c:v>Year 3 </c:v>
                </c:pt>
              </c:strCache>
            </c:strRef>
          </c:cat>
          <c:val>
            <c:numRef>
              <c:f>'[1]Project Model'!$O$28:$Q$28</c:f>
              <c:numCache>
                <c:formatCode>General</c:formatCode>
                <c:ptCount val="3"/>
                <c:pt idx="0">
                  <c:v>350</c:v>
                </c:pt>
                <c:pt idx="1">
                  <c:v>250</c:v>
                </c:pt>
                <c:pt idx="2">
                  <c:v>150</c:v>
                </c:pt>
              </c:numCache>
            </c:numRef>
          </c:val>
          <c:smooth val="0"/>
          <c:extLst>
            <c:ext xmlns:c16="http://schemas.microsoft.com/office/drawing/2014/chart" uri="{C3380CC4-5D6E-409C-BE32-E72D297353CC}">
              <c16:uniqueId val="{00000002-26C3-429B-9AC4-BFE7323E22D9}"/>
            </c:ext>
          </c:extLst>
        </c:ser>
        <c:dLbls>
          <c:showLegendKey val="0"/>
          <c:showVal val="0"/>
          <c:showCatName val="0"/>
          <c:showSerName val="0"/>
          <c:showPercent val="0"/>
          <c:showBubbleSize val="0"/>
        </c:dLbls>
        <c:smooth val="0"/>
        <c:axId val="777905663"/>
        <c:axId val="385340159"/>
      </c:lineChart>
      <c:catAx>
        <c:axId val="777905663"/>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Number</a:t>
                </a:r>
                <a:r>
                  <a:rPr lang="en-US" baseline="0"/>
                  <a:t> of Years </a:t>
                </a:r>
                <a:endParaRPr lang="en-US"/>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85340159"/>
        <c:crosses val="autoZero"/>
        <c:auto val="1"/>
        <c:lblAlgn val="ctr"/>
        <c:lblOffset val="100"/>
        <c:noMultiLvlLbl val="0"/>
      </c:catAx>
      <c:valAx>
        <c:axId val="38534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Capital Expenditure ($ - in millions)</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7790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2fffea44-d545-441a-ba94-73861ea572be}"/>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effectLst/>
              </a:rPr>
              <a:t>Capital</a:t>
            </a:r>
            <a:r>
              <a:rPr lang="en-US" baseline="0">
                <a:effectLst/>
              </a:rPr>
              <a:t> Expenditure for FA 1 Approved Projects Y1-Y3</a:t>
            </a:r>
            <a:endParaRPr lang="en-US">
              <a:effectLst/>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'[1]Project Model'!$N$26</c:f>
              <c:strCache>
                <c:ptCount val="1"/>
                <c:pt idx="0">
                  <c:v>FA 1 </c:v>
                </c:pt>
              </c:strCache>
            </c:strRef>
          </c:tx>
          <c:spPr>
            <a:ln w="28575" cap="rnd">
              <a:solidFill>
                <a:schemeClr val="accent1"/>
              </a:solidFill>
              <a:round/>
            </a:ln>
            <a:effectLst/>
          </c:spPr>
          <c:marker>
            <c:symbol val="none"/>
          </c:marker>
          <c:cat>
            <c:strRef>
              <c:f>'[1]Project Model'!$O$25:$Q$25</c:f>
              <c:strCache>
                <c:ptCount val="3"/>
                <c:pt idx="0">
                  <c:v>Year 1</c:v>
                </c:pt>
                <c:pt idx="1">
                  <c:v>Year 2 </c:v>
                </c:pt>
                <c:pt idx="2">
                  <c:v>Year 3 </c:v>
                </c:pt>
              </c:strCache>
            </c:strRef>
          </c:cat>
          <c:val>
            <c:numRef>
              <c:f>'[1]Project Model'!$O$26:$Q$26</c:f>
              <c:numCache>
                <c:formatCode>General</c:formatCode>
                <c:ptCount val="3"/>
                <c:pt idx="0">
                  <c:v>1065</c:v>
                </c:pt>
                <c:pt idx="1">
                  <c:v>899</c:v>
                </c:pt>
                <c:pt idx="2">
                  <c:v>999</c:v>
                </c:pt>
              </c:numCache>
            </c:numRef>
          </c:val>
          <c:smooth val="0"/>
          <c:extLst>
            <c:ext xmlns:c16="http://schemas.microsoft.com/office/drawing/2014/chart" uri="{C3380CC4-5D6E-409C-BE32-E72D297353CC}">
              <c16:uniqueId val="{00000000-5415-4DDF-ABE6-A191ACD1706A}"/>
            </c:ext>
          </c:extLst>
        </c:ser>
        <c:dLbls>
          <c:showLegendKey val="0"/>
          <c:showVal val="0"/>
          <c:showCatName val="0"/>
          <c:showSerName val="0"/>
          <c:showPercent val="0"/>
          <c:showBubbleSize val="0"/>
        </c:dLbls>
        <c:smooth val="0"/>
        <c:axId val="391943071"/>
        <c:axId val="398807599"/>
      </c:lineChart>
      <c:catAx>
        <c:axId val="391943071"/>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Number of Years </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98807599"/>
        <c:crosses val="autoZero"/>
        <c:auto val="1"/>
        <c:lblAlgn val="ctr"/>
        <c:lblOffset val="100"/>
        <c:noMultiLvlLbl val="0"/>
      </c:catAx>
      <c:valAx>
        <c:axId val="398807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Capital Expenditure ($ - millions</a:t>
                </a:r>
                <a:r>
                  <a:rPr lang="en-US" baseline="0"/>
                  <a:t>)</a:t>
                </a:r>
                <a:endParaRPr lang="en-US"/>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91943071"/>
        <c:crosses val="autoZero"/>
        <c:crossBetween val="between"/>
      </c:valAx>
      <c:spPr>
        <a:noFill/>
        <a:ln>
          <a:noFill/>
        </a:ln>
        <a:effectLst/>
      </c:spPr>
    </c:plotArea>
    <c:plotVisOnly val="1"/>
    <c:dispBlanksAs val="gap"/>
    <c:showDLblsOverMax val="0"/>
    <c:extLst>
      <c:ext uri="{0b15fc19-7d7d-44ad-8c2d-2c3a37ce22c3}">
        <chartProps xmlns="https://web.wps.cn/et/2018/main" chartId="{d8714436-3e7d-4a95-8b9d-174ed4ad992f}"/>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Capital Expenditure for FA 2 Approved Projects Y1</a:t>
            </a:r>
            <a:r>
              <a:rPr lang="en-US" baseline="0"/>
              <a:t>-Y3</a:t>
            </a:r>
            <a:endParaRPr lang="en-US"/>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'[1]Project Model'!$N$27</c:f>
              <c:strCache>
                <c:ptCount val="1"/>
                <c:pt idx="0">
                  <c:v>FA 2</c:v>
                </c:pt>
              </c:strCache>
            </c:strRef>
          </c:tx>
          <c:spPr>
            <a:ln w="28575" cap="rnd">
              <a:solidFill>
                <a:schemeClr val="accent2"/>
              </a:solidFill>
              <a:round/>
            </a:ln>
            <a:effectLst/>
          </c:spPr>
          <c:marker>
            <c:symbol val="none"/>
          </c:marker>
          <c:cat>
            <c:strRef>
              <c:f>'[1]Project Model'!$O$25:$Q$25</c:f>
              <c:strCache>
                <c:ptCount val="3"/>
                <c:pt idx="0">
                  <c:v>Year 1</c:v>
                </c:pt>
                <c:pt idx="1">
                  <c:v>Year 2 </c:v>
                </c:pt>
                <c:pt idx="2">
                  <c:v>Year 3 </c:v>
                </c:pt>
              </c:strCache>
            </c:strRef>
          </c:cat>
          <c:val>
            <c:numRef>
              <c:f>'[1]Project Model'!$O$27:$Q$27</c:f>
              <c:numCache>
                <c:formatCode>General</c:formatCode>
                <c:ptCount val="3"/>
                <c:pt idx="0">
                  <c:v>2318</c:v>
                </c:pt>
                <c:pt idx="1">
                  <c:v>2002</c:v>
                </c:pt>
                <c:pt idx="2">
                  <c:v>1586</c:v>
                </c:pt>
              </c:numCache>
            </c:numRef>
          </c:val>
          <c:smooth val="0"/>
          <c:extLst>
            <c:ext xmlns:c16="http://schemas.microsoft.com/office/drawing/2014/chart" uri="{C3380CC4-5D6E-409C-BE32-E72D297353CC}">
              <c16:uniqueId val="{00000000-FEE3-417E-BE8E-C03B3CBA066D}"/>
            </c:ext>
          </c:extLst>
        </c:ser>
        <c:dLbls>
          <c:showLegendKey val="0"/>
          <c:showVal val="0"/>
          <c:showCatName val="0"/>
          <c:showSerName val="0"/>
          <c:showPercent val="0"/>
          <c:showBubbleSize val="0"/>
        </c:dLbls>
        <c:smooth val="0"/>
        <c:axId val="783866735"/>
        <c:axId val="783865295"/>
      </c:lineChart>
      <c:catAx>
        <c:axId val="783866735"/>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Number of Years</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83865295"/>
        <c:crosses val="autoZero"/>
        <c:auto val="1"/>
        <c:lblAlgn val="ctr"/>
        <c:lblOffset val="100"/>
        <c:noMultiLvlLbl val="0"/>
      </c:catAx>
      <c:valAx>
        <c:axId val="783865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Capital Expenditure ($ - in millions)</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83866735"/>
        <c:crosses val="autoZero"/>
        <c:crossBetween val="between"/>
      </c:valAx>
      <c:spPr>
        <a:noFill/>
        <a:ln>
          <a:noFill/>
        </a:ln>
        <a:effectLst/>
      </c:spPr>
    </c:plotArea>
    <c:plotVisOnly val="1"/>
    <c:dispBlanksAs val="gap"/>
    <c:showDLblsOverMax val="0"/>
    <c:extLst>
      <c:ext uri="{0b15fc19-7d7d-44ad-8c2d-2c3a37ce22c3}">
        <chartProps xmlns="https://web.wps.cn/et/2018/main" chartId="{c5408a1a-8880-49d3-88c0-1b95e3bf867c}"/>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Capital Expenditure for FA 3 Approved</a:t>
            </a:r>
            <a:r>
              <a:rPr lang="en-US" baseline="0"/>
              <a:t> Projects</a:t>
            </a:r>
            <a:r>
              <a:rPr lang="en-US"/>
              <a:t> Y1 - Y3 </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'[1]Project Model'!$N$28</c:f>
              <c:strCache>
                <c:ptCount val="1"/>
                <c:pt idx="0">
                  <c:v>FA 3</c:v>
                </c:pt>
              </c:strCache>
            </c:strRef>
          </c:tx>
          <c:spPr>
            <a:ln w="28575" cap="rnd">
              <a:solidFill>
                <a:schemeClr val="accent4"/>
              </a:solidFill>
              <a:round/>
            </a:ln>
            <a:effectLst/>
          </c:spPr>
          <c:marker>
            <c:symbol val="none"/>
          </c:marker>
          <c:cat>
            <c:strRef>
              <c:f>'[1]Project Model'!$O$25:$Q$25</c:f>
              <c:strCache>
                <c:ptCount val="3"/>
                <c:pt idx="0">
                  <c:v>Year 1</c:v>
                </c:pt>
                <c:pt idx="1">
                  <c:v>Year 2 </c:v>
                </c:pt>
                <c:pt idx="2">
                  <c:v>Year 3 </c:v>
                </c:pt>
              </c:strCache>
            </c:strRef>
          </c:cat>
          <c:val>
            <c:numRef>
              <c:f>'[1]Project Model'!$O$28:$Q$28</c:f>
              <c:numCache>
                <c:formatCode>General</c:formatCode>
                <c:ptCount val="3"/>
                <c:pt idx="0">
                  <c:v>350</c:v>
                </c:pt>
                <c:pt idx="1">
                  <c:v>250</c:v>
                </c:pt>
                <c:pt idx="2">
                  <c:v>150</c:v>
                </c:pt>
              </c:numCache>
            </c:numRef>
          </c:val>
          <c:smooth val="0"/>
          <c:extLst>
            <c:ext xmlns:c16="http://schemas.microsoft.com/office/drawing/2014/chart" uri="{C3380CC4-5D6E-409C-BE32-E72D297353CC}">
              <c16:uniqueId val="{00000000-759B-438B-B0F7-C25B1CFB9771}"/>
            </c:ext>
          </c:extLst>
        </c:ser>
        <c:dLbls>
          <c:showLegendKey val="0"/>
          <c:showVal val="0"/>
          <c:showCatName val="0"/>
          <c:showSerName val="0"/>
          <c:showPercent val="0"/>
          <c:showBubbleSize val="0"/>
        </c:dLbls>
        <c:smooth val="0"/>
        <c:axId val="721630639"/>
        <c:axId val="721475935"/>
      </c:lineChart>
      <c:catAx>
        <c:axId val="721630639"/>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Number</a:t>
                </a:r>
                <a:r>
                  <a:rPr lang="en-US" baseline="0"/>
                  <a:t> of Years</a:t>
                </a:r>
                <a:endParaRPr lang="en-US"/>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21475935"/>
        <c:crosses val="autoZero"/>
        <c:auto val="1"/>
        <c:lblAlgn val="ctr"/>
        <c:lblOffset val="100"/>
        <c:noMultiLvlLbl val="0"/>
      </c:catAx>
      <c:valAx>
        <c:axId val="721475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r>
                  <a:rPr lang="en-US"/>
                  <a:t>Capital</a:t>
                </a:r>
                <a:r>
                  <a:rPr lang="en-US" baseline="0"/>
                  <a:t> Expenditure ($ - in millions)</a:t>
                </a:r>
                <a:endParaRPr lang="en-US"/>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21630639"/>
        <c:crosses val="autoZero"/>
        <c:crossBetween val="between"/>
      </c:valAx>
      <c:spPr>
        <a:noFill/>
        <a:ln>
          <a:noFill/>
        </a:ln>
        <a:effectLst/>
      </c:spPr>
    </c:plotArea>
    <c:plotVisOnly val="1"/>
    <c:dispBlanksAs val="gap"/>
    <c:showDLblsOverMax val="0"/>
    <c:extLst>
      <c:ext uri="{0b15fc19-7d7d-44ad-8c2d-2c3a37ce22c3}">
        <chartProps xmlns="https://web.wps.cn/et/2018/main" chartId="{b5be9971-4d14-4886-a95f-18d66ebd444f}"/>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7.png"/></Relationships>
</file>

<file path=xl/drawings/_rels/drawing22.xml.rels><?xml version="1.0" encoding="UTF-8" standalone="yes"?>
<Relationships xmlns="http://schemas.openxmlformats.org/package/2006/relationships"><Relationship Id="rId1" Type="http://schemas.openxmlformats.org/officeDocument/2006/relationships/image" Target="../media/image8.png"/></Relationships>
</file>

<file path=xl/drawings/_rels/drawing23.xml.rels><?xml version="1.0" encoding="UTF-8" standalone="yes"?>
<Relationships xmlns="http://schemas.openxmlformats.org/package/2006/relationships"><Relationship Id="rId1" Type="http://schemas.openxmlformats.org/officeDocument/2006/relationships/image" Target="../media/image9.png"/></Relationships>
</file>

<file path=xl/drawings/_rels/drawing2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30.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247650</xdr:colOff>
      <xdr:row>0</xdr:row>
      <xdr:rowOff>139700</xdr:rowOff>
    </xdr:from>
    <xdr:to>
      <xdr:col>12</xdr:col>
      <xdr:colOff>546100</xdr:colOff>
      <xdr:row>11</xdr:row>
      <xdr:rowOff>50800</xdr:rowOff>
    </xdr:to>
    <xdr:sp macro="" textlink="">
      <xdr:nvSpPr>
        <xdr:cNvPr id="2" name="TextBox 1">
          <a:extLst>
            <a:ext uri="{FF2B5EF4-FFF2-40B4-BE49-F238E27FC236}">
              <a16:creationId xmlns:a16="http://schemas.microsoft.com/office/drawing/2014/main" id="{1E3E66F5-6821-4112-B55E-679AFD95DDCD}"/>
            </a:ext>
          </a:extLst>
        </xdr:cNvPr>
        <xdr:cNvSpPr txBox="1"/>
      </xdr:nvSpPr>
      <xdr:spPr>
        <a:xfrm>
          <a:off x="5124450" y="139700"/>
          <a:ext cx="4584700" cy="193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A brokerage firm has been instructed by a client to invest $250,000. The client requests the firm select whatever stocks and bonds they believe are well-rated, but with the following guidelines:</a:t>
          </a:r>
        </a:p>
        <a:p>
          <a:r>
            <a:rPr lang="en-US" sz="1100" b="0" i="0">
              <a:solidFill>
                <a:schemeClr val="dk1"/>
              </a:solidFill>
              <a:effectLst/>
              <a:latin typeface="+mn-lt"/>
              <a:ea typeface="+mn-ea"/>
              <a:cs typeface="+mn-cs"/>
            </a:rPr>
            <a:t>Municipal bonds constitute at least 20% of investment.</a:t>
          </a:r>
        </a:p>
        <a:p>
          <a:r>
            <a:rPr lang="en-US" sz="1100" b="0" i="0">
              <a:solidFill>
                <a:schemeClr val="dk1"/>
              </a:solidFill>
              <a:effectLst/>
              <a:latin typeface="+mn-lt"/>
              <a:ea typeface="+mn-ea"/>
              <a:cs typeface="+mn-cs"/>
            </a:rPr>
            <a:t>At least 40% of the investment is placed in tech stocks.</a:t>
          </a:r>
        </a:p>
        <a:p>
          <a:r>
            <a:rPr lang="en-US" sz="1100" b="0" i="0">
              <a:solidFill>
                <a:schemeClr val="dk1"/>
              </a:solidFill>
              <a:effectLst/>
              <a:latin typeface="+mn-lt"/>
              <a:ea typeface="+mn-ea"/>
              <a:cs typeface="+mn-cs"/>
            </a:rPr>
            <a:t>No more than 50% of the amount invested in municipal bonds should be high risk.</a:t>
          </a:r>
        </a:p>
        <a:p>
          <a:r>
            <a:rPr lang="en-US" sz="1100" b="0" i="0">
              <a:solidFill>
                <a:schemeClr val="dk1"/>
              </a:solidFill>
              <a:effectLst/>
              <a:latin typeface="+mn-lt"/>
              <a:ea typeface="+mn-ea"/>
              <a:cs typeface="+mn-cs"/>
            </a:rPr>
            <a:t>The table below lists the rate of return for five different investment options.</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254000</xdr:colOff>
      <xdr:row>0</xdr:row>
      <xdr:rowOff>165100</xdr:rowOff>
    </xdr:from>
    <xdr:to>
      <xdr:col>12</xdr:col>
      <xdr:colOff>501650</xdr:colOff>
      <xdr:row>14</xdr:row>
      <xdr:rowOff>127000</xdr:rowOff>
    </xdr:to>
    <xdr:sp macro="" textlink="">
      <xdr:nvSpPr>
        <xdr:cNvPr id="2" name="TextBox 1">
          <a:extLst>
            <a:ext uri="{FF2B5EF4-FFF2-40B4-BE49-F238E27FC236}">
              <a16:creationId xmlns:a16="http://schemas.microsoft.com/office/drawing/2014/main" id="{09C1037F-F678-07EF-A8C0-2D70550D7932}"/>
            </a:ext>
          </a:extLst>
        </xdr:cNvPr>
        <xdr:cNvSpPr txBox="1"/>
      </xdr:nvSpPr>
      <xdr:spPr>
        <a:xfrm>
          <a:off x="3848100" y="165100"/>
          <a:ext cx="5124450" cy="254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kern="1200"/>
            <a:t>NCAA</a:t>
          </a:r>
          <a:r>
            <a:rPr lang="en-US" sz="1400" b="1" kern="1200" baseline="0"/>
            <a:t> T-SHIRT VENDOR</a:t>
          </a:r>
          <a:r>
            <a:rPr lang="en-US" sz="1400" b="1" kern="1200"/>
            <a:t> </a:t>
          </a:r>
          <a:r>
            <a:rPr lang="en-US" sz="1100" kern="1200"/>
            <a:t>    </a:t>
          </a:r>
        </a:p>
        <a:p>
          <a:r>
            <a:rPr lang="en-US" sz="1100" kern="1200"/>
            <a:t>                                                                                                                                                                                                      Randy is a t-shirt vendor who plans to order t-shirts with the names of the NCAA final four teams from a manufacturer and then sell them to fans.  The fixed cost of any order is $750 (no matter how many shirts he orders). The variable cost per T-shirt to Randy is $8, and Randy’s selling price is $18.  However, this price will be charged only until a week after the tournament. After that time, Randy figures that the interest in the t-shirts will be low, so he plans to sell all remaining t-shirts, if any, at $6 each.  His best guess is that the demand for the t-shirts during the full price period will be 1500.  He is thinking about ordering 1450 t-shirts, but he wants to build a spreadsheet model that will let him experiment with the uncertain demand and his order quantity.  How should he proceed?</a:t>
          </a:r>
        </a:p>
        <a:p>
          <a:endParaRPr lang="en-US" sz="1100" kern="1200"/>
        </a:p>
        <a:p>
          <a:r>
            <a:rPr lang="en-US" sz="1100" b="1" kern="1200"/>
            <a:t>Build a spreadsheet to model the scenario.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23</xdr:row>
      <xdr:rowOff>137589</xdr:rowOff>
    </xdr:from>
    <xdr:to>
      <xdr:col>6</xdr:col>
      <xdr:colOff>304800</xdr:colOff>
      <xdr:row>38</xdr:row>
      <xdr:rowOff>118539</xdr:rowOff>
    </xdr:to>
    <xdr:graphicFrame macro="">
      <xdr:nvGraphicFramePr>
        <xdr:cNvPr id="3" name="Chart 2">
          <a:extLst>
            <a:ext uri="{FF2B5EF4-FFF2-40B4-BE49-F238E27FC236}">
              <a16:creationId xmlns:a16="http://schemas.microsoft.com/office/drawing/2014/main" id="{B9794FD9-58C9-BB34-D9D8-0CCAB4B97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189149</xdr:colOff>
      <xdr:row>4</xdr:row>
      <xdr:rowOff>60798</xdr:rowOff>
    </xdr:from>
    <xdr:ext cx="184731" cy="264560"/>
    <xdr:sp macro="" textlink="">
      <xdr:nvSpPr>
        <xdr:cNvPr id="2" name="TextBox 1">
          <a:extLst>
            <a:ext uri="{FF2B5EF4-FFF2-40B4-BE49-F238E27FC236}">
              <a16:creationId xmlns:a16="http://schemas.microsoft.com/office/drawing/2014/main" id="{42618E23-9906-EA75-DC40-973565813733}"/>
            </a:ext>
          </a:extLst>
        </xdr:cNvPr>
        <xdr:cNvSpPr txBox="1"/>
      </xdr:nvSpPr>
      <xdr:spPr>
        <a:xfrm>
          <a:off x="3850532" y="79037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twoCellAnchor>
    <xdr:from>
      <xdr:col>6</xdr:col>
      <xdr:colOff>114839</xdr:colOff>
      <xdr:row>0</xdr:row>
      <xdr:rowOff>168882</xdr:rowOff>
    </xdr:from>
    <xdr:to>
      <xdr:col>14</xdr:col>
      <xdr:colOff>236436</xdr:colOff>
      <xdr:row>13</xdr:row>
      <xdr:rowOff>175638</xdr:rowOff>
    </xdr:to>
    <xdr:sp macro="" textlink="">
      <xdr:nvSpPr>
        <xdr:cNvPr id="4" name="TextBox 3">
          <a:extLst>
            <a:ext uri="{FF2B5EF4-FFF2-40B4-BE49-F238E27FC236}">
              <a16:creationId xmlns:a16="http://schemas.microsoft.com/office/drawing/2014/main" id="{9EB3F208-9428-927C-F978-96BA221F0B43}"/>
            </a:ext>
          </a:extLst>
        </xdr:cNvPr>
        <xdr:cNvSpPr txBox="1"/>
      </xdr:nvSpPr>
      <xdr:spPr>
        <a:xfrm>
          <a:off x="4384201" y="168882"/>
          <a:ext cx="5215107" cy="23778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t>WOODWORKS</a:t>
          </a:r>
          <a:r>
            <a:rPr lang="en-US" sz="1800" b="1" kern="1200" baseline="0"/>
            <a:t> COMPANY</a:t>
          </a:r>
          <a:r>
            <a:rPr lang="en-US" sz="1800" b="1" kern="1200"/>
            <a:t>                                                                                                                                                                                                                                                                                                                                                              </a:t>
          </a:r>
        </a:p>
        <a:p>
          <a:endParaRPr lang="en-US" sz="1800" b="1" kern="1200"/>
        </a:p>
        <a:p>
          <a:r>
            <a:rPr lang="en-US" sz="1100" kern="1200"/>
            <a:t>The Woodworks Company produces a variety of custom-designed wood furniture, made from either cherry or oak. The company knows that wood prices and labor costs are likely to increase in the future. The table below shows the number of board-feet and labor hours required for a bookshelf, the current costs per board-foot and labor hour, and the anticipated annual increases in these costs.</a:t>
          </a:r>
        </a:p>
        <a:p>
          <a:endParaRPr lang="en-US" sz="1100" kern="1200"/>
        </a:p>
        <a:p>
          <a:r>
            <a:rPr lang="en-US" sz="1100" kern="1200"/>
            <a:t>Build a spreadsheet model that enables the company to experiment with the growth rates in wood and labor costs so that a manager can see, both numerically and graphically, how the costs of bookshelves vary in the next few years.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172070</xdr:colOff>
      <xdr:row>2</xdr:row>
      <xdr:rowOff>10552</xdr:rowOff>
    </xdr:from>
    <xdr:to>
      <xdr:col>13</xdr:col>
      <xdr:colOff>457820</xdr:colOff>
      <xdr:row>16</xdr:row>
      <xdr:rowOff>173974</xdr:rowOff>
    </xdr:to>
    <xdr:graphicFrame macro="">
      <xdr:nvGraphicFramePr>
        <xdr:cNvPr id="2" name="Chart 1">
          <a:extLst>
            <a:ext uri="{FF2B5EF4-FFF2-40B4-BE49-F238E27FC236}">
              <a16:creationId xmlns:a16="http://schemas.microsoft.com/office/drawing/2014/main" id="{6960FC6F-3239-3000-8265-3E28A5C0A6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2</xdr:row>
      <xdr:rowOff>-1</xdr:rowOff>
    </xdr:from>
    <xdr:to>
      <xdr:col>26</xdr:col>
      <xdr:colOff>197069</xdr:colOff>
      <xdr:row>22</xdr:row>
      <xdr:rowOff>7299</xdr:rowOff>
    </xdr:to>
    <xdr:sp macro="" textlink="">
      <xdr:nvSpPr>
        <xdr:cNvPr id="2049" name="Text Box 1">
          <a:extLst>
            <a:ext uri="{FF2B5EF4-FFF2-40B4-BE49-F238E27FC236}">
              <a16:creationId xmlns:a16="http://schemas.microsoft.com/office/drawing/2014/main" id="{2C91E746-C9F6-29CD-AE46-74BCED90630C}"/>
            </a:ext>
          </a:extLst>
        </xdr:cNvPr>
        <xdr:cNvSpPr txBox="1">
          <a:spLocks noChangeArrowheads="1"/>
        </xdr:cNvSpPr>
      </xdr:nvSpPr>
      <xdr:spPr bwMode="auto">
        <a:xfrm>
          <a:off x="10503046" y="364942"/>
          <a:ext cx="5598218" cy="3656725"/>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US" sz="1100" b="0" i="0" u="none" strike="noStrike" baseline="0">
              <a:solidFill>
                <a:srgbClr val="000000"/>
              </a:solidFill>
              <a:latin typeface="Aptos Narrow"/>
            </a:rPr>
            <a:t> </a:t>
          </a:r>
          <a:r>
            <a:rPr lang="en-US" sz="1800" b="1" i="0" u="none" strike="noStrike" baseline="0">
              <a:solidFill>
                <a:srgbClr val="000000"/>
              </a:solidFill>
              <a:latin typeface="Aptos Narrow"/>
            </a:rPr>
            <a:t>QUALITY SWEATER COMPANY     </a:t>
          </a:r>
          <a:endParaRPr lang="en-US" sz="1100" b="1" i="0" u="none" strike="noStrike" baseline="0">
            <a:solidFill>
              <a:srgbClr val="000000"/>
            </a:solidFill>
            <a:latin typeface="Aptos Narrow"/>
          </a:endParaRPr>
        </a:p>
        <a:p>
          <a:pPr algn="l" rtl="0">
            <a:defRPr sz="1000"/>
          </a:pPr>
          <a:r>
            <a:rPr lang="en-US" sz="1100" b="1" i="0" u="none" strike="noStrike" baseline="0">
              <a:solidFill>
                <a:srgbClr val="000000"/>
              </a:solidFill>
              <a:latin typeface="Aptos Narrow"/>
            </a:rPr>
            <a:t>                                                                                                                                                                                                                                                                                                                                                                                              </a:t>
          </a:r>
          <a:r>
            <a:rPr lang="en-US" sz="1100" b="0" i="0" u="none" strike="noStrike" baseline="0">
              <a:solidFill>
                <a:srgbClr val="000000"/>
              </a:solidFill>
              <a:latin typeface="Aptos Narrow"/>
            </a:rPr>
            <a:t>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a:t>
          </a:r>
        </a:p>
        <a:p>
          <a:pPr algn="l" rtl="0">
            <a:defRPr sz="1000"/>
          </a:pPr>
          <a:endParaRPr lang="en-US" sz="1100" b="0" i="0" u="none" strike="noStrike" baseline="0">
            <a:solidFill>
              <a:srgbClr val="000000"/>
            </a:solidFill>
            <a:latin typeface="Aptos Narrow"/>
          </a:endParaRPr>
        </a:p>
        <a:p>
          <a:pPr algn="l" rtl="0">
            <a:defRPr sz="1000"/>
          </a:pPr>
          <a:r>
            <a:rPr lang="en-US" sz="1100" b="1" i="0" u="none" strike="noStrike" baseline="0">
              <a:solidFill>
                <a:srgbClr val="000000"/>
              </a:solidFill>
              <a:latin typeface="Aptos Narrow"/>
            </a:rPr>
            <a:t>How does a change in the response rate affect profit?</a:t>
          </a:r>
        </a:p>
        <a:p>
          <a:pPr algn="l" rtl="0">
            <a:defRPr sz="1000"/>
          </a:pPr>
          <a:endParaRPr lang="en-US" sz="1100" b="1" i="0" u="none" strike="noStrike" baseline="0">
            <a:solidFill>
              <a:srgbClr val="000000"/>
            </a:solidFill>
            <a:latin typeface="Aptos Narrow"/>
          </a:endParaRPr>
        </a:p>
        <a:p>
          <a:pPr algn="l" rtl="0">
            <a:defRPr sz="1000"/>
          </a:pPr>
          <a:r>
            <a:rPr lang="en-US" sz="1100" b="1" i="0" u="none" strike="noStrike" baseline="0">
              <a:solidFill>
                <a:srgbClr val="000000"/>
              </a:solidFill>
              <a:latin typeface="Aptos Narrow"/>
            </a:rPr>
            <a:t>For what response rate does the company break even?</a:t>
          </a:r>
        </a:p>
        <a:p>
          <a:pPr algn="l" rtl="0">
            <a:defRPr sz="1000"/>
          </a:pPr>
          <a:endParaRPr lang="en-US" sz="1100" b="1" i="0" u="none" strike="noStrike" baseline="0">
            <a:solidFill>
              <a:srgbClr val="000000"/>
            </a:solidFill>
            <a:latin typeface="Aptos Narrow"/>
          </a:endParaRPr>
        </a:p>
        <a:p>
          <a:pPr algn="l" rtl="0">
            <a:defRPr sz="1000"/>
          </a:pPr>
          <a:r>
            <a:rPr lang="en-US" sz="1100" b="1" i="0" u="none" strike="noStrike" baseline="0">
              <a:solidFill>
                <a:srgbClr val="000000"/>
              </a:solidFill>
              <a:latin typeface="Aptos Narrow"/>
            </a:rPr>
            <a:t>If the company estimates a response rate of 3%, should it proceed with the mailing?</a:t>
          </a:r>
        </a:p>
        <a:p>
          <a:pPr algn="l" rtl="0">
            <a:defRPr sz="1000"/>
          </a:pPr>
          <a:endParaRPr lang="en-US" sz="1100" b="1" i="0" u="none" strike="noStrike" baseline="0">
            <a:solidFill>
              <a:srgbClr val="000000"/>
            </a:solidFill>
            <a:latin typeface="Aptos Narrow"/>
          </a:endParaRPr>
        </a:p>
        <a:p>
          <a:pPr algn="l" rtl="0">
            <a:defRPr sz="1000"/>
          </a:pPr>
          <a:r>
            <a:rPr lang="en-US" sz="1100" b="1" i="0" u="none" strike="noStrike" baseline="0">
              <a:solidFill>
                <a:srgbClr val="000000"/>
              </a:solidFill>
              <a:latin typeface="Aptos Narrow"/>
            </a:rPr>
            <a:t>How does the presence of uncertainty affect the usefulness of the model</a:t>
          </a:r>
          <a:r>
            <a:rPr lang="en-US" sz="1100" b="0" i="0" u="none" strike="noStrike" baseline="0">
              <a:solidFill>
                <a:srgbClr val="000000"/>
              </a:solidFill>
              <a:latin typeface="Aptos Narrow"/>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146050</xdr:colOff>
      <xdr:row>13</xdr:row>
      <xdr:rowOff>63500</xdr:rowOff>
    </xdr:from>
    <xdr:to>
      <xdr:col>5</xdr:col>
      <xdr:colOff>27634</xdr:colOff>
      <xdr:row>18</xdr:row>
      <xdr:rowOff>76200</xdr:rowOff>
    </xdr:to>
    <xdr:pic>
      <xdr:nvPicPr>
        <xdr:cNvPr id="3" name="Picture 2">
          <a:extLst>
            <a:ext uri="{FF2B5EF4-FFF2-40B4-BE49-F238E27FC236}">
              <a16:creationId xmlns:a16="http://schemas.microsoft.com/office/drawing/2014/main" id="{5E558846-BEA5-8A4C-1815-FF70E5068F4F}"/>
            </a:ext>
          </a:extLst>
        </xdr:cNvPr>
        <xdr:cNvPicPr>
          <a:picLocks noChangeAspect="1"/>
        </xdr:cNvPicPr>
      </xdr:nvPicPr>
      <xdr:blipFill>
        <a:blip xmlns:r="http://schemas.openxmlformats.org/officeDocument/2006/relationships" r:embed="rId1"/>
        <a:stretch>
          <a:fillRect/>
        </a:stretch>
      </xdr:blipFill>
      <xdr:spPr>
        <a:xfrm>
          <a:off x="3314700" y="2533650"/>
          <a:ext cx="1615134" cy="939800"/>
        </a:xfrm>
        <a:prstGeom prst="rect">
          <a:avLst/>
        </a:prstGeom>
      </xdr:spPr>
    </xdr:pic>
    <xdr:clientData/>
  </xdr:twoCellAnchor>
  <xdr:twoCellAnchor>
    <xdr:from>
      <xdr:col>5</xdr:col>
      <xdr:colOff>590550</xdr:colOff>
      <xdr:row>1</xdr:row>
      <xdr:rowOff>12700</xdr:rowOff>
    </xdr:from>
    <xdr:to>
      <xdr:col>13</xdr:col>
      <xdr:colOff>349250</xdr:colOff>
      <xdr:row>16</xdr:row>
      <xdr:rowOff>120650</xdr:rowOff>
    </xdr:to>
    <xdr:sp macro="" textlink="">
      <xdr:nvSpPr>
        <xdr:cNvPr id="6" name="TextBox 5">
          <a:extLst>
            <a:ext uri="{FF2B5EF4-FFF2-40B4-BE49-F238E27FC236}">
              <a16:creationId xmlns:a16="http://schemas.microsoft.com/office/drawing/2014/main" id="{7756D898-8947-3E99-7C97-A4E329D26823}"/>
            </a:ext>
          </a:extLst>
        </xdr:cNvPr>
        <xdr:cNvSpPr txBox="1"/>
      </xdr:nvSpPr>
      <xdr:spPr>
        <a:xfrm>
          <a:off x="5492750" y="196850"/>
          <a:ext cx="55372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dk1"/>
              </a:solidFill>
              <a:effectLst/>
              <a:latin typeface="+mn-lt"/>
              <a:ea typeface="+mn-ea"/>
              <a:cs typeface="+mn-cs"/>
            </a:rPr>
            <a:t>B &amp; N BOOKSTORE   </a:t>
          </a:r>
          <a:endParaRPr lang="en-US" sz="1800">
            <a:effectLst/>
          </a:endParaRPr>
        </a:p>
        <a:p>
          <a:r>
            <a:rPr lang="en-US" sz="1100">
              <a:solidFill>
                <a:schemeClr val="dk1"/>
              </a:solidFill>
              <a:effectLst/>
              <a:latin typeface="+mn-lt"/>
              <a:ea typeface="+mn-ea"/>
              <a:cs typeface="+mn-cs"/>
            </a:rPr>
            <a:t>                                                                                                                                                                                                                                                                                                                                                        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endParaRPr lang="en-US">
            <a:effectLst/>
          </a:endParaRPr>
        </a:p>
        <a:p>
          <a:r>
            <a:rPr lang="en-US" sz="1100" b="1">
              <a:solidFill>
                <a:schemeClr val="dk1"/>
              </a:solidFill>
              <a:effectLst/>
              <a:latin typeface="+mn-lt"/>
              <a:ea typeface="+mn-ea"/>
              <a:cs typeface="+mn-cs"/>
            </a:rPr>
            <a:t>How many copies of this hardback novel should B&amp;N order from the publisher?</a:t>
          </a:r>
          <a:endParaRPr lang="en-US">
            <a:effectLst/>
          </a:endParaRPr>
        </a:p>
        <a:p>
          <a:endParaRPr lang="en-US" sz="11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412750</xdr:colOff>
      <xdr:row>0</xdr:row>
      <xdr:rowOff>0</xdr:rowOff>
    </xdr:from>
    <xdr:to>
      <xdr:col>17</xdr:col>
      <xdr:colOff>12700</xdr:colOff>
      <xdr:row>15</xdr:row>
      <xdr:rowOff>127000</xdr:rowOff>
    </xdr:to>
    <xdr:sp macro="" textlink="">
      <xdr:nvSpPr>
        <xdr:cNvPr id="2" name="TextBox 1">
          <a:extLst>
            <a:ext uri="{FF2B5EF4-FFF2-40B4-BE49-F238E27FC236}">
              <a16:creationId xmlns:a16="http://schemas.microsoft.com/office/drawing/2014/main" id="{9757ED51-FA0A-4637-5438-AED214F315D3}"/>
            </a:ext>
          </a:extLst>
        </xdr:cNvPr>
        <xdr:cNvSpPr txBox="1"/>
      </xdr:nvSpPr>
      <xdr:spPr>
        <a:xfrm>
          <a:off x="5289550" y="0"/>
          <a:ext cx="5086350" cy="307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dk1"/>
              </a:solidFill>
              <a:effectLst/>
              <a:latin typeface="+mn-lt"/>
              <a:ea typeface="+mn-ea"/>
              <a:cs typeface="+mn-cs"/>
            </a:rPr>
            <a:t>Scenario; The 19th Hole </a:t>
          </a:r>
        </a:p>
        <a:p>
          <a:endParaRPr lang="en-US" sz="1600" b="1" i="0">
            <a:solidFill>
              <a:schemeClr val="dk1"/>
            </a:solidFill>
            <a:effectLst/>
            <a:latin typeface="+mn-lt"/>
            <a:ea typeface="+mn-ea"/>
            <a:cs typeface="+mn-cs"/>
          </a:endParaRPr>
        </a:p>
        <a:p>
          <a:r>
            <a:rPr lang="en-US"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Assuming the unit cost of producing a set of clubs is $250, and the price must be a multiple of $10,</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 what price should the company charge to maximize its profit?</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b).How does the optimal price depend on the unit cost of producing a set of clubs?</a:t>
          </a:r>
        </a:p>
        <a:p>
          <a:r>
            <a:rPr lang="en-US" sz="1100" b="0" i="0">
              <a:solidFill>
                <a:schemeClr val="dk1"/>
              </a:solidFill>
              <a:effectLst/>
              <a:latin typeface="+mn-lt"/>
              <a:ea typeface="+mn-ea"/>
              <a:cs typeface="+mn-cs"/>
            </a:rPr>
            <a:t>Is the model an accurate representation of reality?</a:t>
          </a:r>
        </a:p>
        <a:p>
          <a:endParaRPr lang="en-US" sz="1100" b="0" i="0">
            <a:solidFill>
              <a:schemeClr val="dk1"/>
            </a:solidFill>
            <a:effectLst/>
            <a:latin typeface="+mn-lt"/>
            <a:ea typeface="+mn-ea"/>
            <a:cs typeface="+mn-cs"/>
          </a:endParaRPr>
        </a:p>
        <a:p>
          <a:endParaRPr lang="en-US" sz="1100" kern="1200"/>
        </a:p>
      </xdr:txBody>
    </xdr:sp>
    <xdr:clientData/>
  </xdr:twoCellAnchor>
  <xdr:twoCellAnchor>
    <xdr:from>
      <xdr:col>3</xdr:col>
      <xdr:colOff>120650</xdr:colOff>
      <xdr:row>0</xdr:row>
      <xdr:rowOff>12700</xdr:rowOff>
    </xdr:from>
    <xdr:to>
      <xdr:col>8</xdr:col>
      <xdr:colOff>241300</xdr:colOff>
      <xdr:row>13</xdr:row>
      <xdr:rowOff>133350</xdr:rowOff>
    </xdr:to>
    <xdr:graphicFrame macro="">
      <xdr:nvGraphicFramePr>
        <xdr:cNvPr id="4" name="Chart 2">
          <a:extLst>
            <a:ext uri="{FF2B5EF4-FFF2-40B4-BE49-F238E27FC236}">
              <a16:creationId xmlns:a16="http://schemas.microsoft.com/office/drawing/2014/main" id="{760F2AB2-7C1D-4D2D-BF2C-866656AB7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222250</xdr:colOff>
      <xdr:row>43</xdr:row>
      <xdr:rowOff>174631</xdr:rowOff>
    </xdr:from>
    <xdr:to>
      <xdr:col>3</xdr:col>
      <xdr:colOff>1130300</xdr:colOff>
      <xdr:row>58</xdr:row>
      <xdr:rowOff>149231</xdr:rowOff>
    </xdr:to>
    <xdr:graphicFrame macro="">
      <xdr:nvGraphicFramePr>
        <xdr:cNvPr id="3" name="Chart 2">
          <a:extLst>
            <a:ext uri="{FF2B5EF4-FFF2-40B4-BE49-F238E27FC236}">
              <a16:creationId xmlns:a16="http://schemas.microsoft.com/office/drawing/2014/main" id="{A76E9407-E3BE-36C2-E80D-E3AC759A3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311150</xdr:colOff>
      <xdr:row>0</xdr:row>
      <xdr:rowOff>101600</xdr:rowOff>
    </xdr:from>
    <xdr:to>
      <xdr:col>20</xdr:col>
      <xdr:colOff>209550</xdr:colOff>
      <xdr:row>15</xdr:row>
      <xdr:rowOff>133350</xdr:rowOff>
    </xdr:to>
    <xdr:sp macro="" textlink="">
      <xdr:nvSpPr>
        <xdr:cNvPr id="2" name="TextBox 1">
          <a:extLst>
            <a:ext uri="{FF2B5EF4-FFF2-40B4-BE49-F238E27FC236}">
              <a16:creationId xmlns:a16="http://schemas.microsoft.com/office/drawing/2014/main" id="{E81DEBBF-B285-3E18-600A-4A27B58F596E}"/>
            </a:ext>
          </a:extLst>
        </xdr:cNvPr>
        <xdr:cNvSpPr txBox="1"/>
      </xdr:nvSpPr>
      <xdr:spPr>
        <a:xfrm>
          <a:off x="6407150" y="101600"/>
          <a:ext cx="59944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NPV</a:t>
          </a:r>
          <a:r>
            <a:rPr lang="en-US" sz="1400" b="1" baseline="0">
              <a:solidFill>
                <a:schemeClr val="dk1"/>
              </a:solidFill>
              <a:effectLst/>
              <a:latin typeface="+mn-lt"/>
              <a:ea typeface="+mn-ea"/>
              <a:cs typeface="+mn-cs"/>
            </a:rPr>
            <a:t> Example</a:t>
          </a:r>
        </a:p>
        <a:p>
          <a:r>
            <a:rPr lang="en-US" sz="1400" b="1" baseline="0">
              <a:solidFill>
                <a:schemeClr val="dk1"/>
              </a:solidFill>
              <a:effectLst/>
              <a:latin typeface="+mn-lt"/>
              <a:ea typeface="+mn-ea"/>
              <a:cs typeface="+mn-cs"/>
            </a:rPr>
            <a:t>Scenario</a:t>
          </a:r>
          <a:r>
            <a:rPr lang="en-US" sz="1400" b="1">
              <a:solidFill>
                <a:schemeClr val="dk1"/>
              </a:solidFill>
              <a:effectLst/>
              <a:latin typeface="+mn-lt"/>
              <a:ea typeface="+mn-ea"/>
              <a:cs typeface="+mn-cs"/>
            </a:rPr>
            <a:t>: Gopher Drugs</a:t>
          </a:r>
        </a:p>
        <a:p>
          <a:endParaRPr lang="en-US" sz="1400" b="1">
            <a:solidFill>
              <a:schemeClr val="dk1"/>
            </a:solidFill>
            <a:effectLst/>
            <a:latin typeface="+mn-lt"/>
            <a:ea typeface="+mn-ea"/>
            <a:cs typeface="+mn-cs"/>
          </a:endParaRPr>
        </a:p>
        <a:p>
          <a:r>
            <a:rPr lang="en-US" sz="1100">
              <a:solidFill>
                <a:schemeClr val="dk1"/>
              </a:solidFill>
              <a:effectLst/>
              <a:latin typeface="+mn-lt"/>
              <a:ea typeface="+mn-ea"/>
              <a:cs typeface="+mn-cs"/>
            </a:rPr>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a:t>
          </a:r>
          <a:r>
            <a:rPr lang="en-US" sz="1100" i="1">
              <a:solidFill>
                <a:schemeClr val="dk1"/>
              </a:solidFill>
              <a:effectLst/>
              <a:latin typeface="+mn-lt"/>
              <a:ea typeface="+mn-ea"/>
              <a:cs typeface="+mn-cs"/>
            </a:rPr>
            <a:t>end </a:t>
          </a:r>
          <a:r>
            <a:rPr lang="en-US" sz="1100">
              <a:solidFill>
                <a:schemeClr val="dk1"/>
              </a:solidFill>
              <a:effectLst/>
              <a:latin typeface="+mn-lt"/>
              <a:ea typeface="+mn-ea"/>
              <a:cs typeface="+mn-cs"/>
            </a:rPr>
            <a:t>of the respective years.  Using an annual discount rate of 12% for purposes of calculating net present value (NPV), the drug company wants to answer the following questions: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Is the drug worth pursuing, or should Gopher Drugs abandon it now and not incur the $9.3M development cost?</a:t>
          </a:r>
        </a:p>
        <a:p>
          <a:r>
            <a:rPr lang="en-US" sz="1100">
              <a:solidFill>
                <a:schemeClr val="dk1"/>
              </a:solidFill>
              <a:effectLst/>
              <a:latin typeface="+mn-lt"/>
              <a:ea typeface="+mn-ea"/>
              <a:cs typeface="+mn-cs"/>
            </a:rPr>
            <a:t>How do changes in the model change the answer to the prior question?</a:t>
          </a:r>
          <a:endParaRPr lang="en-US">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142875</xdr:colOff>
      <xdr:row>1</xdr:row>
      <xdr:rowOff>95250</xdr:rowOff>
    </xdr:from>
    <xdr:to>
      <xdr:col>17</xdr:col>
      <xdr:colOff>447675</xdr:colOff>
      <xdr:row>16</xdr:row>
      <xdr:rowOff>76200</xdr:rowOff>
    </xdr:to>
    <xdr:graphicFrame macro="">
      <xdr:nvGraphicFramePr>
        <xdr:cNvPr id="2" name="Chart 1">
          <a:extLst>
            <a:ext uri="{FF2B5EF4-FFF2-40B4-BE49-F238E27FC236}">
              <a16:creationId xmlns:a16="http://schemas.microsoft.com/office/drawing/2014/main" id="{97E4B001-809C-DE6C-AE50-CC322F6F9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63500</xdr:colOff>
      <xdr:row>0</xdr:row>
      <xdr:rowOff>146050</xdr:rowOff>
    </xdr:from>
    <xdr:to>
      <xdr:col>16</xdr:col>
      <xdr:colOff>57150</xdr:colOff>
      <xdr:row>20</xdr:row>
      <xdr:rowOff>152400</xdr:rowOff>
    </xdr:to>
    <xdr:sp macro="" textlink="">
      <xdr:nvSpPr>
        <xdr:cNvPr id="2" name="TextBox 1">
          <a:extLst>
            <a:ext uri="{FF2B5EF4-FFF2-40B4-BE49-F238E27FC236}">
              <a16:creationId xmlns:a16="http://schemas.microsoft.com/office/drawing/2014/main" id="{7F7F012D-9550-D1E0-6CFB-E4D01AB92192}"/>
            </a:ext>
          </a:extLst>
        </xdr:cNvPr>
        <xdr:cNvSpPr txBox="1"/>
      </xdr:nvSpPr>
      <xdr:spPr>
        <a:xfrm>
          <a:off x="8464550" y="146050"/>
          <a:ext cx="4260850" cy="372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You are the product manager of a toy company thinking of launching a new product, the indoor fort building kit. Your critics say these are just overpriced cardboard boxes, but you know this product will be successful and you seek out initial investors.</a:t>
          </a:r>
        </a:p>
        <a:p>
          <a:r>
            <a:rPr lang="en-US" sz="1100" b="0" i="0">
              <a:solidFill>
                <a:schemeClr val="dk1"/>
              </a:solidFill>
              <a:effectLst/>
              <a:latin typeface="+mn-lt"/>
              <a:ea typeface="+mn-ea"/>
              <a:cs typeface="+mn-cs"/>
            </a:rPr>
            <a:t>At the start of year 1 (right now), you will incur a cost of $4 million to build and staff a production factory. In year 1, you expect to sell 80,000 kits at a unit price of $25 each. The price of $25 will remain unchanged through years 1 to 5. Unit sales are expected to grow by the same percentage (g) each year. During years 1 to 5, you incur two types of costs: variable costs and fixed SG&amp;A (selling, general, and administrative) costs. Each year, variable costs equal half of revenue. During year 1, SG&amp;A costs equal 40% of revenue. This percentage is assumed to drop 2% per year, so during year 2, SG&amp;A costs will equal 38% of revenue, and so on.</a:t>
          </a:r>
        </a:p>
        <a:p>
          <a:r>
            <a:rPr lang="en-US" sz="1100" b="0" i="0">
              <a:solidFill>
                <a:schemeClr val="dk1"/>
              </a:solidFill>
              <a:effectLst/>
              <a:latin typeface="+mn-lt"/>
              <a:ea typeface="+mn-ea"/>
              <a:cs typeface="+mn-cs"/>
            </a:rPr>
            <a:t>Your goal is to pay back the $4M investment by the end of year 5.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Consider the sum of the profits for years 1 through 5, ignoring the time value of money. </a:t>
          </a:r>
        </a:p>
        <a:p>
          <a:r>
            <a:rPr lang="en-US" sz="1100" b="0" i="0">
              <a:solidFill>
                <a:schemeClr val="dk1"/>
              </a:solidFill>
              <a:effectLst/>
              <a:latin typeface="+mn-lt"/>
              <a:ea typeface="+mn-ea"/>
              <a:cs typeface="+mn-cs"/>
            </a:rPr>
            <a:t>What annual percentage growth rate g is needed to pay back the plant cost by the end of year 5?</a:t>
          </a:r>
        </a:p>
        <a:p>
          <a:endParaRPr lang="en-US" sz="1100" b="0" i="0">
            <a:solidFill>
              <a:schemeClr val="dk1"/>
            </a:solidFill>
            <a:effectLst/>
            <a:latin typeface="+mn-lt"/>
            <a:ea typeface="+mn-ea"/>
            <a:cs typeface="+mn-cs"/>
          </a:endParaRPr>
        </a:p>
      </xdr:txBody>
    </xdr:sp>
    <xdr:clientData/>
  </xdr:twoCellAnchor>
  <xdr:twoCellAnchor editAs="oneCell">
    <xdr:from>
      <xdr:col>3</xdr:col>
      <xdr:colOff>69851</xdr:colOff>
      <xdr:row>1</xdr:row>
      <xdr:rowOff>4832</xdr:rowOff>
    </xdr:from>
    <xdr:to>
      <xdr:col>4</xdr:col>
      <xdr:colOff>317500</xdr:colOff>
      <xdr:row>4</xdr:row>
      <xdr:rowOff>132107</xdr:rowOff>
    </xdr:to>
    <xdr:pic>
      <xdr:nvPicPr>
        <xdr:cNvPr id="4" name="Picture 3">
          <a:extLst>
            <a:ext uri="{FF2B5EF4-FFF2-40B4-BE49-F238E27FC236}">
              <a16:creationId xmlns:a16="http://schemas.microsoft.com/office/drawing/2014/main" id="{FBCEDAB1-D3B8-C779-4822-F060F1DE78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03551" y="188982"/>
          <a:ext cx="1212849" cy="6924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152400</xdr:colOff>
      <xdr:row>0</xdr:row>
      <xdr:rowOff>44450</xdr:rowOff>
    </xdr:from>
    <xdr:to>
      <xdr:col>15</xdr:col>
      <xdr:colOff>228600</xdr:colOff>
      <xdr:row>13</xdr:row>
      <xdr:rowOff>101600</xdr:rowOff>
    </xdr:to>
    <xdr:sp macro="" textlink="">
      <xdr:nvSpPr>
        <xdr:cNvPr id="2" name="TextBox 1">
          <a:extLst>
            <a:ext uri="{FF2B5EF4-FFF2-40B4-BE49-F238E27FC236}">
              <a16:creationId xmlns:a16="http://schemas.microsoft.com/office/drawing/2014/main" id="{7ACF57AE-8941-0BE5-71B2-D8C39CEFFC96}"/>
            </a:ext>
          </a:extLst>
        </xdr:cNvPr>
        <xdr:cNvSpPr txBox="1"/>
      </xdr:nvSpPr>
      <xdr:spPr>
        <a:xfrm>
          <a:off x="6108700" y="44450"/>
          <a:ext cx="3733800" cy="245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dk1"/>
              </a:solidFill>
              <a:effectLst/>
              <a:latin typeface="+mn-lt"/>
              <a:ea typeface="+mn-ea"/>
              <a:cs typeface="+mn-cs"/>
            </a:rPr>
            <a:t>Scenario: Campaign Marketing</a:t>
          </a:r>
        </a:p>
        <a:p>
          <a:r>
            <a:rPr lang="en-US" sz="1100" b="0" i="0">
              <a:solidFill>
                <a:schemeClr val="dk1"/>
              </a:solidFill>
              <a:effectLst/>
              <a:latin typeface="+mn-lt"/>
              <a:ea typeface="+mn-ea"/>
              <a:cs typeface="+mn-cs"/>
            </a:rPr>
            <a: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a:t>
          </a:r>
        </a:p>
        <a:p>
          <a:endParaRPr lang="en-US" sz="1100" b="0" i="0">
            <a:solidFill>
              <a:schemeClr val="dk1"/>
            </a:solidFill>
            <a:effectLst/>
            <a:latin typeface="+mn-lt"/>
            <a:ea typeface="+mn-ea"/>
            <a:cs typeface="+mn-cs"/>
          </a:endParaRPr>
        </a:p>
        <a:p>
          <a:pPr lvl="0"/>
          <a:r>
            <a:rPr lang="en-US" sz="1100" b="1" i="0">
              <a:solidFill>
                <a:schemeClr val="dk1"/>
              </a:solidFill>
              <a:effectLst/>
              <a:latin typeface="+mn-lt"/>
              <a:ea typeface="+mn-ea"/>
              <a:cs typeface="+mn-cs"/>
            </a:rPr>
            <a:t>How many ads of each type should be used?</a:t>
          </a:r>
        </a:p>
        <a:p>
          <a:pPr lvl="0"/>
          <a:r>
            <a:rPr lang="en-US" sz="1100" b="1" i="0">
              <a:solidFill>
                <a:schemeClr val="dk1"/>
              </a:solidFill>
              <a:effectLst/>
              <a:latin typeface="+mn-lt"/>
              <a:ea typeface="+mn-ea"/>
              <a:cs typeface="+mn-cs"/>
            </a:rPr>
            <a:t>How many people will be reached?</a:t>
          </a:r>
        </a:p>
        <a:p>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152400</xdr:colOff>
      <xdr:row>0</xdr:row>
      <xdr:rowOff>44450</xdr:rowOff>
    </xdr:from>
    <xdr:to>
      <xdr:col>17</xdr:col>
      <xdr:colOff>381000</xdr:colOff>
      <xdr:row>15</xdr:row>
      <xdr:rowOff>107950</xdr:rowOff>
    </xdr:to>
    <xdr:sp macro="" textlink="">
      <xdr:nvSpPr>
        <xdr:cNvPr id="2" name="TextBox 1">
          <a:extLst>
            <a:ext uri="{FF2B5EF4-FFF2-40B4-BE49-F238E27FC236}">
              <a16:creationId xmlns:a16="http://schemas.microsoft.com/office/drawing/2014/main" id="{6E0372A1-193F-4AF7-A600-954F6ADF2584}"/>
            </a:ext>
          </a:extLst>
        </xdr:cNvPr>
        <xdr:cNvSpPr txBox="1"/>
      </xdr:nvSpPr>
      <xdr:spPr>
        <a:xfrm>
          <a:off x="6508750" y="44450"/>
          <a:ext cx="5105400" cy="282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Scenario:PC TECH COMPANY</a:t>
          </a:r>
          <a:endParaRPr lang="en-US" sz="2800" b="1" i="0">
            <a:solidFill>
              <a:schemeClr val="dk1"/>
            </a:solidFill>
            <a:effectLst/>
            <a:latin typeface="+mn-lt"/>
            <a:ea typeface="+mn-ea"/>
            <a:cs typeface="+mn-cs"/>
          </a:endParaRPr>
        </a:p>
        <a:p>
          <a:r>
            <a:rPr lang="en-US" sz="1100" b="0" i="0">
              <a:solidFill>
                <a:schemeClr val="dk1"/>
              </a:solidFill>
              <a:effectLst/>
              <a:latin typeface="+mn-lt"/>
              <a:ea typeface="+mn-ea"/>
              <a:cs typeface="+mn-cs"/>
            </a:rPr>
            <a:t>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482600</xdr:colOff>
      <xdr:row>2</xdr:row>
      <xdr:rowOff>25400</xdr:rowOff>
    </xdr:from>
    <xdr:to>
      <xdr:col>13</xdr:col>
      <xdr:colOff>171450</xdr:colOff>
      <xdr:row>18</xdr:row>
      <xdr:rowOff>82550</xdr:rowOff>
    </xdr:to>
    <xdr:sp macro="" textlink="">
      <xdr:nvSpPr>
        <xdr:cNvPr id="2" name="TextBox 1">
          <a:extLst>
            <a:ext uri="{FF2B5EF4-FFF2-40B4-BE49-F238E27FC236}">
              <a16:creationId xmlns:a16="http://schemas.microsoft.com/office/drawing/2014/main" id="{F9FC06BA-2E60-43F0-EB06-157ECD5A5963}"/>
            </a:ext>
          </a:extLst>
        </xdr:cNvPr>
        <xdr:cNvSpPr txBox="1"/>
      </xdr:nvSpPr>
      <xdr:spPr>
        <a:xfrm>
          <a:off x="4705350" y="393700"/>
          <a:ext cx="3956050" cy="245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Tectona Furniture Corporation manufactures outdoor furniture. Their two main products are benches and tables, both made of teak wood.</a:t>
          </a:r>
        </a:p>
        <a:p>
          <a:r>
            <a:rPr lang="en-US" sz="1100" b="0" i="0">
              <a:solidFill>
                <a:schemeClr val="dk1"/>
              </a:solidFill>
              <a:effectLst/>
              <a:latin typeface="+mn-lt"/>
              <a:ea typeface="+mn-ea"/>
              <a:cs typeface="+mn-cs"/>
            </a:rPr>
            <a:t>The firm has two main resources:  its carpenters (labor force) and a supply of teak for use in the furniture. During the next production cycle, 1,250 hours of labor are available under a union agreement. The firm also has a stock of 3,600 board feet of teak lumber. Each bench that Tectona produces requires 4 labor hours and 9 board feet of teak; each picnic table takes 6 labor hours and 36 board feet of teak. Completed benches will yield a profit of $12 each, and tables will result in a profit of $20 each.</a:t>
          </a:r>
        </a:p>
        <a:p>
          <a:r>
            <a:rPr lang="en-US" sz="1100" b="0" i="0">
              <a:solidFill>
                <a:schemeClr val="dk1"/>
              </a:solidFill>
              <a:effectLst/>
              <a:latin typeface="+mn-lt"/>
              <a:ea typeface="+mn-ea"/>
              <a:cs typeface="+mn-cs"/>
            </a:rPr>
            <a:t>As a consultant for Tectona Furniture Corporation, you are tasked with creating a spreadsheet model to help the company obtain the maximum profit during the next production cycle.</a:t>
          </a:r>
        </a:p>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1206500</xdr:colOff>
      <xdr:row>0</xdr:row>
      <xdr:rowOff>57150</xdr:rowOff>
    </xdr:from>
    <xdr:to>
      <xdr:col>12</xdr:col>
      <xdr:colOff>393700</xdr:colOff>
      <xdr:row>8</xdr:row>
      <xdr:rowOff>152400</xdr:rowOff>
    </xdr:to>
    <xdr:sp macro="" textlink="">
      <xdr:nvSpPr>
        <xdr:cNvPr id="2" name="TextBox 1">
          <a:extLst>
            <a:ext uri="{FF2B5EF4-FFF2-40B4-BE49-F238E27FC236}">
              <a16:creationId xmlns:a16="http://schemas.microsoft.com/office/drawing/2014/main" id="{86F01FEF-36EC-4311-BED9-4AA786FF9D21}"/>
            </a:ext>
          </a:extLst>
        </xdr:cNvPr>
        <xdr:cNvSpPr txBox="1"/>
      </xdr:nvSpPr>
      <xdr:spPr>
        <a:xfrm>
          <a:off x="6629400" y="57150"/>
          <a:ext cx="4826000" cy="156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A brokerage firm has been instructed by a client to invest $250,000. The client requests the firm select whatever stocks and bonds they believe are well-rated, but with the following guidelines:</a:t>
          </a:r>
        </a:p>
        <a:p>
          <a:r>
            <a:rPr lang="en-US" sz="1100" b="0" i="0">
              <a:solidFill>
                <a:schemeClr val="dk1"/>
              </a:solidFill>
              <a:effectLst/>
              <a:latin typeface="+mn-lt"/>
              <a:ea typeface="+mn-ea"/>
              <a:cs typeface="+mn-cs"/>
            </a:rPr>
            <a:t>Municipal bonds constitute at least 20% of investment.</a:t>
          </a:r>
        </a:p>
        <a:p>
          <a:r>
            <a:rPr lang="en-US" sz="1100" b="0" i="0">
              <a:solidFill>
                <a:schemeClr val="dk1"/>
              </a:solidFill>
              <a:effectLst/>
              <a:latin typeface="+mn-lt"/>
              <a:ea typeface="+mn-ea"/>
              <a:cs typeface="+mn-cs"/>
            </a:rPr>
            <a:t>At least 40% of the investment is placed in tech stocks.</a:t>
          </a:r>
        </a:p>
        <a:p>
          <a:r>
            <a:rPr lang="en-US" sz="1100" b="0" i="0">
              <a:solidFill>
                <a:schemeClr val="dk1"/>
              </a:solidFill>
              <a:effectLst/>
              <a:latin typeface="+mn-lt"/>
              <a:ea typeface="+mn-ea"/>
              <a:cs typeface="+mn-cs"/>
            </a:rPr>
            <a:t>No more than 50% of the amount invested in municipal bonds should be high risk.</a:t>
          </a:r>
        </a:p>
        <a:p>
          <a:r>
            <a:rPr lang="en-US" sz="1100" b="0" i="0">
              <a:solidFill>
                <a:schemeClr val="dk1"/>
              </a:solidFill>
              <a:effectLst/>
              <a:latin typeface="+mn-lt"/>
              <a:ea typeface="+mn-ea"/>
              <a:cs typeface="+mn-cs"/>
            </a:rPr>
            <a:t>The table below lists the rate of return for five different investment options.</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50800</xdr:colOff>
      <xdr:row>1</xdr:row>
      <xdr:rowOff>82550</xdr:rowOff>
    </xdr:from>
    <xdr:to>
      <xdr:col>8</xdr:col>
      <xdr:colOff>869950</xdr:colOff>
      <xdr:row>12</xdr:row>
      <xdr:rowOff>12700</xdr:rowOff>
    </xdr:to>
    <xdr:sp macro="" textlink="">
      <xdr:nvSpPr>
        <xdr:cNvPr id="2" name="TextBox 1">
          <a:extLst>
            <a:ext uri="{FF2B5EF4-FFF2-40B4-BE49-F238E27FC236}">
              <a16:creationId xmlns:a16="http://schemas.microsoft.com/office/drawing/2014/main" id="{DF1B0058-E2AF-4BCB-A56E-CE740EF00154}"/>
            </a:ext>
          </a:extLst>
        </xdr:cNvPr>
        <xdr:cNvSpPr txBox="1"/>
      </xdr:nvSpPr>
      <xdr:spPr>
        <a:xfrm>
          <a:off x="50800" y="266700"/>
          <a:ext cx="8242300" cy="195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xdr:txBody>
    </xdr:sp>
    <xdr:clientData/>
  </xdr:twoCellAnchor>
  <xdr:twoCellAnchor editAs="oneCell">
    <xdr:from>
      <xdr:col>2</xdr:col>
      <xdr:colOff>361950</xdr:colOff>
      <xdr:row>8</xdr:row>
      <xdr:rowOff>82166</xdr:rowOff>
    </xdr:from>
    <xdr:to>
      <xdr:col>8</xdr:col>
      <xdr:colOff>666750</xdr:colOff>
      <xdr:row>13</xdr:row>
      <xdr:rowOff>514350</xdr:rowOff>
    </xdr:to>
    <xdr:pic>
      <xdr:nvPicPr>
        <xdr:cNvPr id="3" name="Picture 2">
          <a:extLst>
            <a:ext uri="{FF2B5EF4-FFF2-40B4-BE49-F238E27FC236}">
              <a16:creationId xmlns:a16="http://schemas.microsoft.com/office/drawing/2014/main" id="{A89A2D22-FA30-6983-C741-EFE2CBA974B9}"/>
            </a:ext>
          </a:extLst>
        </xdr:cNvPr>
        <xdr:cNvPicPr>
          <a:picLocks noChangeAspect="1"/>
        </xdr:cNvPicPr>
      </xdr:nvPicPr>
      <xdr:blipFill>
        <a:blip xmlns:r="http://schemas.openxmlformats.org/officeDocument/2006/relationships" r:embed="rId1"/>
        <a:stretch>
          <a:fillRect/>
        </a:stretch>
      </xdr:blipFill>
      <xdr:spPr>
        <a:xfrm>
          <a:off x="2622550" y="1555366"/>
          <a:ext cx="5467350" cy="135293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241300</xdr:colOff>
      <xdr:row>1</xdr:row>
      <xdr:rowOff>69850</xdr:rowOff>
    </xdr:from>
    <xdr:to>
      <xdr:col>15</xdr:col>
      <xdr:colOff>69850</xdr:colOff>
      <xdr:row>14</xdr:row>
      <xdr:rowOff>19050</xdr:rowOff>
    </xdr:to>
    <xdr:sp macro="" textlink="">
      <xdr:nvSpPr>
        <xdr:cNvPr id="2" name="TextBox 1">
          <a:extLst>
            <a:ext uri="{FF2B5EF4-FFF2-40B4-BE49-F238E27FC236}">
              <a16:creationId xmlns:a16="http://schemas.microsoft.com/office/drawing/2014/main" id="{14BE1178-D801-941E-17AC-B06E64675CEC}"/>
            </a:ext>
          </a:extLst>
        </xdr:cNvPr>
        <xdr:cNvSpPr txBox="1"/>
      </xdr:nvSpPr>
      <xdr:spPr>
        <a:xfrm>
          <a:off x="6121400" y="254000"/>
          <a:ext cx="4095750"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b="1" i="0">
              <a:solidFill>
                <a:srgbClr val="1F1F1F"/>
              </a:solidFill>
              <a:effectLst/>
              <a:latin typeface="Source Sans Pro" panose="020B0503030403020204" pitchFamily="34" charset="0"/>
            </a:rPr>
            <a:t>Scenario: New Hire</a:t>
          </a:r>
        </a:p>
        <a:p>
          <a:pPr algn="l"/>
          <a:r>
            <a:rPr lang="en-US" b="0" i="0">
              <a:solidFill>
                <a:srgbClr val="1F1F1F"/>
              </a:solidFill>
              <a:effectLst/>
              <a:latin typeface="Source Sans Pro" panose="020B0503030403020204" pitchFamily="34" charset="0"/>
            </a:rPr>
            <a:t>A company has three new hires: Jones, Smith, and Wilson. They can be sent to any one of four offices: in Omaha, Dallas, New York, or Miami. Only one candidate can be sent to each office. The cost to relocate each candidate to each of the offices is shown in the table below.</a:t>
          </a:r>
        </a:p>
        <a:p>
          <a:endParaRPr lang="en-US" sz="1100"/>
        </a:p>
      </xdr:txBody>
    </xdr:sp>
    <xdr:clientData/>
  </xdr:twoCellAnchor>
  <xdr:twoCellAnchor editAs="oneCell">
    <xdr:from>
      <xdr:col>8</xdr:col>
      <xdr:colOff>330200</xdr:colOff>
      <xdr:row>7</xdr:row>
      <xdr:rowOff>154135</xdr:rowOff>
    </xdr:from>
    <xdr:to>
      <xdr:col>14</xdr:col>
      <xdr:colOff>552450</xdr:colOff>
      <xdr:row>13</xdr:row>
      <xdr:rowOff>127000</xdr:rowOff>
    </xdr:to>
    <xdr:pic>
      <xdr:nvPicPr>
        <xdr:cNvPr id="4" name="Picture 3">
          <a:extLst>
            <a:ext uri="{FF2B5EF4-FFF2-40B4-BE49-F238E27FC236}">
              <a16:creationId xmlns:a16="http://schemas.microsoft.com/office/drawing/2014/main" id="{C4374727-2111-B937-6D7D-B0322415DD85}"/>
            </a:ext>
          </a:extLst>
        </xdr:cNvPr>
        <xdr:cNvPicPr>
          <a:picLocks noChangeAspect="1"/>
        </xdr:cNvPicPr>
      </xdr:nvPicPr>
      <xdr:blipFill>
        <a:blip xmlns:r="http://schemas.openxmlformats.org/officeDocument/2006/relationships" r:embed="rId1"/>
        <a:stretch>
          <a:fillRect/>
        </a:stretch>
      </xdr:blipFill>
      <xdr:spPr>
        <a:xfrm>
          <a:off x="6210300" y="1443185"/>
          <a:ext cx="3879850" cy="107776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241300</xdr:colOff>
      <xdr:row>1</xdr:row>
      <xdr:rowOff>19050</xdr:rowOff>
    </xdr:from>
    <xdr:to>
      <xdr:col>16</xdr:col>
      <xdr:colOff>450850</xdr:colOff>
      <xdr:row>18</xdr:row>
      <xdr:rowOff>31750</xdr:rowOff>
    </xdr:to>
    <xdr:sp macro="" textlink="">
      <xdr:nvSpPr>
        <xdr:cNvPr id="2" name="TextBox 1">
          <a:extLst>
            <a:ext uri="{FF2B5EF4-FFF2-40B4-BE49-F238E27FC236}">
              <a16:creationId xmlns:a16="http://schemas.microsoft.com/office/drawing/2014/main" id="{580521BC-8889-4FD4-8D72-C6E9B8BE74E1}"/>
            </a:ext>
          </a:extLst>
        </xdr:cNvPr>
        <xdr:cNvSpPr txBox="1"/>
      </xdr:nvSpPr>
      <xdr:spPr>
        <a:xfrm>
          <a:off x="6121400" y="203200"/>
          <a:ext cx="5086350" cy="277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b="1" i="0">
              <a:solidFill>
                <a:srgbClr val="1F1F1F"/>
              </a:solidFill>
              <a:effectLst/>
              <a:latin typeface="Source Sans Pro" panose="020B0503030403020204" pitchFamily="34" charset="0"/>
            </a:rPr>
            <a:t>Scenario:</a:t>
          </a:r>
          <a:r>
            <a:rPr lang="en-US" b="1" i="0" baseline="0">
              <a:solidFill>
                <a:srgbClr val="1F1F1F"/>
              </a:solidFill>
              <a:effectLst/>
              <a:latin typeface="Source Sans Pro" panose="020B0503030403020204" pitchFamily="34" charset="0"/>
            </a:rPr>
            <a:t> MLB umprire Crew Assignment</a:t>
          </a:r>
          <a:endParaRPr lang="en-US" b="1" i="0">
            <a:solidFill>
              <a:srgbClr val="1F1F1F"/>
            </a:solidFill>
            <a:effectLst/>
            <a:latin typeface="Source Sans Pro" panose="020B0503030403020204" pitchFamily="34" charset="0"/>
          </a:endParaRPr>
        </a:p>
        <a:p>
          <a:r>
            <a:rPr lang="en-US" sz="1100" b="0" i="0">
              <a:solidFill>
                <a:schemeClr val="dk1"/>
              </a:solidFill>
              <a:effectLst/>
              <a:latin typeface="+mn-lt"/>
              <a:ea typeface="+mn-ea"/>
              <a:cs typeface="+mn-cs"/>
            </a:rPr>
            <a:t>Crews of Major League Baseball (MLB) umpires are currently in the cities of Seattle, Arlington, Oakland, and Baltimore. The crews need to get sent to games that are soon beginning in Kansas City, Chicago, Detroit, and Toronto. Estimated travel distances (in miles) between the cities are shown in the table below.</a:t>
          </a:r>
        </a:p>
        <a:p>
          <a:r>
            <a:rPr lang="en-US" sz="1100" b="0" i="0">
              <a:solidFill>
                <a:schemeClr val="dk1"/>
              </a:solidFill>
              <a:effectLst/>
              <a:latin typeface="+mn-lt"/>
              <a:ea typeface="+mn-ea"/>
              <a:cs typeface="+mn-cs"/>
            </a:rPr>
            <a:t>Due to a union requirement, the MLB is not allowed to send any crew from Oakland to Toronto.</a:t>
          </a:r>
        </a:p>
        <a:p>
          <a:r>
            <a:rPr lang="en-US" sz="1100" b="0" i="0">
              <a:solidFill>
                <a:schemeClr val="dk1"/>
              </a:solidFill>
              <a:effectLst/>
              <a:latin typeface="+mn-lt"/>
              <a:ea typeface="+mn-ea"/>
              <a:cs typeface="+mn-cs"/>
            </a:rPr>
            <a:t>Assign one umpire crew to each city (only one per city) to minimize the total distance traveled.</a:t>
          </a:r>
        </a:p>
        <a:p>
          <a:endParaRPr lang="en-US" sz="1100"/>
        </a:p>
      </xdr:txBody>
    </xdr:sp>
    <xdr:clientData/>
  </xdr:twoCellAnchor>
  <xdr:twoCellAnchor editAs="oneCell">
    <xdr:from>
      <xdr:col>8</xdr:col>
      <xdr:colOff>431800</xdr:colOff>
      <xdr:row>10</xdr:row>
      <xdr:rowOff>162944</xdr:rowOff>
    </xdr:from>
    <xdr:to>
      <xdr:col>16</xdr:col>
      <xdr:colOff>342900</xdr:colOff>
      <xdr:row>16</xdr:row>
      <xdr:rowOff>120649</xdr:rowOff>
    </xdr:to>
    <xdr:pic>
      <xdr:nvPicPr>
        <xdr:cNvPr id="4" name="Picture 3">
          <a:extLst>
            <a:ext uri="{FF2B5EF4-FFF2-40B4-BE49-F238E27FC236}">
              <a16:creationId xmlns:a16="http://schemas.microsoft.com/office/drawing/2014/main" id="{C257DC4A-EC03-3DA8-778D-4A5AFFF5EEA9}"/>
            </a:ext>
          </a:extLst>
        </xdr:cNvPr>
        <xdr:cNvPicPr>
          <a:picLocks noChangeAspect="1"/>
        </xdr:cNvPicPr>
      </xdr:nvPicPr>
      <xdr:blipFill>
        <a:blip xmlns:r="http://schemas.openxmlformats.org/officeDocument/2006/relationships" r:embed="rId1"/>
        <a:stretch>
          <a:fillRect/>
        </a:stretch>
      </xdr:blipFill>
      <xdr:spPr>
        <a:xfrm>
          <a:off x="6311900" y="1820294"/>
          <a:ext cx="4787900" cy="106260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8</xdr:col>
      <xdr:colOff>241300</xdr:colOff>
      <xdr:row>1</xdr:row>
      <xdr:rowOff>19050</xdr:rowOff>
    </xdr:from>
    <xdr:to>
      <xdr:col>16</xdr:col>
      <xdr:colOff>450850</xdr:colOff>
      <xdr:row>18</xdr:row>
      <xdr:rowOff>31750</xdr:rowOff>
    </xdr:to>
    <xdr:sp macro="" textlink="">
      <xdr:nvSpPr>
        <xdr:cNvPr id="2" name="TextBox 1">
          <a:extLst>
            <a:ext uri="{FF2B5EF4-FFF2-40B4-BE49-F238E27FC236}">
              <a16:creationId xmlns:a16="http://schemas.microsoft.com/office/drawing/2014/main" id="{DBC02B89-1A3B-465D-B811-128CACCBC390}"/>
            </a:ext>
          </a:extLst>
        </xdr:cNvPr>
        <xdr:cNvSpPr txBox="1"/>
      </xdr:nvSpPr>
      <xdr:spPr>
        <a:xfrm>
          <a:off x="6292850" y="203200"/>
          <a:ext cx="5086350" cy="314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b="1" i="0">
              <a:solidFill>
                <a:srgbClr val="1F1F1F"/>
              </a:solidFill>
              <a:effectLst/>
              <a:latin typeface="Source Sans Pro" panose="020B0503030403020204" pitchFamily="34" charset="0"/>
            </a:rPr>
            <a:t>Scenario:</a:t>
          </a:r>
          <a:r>
            <a:rPr lang="en-US" b="1" i="0" baseline="0">
              <a:solidFill>
                <a:srgbClr val="1F1F1F"/>
              </a:solidFill>
              <a:effectLst/>
              <a:latin typeface="Source Sans Pro" panose="020B0503030403020204" pitchFamily="34" charset="0"/>
            </a:rPr>
            <a:t> College Professor Assignment</a:t>
          </a:r>
          <a:endParaRPr lang="en-US" b="1" i="0">
            <a:solidFill>
              <a:srgbClr val="1F1F1F"/>
            </a:solidFill>
            <a:effectLst/>
            <a:latin typeface="Source Sans Pro" panose="020B0503030403020204" pitchFamily="34" charset="0"/>
          </a:endParaRPr>
        </a:p>
        <a:p>
          <a:r>
            <a:rPr lang="en-US" sz="1100" b="0" i="0">
              <a:solidFill>
                <a:schemeClr val="dk1"/>
              </a:solidFill>
              <a:effectLst/>
              <a:latin typeface="+mn-lt"/>
              <a:ea typeface="+mn-ea"/>
              <a:cs typeface="+mn-cs"/>
            </a:rPr>
            <a:t>Richard Whiteless, chairman of a college’s business department, has decided to apply a new method in assigning professors to courses next semester. As a criterion for judging who should teach each course, Professor Whiteless reviews the past two years’ teaching evaluations (which were filled out by students). Since each of the four professors taught each of the four courses at one time or another during the two-year period, Whiteless is able to record a course rating for each instructor. These ratings are shown in the following table. Find the best assignment of professors to courses to maximize the overall teaching rating.</a:t>
          </a:r>
          <a:endParaRPr lang="en-US" sz="1100"/>
        </a:p>
      </xdr:txBody>
    </xdr:sp>
    <xdr:clientData/>
  </xdr:twoCellAnchor>
  <xdr:twoCellAnchor editAs="oneCell">
    <xdr:from>
      <xdr:col>8</xdr:col>
      <xdr:colOff>361950</xdr:colOff>
      <xdr:row>9</xdr:row>
      <xdr:rowOff>136606</xdr:rowOff>
    </xdr:from>
    <xdr:to>
      <xdr:col>16</xdr:col>
      <xdr:colOff>361052</xdr:colOff>
      <xdr:row>17</xdr:row>
      <xdr:rowOff>63499</xdr:rowOff>
    </xdr:to>
    <xdr:pic>
      <xdr:nvPicPr>
        <xdr:cNvPr id="4" name="Picture 3">
          <a:extLst>
            <a:ext uri="{FF2B5EF4-FFF2-40B4-BE49-F238E27FC236}">
              <a16:creationId xmlns:a16="http://schemas.microsoft.com/office/drawing/2014/main" id="{5F634CEA-67AA-CFDA-A625-991920B433AF}"/>
            </a:ext>
          </a:extLst>
        </xdr:cNvPr>
        <xdr:cNvPicPr>
          <a:picLocks noChangeAspect="1"/>
        </xdr:cNvPicPr>
      </xdr:nvPicPr>
      <xdr:blipFill>
        <a:blip xmlns:r="http://schemas.openxmlformats.org/officeDocument/2006/relationships" r:embed="rId1"/>
        <a:stretch>
          <a:fillRect/>
        </a:stretch>
      </xdr:blipFill>
      <xdr:spPr>
        <a:xfrm>
          <a:off x="6413500" y="1793956"/>
          <a:ext cx="4875902" cy="1400093"/>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7</xdr:col>
      <xdr:colOff>438150</xdr:colOff>
      <xdr:row>0</xdr:row>
      <xdr:rowOff>82550</xdr:rowOff>
    </xdr:from>
    <xdr:to>
      <xdr:col>14</xdr:col>
      <xdr:colOff>38100</xdr:colOff>
      <xdr:row>11</xdr:row>
      <xdr:rowOff>127000</xdr:rowOff>
    </xdr:to>
    <xdr:sp macro="" textlink="">
      <xdr:nvSpPr>
        <xdr:cNvPr id="2" name="TextBox 1">
          <a:extLst>
            <a:ext uri="{FF2B5EF4-FFF2-40B4-BE49-F238E27FC236}">
              <a16:creationId xmlns:a16="http://schemas.microsoft.com/office/drawing/2014/main" id="{1049CF84-956F-4FAA-9159-FFC823CACB29}"/>
            </a:ext>
          </a:extLst>
        </xdr:cNvPr>
        <xdr:cNvSpPr txBox="1"/>
      </xdr:nvSpPr>
      <xdr:spPr>
        <a:xfrm>
          <a:off x="5486400" y="82550"/>
          <a:ext cx="395605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Scenario:PRINCESS</a:t>
          </a:r>
          <a:r>
            <a:rPr lang="en-US" sz="2000" b="1" i="0" baseline="0">
              <a:solidFill>
                <a:schemeClr val="dk1"/>
              </a:solidFill>
              <a:effectLst/>
              <a:latin typeface="+mn-lt"/>
              <a:ea typeface="+mn-ea"/>
              <a:cs typeface="+mn-cs"/>
            </a:rPr>
            <a:t> BRIDES</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Liz Bailey is the owner of Princess Brides, a wedding dress retailer. She uses radio to market and two types of ads are available – those during prime time and those at other times. Each prime time ad costs $390 and reaches 8,200 people on average. Off-peak ads cost $240 and reach 5,100 people on average. Bailey has a budget of $1800 per week for advertising. She wants at least 2 prime time ads and no more than 6 off-peak ads. Find the best mix of ads to purchase so the most people are reached.</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146050</xdr:colOff>
      <xdr:row>0</xdr:row>
      <xdr:rowOff>101600</xdr:rowOff>
    </xdr:from>
    <xdr:to>
      <xdr:col>15</xdr:col>
      <xdr:colOff>101600</xdr:colOff>
      <xdr:row>17</xdr:row>
      <xdr:rowOff>95250</xdr:rowOff>
    </xdr:to>
    <xdr:sp macro="" textlink="">
      <xdr:nvSpPr>
        <xdr:cNvPr id="2" name="TextBox 1">
          <a:extLst>
            <a:ext uri="{FF2B5EF4-FFF2-40B4-BE49-F238E27FC236}">
              <a16:creationId xmlns:a16="http://schemas.microsoft.com/office/drawing/2014/main" id="{F7668D3F-ED8E-4242-865F-22EF5C28424C}"/>
            </a:ext>
          </a:extLst>
        </xdr:cNvPr>
        <xdr:cNvSpPr txBox="1"/>
      </xdr:nvSpPr>
      <xdr:spPr>
        <a:xfrm>
          <a:off x="6280150" y="101600"/>
          <a:ext cx="4311650" cy="320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a:t>
          </a:r>
          <a:r>
            <a:rPr lang="en-US" sz="2000" b="1" i="0" baseline="0">
              <a:solidFill>
                <a:schemeClr val="dk1"/>
              </a:solidFill>
              <a:effectLst/>
              <a:latin typeface="+mn-lt"/>
              <a:ea typeface="+mn-ea"/>
              <a:cs typeface="+mn-cs"/>
            </a:rPr>
            <a:t> Bolsa De Cafe</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Bolsa de Café is a specialty coffee shop selling custom blends of coffee using 3 types of beans.  They sell two products: 20 lb bags of blended coffee beans (whole) and individual bags of ground beans sold by the pound in bulk.  The ground beans can be produced in any quantity.  Both bags are composed of three different beans.  The 20lb bags sell for $85 and bags of ground beans sell for $1.50/lb.  Find the number of 20lb bags and number of pounds of ground beans to produce subject to the constraints in the table below so that profit is maximized.</a:t>
          </a:r>
        </a:p>
        <a:p>
          <a:endParaRPr lang="en-US" sz="1100" b="0" i="0">
            <a:solidFill>
              <a:schemeClr val="dk1"/>
            </a:solidFill>
            <a:effectLst/>
            <a:latin typeface="+mn-lt"/>
            <a:ea typeface="+mn-ea"/>
            <a:cs typeface="+mn-cs"/>
          </a:endParaRPr>
        </a:p>
      </xdr:txBody>
    </xdr:sp>
    <xdr:clientData/>
  </xdr:twoCellAnchor>
  <xdr:twoCellAnchor editAs="oneCell">
    <xdr:from>
      <xdr:col>8</xdr:col>
      <xdr:colOff>381000</xdr:colOff>
      <xdr:row>9</xdr:row>
      <xdr:rowOff>93122</xdr:rowOff>
    </xdr:from>
    <xdr:to>
      <xdr:col>15</xdr:col>
      <xdr:colOff>44449</xdr:colOff>
      <xdr:row>16</xdr:row>
      <xdr:rowOff>101857</xdr:rowOff>
    </xdr:to>
    <xdr:pic>
      <xdr:nvPicPr>
        <xdr:cNvPr id="5" name="Picture 4">
          <a:extLst>
            <a:ext uri="{FF2B5EF4-FFF2-40B4-BE49-F238E27FC236}">
              <a16:creationId xmlns:a16="http://schemas.microsoft.com/office/drawing/2014/main" id="{068C89B6-F155-6926-8FB2-F4D79BDC5D26}"/>
            </a:ext>
          </a:extLst>
        </xdr:cNvPr>
        <xdr:cNvPicPr>
          <a:picLocks noChangeAspect="1"/>
        </xdr:cNvPicPr>
      </xdr:nvPicPr>
      <xdr:blipFill>
        <a:blip xmlns:r="http://schemas.openxmlformats.org/officeDocument/2006/relationships" r:embed="rId1"/>
        <a:stretch>
          <a:fillRect/>
        </a:stretch>
      </xdr:blipFill>
      <xdr:spPr>
        <a:xfrm>
          <a:off x="6515100" y="1833022"/>
          <a:ext cx="4019549" cy="129778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177800</xdr:colOff>
      <xdr:row>0</xdr:row>
      <xdr:rowOff>38100</xdr:rowOff>
    </xdr:from>
    <xdr:to>
      <xdr:col>15</xdr:col>
      <xdr:colOff>63500</xdr:colOff>
      <xdr:row>13</xdr:row>
      <xdr:rowOff>0</xdr:rowOff>
    </xdr:to>
    <xdr:sp macro="" textlink="">
      <xdr:nvSpPr>
        <xdr:cNvPr id="2" name="TextBox 1">
          <a:extLst>
            <a:ext uri="{FF2B5EF4-FFF2-40B4-BE49-F238E27FC236}">
              <a16:creationId xmlns:a16="http://schemas.microsoft.com/office/drawing/2014/main" id="{5E623337-7BE2-4F11-9109-62C19E0631D8}"/>
            </a:ext>
          </a:extLst>
        </xdr:cNvPr>
        <xdr:cNvSpPr txBox="1"/>
      </xdr:nvSpPr>
      <xdr:spPr>
        <a:xfrm>
          <a:off x="6711950" y="38100"/>
          <a:ext cx="485140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a:t>
          </a:r>
          <a:r>
            <a:rPr lang="en-US" sz="2000" b="1" i="0" baseline="0">
              <a:solidFill>
                <a:schemeClr val="dk1"/>
              </a:solidFill>
              <a:effectLst/>
              <a:latin typeface="+mn-lt"/>
              <a:ea typeface="+mn-ea"/>
              <a:cs typeface="+mn-cs"/>
            </a:rPr>
            <a:t>Art Poster</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University art student Hilda Hernandez runs a small business printing and selling wall posters. She sells two sizes of wall posters, a large 3- by 4-foot poster and a smaller 2- by 3-foot poster. The profit earned from the sale of each large poster is $5; each smaller poster earns $7. Because of her classroom schedule, Hilda has the following weekly constraints: (1) up to four large posters can be sold, (2) up to six smaller posters can be sold, and (3) up to 15 hours can be spent on posters during the week, with each large poster requiring 3 hours of work and each smaller one taking 1.5 hour.</a:t>
          </a:r>
        </a:p>
        <a:p>
          <a:r>
            <a:rPr lang="en-US" sz="1100" b="0" i="0">
              <a:solidFill>
                <a:schemeClr val="dk1"/>
              </a:solidFill>
              <a:effectLst/>
              <a:latin typeface="+mn-lt"/>
              <a:ea typeface="+mn-ea"/>
              <a:cs typeface="+mn-cs"/>
            </a:rPr>
            <a:t>With the semester almost over, Hilda plans on taking a 3-month summer vacation to England. She wants to maximize her profit in her final week before leaving, and she doesn’t want to leave any unfinished posters behind. </a:t>
          </a:r>
        </a:p>
        <a:p>
          <a:endParaRPr lang="en-US" sz="1100" b="0" i="0">
            <a:solidFill>
              <a:schemeClr val="dk1"/>
            </a:solidFill>
            <a:effectLst/>
            <a:latin typeface="+mn-lt"/>
            <a:ea typeface="+mn-ea"/>
            <a:cs typeface="+mn-cs"/>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31750</xdr:colOff>
      <xdr:row>0</xdr:row>
      <xdr:rowOff>0</xdr:rowOff>
    </xdr:from>
    <xdr:to>
      <xdr:col>13</xdr:col>
      <xdr:colOff>177800</xdr:colOff>
      <xdr:row>10</xdr:row>
      <xdr:rowOff>6350</xdr:rowOff>
    </xdr:to>
    <xdr:sp macro="" textlink="">
      <xdr:nvSpPr>
        <xdr:cNvPr id="2" name="TextBox 1">
          <a:extLst>
            <a:ext uri="{FF2B5EF4-FFF2-40B4-BE49-F238E27FC236}">
              <a16:creationId xmlns:a16="http://schemas.microsoft.com/office/drawing/2014/main" id="{979C1ECB-CDC0-44B0-BC42-E3EC86C80E1E}"/>
            </a:ext>
          </a:extLst>
        </xdr:cNvPr>
        <xdr:cNvSpPr txBox="1"/>
      </xdr:nvSpPr>
      <xdr:spPr>
        <a:xfrm>
          <a:off x="7016750" y="0"/>
          <a:ext cx="4483100" cy="2178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dk1"/>
              </a:solidFill>
              <a:effectLst/>
              <a:latin typeface="+mn-lt"/>
              <a:ea typeface="+mn-ea"/>
              <a:cs typeface="+mn-cs"/>
            </a:rPr>
            <a:t>Scenario: TextBook Company</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Justin Brody is the production manager for a math textbook manufacturing company. The company produces Geometry and Calculus texts. Each Geometry text generates a profit of $80 and requires 3 hours assembly time and 4 hours of proofing. Each Calculus text generates $45 of profit and requires 5 hours of assembly and 2 hours of proofing. There are 360 hours of assembly time and 240 hours of proofing time available each month.</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Find the number of Geometry and Calculus texts to make that maximizes the profit each month.</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12</xdr:col>
      <xdr:colOff>88900</xdr:colOff>
      <xdr:row>0</xdr:row>
      <xdr:rowOff>76200</xdr:rowOff>
    </xdr:from>
    <xdr:to>
      <xdr:col>20</xdr:col>
      <xdr:colOff>63500</xdr:colOff>
      <xdr:row>16</xdr:row>
      <xdr:rowOff>76200</xdr:rowOff>
    </xdr:to>
    <xdr:sp macro="" textlink="">
      <xdr:nvSpPr>
        <xdr:cNvPr id="2" name="TextBox 1">
          <a:extLst>
            <a:ext uri="{FF2B5EF4-FFF2-40B4-BE49-F238E27FC236}">
              <a16:creationId xmlns:a16="http://schemas.microsoft.com/office/drawing/2014/main" id="{91095210-7769-43E4-9F6A-BE2DEB786783}"/>
            </a:ext>
          </a:extLst>
        </xdr:cNvPr>
        <xdr:cNvSpPr txBox="1"/>
      </xdr:nvSpPr>
      <xdr:spPr>
        <a:xfrm>
          <a:off x="6051550" y="76200"/>
          <a:ext cx="4851400" cy="311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dk1"/>
              </a:solidFill>
              <a:effectLst/>
              <a:latin typeface="+mn-lt"/>
              <a:ea typeface="+mn-ea"/>
              <a:cs typeface="+mn-cs"/>
            </a:rPr>
            <a:t>Scenario:</a:t>
          </a:r>
          <a:r>
            <a:rPr lang="en-US" sz="1600" b="1" i="0" baseline="0">
              <a:solidFill>
                <a:schemeClr val="dk1"/>
              </a:solidFill>
              <a:effectLst/>
              <a:latin typeface="+mn-lt"/>
              <a:ea typeface="+mn-ea"/>
              <a:cs typeface="+mn-cs"/>
            </a:rPr>
            <a:t> </a:t>
          </a:r>
          <a:r>
            <a:rPr lang="en-US" sz="1600" b="1" i="0">
              <a:solidFill>
                <a:schemeClr val="dk1"/>
              </a:solidFill>
              <a:effectLst/>
              <a:latin typeface="+mn-lt"/>
              <a:ea typeface="+mn-ea"/>
              <a:cs typeface="+mn-cs"/>
            </a:rPr>
            <a:t>Binary Investment Decision</a:t>
          </a:r>
        </a:p>
        <a:p>
          <a:r>
            <a:rPr lang="en-US" sz="1100" b="0" i="0">
              <a:solidFill>
                <a:schemeClr val="dk1"/>
              </a:solidFill>
              <a:effectLst/>
              <a:latin typeface="+mn-lt"/>
              <a:ea typeface="+mn-ea"/>
              <a:cs typeface="+mn-cs"/>
            </a:rPr>
            <a:t>A financial investment firm specializes in recommending oil stock portfolios for clients.  One such client made the following specifications:</a:t>
          </a:r>
        </a:p>
        <a:p>
          <a:r>
            <a:rPr lang="en-US" sz="1100" b="0" i="0">
              <a:solidFill>
                <a:schemeClr val="dk1"/>
              </a:solidFill>
              <a:effectLst/>
              <a:latin typeface="+mn-lt"/>
              <a:ea typeface="+mn-ea"/>
              <a:cs typeface="+mn-cs"/>
            </a:rPr>
            <a:t>At least two Texas oil firms must be in the portfolio</a:t>
          </a:r>
        </a:p>
        <a:p>
          <a:r>
            <a:rPr lang="en-US" sz="1100" b="0" i="0">
              <a:solidFill>
                <a:schemeClr val="dk1"/>
              </a:solidFill>
              <a:effectLst/>
              <a:latin typeface="+mn-lt"/>
              <a:ea typeface="+mn-ea"/>
              <a:cs typeface="+mn-cs"/>
            </a:rPr>
            <a:t>No more than one investment can be made in foreign oil companies (companies outside of the United States).</a:t>
          </a:r>
        </a:p>
        <a:p>
          <a:r>
            <a:rPr lang="en-US" sz="1100" b="0" i="0">
              <a:solidFill>
                <a:schemeClr val="dk1"/>
              </a:solidFill>
              <a:effectLst/>
              <a:latin typeface="+mn-lt"/>
              <a:ea typeface="+mn-ea"/>
              <a:cs typeface="+mn-cs"/>
            </a:rPr>
            <a:t>One of two California oil stocks must be purchased.</a:t>
          </a:r>
        </a:p>
        <a:p>
          <a:r>
            <a:rPr lang="en-US" sz="1100" b="0" i="0">
              <a:solidFill>
                <a:schemeClr val="dk1"/>
              </a:solidFill>
              <a:effectLst/>
              <a:latin typeface="+mn-lt"/>
              <a:ea typeface="+mn-ea"/>
              <a:cs typeface="+mn-cs"/>
            </a:rPr>
            <a:t>Up to $3 million for investing to purchase single blocks of stock per table below. </a:t>
          </a:r>
        </a:p>
        <a:p>
          <a:r>
            <a:rPr lang="en-US" sz="1100" b="0" i="0">
              <a:solidFill>
                <a:schemeClr val="dk1"/>
              </a:solidFill>
              <a:effectLst/>
              <a:latin typeface="+mn-lt"/>
              <a:ea typeface="+mn-ea"/>
              <a:cs typeface="+mn-cs"/>
            </a:rPr>
            <a:t>Find the allocation of investments to maximize the return.</a:t>
          </a:r>
        </a:p>
      </xdr:txBody>
    </xdr:sp>
    <xdr:clientData/>
  </xdr:twoCellAnchor>
  <xdr:twoCellAnchor editAs="oneCell">
    <xdr:from>
      <xdr:col>12</xdr:col>
      <xdr:colOff>234937</xdr:colOff>
      <xdr:row>8</xdr:row>
      <xdr:rowOff>114301</xdr:rowOff>
    </xdr:from>
    <xdr:to>
      <xdr:col>19</xdr:col>
      <xdr:colOff>495300</xdr:colOff>
      <xdr:row>15</xdr:row>
      <xdr:rowOff>158750</xdr:rowOff>
    </xdr:to>
    <xdr:pic>
      <xdr:nvPicPr>
        <xdr:cNvPr id="3" name="Picture 2">
          <a:extLst>
            <a:ext uri="{FF2B5EF4-FFF2-40B4-BE49-F238E27FC236}">
              <a16:creationId xmlns:a16="http://schemas.microsoft.com/office/drawing/2014/main" id="{3C5B6060-4273-AA40-4921-CBAC9BEAC05F}"/>
            </a:ext>
          </a:extLst>
        </xdr:cNvPr>
        <xdr:cNvPicPr>
          <a:picLocks noChangeAspect="1"/>
        </xdr:cNvPicPr>
      </xdr:nvPicPr>
      <xdr:blipFill>
        <a:blip xmlns:r="http://schemas.openxmlformats.org/officeDocument/2006/relationships" r:embed="rId1"/>
        <a:stretch>
          <a:fillRect/>
        </a:stretch>
      </xdr:blipFill>
      <xdr:spPr>
        <a:xfrm>
          <a:off x="6197587" y="1752601"/>
          <a:ext cx="4527563" cy="1333499"/>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12</xdr:col>
      <xdr:colOff>44450</xdr:colOff>
      <xdr:row>0</xdr:row>
      <xdr:rowOff>69850</xdr:rowOff>
    </xdr:from>
    <xdr:to>
      <xdr:col>20</xdr:col>
      <xdr:colOff>19050</xdr:colOff>
      <xdr:row>15</xdr:row>
      <xdr:rowOff>177800</xdr:rowOff>
    </xdr:to>
    <xdr:sp macro="" textlink="">
      <xdr:nvSpPr>
        <xdr:cNvPr id="2" name="TextBox 1">
          <a:extLst>
            <a:ext uri="{FF2B5EF4-FFF2-40B4-BE49-F238E27FC236}">
              <a16:creationId xmlns:a16="http://schemas.microsoft.com/office/drawing/2014/main" id="{86D85CB4-11AA-4CA4-965C-F995697D7960}"/>
            </a:ext>
          </a:extLst>
        </xdr:cNvPr>
        <xdr:cNvSpPr txBox="1"/>
      </xdr:nvSpPr>
      <xdr:spPr>
        <a:xfrm>
          <a:off x="6273800" y="69850"/>
          <a:ext cx="4851400" cy="303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dk1"/>
              </a:solidFill>
              <a:effectLst/>
              <a:latin typeface="+mn-lt"/>
              <a:ea typeface="+mn-ea"/>
              <a:cs typeface="+mn-cs"/>
            </a:rPr>
            <a:t>Scenario:</a:t>
          </a:r>
          <a:r>
            <a:rPr lang="en-US" sz="1600" b="1" i="0" baseline="0">
              <a:solidFill>
                <a:schemeClr val="dk1"/>
              </a:solidFill>
              <a:effectLst/>
              <a:latin typeface="+mn-lt"/>
              <a:ea typeface="+mn-ea"/>
              <a:cs typeface="+mn-cs"/>
            </a:rPr>
            <a:t> </a:t>
          </a:r>
          <a:r>
            <a:rPr lang="en-US" sz="1600" b="1" i="0">
              <a:solidFill>
                <a:schemeClr val="dk1"/>
              </a:solidFill>
              <a:effectLst/>
              <a:latin typeface="+mn-lt"/>
              <a:ea typeface="+mn-ea"/>
              <a:cs typeface="+mn-cs"/>
            </a:rPr>
            <a:t>HORIZON WIRELESS</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Horizon Wireless, a cellular telephone company, is expanding into a new city. Relay towers are necessary to provide wireless telephone coverage to the different areas of the city. A grid is superimposed on a map of the city to help determine where the towers should be located. The grid consists of 8 areas labeled A through H. Six possible tower locations (numbered L1–L6) have been identified, and each location could serve several areas. The table below indicates the areas served by each of the towers.</a:t>
          </a:r>
        </a:p>
        <a:p>
          <a:r>
            <a:rPr lang="en-US" sz="1100" b="0" i="0">
              <a:solidFill>
                <a:schemeClr val="dk1"/>
              </a:solidFill>
              <a:effectLst/>
              <a:latin typeface="+mn-lt"/>
              <a:ea typeface="+mn-ea"/>
              <a:cs typeface="+mn-cs"/>
            </a:rPr>
            <a:t>Horizon wants to make sure that all areas of the city are served, while minimizing the number of towers that need to be built.</a:t>
          </a:r>
        </a:p>
        <a:p>
          <a:r>
            <a:rPr lang="en-US" sz="1100" b="0" i="0">
              <a:solidFill>
                <a:schemeClr val="dk1"/>
              </a:solidFill>
              <a:effectLst/>
              <a:latin typeface="+mn-lt"/>
              <a:ea typeface="+mn-ea"/>
              <a:cs typeface="+mn-cs"/>
            </a:rPr>
            <a:t>.</a:t>
          </a:r>
        </a:p>
      </xdr:txBody>
    </xdr:sp>
    <xdr:clientData/>
  </xdr:twoCellAnchor>
  <xdr:twoCellAnchor editAs="oneCell">
    <xdr:from>
      <xdr:col>13</xdr:col>
      <xdr:colOff>533401</xdr:colOff>
      <xdr:row>9</xdr:row>
      <xdr:rowOff>63501</xdr:rowOff>
    </xdr:from>
    <xdr:to>
      <xdr:col>16</xdr:col>
      <xdr:colOff>412750</xdr:colOff>
      <xdr:row>15</xdr:row>
      <xdr:rowOff>50801</xdr:rowOff>
    </xdr:to>
    <xdr:pic>
      <xdr:nvPicPr>
        <xdr:cNvPr id="4" name="Picture 3">
          <a:extLst>
            <a:ext uri="{FF2B5EF4-FFF2-40B4-BE49-F238E27FC236}">
              <a16:creationId xmlns:a16="http://schemas.microsoft.com/office/drawing/2014/main" id="{35E09F13-73D4-157D-0F29-6C9915A3B394}"/>
            </a:ext>
          </a:extLst>
        </xdr:cNvPr>
        <xdr:cNvPicPr>
          <a:picLocks noChangeAspect="1"/>
        </xdr:cNvPicPr>
      </xdr:nvPicPr>
      <xdr:blipFill>
        <a:blip xmlns:r="http://schemas.openxmlformats.org/officeDocument/2006/relationships" r:embed="rId1"/>
        <a:stretch>
          <a:fillRect/>
        </a:stretch>
      </xdr:blipFill>
      <xdr:spPr>
        <a:xfrm>
          <a:off x="7372351" y="1885951"/>
          <a:ext cx="1708149" cy="10922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6</xdr:col>
      <xdr:colOff>50800</xdr:colOff>
      <xdr:row>0</xdr:row>
      <xdr:rowOff>19050</xdr:rowOff>
    </xdr:from>
    <xdr:to>
      <xdr:col>12</xdr:col>
      <xdr:colOff>590550</xdr:colOff>
      <xdr:row>10</xdr:row>
      <xdr:rowOff>127000</xdr:rowOff>
    </xdr:to>
    <xdr:sp macro="" textlink="">
      <xdr:nvSpPr>
        <xdr:cNvPr id="2" name="TextBox 1">
          <a:extLst>
            <a:ext uri="{FF2B5EF4-FFF2-40B4-BE49-F238E27FC236}">
              <a16:creationId xmlns:a16="http://schemas.microsoft.com/office/drawing/2014/main" id="{E1FFC16C-A288-4D77-9A0A-CBF0C1C3ADBF}"/>
            </a:ext>
          </a:extLst>
        </xdr:cNvPr>
        <xdr:cNvSpPr txBox="1"/>
      </xdr:nvSpPr>
      <xdr:spPr>
        <a:xfrm>
          <a:off x="6292850" y="19050"/>
          <a:ext cx="448310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Scenario:Portfolio</a:t>
          </a:r>
          <a:r>
            <a:rPr lang="en-US" sz="2000" b="1" i="0" baseline="0">
              <a:solidFill>
                <a:schemeClr val="dk1"/>
              </a:solidFill>
              <a:effectLst/>
              <a:latin typeface="+mn-lt"/>
              <a:ea typeface="+mn-ea"/>
              <a:cs typeface="+mn-cs"/>
            </a:rPr>
            <a:t> Variance</a:t>
          </a:r>
          <a:endParaRPr lang="en-US" sz="2000" b="1" i="0">
            <a:solidFill>
              <a:schemeClr val="dk1"/>
            </a:solidFill>
            <a:effectLst/>
            <a:latin typeface="+mn-lt"/>
            <a:ea typeface="+mn-ea"/>
            <a:cs typeface="+mn-cs"/>
          </a:endParaRPr>
        </a:p>
        <a:p>
          <a:r>
            <a:rPr lang="en-US" sz="1100" b="0" i="0">
              <a:solidFill>
                <a:schemeClr val="dk1"/>
              </a:solidFill>
              <a:effectLst/>
              <a:latin typeface="+mn-lt"/>
              <a:ea typeface="+mn-ea"/>
              <a:cs typeface="+mn-cs"/>
            </a:rPr>
            <a:t>Ryan, a financial investor for PB&amp;J, is evaluating two stocks in a particular industry.  He want to minimize the variance of a portfolio consisting of these two stocks, but wants to have an expected return of 9%.  After obtaining historical data on past variances and returns, he develops the following </a:t>
          </a:r>
          <a:r>
            <a:rPr lang="en-US" sz="1100" b="0" i="1">
              <a:solidFill>
                <a:schemeClr val="dk1"/>
              </a:solidFill>
              <a:effectLst/>
              <a:latin typeface="+mn-lt"/>
              <a:ea typeface="+mn-ea"/>
              <a:cs typeface="+mn-cs"/>
            </a:rPr>
            <a:t>non-linear</a:t>
          </a:r>
          <a:r>
            <a:rPr lang="en-US" sz="1100" b="0" i="0">
              <a:solidFill>
                <a:schemeClr val="dk1"/>
              </a:solidFill>
              <a:effectLst/>
              <a:latin typeface="+mn-lt"/>
              <a:ea typeface="+mn-ea"/>
              <a:cs typeface="+mn-cs"/>
            </a:rPr>
            <a:t> program:</a:t>
          </a:r>
        </a:p>
        <a:p>
          <a:endParaRPr lang="en-US" sz="1100" b="0" i="0">
            <a:solidFill>
              <a:schemeClr val="dk1"/>
            </a:solidFill>
            <a:effectLst/>
            <a:latin typeface="+mn-lt"/>
            <a:ea typeface="+mn-ea"/>
            <a:cs typeface="+mn-cs"/>
          </a:endParaRPr>
        </a:p>
        <a:p>
          <a:r>
            <a:rPr lang="en-US" sz="1100" b="1" i="1">
              <a:solidFill>
                <a:schemeClr val="tx2">
                  <a:lumMod val="90000"/>
                  <a:lumOff val="10000"/>
                </a:schemeClr>
              </a:solidFill>
              <a:effectLst/>
              <a:latin typeface="+mn-lt"/>
              <a:ea typeface="+mn-ea"/>
              <a:cs typeface="+mn-cs"/>
            </a:rPr>
            <a:t>XX  =  proportion of money to invest in Stock 1</a:t>
          </a:r>
        </a:p>
        <a:p>
          <a:r>
            <a:rPr lang="en-US" sz="1100" b="1" i="1">
              <a:solidFill>
                <a:schemeClr val="tx2">
                  <a:lumMod val="90000"/>
                  <a:lumOff val="10000"/>
                </a:schemeClr>
              </a:solidFill>
              <a:effectLst/>
              <a:latin typeface="+mn-lt"/>
              <a:ea typeface="+mn-ea"/>
              <a:cs typeface="+mn-cs"/>
            </a:rPr>
            <a:t>YY  =  proportion of money to invest in Stock 2</a:t>
          </a:r>
        </a:p>
        <a:p>
          <a:r>
            <a:rPr lang="en-US" sz="1100" b="1" i="1">
              <a:solidFill>
                <a:schemeClr val="tx2">
                  <a:lumMod val="90000"/>
                  <a:lumOff val="10000"/>
                </a:schemeClr>
              </a:solidFill>
              <a:effectLst/>
              <a:latin typeface="+mn-lt"/>
              <a:ea typeface="+mn-ea"/>
              <a:cs typeface="+mn-cs"/>
            </a:rPr>
            <a:t>All funds must be invested. Historical return on Stock 1 is 11%; </a:t>
          </a:r>
        </a:p>
        <a:p>
          <a:r>
            <a:rPr lang="en-US" sz="1100" b="1" i="1">
              <a:solidFill>
                <a:schemeClr val="tx2">
                  <a:lumMod val="90000"/>
                  <a:lumOff val="10000"/>
                </a:schemeClr>
              </a:solidFill>
              <a:effectLst/>
              <a:latin typeface="+mn-lt"/>
              <a:ea typeface="+mn-ea"/>
              <a:cs typeface="+mn-cs"/>
            </a:rPr>
            <a:t>Historical return on Stock 2 is 8%.</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Min: Var=0.16X2 + 0.2XY + 0.9Y2 Var = 0.16</a:t>
          </a:r>
          <a:r>
            <a:rPr lang="en-US" sz="1100" b="0" i="1">
              <a:solidFill>
                <a:schemeClr val="dk1"/>
              </a:solidFill>
              <a:effectLst/>
              <a:latin typeface="+mn-lt"/>
              <a:ea typeface="+mn-ea"/>
              <a:cs typeface="+mn-cs"/>
            </a:rPr>
            <a:t>X</a:t>
          </a:r>
          <a:r>
            <a:rPr lang="en-US" sz="1100" b="0" i="0">
              <a:solidFill>
                <a:schemeClr val="dk1"/>
              </a:solidFill>
              <a:effectLst/>
              <a:latin typeface="+mn-lt"/>
              <a:ea typeface="+mn-ea"/>
              <a:cs typeface="+mn-cs"/>
            </a:rPr>
            <a:t>2 + 0.2</a:t>
          </a:r>
          <a:r>
            <a:rPr lang="en-US" sz="1100" b="0" i="1">
              <a:solidFill>
                <a:schemeClr val="dk1"/>
              </a:solidFill>
              <a:effectLst/>
              <a:latin typeface="+mn-lt"/>
              <a:ea typeface="+mn-ea"/>
              <a:cs typeface="+mn-cs"/>
            </a:rPr>
            <a:t>XY </a:t>
          </a:r>
          <a:r>
            <a:rPr lang="en-US" sz="1100" b="0" i="0">
              <a:solidFill>
                <a:schemeClr val="dk1"/>
              </a:solidFill>
              <a:effectLst/>
              <a:latin typeface="+mn-lt"/>
              <a:ea typeface="+mn-ea"/>
              <a:cs typeface="+mn-cs"/>
            </a:rPr>
            <a:t>+ 0.9</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2</a:t>
          </a:r>
        </a:p>
        <a:p>
          <a:endParaRPr lang="en-US" sz="1100" b="0" i="0">
            <a:solidFill>
              <a:schemeClr val="dk1"/>
            </a:solidFill>
            <a:effectLst/>
            <a:latin typeface="+mn-lt"/>
            <a:ea typeface="+mn-ea"/>
            <a:cs typeface="+mn-cs"/>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5</xdr:col>
      <xdr:colOff>50800</xdr:colOff>
      <xdr:row>0</xdr:row>
      <xdr:rowOff>19050</xdr:rowOff>
    </xdr:from>
    <xdr:to>
      <xdr:col>11</xdr:col>
      <xdr:colOff>590550</xdr:colOff>
      <xdr:row>9</xdr:row>
      <xdr:rowOff>127000</xdr:rowOff>
    </xdr:to>
    <xdr:sp macro="" textlink="">
      <xdr:nvSpPr>
        <xdr:cNvPr id="2" name="TextBox 1">
          <a:extLst>
            <a:ext uri="{FF2B5EF4-FFF2-40B4-BE49-F238E27FC236}">
              <a16:creationId xmlns:a16="http://schemas.microsoft.com/office/drawing/2014/main" id="{E77B1044-4E80-40C5-A97E-A8A92428A908}"/>
            </a:ext>
          </a:extLst>
        </xdr:cNvPr>
        <xdr:cNvSpPr txBox="1"/>
      </xdr:nvSpPr>
      <xdr:spPr>
        <a:xfrm>
          <a:off x="6292850" y="19050"/>
          <a:ext cx="448310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Scenario:Motorcross</a:t>
          </a:r>
          <a:r>
            <a:rPr lang="en-US" sz="2000" b="1" i="0" baseline="0">
              <a:solidFill>
                <a:schemeClr val="dk1"/>
              </a:solidFill>
              <a:effectLst/>
              <a:latin typeface="+mn-lt"/>
              <a:ea typeface="+mn-ea"/>
              <a:cs typeface="+mn-cs"/>
            </a:rPr>
            <a:t> Snowmobiles</a:t>
          </a:r>
          <a:endParaRPr lang="en-US" sz="2000" b="1" i="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Motorcross of Wisconsin produces two models of snowmobiles, XJ6 and XJ8.  In any given production-planning week, Motorcross has 40 hours available in its final testing bay. </a:t>
          </a:r>
        </a:p>
        <a:p>
          <a:r>
            <a:rPr lang="en-US" sz="1100" i="1">
              <a:solidFill>
                <a:schemeClr val="dk1"/>
              </a:solidFill>
              <a:effectLst/>
              <a:latin typeface="+mn-lt"/>
              <a:ea typeface="+mn-ea"/>
              <a:cs typeface="+mn-cs"/>
            </a:rPr>
            <a:t>Each XJ6 requires 1 hour to test and each XJ8 requires 2 hours.  </a:t>
          </a:r>
        </a:p>
        <a:p>
          <a:r>
            <a:rPr lang="en-US" sz="1100" i="1">
              <a:solidFill>
                <a:schemeClr val="dk1"/>
              </a:solidFill>
              <a:effectLst/>
              <a:latin typeface="+mn-lt"/>
              <a:ea typeface="+mn-ea"/>
              <a:cs typeface="+mn-cs"/>
            </a:rPr>
            <a:t>The revenue (in $1,000s) is given as follows:</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 If XX = # of XJ6 and YY = # of XJ8, the revenue is then</a:t>
          </a:r>
        </a:p>
        <a:p>
          <a:endParaRPr lang="en-US" sz="1100" i="1">
            <a:solidFill>
              <a:schemeClr val="dk1"/>
            </a:solidFill>
            <a:effectLst/>
            <a:latin typeface="+mn-lt"/>
            <a:ea typeface="+mn-ea"/>
            <a:cs typeface="+mn-cs"/>
          </a:endParaRPr>
        </a:p>
        <a:p>
          <a:r>
            <a:rPr lang="en-US" sz="1100" b="1" i="1">
              <a:solidFill>
                <a:schemeClr val="tx2">
                  <a:lumMod val="90000"/>
                  <a:lumOff val="10000"/>
                </a:schemeClr>
              </a:solidFill>
              <a:effectLst/>
              <a:latin typeface="+mn-lt"/>
              <a:ea typeface="+mn-ea"/>
              <a:cs typeface="+mn-cs"/>
            </a:rPr>
            <a:t> R=X(4−0.1X)+Y(5−.02Y)R = X(4−0.1X)+Y(5−.02Y).</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Find the number of XJ6 and XJ8s to produce so that the revenue is maximized</a:t>
          </a:r>
          <a:r>
            <a:rPr lang="en-US" sz="1100">
              <a:solidFill>
                <a:schemeClr val="dk1"/>
              </a:solidFill>
              <a:effectLst/>
              <a:latin typeface="+mn-lt"/>
              <a:ea typeface="+mn-ea"/>
              <a:cs typeface="+mn-cs"/>
            </a:rPr>
            <a:t>.</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4</xdr:col>
      <xdr:colOff>50800</xdr:colOff>
      <xdr:row>0</xdr:row>
      <xdr:rowOff>19050</xdr:rowOff>
    </xdr:from>
    <xdr:to>
      <xdr:col>10</xdr:col>
      <xdr:colOff>590550</xdr:colOff>
      <xdr:row>16</xdr:row>
      <xdr:rowOff>152400</xdr:rowOff>
    </xdr:to>
    <xdr:sp macro="" textlink="">
      <xdr:nvSpPr>
        <xdr:cNvPr id="2" name="TextBox 1">
          <a:extLst>
            <a:ext uri="{FF2B5EF4-FFF2-40B4-BE49-F238E27FC236}">
              <a16:creationId xmlns:a16="http://schemas.microsoft.com/office/drawing/2014/main" id="{406B2035-B858-4529-9FD3-4D0D2BBFC70A}"/>
            </a:ext>
          </a:extLst>
        </xdr:cNvPr>
        <xdr:cNvSpPr txBox="1"/>
      </xdr:nvSpPr>
      <xdr:spPr>
        <a:xfrm>
          <a:off x="4679950" y="19050"/>
          <a:ext cx="4483100" cy="247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Scenario:Carmen</a:t>
          </a:r>
          <a:r>
            <a:rPr lang="en-US" sz="2000" b="1" i="0" baseline="0">
              <a:solidFill>
                <a:schemeClr val="dk1"/>
              </a:solidFill>
              <a:effectLst/>
              <a:latin typeface="+mn-lt"/>
              <a:ea typeface="+mn-ea"/>
              <a:cs typeface="+mn-cs"/>
            </a:rPr>
            <a:t> Yards</a:t>
          </a:r>
          <a:endParaRPr lang="en-US" sz="2000" b="1" i="0">
            <a:solidFill>
              <a:schemeClr val="dk1"/>
            </a:solidFill>
            <a:effectLst/>
            <a:latin typeface="+mn-lt"/>
            <a:ea typeface="+mn-ea"/>
            <a:cs typeface="+mn-cs"/>
          </a:endParaRPr>
        </a:p>
        <a:p>
          <a:endParaRPr lang="en-US" sz="1100" b="1" i="0">
            <a:solidFill>
              <a:schemeClr val="dk1"/>
            </a:solidFill>
            <a:effectLst/>
            <a:latin typeface="+mn-lt"/>
            <a:ea typeface="+mn-ea"/>
            <a:cs typeface="+mn-cs"/>
          </a:endParaRPr>
        </a:p>
        <a:p>
          <a:r>
            <a:rPr lang="en-US" sz="1100" b="0" i="1">
              <a:solidFill>
                <a:schemeClr val="dk1"/>
              </a:solidFill>
              <a:effectLst/>
              <a:latin typeface="+mn-lt"/>
              <a:ea typeface="+mn-ea"/>
              <a:cs typeface="+mn-cs"/>
            </a:rPr>
            <a:t>Hot dogs are sold at Camden Yards during the Baltimore Orioles’ baseball games. The current price is $2.50 per hot dog, but management is thinking about changing the price to increase profit. </a:t>
          </a:r>
        </a:p>
        <a:p>
          <a:endParaRPr lang="en-US" sz="1100" b="0" i="1">
            <a:solidFill>
              <a:schemeClr val="dk1"/>
            </a:solidFill>
            <a:effectLst/>
            <a:latin typeface="+mn-lt"/>
            <a:ea typeface="+mn-ea"/>
            <a:cs typeface="+mn-cs"/>
          </a:endParaRPr>
        </a:p>
        <a:p>
          <a:r>
            <a:rPr lang="en-US" sz="1100" b="0" i="1">
              <a:solidFill>
                <a:schemeClr val="dk1"/>
              </a:solidFill>
              <a:effectLst/>
              <a:latin typeface="+mn-lt"/>
              <a:ea typeface="+mn-ea"/>
              <a:cs typeface="+mn-cs"/>
            </a:rPr>
            <a:t>The price determines the number of hot dogs sold. If xx is the number of hot dogs sold, then the price is given by:</a:t>
          </a:r>
        </a:p>
        <a:p>
          <a:endParaRPr lang="en-US" sz="1100" b="0" i="1">
            <a:solidFill>
              <a:schemeClr val="dk1"/>
            </a:solidFill>
            <a:effectLst/>
            <a:latin typeface="+mn-lt"/>
            <a:ea typeface="+mn-ea"/>
            <a:cs typeface="+mn-cs"/>
          </a:endParaRPr>
        </a:p>
        <a:p>
          <a:r>
            <a:rPr lang="en-US" sz="1100" b="1" i="1">
              <a:solidFill>
                <a:schemeClr val="tx2"/>
              </a:solidFill>
              <a:effectLst/>
              <a:latin typeface="+mn-lt"/>
              <a:ea typeface="+mn-ea"/>
              <a:cs typeface="+mn-cs"/>
            </a:rPr>
            <a:t>p(x)=−0.0001x+4</a:t>
          </a:r>
          <a:endParaRPr lang="en-US" sz="1100" b="0" i="1">
            <a:solidFill>
              <a:schemeClr val="dk1"/>
            </a:solidFill>
            <a:effectLst/>
            <a:latin typeface="+mn-lt"/>
            <a:ea typeface="+mn-ea"/>
            <a:cs typeface="+mn-cs"/>
          </a:endParaRPr>
        </a:p>
        <a:p>
          <a:endParaRPr lang="en-US" sz="1100" b="0" i="1">
            <a:solidFill>
              <a:schemeClr val="dk1"/>
            </a:solidFill>
            <a:effectLst/>
            <a:latin typeface="+mn-lt"/>
            <a:ea typeface="+mn-ea"/>
            <a:cs typeface="+mn-cs"/>
          </a:endParaRPr>
        </a:p>
        <a:p>
          <a:r>
            <a:rPr lang="en-US" sz="1100" b="0" i="1">
              <a:solidFill>
                <a:schemeClr val="dk1"/>
              </a:solidFill>
              <a:effectLst/>
              <a:latin typeface="+mn-lt"/>
              <a:ea typeface="+mn-ea"/>
              <a:cs typeface="+mn-cs"/>
            </a:rPr>
            <a:t>Costs associated with the selling of hot dogs include a fixed cost of $1500 for equipment and a variable cost of $0.80 per hot dog</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50800</xdr:colOff>
      <xdr:row>0</xdr:row>
      <xdr:rowOff>19050</xdr:rowOff>
    </xdr:from>
    <xdr:to>
      <xdr:col>10</xdr:col>
      <xdr:colOff>590550</xdr:colOff>
      <xdr:row>9</xdr:row>
      <xdr:rowOff>76200</xdr:rowOff>
    </xdr:to>
    <xdr:sp macro="" textlink="">
      <xdr:nvSpPr>
        <xdr:cNvPr id="2" name="TextBox 1">
          <a:extLst>
            <a:ext uri="{FF2B5EF4-FFF2-40B4-BE49-F238E27FC236}">
              <a16:creationId xmlns:a16="http://schemas.microsoft.com/office/drawing/2014/main" id="{79100A50-E7AC-4F0D-925D-E8AA7B6DDE72}"/>
            </a:ext>
          </a:extLst>
        </xdr:cNvPr>
        <xdr:cNvSpPr txBox="1"/>
      </xdr:nvSpPr>
      <xdr:spPr>
        <a:xfrm>
          <a:off x="4959350" y="19050"/>
          <a:ext cx="4483100" cy="220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Scenario:M&amp;</a:t>
          </a:r>
          <a:r>
            <a:rPr lang="en-US" sz="2000" b="1" i="0" baseline="0">
              <a:solidFill>
                <a:schemeClr val="dk1"/>
              </a:solidFill>
              <a:effectLst/>
              <a:latin typeface="+mn-lt"/>
              <a:ea typeface="+mn-ea"/>
              <a:cs typeface="+mn-cs"/>
            </a:rPr>
            <a:t>T Stadium (Hamburgers)</a:t>
          </a:r>
          <a:endParaRPr lang="en-US" sz="2000" b="1" i="0">
            <a:solidFill>
              <a:schemeClr val="dk1"/>
            </a:solidFill>
            <a:effectLst/>
            <a:latin typeface="+mn-lt"/>
            <a:ea typeface="+mn-ea"/>
            <a:cs typeface="+mn-cs"/>
          </a:endParaRP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The demand for hamburgers sold at M&amp;T Stadium (home of the Baltimore Ravens) depends on the price.</a:t>
          </a:r>
        </a:p>
        <a:p>
          <a:r>
            <a:rPr lang="en-US" sz="1100" b="0" i="0">
              <a:solidFill>
                <a:schemeClr val="dk1"/>
              </a:solidFill>
              <a:effectLst/>
              <a:latin typeface="+mn-lt"/>
              <a:ea typeface="+mn-ea"/>
              <a:cs typeface="+mn-cs"/>
            </a:rPr>
            <a:t> If p</a:t>
          </a:r>
          <a:r>
            <a:rPr lang="en-US" sz="1100" b="0" i="1">
              <a:solidFill>
                <a:schemeClr val="dk1"/>
              </a:solidFill>
              <a:effectLst/>
              <a:latin typeface="+mn-lt"/>
              <a:ea typeface="+mn-ea"/>
              <a:cs typeface="+mn-cs"/>
            </a:rPr>
            <a:t>p</a:t>
          </a:r>
          <a:r>
            <a:rPr lang="en-US" sz="1100" b="0" i="0">
              <a:solidFill>
                <a:schemeClr val="dk1"/>
              </a:solidFill>
              <a:effectLst/>
              <a:latin typeface="+mn-lt"/>
              <a:ea typeface="+mn-ea"/>
              <a:cs typeface="+mn-cs"/>
            </a:rPr>
            <a:t> is the price of a hamburger, then the demand (q) is given by:</a:t>
          </a:r>
        </a:p>
        <a:p>
          <a:endParaRPr lang="en-US" sz="1100" b="1" i="0">
            <a:solidFill>
              <a:schemeClr val="tx2"/>
            </a:solidFill>
            <a:effectLst/>
            <a:latin typeface="+mn-lt"/>
            <a:ea typeface="+mn-ea"/>
            <a:cs typeface="+mn-cs"/>
          </a:endParaRPr>
        </a:p>
        <a:p>
          <a:r>
            <a:rPr lang="en-US" sz="1100" b="1" i="0">
              <a:solidFill>
                <a:schemeClr val="tx2"/>
              </a:solidFill>
              <a:effectLst/>
              <a:latin typeface="+mn-lt"/>
              <a:ea typeface="+mn-ea"/>
              <a:cs typeface="+mn-cs"/>
            </a:rPr>
            <a:t> q =</a:t>
          </a:r>
          <a:r>
            <a:rPr lang="en-US" sz="1100" b="1" i="0" baseline="0">
              <a:solidFill>
                <a:schemeClr val="tx2"/>
              </a:solidFill>
              <a:effectLst/>
              <a:latin typeface="+mn-lt"/>
              <a:ea typeface="+mn-ea"/>
              <a:cs typeface="+mn-cs"/>
            </a:rPr>
            <a:t> </a:t>
          </a:r>
          <a:r>
            <a:rPr lang="en-US" sz="1100" b="1" i="0">
              <a:solidFill>
                <a:schemeClr val="tx2"/>
              </a:solidFill>
              <a:effectLst/>
              <a:latin typeface="+mn-lt"/>
              <a:ea typeface="+mn-ea"/>
              <a:cs typeface="+mn-cs"/>
            </a:rPr>
            <a:t>−10000p+70000.</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If the vendor’s fixed costs are $2,500 and variable costs are $0.60 per hamburger, find the price of a hamburger that will maximize the profit.</a:t>
          </a:r>
        </a:p>
        <a:p>
          <a:r>
            <a:rPr lang="en-US" sz="1100" b="1" i="0">
              <a:solidFill>
                <a:schemeClr val="dk1"/>
              </a:solidFill>
              <a:effectLst/>
              <a:latin typeface="+mn-lt"/>
              <a:ea typeface="+mn-ea"/>
              <a:cs typeface="+mn-cs"/>
            </a:rPr>
            <a:t>Optimal Solution</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9</xdr:col>
      <xdr:colOff>317500</xdr:colOff>
      <xdr:row>11</xdr:row>
      <xdr:rowOff>50800</xdr:rowOff>
    </xdr:from>
    <xdr:to>
      <xdr:col>11</xdr:col>
      <xdr:colOff>457200</xdr:colOff>
      <xdr:row>14</xdr:row>
      <xdr:rowOff>76200</xdr:rowOff>
    </xdr:to>
    <xdr:sp macro="" textlink="">
      <xdr:nvSpPr>
        <xdr:cNvPr id="2" name="Alternate Process 1">
          <a:extLst>
            <a:ext uri="{FF2B5EF4-FFF2-40B4-BE49-F238E27FC236}">
              <a16:creationId xmlns:a16="http://schemas.microsoft.com/office/drawing/2014/main" id="{3BECB5AD-AA51-4367-B83E-41598235D23B}"/>
            </a:ext>
          </a:extLst>
        </xdr:cNvPr>
        <xdr:cNvSpPr/>
      </xdr:nvSpPr>
      <xdr:spPr>
        <a:xfrm>
          <a:off x="10140950" y="2355850"/>
          <a:ext cx="1803400" cy="6159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Insert 0 or 1 here:</a:t>
          </a:r>
        </a:p>
        <a:p>
          <a:pPr algn="l"/>
          <a:endParaRPr lang="en-US" sz="1100"/>
        </a:p>
      </xdr:txBody>
    </xdr:sp>
    <xdr:clientData/>
  </xdr:twoCellAnchor>
  <xdr:twoCellAnchor>
    <xdr:from>
      <xdr:col>14</xdr:col>
      <xdr:colOff>757766</xdr:colOff>
      <xdr:row>4</xdr:row>
      <xdr:rowOff>84667</xdr:rowOff>
    </xdr:from>
    <xdr:to>
      <xdr:col>16</xdr:col>
      <xdr:colOff>275167</xdr:colOff>
      <xdr:row>8</xdr:row>
      <xdr:rowOff>169334</xdr:rowOff>
    </xdr:to>
    <xdr:sp macro="" textlink="">
      <xdr:nvSpPr>
        <xdr:cNvPr id="3" name="Alternate Process 5">
          <a:extLst>
            <a:ext uri="{FF2B5EF4-FFF2-40B4-BE49-F238E27FC236}">
              <a16:creationId xmlns:a16="http://schemas.microsoft.com/office/drawing/2014/main" id="{45DD1342-1005-418C-B0DC-9B5D36DCBA04}"/>
            </a:ext>
          </a:extLst>
        </xdr:cNvPr>
        <xdr:cNvSpPr/>
      </xdr:nvSpPr>
      <xdr:spPr>
        <a:xfrm>
          <a:off x="16982016" y="1011767"/>
          <a:ext cx="1866901" cy="87206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Insert</a:t>
          </a:r>
          <a:r>
            <a:rPr lang="en-US" sz="1400" baseline="0"/>
            <a:t>  Discount Rate Reduction </a:t>
          </a:r>
        </a:p>
        <a:p>
          <a:pPr algn="ctr"/>
          <a:r>
            <a:rPr lang="en-US" sz="1400" baseline="0"/>
            <a:t>Here.</a:t>
          </a:r>
          <a:endParaRPr lang="en-US" sz="1400"/>
        </a:p>
        <a:p>
          <a:pPr algn="l"/>
          <a:endParaRPr lang="en-US" sz="1100"/>
        </a:p>
      </xdr:txBody>
    </xdr:sp>
    <xdr:clientData/>
  </xdr:twoCellAnchor>
  <xdr:twoCellAnchor>
    <xdr:from>
      <xdr:col>14</xdr:col>
      <xdr:colOff>203200</xdr:colOff>
      <xdr:row>5</xdr:row>
      <xdr:rowOff>177800</xdr:rowOff>
    </xdr:from>
    <xdr:to>
      <xdr:col>14</xdr:col>
      <xdr:colOff>711200</xdr:colOff>
      <xdr:row>7</xdr:row>
      <xdr:rowOff>50800</xdr:rowOff>
    </xdr:to>
    <xdr:sp macro="" textlink="">
      <xdr:nvSpPr>
        <xdr:cNvPr id="4" name="Left Arrow 6">
          <a:extLst>
            <a:ext uri="{FF2B5EF4-FFF2-40B4-BE49-F238E27FC236}">
              <a16:creationId xmlns:a16="http://schemas.microsoft.com/office/drawing/2014/main" id="{498EB2BB-C946-4B80-9235-C90EAEE9467A}"/>
            </a:ext>
          </a:extLst>
        </xdr:cNvPr>
        <xdr:cNvSpPr/>
      </xdr:nvSpPr>
      <xdr:spPr>
        <a:xfrm>
          <a:off x="16427450" y="1301750"/>
          <a:ext cx="508000" cy="2667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444500</xdr:colOff>
      <xdr:row>14</xdr:row>
      <xdr:rowOff>127000</xdr:rowOff>
    </xdr:from>
    <xdr:to>
      <xdr:col>10</xdr:col>
      <xdr:colOff>787400</xdr:colOff>
      <xdr:row>16</xdr:row>
      <xdr:rowOff>127000</xdr:rowOff>
    </xdr:to>
    <xdr:sp macro="" textlink="">
      <xdr:nvSpPr>
        <xdr:cNvPr id="5" name="Down Arrow 7">
          <a:extLst>
            <a:ext uri="{FF2B5EF4-FFF2-40B4-BE49-F238E27FC236}">
              <a16:creationId xmlns:a16="http://schemas.microsoft.com/office/drawing/2014/main" id="{7B5D7B42-E9B7-40DF-900F-1B1CFFC142FD}"/>
            </a:ext>
          </a:extLst>
        </xdr:cNvPr>
        <xdr:cNvSpPr/>
      </xdr:nvSpPr>
      <xdr:spPr>
        <a:xfrm>
          <a:off x="10814050" y="3022600"/>
          <a:ext cx="342900" cy="412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196850</xdr:colOff>
      <xdr:row>1</xdr:row>
      <xdr:rowOff>12701</xdr:rowOff>
    </xdr:from>
    <xdr:to>
      <xdr:col>7</xdr:col>
      <xdr:colOff>618163</xdr:colOff>
      <xdr:row>24</xdr:row>
      <xdr:rowOff>117476</xdr:rowOff>
    </xdr:to>
    <xdr:pic>
      <xdr:nvPicPr>
        <xdr:cNvPr id="2" name="Picture 1">
          <a:extLst>
            <a:ext uri="{FF2B5EF4-FFF2-40B4-BE49-F238E27FC236}">
              <a16:creationId xmlns:a16="http://schemas.microsoft.com/office/drawing/2014/main" id="{70FE6014-8D47-40A6-8691-D35E895BD1FB}"/>
            </a:ext>
          </a:extLst>
        </xdr:cNvPr>
        <xdr:cNvPicPr>
          <a:picLocks noChangeAspect="1"/>
        </xdr:cNvPicPr>
      </xdr:nvPicPr>
      <xdr:blipFill>
        <a:blip xmlns:r="http://schemas.openxmlformats.org/officeDocument/2006/relationships" r:embed="rId1"/>
        <a:stretch>
          <a:fillRect/>
        </a:stretch>
      </xdr:blipFill>
      <xdr:spPr>
        <a:xfrm>
          <a:off x="196850" y="209551"/>
          <a:ext cx="5221913" cy="4813300"/>
        </a:xfrm>
        <a:prstGeom prst="rect">
          <a:avLst/>
        </a:prstGeom>
      </xdr:spPr>
    </xdr:pic>
    <xdr:clientData/>
  </xdr:twoCellAnchor>
  <xdr:twoCellAnchor editAs="oneCell">
    <xdr:from>
      <xdr:col>11</xdr:col>
      <xdr:colOff>35718</xdr:colOff>
      <xdr:row>1</xdr:row>
      <xdr:rowOff>101204</xdr:rowOff>
    </xdr:from>
    <xdr:to>
      <xdr:col>18</xdr:col>
      <xdr:colOff>508441</xdr:colOff>
      <xdr:row>25</xdr:row>
      <xdr:rowOff>200653</xdr:rowOff>
    </xdr:to>
    <xdr:pic>
      <xdr:nvPicPr>
        <xdr:cNvPr id="3" name="Picture 2">
          <a:extLst>
            <a:ext uri="{FF2B5EF4-FFF2-40B4-BE49-F238E27FC236}">
              <a16:creationId xmlns:a16="http://schemas.microsoft.com/office/drawing/2014/main" id="{A14FA9BD-EA07-46CA-8DC4-00C359820F6D}"/>
            </a:ext>
          </a:extLst>
        </xdr:cNvPr>
        <xdr:cNvPicPr>
          <a:picLocks noChangeAspect="1"/>
        </xdr:cNvPicPr>
      </xdr:nvPicPr>
      <xdr:blipFill>
        <a:blip xmlns:r="http://schemas.openxmlformats.org/officeDocument/2006/relationships" r:embed="rId2"/>
        <a:stretch>
          <a:fillRect/>
        </a:stretch>
      </xdr:blipFill>
      <xdr:spPr>
        <a:xfrm>
          <a:off x="7579518" y="298054"/>
          <a:ext cx="5273323" cy="5012762"/>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349250</xdr:colOff>
      <xdr:row>0</xdr:row>
      <xdr:rowOff>63500</xdr:rowOff>
    </xdr:from>
    <xdr:to>
      <xdr:col>9</xdr:col>
      <xdr:colOff>508000</xdr:colOff>
      <xdr:row>21</xdr:row>
      <xdr:rowOff>12700</xdr:rowOff>
    </xdr:to>
    <xdr:graphicFrame macro="">
      <xdr:nvGraphicFramePr>
        <xdr:cNvPr id="2" name="Chart 1">
          <a:extLst>
            <a:ext uri="{FF2B5EF4-FFF2-40B4-BE49-F238E27FC236}">
              <a16:creationId xmlns:a16="http://schemas.microsoft.com/office/drawing/2014/main" id="{BD59AF29-AB92-4197-9D90-7D7AF2F54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0</xdr:row>
      <xdr:rowOff>76200</xdr:rowOff>
    </xdr:from>
    <xdr:to>
      <xdr:col>20</xdr:col>
      <xdr:colOff>0</xdr:colOff>
      <xdr:row>21</xdr:row>
      <xdr:rowOff>25400</xdr:rowOff>
    </xdr:to>
    <xdr:graphicFrame macro="">
      <xdr:nvGraphicFramePr>
        <xdr:cNvPr id="3" name="Chart 2">
          <a:extLst>
            <a:ext uri="{FF2B5EF4-FFF2-40B4-BE49-F238E27FC236}">
              <a16:creationId xmlns:a16="http://schemas.microsoft.com/office/drawing/2014/main" id="{78E01593-3301-4983-8676-816BB9EB7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317500</xdr:colOff>
      <xdr:row>22</xdr:row>
      <xdr:rowOff>165100</xdr:rowOff>
    </xdr:from>
    <xdr:to>
      <xdr:col>9</xdr:col>
      <xdr:colOff>508000</xdr:colOff>
      <xdr:row>44</xdr:row>
      <xdr:rowOff>25400</xdr:rowOff>
    </xdr:to>
    <xdr:graphicFrame macro="">
      <xdr:nvGraphicFramePr>
        <xdr:cNvPr id="4" name="Chart 3">
          <a:extLst>
            <a:ext uri="{FF2B5EF4-FFF2-40B4-BE49-F238E27FC236}">
              <a16:creationId xmlns:a16="http://schemas.microsoft.com/office/drawing/2014/main" id="{7A34E5B2-5ECB-46D9-9329-AE8D13F5C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23</xdr:row>
      <xdr:rowOff>12700</xdr:rowOff>
    </xdr:from>
    <xdr:to>
      <xdr:col>20</xdr:col>
      <xdr:colOff>76200</xdr:colOff>
      <xdr:row>44</xdr:row>
      <xdr:rowOff>0</xdr:rowOff>
    </xdr:to>
    <xdr:graphicFrame macro="">
      <xdr:nvGraphicFramePr>
        <xdr:cNvPr id="5" name="Chart 4">
          <a:extLst>
            <a:ext uri="{FF2B5EF4-FFF2-40B4-BE49-F238E27FC236}">
              <a16:creationId xmlns:a16="http://schemas.microsoft.com/office/drawing/2014/main" id="{0DCF259A-2CBF-4465-8704-8A5EEE6DE0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BIOLA\Downloads\Gw8bY8jyQ9aFSw1sNDFFAg_ae61c641e0ad4b368e8090c93651bef1_Bluejay-Natural-Gas-Final-Solutions.xlsx" TargetMode="External"/><Relationship Id="rId1" Type="http://schemas.openxmlformats.org/officeDocument/2006/relationships/externalLinkPath" Target="file:///C:\Users\ABIOLA\Downloads\Gw8bY8jyQ9aFSw1sNDFFAg_ae61c641e0ad4b368e8090c93651bef1_Bluejay-Natural-Gas-Final-Solu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ject Model"/>
      <sheetName val="Solution Solver Summary"/>
      <sheetName val="Approved Line Charts"/>
    </sheetNames>
    <sheetDataSet>
      <sheetData sheetId="0">
        <row r="25">
          <cell r="O25" t="str">
            <v>Year 1</v>
          </cell>
          <cell r="P25" t="str">
            <v xml:space="preserve">Year 2 </v>
          </cell>
          <cell r="Q25" t="str">
            <v xml:space="preserve">Year 3 </v>
          </cell>
        </row>
        <row r="26">
          <cell r="N26" t="str">
            <v xml:space="preserve">FA 1 </v>
          </cell>
          <cell r="O26">
            <v>1065</v>
          </cell>
          <cell r="P26">
            <v>899</v>
          </cell>
          <cell r="Q26">
            <v>999</v>
          </cell>
        </row>
        <row r="27">
          <cell r="N27" t="str">
            <v>FA 2</v>
          </cell>
          <cell r="O27">
            <v>2318</v>
          </cell>
          <cell r="P27">
            <v>2002</v>
          </cell>
          <cell r="Q27">
            <v>1586</v>
          </cell>
        </row>
        <row r="28">
          <cell r="N28" t="str">
            <v>FA 3</v>
          </cell>
          <cell r="O28">
            <v>350</v>
          </cell>
          <cell r="P28">
            <v>250</v>
          </cell>
          <cell r="Q28">
            <v>150</v>
          </cell>
        </row>
      </sheetData>
      <sheetData sheetId="1"/>
      <sheetData sheetId="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8126E5-E7DD-40EA-900F-27FBA83E21B6}">
  <we:reference id="wa104100404" version="3.0.0.1" store="en-US" storeType="OMEX"/>
  <we:alternateReferences>
    <we:reference id="wa104100404" version="3.0.0.1" store="wa104100404" storeType="OMEX"/>
  </we:alternateReferences>
  <we:properties>
    <we:property name="I1Jd" value="&quot;&quot;"/>
    <we:property name="UniqueID" value="&quot;2025111738414133334&quot;"/>
    <we:property name="In95EBURJQstYRcyNRcEPnF6EHEVJBojYXQwR3BxRRF4UjM=" value="&quot;LgEC&quot;"/>
  </we:properties>
  <we:bindings>
    <we:binding id="refEdit" type="matrix" appref="{93E59C5E-D562-4312-8E80-906C115CB3AC}"/>
    <we:binding id="Worker" type="matrix" appref="{668EF58A-4D87-40C5-8E4B-40DEE3AB7E99}"/>
    <we:binding id="Obj" type="matrix" appref="{15ED0969-7975-4C0F-8639-B0B402DB81BB}"/>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CFCA-25BB-48CA-AED7-66E2399943D0}">
  <dimension ref="A1:I18"/>
  <sheetViews>
    <sheetView topLeftCell="A8" workbookViewId="0">
      <selection activeCell="C20" sqref="C20"/>
    </sheetView>
  </sheetViews>
  <sheetFormatPr defaultRowHeight="14.5"/>
  <cols>
    <col min="1" max="1" width="16.81640625" customWidth="1"/>
    <col min="4" max="4" width="18.08984375" customWidth="1"/>
    <col min="8" max="8" width="17.7265625" customWidth="1"/>
    <col min="9" max="9" width="15.1796875" customWidth="1"/>
  </cols>
  <sheetData>
    <row r="1" spans="1:9">
      <c r="A1" s="265" t="s">
        <v>137</v>
      </c>
      <c r="B1" s="265"/>
      <c r="C1" s="265"/>
      <c r="D1" s="265"/>
      <c r="E1" s="265"/>
    </row>
    <row r="2" spans="1:9">
      <c r="B2" s="265" t="s">
        <v>186</v>
      </c>
      <c r="C2" s="265"/>
    </row>
    <row r="3" spans="1:9">
      <c r="B3" s="3" t="s">
        <v>180</v>
      </c>
      <c r="C3" s="3" t="s">
        <v>181</v>
      </c>
    </row>
    <row r="4" spans="1:9">
      <c r="A4" s="3" t="s">
        <v>140</v>
      </c>
      <c r="B4" s="131">
        <v>260</v>
      </c>
      <c r="C4" s="131">
        <v>35</v>
      </c>
      <c r="D4" t="s">
        <v>144</v>
      </c>
    </row>
    <row r="5" spans="1:9">
      <c r="A5" s="3" t="s">
        <v>182</v>
      </c>
      <c r="B5">
        <v>4</v>
      </c>
      <c r="C5">
        <v>6</v>
      </c>
      <c r="D5" s="266" t="s">
        <v>150</v>
      </c>
    </row>
    <row r="6" spans="1:9">
      <c r="A6" t="s">
        <v>187</v>
      </c>
      <c r="B6" s="142">
        <v>9</v>
      </c>
      <c r="C6" s="142">
        <v>36</v>
      </c>
      <c r="D6" s="266"/>
    </row>
    <row r="7" spans="1:9">
      <c r="A7" t="s">
        <v>183</v>
      </c>
      <c r="D7" s="266"/>
    </row>
    <row r="8" spans="1:9">
      <c r="A8" t="s">
        <v>161</v>
      </c>
      <c r="B8" s="16">
        <v>12</v>
      </c>
      <c r="C8" s="16">
        <v>20</v>
      </c>
      <c r="D8" s="16"/>
    </row>
    <row r="9" spans="1:9">
      <c r="A9" s="3" t="s">
        <v>141</v>
      </c>
    </row>
    <row r="10" spans="1:9">
      <c r="A10" t="s">
        <v>53</v>
      </c>
      <c r="B10" s="136">
        <f>SUMPRODUCT(B8:C8,B4:C4)</f>
        <v>3820</v>
      </c>
    </row>
    <row r="13" spans="1:9">
      <c r="D13" t="s">
        <v>148</v>
      </c>
      <c r="H13" s="10" t="s">
        <v>188</v>
      </c>
      <c r="I13" s="10" t="s">
        <v>189</v>
      </c>
    </row>
    <row r="14" spans="1:9">
      <c r="A14" s="3" t="s">
        <v>142</v>
      </c>
      <c r="D14" t="s">
        <v>145</v>
      </c>
      <c r="E14" t="s">
        <v>146</v>
      </c>
      <c r="F14" t="s">
        <v>147</v>
      </c>
      <c r="H14" s="10" t="s">
        <v>190</v>
      </c>
      <c r="I14" s="10">
        <v>5.3</v>
      </c>
    </row>
    <row r="15" spans="1:9">
      <c r="A15" t="s">
        <v>184</v>
      </c>
      <c r="B15">
        <v>4</v>
      </c>
      <c r="C15">
        <v>6</v>
      </c>
      <c r="D15">
        <f>SUMPRODUCT(B15:C15,B4:C4)</f>
        <v>1250</v>
      </c>
      <c r="E15" t="s">
        <v>149</v>
      </c>
      <c r="F15" s="132">
        <v>1250</v>
      </c>
      <c r="H15" s="10" t="s">
        <v>191</v>
      </c>
      <c r="I15" s="10">
        <v>6.8</v>
      </c>
    </row>
    <row r="16" spans="1:9">
      <c r="A16" t="s">
        <v>185</v>
      </c>
      <c r="B16">
        <v>9</v>
      </c>
      <c r="C16">
        <v>36</v>
      </c>
      <c r="D16">
        <f>SUMPRODUCT(B16:C16,B4:C4)</f>
        <v>3600</v>
      </c>
      <c r="E16" t="s">
        <v>149</v>
      </c>
      <c r="F16">
        <v>3600</v>
      </c>
      <c r="H16" s="10" t="s">
        <v>192</v>
      </c>
      <c r="I16" s="10">
        <v>4.9000000000000004</v>
      </c>
    </row>
    <row r="17" spans="1:9">
      <c r="A17" t="s">
        <v>153</v>
      </c>
      <c r="B17">
        <v>1</v>
      </c>
      <c r="C17">
        <v>-1</v>
      </c>
      <c r="D17">
        <f>SUMPRODUCT(B17:C17,B4:C4)</f>
        <v>225</v>
      </c>
      <c r="E17" t="s">
        <v>152</v>
      </c>
      <c r="F17">
        <v>0</v>
      </c>
      <c r="H17" s="10" t="s">
        <v>193</v>
      </c>
      <c r="I17" s="10">
        <v>8.4</v>
      </c>
    </row>
    <row r="18" spans="1:9">
      <c r="H18" s="10" t="s">
        <v>194</v>
      </c>
      <c r="I18" s="10">
        <v>11.8</v>
      </c>
    </row>
  </sheetData>
  <mergeCells count="3">
    <mergeCell ref="A1:E1"/>
    <mergeCell ref="B2:C2"/>
    <mergeCell ref="D5:D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78C4-BE7D-48C9-B2CB-72653DCB0AD0}">
  <dimension ref="A2:S20"/>
  <sheetViews>
    <sheetView workbookViewId="0">
      <selection activeCell="G17" sqref="G17"/>
    </sheetView>
  </sheetViews>
  <sheetFormatPr defaultRowHeight="14.5"/>
  <cols>
    <col min="1" max="1" width="19.6328125" customWidth="1"/>
    <col min="2" max="2" width="14.36328125" customWidth="1"/>
  </cols>
  <sheetData>
    <row r="2" spans="1:19" ht="14.5" customHeight="1">
      <c r="A2" s="3" t="s">
        <v>6</v>
      </c>
      <c r="B2" s="3"/>
      <c r="P2" s="7"/>
      <c r="Q2" s="7"/>
      <c r="R2" s="7"/>
      <c r="S2" s="1"/>
    </row>
    <row r="3" spans="1:19">
      <c r="A3" t="s">
        <v>5</v>
      </c>
      <c r="C3" t="s">
        <v>19</v>
      </c>
      <c r="P3" s="7"/>
      <c r="Q3" s="7"/>
      <c r="R3" s="7"/>
      <c r="S3" s="1"/>
    </row>
    <row r="4" spans="1:19">
      <c r="A4" s="3" t="s">
        <v>2</v>
      </c>
      <c r="P4" s="7"/>
      <c r="Q4" s="7"/>
      <c r="R4" s="7"/>
      <c r="S4" s="1"/>
    </row>
    <row r="5" spans="1:19">
      <c r="A5" t="s">
        <v>0</v>
      </c>
      <c r="B5" s="6">
        <v>750</v>
      </c>
      <c r="P5" s="7"/>
      <c r="Q5" s="7"/>
      <c r="R5" s="7"/>
      <c r="S5" s="1"/>
    </row>
    <row r="6" spans="1:19">
      <c r="A6" t="s">
        <v>1</v>
      </c>
      <c r="B6" s="6">
        <v>8</v>
      </c>
      <c r="C6" t="s">
        <v>7</v>
      </c>
      <c r="P6" s="7"/>
      <c r="Q6" s="7"/>
      <c r="R6" s="7"/>
      <c r="S6" s="1"/>
    </row>
    <row r="7" spans="1:19">
      <c r="P7" s="7"/>
      <c r="Q7" s="7"/>
      <c r="R7" s="7"/>
      <c r="S7" s="1"/>
    </row>
    <row r="8" spans="1:19">
      <c r="A8" s="3" t="s">
        <v>8</v>
      </c>
      <c r="P8" s="7"/>
      <c r="Q8" s="7"/>
      <c r="R8" s="7"/>
      <c r="S8" s="1"/>
    </row>
    <row r="9" spans="1:19">
      <c r="A9" t="s">
        <v>3</v>
      </c>
      <c r="B9" s="6">
        <v>18</v>
      </c>
      <c r="C9" t="s">
        <v>7</v>
      </c>
      <c r="P9" s="7"/>
      <c r="Q9" s="7"/>
      <c r="R9" s="7"/>
      <c r="S9" s="1"/>
    </row>
    <row r="10" spans="1:19">
      <c r="A10" t="s">
        <v>4</v>
      </c>
      <c r="B10" s="6">
        <v>6</v>
      </c>
      <c r="C10" t="s">
        <v>7</v>
      </c>
      <c r="P10" s="7"/>
      <c r="Q10" s="7"/>
      <c r="R10" s="7"/>
      <c r="S10" s="1"/>
    </row>
    <row r="11" spans="1:19">
      <c r="P11" s="7"/>
      <c r="Q11" s="7"/>
      <c r="R11" s="7"/>
      <c r="S11" s="1"/>
    </row>
    <row r="12" spans="1:19">
      <c r="A12" s="3" t="s">
        <v>21</v>
      </c>
      <c r="P12" s="7"/>
      <c r="Q12" s="7"/>
      <c r="R12" s="7"/>
      <c r="S12" s="1"/>
    </row>
    <row r="13" spans="1:19">
      <c r="A13" t="s">
        <v>9</v>
      </c>
      <c r="B13" s="8">
        <v>1600</v>
      </c>
      <c r="P13" s="7"/>
      <c r="Q13" s="7"/>
      <c r="R13" s="7"/>
      <c r="S13" s="1"/>
    </row>
    <row r="14" spans="1:19">
      <c r="A14" t="s">
        <v>10</v>
      </c>
      <c r="B14" s="8">
        <v>1500</v>
      </c>
      <c r="J14" s="1"/>
      <c r="K14" s="1"/>
      <c r="L14" s="1"/>
      <c r="M14" s="1"/>
      <c r="N14" s="1"/>
      <c r="O14" s="1"/>
      <c r="P14" s="1"/>
      <c r="Q14" s="1"/>
      <c r="R14" s="1"/>
      <c r="S14" s="1"/>
    </row>
    <row r="15" spans="1:19" ht="16" customHeight="1">
      <c r="A15" s="1" t="s">
        <v>12</v>
      </c>
      <c r="B15" s="9">
        <f>MIN(B13:B14)</f>
        <v>1500</v>
      </c>
      <c r="C15" t="s">
        <v>20</v>
      </c>
    </row>
    <row r="16" spans="1:19">
      <c r="A16" t="s">
        <v>11</v>
      </c>
      <c r="B16" s="3">
        <f>MAX(B13-B15,0)</f>
        <v>100</v>
      </c>
      <c r="C16" t="s">
        <v>13</v>
      </c>
    </row>
    <row r="18" spans="1:3">
      <c r="A18" s="3" t="s">
        <v>14</v>
      </c>
      <c r="B18" s="5">
        <f>B13*B6+B5</f>
        <v>13550</v>
      </c>
      <c r="C18" t="s">
        <v>17</v>
      </c>
    </row>
    <row r="19" spans="1:3">
      <c r="A19" s="3" t="s">
        <v>15</v>
      </c>
      <c r="B19" s="5">
        <f>B15*B9+B16*B10</f>
        <v>27600</v>
      </c>
      <c r="C19" t="s">
        <v>18</v>
      </c>
    </row>
    <row r="20" spans="1:3">
      <c r="A20" s="3" t="s">
        <v>16</v>
      </c>
      <c r="B20" s="6">
        <f>B19-B18</f>
        <v>14050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06EB-EC80-4C20-8C14-BE90A64785A8}">
  <dimension ref="A2:N23"/>
  <sheetViews>
    <sheetView topLeftCell="A25" zoomScale="94" zoomScaleNormal="94" workbookViewId="0">
      <selection activeCell="E22" sqref="E22"/>
    </sheetView>
  </sheetViews>
  <sheetFormatPr defaultRowHeight="14.5"/>
  <cols>
    <col min="1" max="1" width="16.36328125" customWidth="1"/>
    <col min="5" max="5" width="10" customWidth="1"/>
    <col min="8" max="8" width="38.453125" customWidth="1"/>
    <col min="9" max="9" width="6.453125" customWidth="1"/>
    <col min="11" max="11" width="7.1796875" customWidth="1"/>
    <col min="12" max="12" width="3.36328125" customWidth="1"/>
    <col min="13" max="14" width="8.7265625" hidden="1" customWidth="1"/>
  </cols>
  <sheetData>
    <row r="2" spans="1:14">
      <c r="A2" s="3" t="s">
        <v>38</v>
      </c>
      <c r="B2" s="3"/>
    </row>
    <row r="3" spans="1:14">
      <c r="E3" s="3"/>
    </row>
    <row r="4" spans="1:14" ht="14.5" customHeight="1">
      <c r="A4" s="3" t="s">
        <v>2</v>
      </c>
      <c r="B4" s="3"/>
      <c r="C4" s="3"/>
      <c r="H4" s="53"/>
      <c r="I4" s="53"/>
      <c r="J4" s="53"/>
      <c r="K4" s="53"/>
      <c r="L4" s="53"/>
      <c r="M4" s="53"/>
      <c r="N4" s="53"/>
    </row>
    <row r="5" spans="1:14" ht="14.5" customHeight="1">
      <c r="A5" s="3" t="s">
        <v>27</v>
      </c>
      <c r="B5" s="3" t="s">
        <v>24</v>
      </c>
      <c r="C5" s="3" t="s">
        <v>23</v>
      </c>
      <c r="H5" s="53"/>
      <c r="I5" s="53"/>
      <c r="J5" s="53"/>
      <c r="K5" s="53"/>
      <c r="L5" s="53"/>
      <c r="M5" s="53"/>
      <c r="N5" s="53"/>
    </row>
    <row r="6" spans="1:14">
      <c r="A6" t="s">
        <v>25</v>
      </c>
      <c r="B6" s="2">
        <v>5.5</v>
      </c>
      <c r="C6" s="2">
        <v>4.3</v>
      </c>
      <c r="H6" s="53"/>
      <c r="I6" s="53"/>
      <c r="J6" s="53"/>
      <c r="K6" s="53"/>
      <c r="L6" s="53"/>
      <c r="M6" s="53"/>
      <c r="N6" s="53"/>
    </row>
    <row r="7" spans="1:14">
      <c r="A7" t="s">
        <v>30</v>
      </c>
      <c r="B7">
        <v>30</v>
      </c>
      <c r="C7">
        <v>30</v>
      </c>
      <c r="H7" s="53"/>
      <c r="I7" s="53"/>
      <c r="J7" s="53"/>
      <c r="K7" s="53"/>
      <c r="L7" s="53"/>
      <c r="M7" s="53"/>
      <c r="N7" s="53"/>
    </row>
    <row r="8" spans="1:14">
      <c r="A8" t="s">
        <v>28</v>
      </c>
      <c r="B8" s="4">
        <f>B6*B7</f>
        <v>165</v>
      </c>
      <c r="C8" s="4">
        <f>C6*C7</f>
        <v>129</v>
      </c>
      <c r="H8" s="53"/>
      <c r="I8" s="53"/>
      <c r="J8" s="53"/>
      <c r="K8" s="53"/>
      <c r="L8" s="53"/>
      <c r="M8" s="53"/>
      <c r="N8" s="53"/>
    </row>
    <row r="9" spans="1:14">
      <c r="H9" s="53"/>
      <c r="I9" s="53"/>
      <c r="J9" s="53"/>
      <c r="K9" s="53"/>
      <c r="L9" s="53"/>
      <c r="M9" s="53"/>
      <c r="N9" s="53"/>
    </row>
    <row r="10" spans="1:14">
      <c r="A10" s="3" t="s">
        <v>26</v>
      </c>
      <c r="H10" s="53"/>
      <c r="I10" s="53"/>
      <c r="J10" s="53"/>
      <c r="K10" s="53"/>
      <c r="L10" s="53"/>
      <c r="M10" s="53"/>
      <c r="N10" s="53"/>
    </row>
    <row r="11" spans="1:14">
      <c r="A11" t="s">
        <v>29</v>
      </c>
      <c r="B11">
        <v>16</v>
      </c>
      <c r="C11">
        <v>16</v>
      </c>
      <c r="H11" s="53"/>
      <c r="I11" s="53"/>
      <c r="J11" s="53"/>
      <c r="K11" s="53"/>
      <c r="L11" s="53"/>
      <c r="M11" s="53"/>
      <c r="N11" s="53"/>
    </row>
    <row r="12" spans="1:14">
      <c r="A12" t="s">
        <v>31</v>
      </c>
      <c r="B12" s="2">
        <v>18.5</v>
      </c>
      <c r="C12" s="2">
        <v>18.5</v>
      </c>
      <c r="H12" s="53"/>
      <c r="I12" s="53"/>
      <c r="J12" s="53"/>
      <c r="K12" s="53"/>
      <c r="L12" s="53"/>
      <c r="M12" s="53"/>
      <c r="N12" s="53"/>
    </row>
    <row r="13" spans="1:14">
      <c r="A13" t="s">
        <v>32</v>
      </c>
      <c r="B13" s="4">
        <f>B11*B12</f>
        <v>296</v>
      </c>
      <c r="C13" s="4">
        <f>C11*C12</f>
        <v>296</v>
      </c>
      <c r="H13" s="53"/>
      <c r="I13" s="53"/>
      <c r="J13" s="53"/>
      <c r="K13" s="53"/>
      <c r="L13" s="53"/>
      <c r="M13" s="53"/>
      <c r="N13" s="53"/>
    </row>
    <row r="14" spans="1:14">
      <c r="H14" s="53"/>
      <c r="I14" s="53"/>
      <c r="J14" s="53"/>
      <c r="K14" s="53"/>
      <c r="L14" s="53"/>
      <c r="M14" s="53"/>
      <c r="N14" s="53"/>
    </row>
    <row r="15" spans="1:14">
      <c r="A15" s="3" t="s">
        <v>33</v>
      </c>
      <c r="B15" s="3" t="s">
        <v>22</v>
      </c>
      <c r="C15" s="3" t="s">
        <v>23</v>
      </c>
      <c r="D15" s="3" t="s">
        <v>26</v>
      </c>
      <c r="H15" s="53"/>
      <c r="I15" s="53"/>
      <c r="J15" s="53"/>
      <c r="K15" s="53"/>
      <c r="L15" s="53"/>
      <c r="M15" s="53"/>
      <c r="N15" s="53"/>
    </row>
    <row r="16" spans="1:14">
      <c r="A16" t="s">
        <v>34</v>
      </c>
      <c r="B16" s="11">
        <v>2.4E-2</v>
      </c>
      <c r="C16" s="11">
        <v>1.7000000000000001E-2</v>
      </c>
      <c r="D16" s="11">
        <v>1.4999999999999999E-2</v>
      </c>
      <c r="H16" s="53"/>
      <c r="I16" s="53"/>
      <c r="J16" s="53"/>
      <c r="K16" s="53"/>
      <c r="L16" s="53"/>
      <c r="M16" s="53"/>
      <c r="N16" s="53"/>
    </row>
    <row r="17" spans="1:14">
      <c r="H17" s="53"/>
      <c r="I17" s="53"/>
      <c r="J17" s="53"/>
      <c r="K17" s="53"/>
      <c r="L17" s="53"/>
      <c r="M17" s="53"/>
      <c r="N17" s="53"/>
    </row>
    <row r="18" spans="1:14">
      <c r="A18" s="10" t="s">
        <v>35</v>
      </c>
      <c r="B18" s="10" t="s">
        <v>22</v>
      </c>
      <c r="C18" s="10" t="s">
        <v>23</v>
      </c>
      <c r="D18" s="10" t="s">
        <v>26</v>
      </c>
      <c r="E18" s="10" t="s">
        <v>36</v>
      </c>
      <c r="F18" s="10" t="s">
        <v>37</v>
      </c>
    </row>
    <row r="19" spans="1:14" ht="18" customHeight="1">
      <c r="A19" s="12">
        <v>0</v>
      </c>
      <c r="B19" s="13">
        <f>B8</f>
        <v>165</v>
      </c>
      <c r="C19" s="13">
        <f>C8</f>
        <v>129</v>
      </c>
      <c r="D19" s="13">
        <f>B13</f>
        <v>296</v>
      </c>
      <c r="E19" s="13">
        <f>B19+D19</f>
        <v>461</v>
      </c>
      <c r="F19" s="13">
        <f>C19+D19</f>
        <v>425</v>
      </c>
    </row>
    <row r="20" spans="1:14" ht="14.5" customHeight="1">
      <c r="A20" s="12">
        <v>1</v>
      </c>
      <c r="B20" s="13">
        <f>B19*(1+$B$16)</f>
        <v>168.96</v>
      </c>
      <c r="C20" s="13">
        <f>C19*(1+$C$16)</f>
        <v>131.19299999999998</v>
      </c>
      <c r="D20" s="13">
        <f>D19*(1+$D$16)</f>
        <v>300.44</v>
      </c>
      <c r="E20" s="13">
        <f t="shared" ref="E20:E23" si="0">B20+D20</f>
        <v>469.4</v>
      </c>
      <c r="F20" s="13">
        <f t="shared" ref="F20:F23" si="1">C20+D20</f>
        <v>431.63299999999998</v>
      </c>
    </row>
    <row r="21" spans="1:14" ht="14.5" customHeight="1">
      <c r="A21" s="12">
        <v>2</v>
      </c>
      <c r="B21" s="13">
        <f t="shared" ref="B21:B23" si="2">B20*(1+$B$16)</f>
        <v>173.01504</v>
      </c>
      <c r="C21" s="13">
        <f t="shared" ref="C21:C23" si="3">C20*(1+$C$16)</f>
        <v>133.42328099999997</v>
      </c>
      <c r="D21" s="13">
        <f t="shared" ref="D21:D23" si="4">D20*(1+$D$16)</f>
        <v>304.94659999999999</v>
      </c>
      <c r="E21" s="13">
        <f t="shared" si="0"/>
        <v>477.96163999999999</v>
      </c>
      <c r="F21" s="13">
        <f t="shared" si="1"/>
        <v>438.36988099999996</v>
      </c>
    </row>
    <row r="22" spans="1:14">
      <c r="A22" s="12">
        <v>3</v>
      </c>
      <c r="B22" s="13">
        <f t="shared" si="2"/>
        <v>177.16740096000001</v>
      </c>
      <c r="C22" s="13">
        <f t="shared" si="3"/>
        <v>135.69147677699996</v>
      </c>
      <c r="D22" s="13">
        <f t="shared" si="4"/>
        <v>309.52079899999995</v>
      </c>
      <c r="E22" s="13">
        <f t="shared" si="0"/>
        <v>486.68819995999996</v>
      </c>
      <c r="F22" s="13">
        <f t="shared" si="1"/>
        <v>445.21227577699995</v>
      </c>
    </row>
    <row r="23" spans="1:14">
      <c r="A23" s="12">
        <v>4</v>
      </c>
      <c r="B23" s="13">
        <f t="shared" si="2"/>
        <v>181.41941858304003</v>
      </c>
      <c r="C23" s="13">
        <f t="shared" si="3"/>
        <v>137.99823188220896</v>
      </c>
      <c r="D23" s="13">
        <f t="shared" si="4"/>
        <v>314.16361098499993</v>
      </c>
      <c r="E23" s="13">
        <f t="shared" si="0"/>
        <v>495.58302956803993</v>
      </c>
      <c r="F23" s="13">
        <f t="shared" si="1"/>
        <v>452.16184286720886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C709-9B51-4695-8753-3230A4133BD3}">
  <dimension ref="A2:AA56"/>
  <sheetViews>
    <sheetView zoomScale="60" zoomScaleNormal="60" workbookViewId="0">
      <selection activeCell="E4" sqref="E4"/>
    </sheetView>
  </sheetViews>
  <sheetFormatPr defaultRowHeight="14.5"/>
  <cols>
    <col min="1" max="1" width="15.36328125" customWidth="1"/>
    <col min="2" max="2" width="14.26953125" bestFit="1" customWidth="1"/>
    <col min="3" max="3" width="24.08984375" customWidth="1"/>
    <col min="6" max="7" width="8.7265625" customWidth="1"/>
    <col min="11" max="11" width="8.7265625" customWidth="1"/>
    <col min="22" max="22" width="7.08984375" customWidth="1"/>
    <col min="23" max="25" width="8.7265625" hidden="1" customWidth="1"/>
  </cols>
  <sheetData>
    <row r="2" spans="1:27">
      <c r="A2" s="3" t="s">
        <v>56</v>
      </c>
      <c r="D2" s="3" t="s">
        <v>57</v>
      </c>
    </row>
    <row r="3" spans="1:27" ht="14.5" customHeight="1">
      <c r="A3" s="3" t="s">
        <v>55</v>
      </c>
      <c r="C3" s="3" t="s">
        <v>58</v>
      </c>
      <c r="E3" s="22">
        <f>$B$20</f>
        <v>-6000</v>
      </c>
      <c r="O3" s="7"/>
      <c r="P3" s="7"/>
      <c r="Q3" s="7"/>
      <c r="R3" s="7"/>
      <c r="S3" s="7"/>
      <c r="T3" s="7"/>
      <c r="U3" s="7"/>
      <c r="V3" s="7"/>
      <c r="W3" s="7"/>
      <c r="X3" s="7"/>
      <c r="Y3" s="7"/>
      <c r="Z3" s="7"/>
      <c r="AA3" s="1"/>
    </row>
    <row r="4" spans="1:27">
      <c r="A4" s="3" t="s">
        <v>2</v>
      </c>
      <c r="D4" s="23">
        <v>0.03</v>
      </c>
      <c r="E4" s="3">
        <f t="dataTable" ref="E4:E14" dt2D="0" dtr="0" r1="B15"/>
        <v>-21600</v>
      </c>
      <c r="J4" s="1"/>
      <c r="N4" s="1"/>
      <c r="O4" s="7"/>
      <c r="P4" s="7"/>
      <c r="Q4" s="7"/>
      <c r="R4" s="7"/>
      <c r="S4" s="7"/>
      <c r="T4" s="7"/>
      <c r="U4" s="7"/>
      <c r="V4" s="7"/>
      <c r="W4" s="7"/>
      <c r="X4" s="7"/>
      <c r="Y4" s="7"/>
      <c r="Z4" s="7"/>
      <c r="AA4" s="1"/>
    </row>
    <row r="5" spans="1:27">
      <c r="A5" t="s">
        <v>39</v>
      </c>
      <c r="B5" s="16">
        <v>20000</v>
      </c>
      <c r="D5" s="23">
        <v>3.5000000000000003E-2</v>
      </c>
      <c r="E5" s="3">
        <v>-17700</v>
      </c>
      <c r="J5" s="1"/>
      <c r="N5" s="1"/>
      <c r="O5" s="7"/>
      <c r="P5" s="7"/>
      <c r="Q5" s="7"/>
      <c r="R5" s="7"/>
      <c r="S5" s="7"/>
      <c r="T5" s="7"/>
      <c r="U5" s="7"/>
      <c r="V5" s="7"/>
      <c r="W5" s="7"/>
      <c r="X5" s="7"/>
      <c r="Y5" s="7"/>
      <c r="Z5" s="7"/>
      <c r="AA5" s="1"/>
    </row>
    <row r="6" spans="1:27">
      <c r="A6" t="s">
        <v>40</v>
      </c>
      <c r="D6" s="23">
        <v>0.04</v>
      </c>
      <c r="E6" s="3">
        <v>-13800</v>
      </c>
      <c r="J6" s="1"/>
      <c r="N6" s="1"/>
      <c r="O6" s="7"/>
      <c r="P6" s="7"/>
      <c r="Q6" s="7"/>
      <c r="R6" s="7"/>
      <c r="S6" s="7"/>
      <c r="T6" s="7"/>
      <c r="U6" s="7"/>
      <c r="V6" s="7"/>
      <c r="W6" s="7"/>
      <c r="X6" s="7"/>
      <c r="Y6" s="7"/>
      <c r="Z6" s="7"/>
      <c r="AA6" s="1"/>
    </row>
    <row r="7" spans="1:27">
      <c r="A7" t="s">
        <v>41</v>
      </c>
      <c r="B7" s="2">
        <v>0.1</v>
      </c>
      <c r="C7" t="s">
        <v>47</v>
      </c>
      <c r="D7" s="23">
        <v>4.4999999999999998E-2</v>
      </c>
      <c r="E7" s="3">
        <v>-9900</v>
      </c>
      <c r="J7" s="1"/>
      <c r="N7" s="1"/>
      <c r="O7" s="7"/>
      <c r="P7" s="7"/>
      <c r="Q7" s="7"/>
      <c r="R7" s="7"/>
      <c r="S7" s="7"/>
      <c r="T7" s="7"/>
      <c r="U7" s="7"/>
      <c r="V7" s="7"/>
      <c r="W7" s="7"/>
      <c r="X7" s="7"/>
      <c r="Y7" s="7"/>
      <c r="Z7" s="7"/>
      <c r="AA7" s="1"/>
    </row>
    <row r="8" spans="1:27">
      <c r="A8" t="s">
        <v>42</v>
      </c>
      <c r="B8" s="2">
        <v>0.15</v>
      </c>
      <c r="C8" t="s">
        <v>47</v>
      </c>
      <c r="D8" s="23">
        <v>0.05</v>
      </c>
      <c r="E8" s="3">
        <v>-6000</v>
      </c>
      <c r="J8" s="1"/>
      <c r="N8" s="1"/>
      <c r="O8" s="7"/>
      <c r="P8" s="7"/>
      <c r="Q8" s="7"/>
      <c r="R8" s="7"/>
      <c r="S8" s="7"/>
      <c r="T8" s="7"/>
      <c r="U8" s="7"/>
      <c r="V8" s="7"/>
      <c r="W8" s="7"/>
      <c r="X8" s="7"/>
      <c r="Y8" s="7"/>
      <c r="Z8" s="7"/>
      <c r="AA8" s="1"/>
    </row>
    <row r="9" spans="1:27">
      <c r="A9" t="s">
        <v>43</v>
      </c>
      <c r="B9" s="2">
        <v>0.2</v>
      </c>
      <c r="C9" t="s">
        <v>48</v>
      </c>
      <c r="D9" s="23">
        <v>5.5E-2</v>
      </c>
      <c r="E9" s="3">
        <v>-2100.0000000000291</v>
      </c>
      <c r="J9" s="1"/>
      <c r="N9" s="1"/>
      <c r="O9" s="7"/>
      <c r="P9" s="7"/>
      <c r="Q9" s="7"/>
      <c r="R9" s="7"/>
      <c r="S9" s="7"/>
      <c r="T9" s="7"/>
      <c r="U9" s="7"/>
      <c r="V9" s="7"/>
      <c r="W9" s="7"/>
      <c r="X9" s="7"/>
      <c r="Y9" s="7"/>
      <c r="Z9" s="7"/>
      <c r="AA9" s="1"/>
    </row>
    <row r="10" spans="1:27">
      <c r="A10" t="s">
        <v>45</v>
      </c>
      <c r="B10" s="2">
        <v>32</v>
      </c>
      <c r="C10" t="s">
        <v>49</v>
      </c>
      <c r="D10" s="23">
        <v>0.06</v>
      </c>
      <c r="E10" s="3">
        <v>1799.9999999999709</v>
      </c>
      <c r="J10" s="1"/>
      <c r="N10" s="1"/>
      <c r="O10" s="7"/>
      <c r="P10" s="7"/>
      <c r="Q10" s="7"/>
      <c r="R10" s="7"/>
      <c r="S10" s="7"/>
      <c r="T10" s="7"/>
      <c r="U10" s="7"/>
      <c r="V10" s="7"/>
      <c r="W10" s="7"/>
      <c r="X10" s="7"/>
      <c r="Y10" s="7"/>
      <c r="Z10" s="7"/>
      <c r="AA10" s="1"/>
    </row>
    <row r="11" spans="1:27">
      <c r="A11" t="s">
        <v>52</v>
      </c>
      <c r="B11" s="16">
        <f>B14*(B7+B8)+(B9+B10)*B16</f>
        <v>186000</v>
      </c>
      <c r="C11" t="str">
        <f ca="1">_xlfn.FORMULATEXT(B11)</f>
        <v>=B14*(B7+B8)+(B9+B10)*B16</v>
      </c>
      <c r="D11" s="23">
        <v>6.5000000000000002E-2</v>
      </c>
      <c r="E11" s="3">
        <v>5699.9999999999709</v>
      </c>
      <c r="J11" s="1"/>
      <c r="N11" s="1"/>
      <c r="O11" s="7"/>
      <c r="P11" s="7"/>
      <c r="Q11" s="7"/>
      <c r="R11" s="7"/>
      <c r="S11" s="7"/>
      <c r="T11" s="7"/>
      <c r="U11" s="7"/>
      <c r="V11" s="7"/>
      <c r="W11" s="7"/>
      <c r="X11" s="7"/>
      <c r="Y11" s="7"/>
      <c r="Z11" s="7"/>
      <c r="AA11" s="1"/>
    </row>
    <row r="12" spans="1:27">
      <c r="A12" t="s">
        <v>14</v>
      </c>
      <c r="B12" s="16">
        <f>B5+B11</f>
        <v>206000</v>
      </c>
      <c r="C12" t="str">
        <f ca="1">_xlfn.FORMULATEXT(B12)</f>
        <v>=B5+B11</v>
      </c>
      <c r="D12" s="23">
        <v>7.0000000000000007E-2</v>
      </c>
      <c r="E12" s="3">
        <v>9600</v>
      </c>
      <c r="J12" s="1"/>
      <c r="N12" s="1"/>
      <c r="O12" s="7"/>
      <c r="P12" s="7"/>
      <c r="Q12" s="7"/>
      <c r="R12" s="7"/>
      <c r="S12" s="7"/>
      <c r="T12" s="7"/>
      <c r="U12" s="7"/>
      <c r="V12" s="7"/>
      <c r="W12" s="7"/>
      <c r="X12" s="7"/>
      <c r="Y12" s="7"/>
      <c r="Z12" s="7"/>
      <c r="AA12" s="1"/>
    </row>
    <row r="13" spans="1:27">
      <c r="A13" s="3" t="s">
        <v>54</v>
      </c>
      <c r="B13" s="16"/>
      <c r="D13" s="23">
        <v>7.4999999999999997E-2</v>
      </c>
      <c r="E13" s="3">
        <v>13500</v>
      </c>
      <c r="J13" s="1"/>
      <c r="N13" s="1"/>
      <c r="O13" s="7"/>
      <c r="P13" s="7"/>
      <c r="Q13" s="7"/>
      <c r="R13" s="7"/>
      <c r="S13" s="7"/>
      <c r="T13" s="7"/>
      <c r="U13" s="7"/>
      <c r="V13" s="7"/>
      <c r="W13" s="7"/>
      <c r="X13" s="7"/>
      <c r="Y13" s="7"/>
      <c r="Z13" s="7"/>
      <c r="AA13" s="1"/>
    </row>
    <row r="14" spans="1:27">
      <c r="A14" t="s">
        <v>46</v>
      </c>
      <c r="B14" s="17">
        <v>100000</v>
      </c>
      <c r="D14" s="23">
        <v>0.08</v>
      </c>
      <c r="E14" s="3">
        <v>17400</v>
      </c>
      <c r="J14" s="1"/>
      <c r="N14" s="1"/>
      <c r="O14" s="7"/>
      <c r="P14" s="7"/>
      <c r="Q14" s="7"/>
      <c r="R14" s="7"/>
      <c r="S14" s="7"/>
      <c r="T14" s="7"/>
      <c r="U14" s="7"/>
      <c r="V14" s="7"/>
      <c r="W14" s="7"/>
      <c r="X14" s="7"/>
      <c r="Y14" s="7"/>
      <c r="Z14" s="7"/>
      <c r="AA14" s="1"/>
    </row>
    <row r="15" spans="1:27">
      <c r="A15" t="s">
        <v>50</v>
      </c>
      <c r="B15" s="18">
        <v>0.05</v>
      </c>
      <c r="C15" t="s">
        <v>59</v>
      </c>
      <c r="D15" s="21"/>
      <c r="J15" s="1"/>
      <c r="N15" s="1"/>
      <c r="O15" s="7"/>
      <c r="P15" s="7"/>
      <c r="Q15" s="7"/>
      <c r="R15" s="7"/>
      <c r="S15" s="7"/>
      <c r="T15" s="7"/>
      <c r="U15" s="7"/>
      <c r="V15" s="7"/>
      <c r="W15" s="7"/>
      <c r="X15" s="7"/>
      <c r="Y15" s="7"/>
      <c r="Z15" s="7"/>
      <c r="AA15" s="1"/>
    </row>
    <row r="16" spans="1:27">
      <c r="A16" t="s">
        <v>51</v>
      </c>
      <c r="B16" s="19">
        <f>B15*B14</f>
        <v>5000</v>
      </c>
      <c r="C16" t="str">
        <f ca="1">_xlfn.FORMULATEXT(B16)</f>
        <v>=B15*B14</v>
      </c>
      <c r="J16" s="1"/>
      <c r="N16" s="1"/>
      <c r="O16" s="7"/>
      <c r="P16" s="7"/>
      <c r="Q16" s="7"/>
      <c r="R16" s="7"/>
      <c r="S16" s="7"/>
      <c r="T16" s="7"/>
      <c r="U16" s="7"/>
      <c r="V16" s="7"/>
      <c r="W16" s="7"/>
      <c r="X16" s="7"/>
      <c r="Y16" s="7"/>
      <c r="Z16" s="7"/>
      <c r="AA16" s="1"/>
    </row>
    <row r="17" spans="1:27">
      <c r="A17" s="3" t="s">
        <v>8</v>
      </c>
      <c r="J17" s="1"/>
      <c r="N17" s="1"/>
      <c r="O17" s="7"/>
      <c r="P17" s="7"/>
      <c r="Q17" s="7"/>
      <c r="R17" s="7"/>
      <c r="S17" s="7"/>
      <c r="T17" s="7"/>
      <c r="U17" s="7"/>
      <c r="V17" s="7"/>
      <c r="W17" s="7"/>
      <c r="X17" s="7"/>
      <c r="Y17" s="7"/>
      <c r="Z17" s="7"/>
      <c r="AA17" s="1"/>
    </row>
    <row r="18" spans="1:27">
      <c r="A18" t="s">
        <v>44</v>
      </c>
      <c r="B18" s="2">
        <v>40</v>
      </c>
      <c r="J18" s="1"/>
      <c r="N18" s="1"/>
      <c r="O18" s="7"/>
      <c r="P18" s="7"/>
      <c r="Q18" s="7"/>
      <c r="R18" s="7"/>
      <c r="S18" s="7"/>
      <c r="T18" s="7"/>
      <c r="U18" s="7"/>
      <c r="V18" s="7"/>
      <c r="W18" s="7"/>
      <c r="X18" s="7"/>
      <c r="Y18" s="7"/>
      <c r="Z18" s="7"/>
      <c r="AA18" s="1"/>
    </row>
    <row r="19" spans="1:27">
      <c r="A19" t="s">
        <v>15</v>
      </c>
      <c r="B19" s="16">
        <f>B16*B18</f>
        <v>200000</v>
      </c>
      <c r="C19" t="str">
        <f ca="1">_xlfn.FORMULATEXT(B19)</f>
        <v>=B16*B18</v>
      </c>
      <c r="J19" s="1"/>
      <c r="N19" s="1"/>
      <c r="O19" s="7"/>
      <c r="P19" s="7"/>
      <c r="Q19" s="7"/>
      <c r="R19" s="7"/>
      <c r="S19" s="7"/>
      <c r="T19" s="7"/>
      <c r="U19" s="7"/>
      <c r="V19" s="7"/>
      <c r="W19" s="7"/>
      <c r="X19" s="7"/>
      <c r="Y19" s="7"/>
      <c r="Z19" s="7"/>
      <c r="AA19" s="1"/>
    </row>
    <row r="20" spans="1:27">
      <c r="A20" s="3" t="s">
        <v>53</v>
      </c>
      <c r="B20" s="20">
        <f>B19-B12</f>
        <v>-6000</v>
      </c>
      <c r="C20" t="str">
        <f ca="1">_xlfn.FORMULATEXT(B20)</f>
        <v>=B19-B12</v>
      </c>
      <c r="J20" s="1"/>
      <c r="N20" s="1"/>
      <c r="O20" s="7"/>
      <c r="P20" s="7"/>
      <c r="Q20" s="7"/>
      <c r="R20" s="7"/>
      <c r="S20" s="7"/>
      <c r="T20" s="7"/>
      <c r="U20" s="7"/>
      <c r="V20" s="7"/>
      <c r="W20" s="7"/>
      <c r="X20" s="7"/>
      <c r="Y20" s="7"/>
      <c r="Z20" s="7"/>
      <c r="AA20" s="1"/>
    </row>
    <row r="21" spans="1:27">
      <c r="J21" s="1"/>
      <c r="N21" s="1"/>
      <c r="O21" s="1"/>
      <c r="P21" s="1"/>
      <c r="Q21" s="1"/>
      <c r="R21" s="1"/>
      <c r="S21" s="1"/>
      <c r="T21" s="1"/>
      <c r="U21" s="1"/>
      <c r="V21" s="1"/>
      <c r="W21" s="1"/>
      <c r="X21" s="1"/>
      <c r="Y21" s="1"/>
      <c r="Z21" s="1"/>
      <c r="AA21" s="1"/>
    </row>
    <row r="22" spans="1:27">
      <c r="J22" s="1"/>
      <c r="N22" s="1"/>
      <c r="O22" s="1"/>
      <c r="P22" s="1"/>
      <c r="Q22" s="1"/>
      <c r="R22" s="1"/>
      <c r="S22" s="1"/>
      <c r="T22" s="1"/>
      <c r="U22" s="1"/>
      <c r="V22" s="1"/>
      <c r="W22" s="1"/>
      <c r="X22" s="1"/>
      <c r="Y22" s="1"/>
      <c r="Z22" s="1"/>
      <c r="AA22" s="1"/>
    </row>
    <row r="23" spans="1:27">
      <c r="J23" s="15"/>
      <c r="N23" s="15"/>
      <c r="O23" s="1"/>
      <c r="P23" s="1"/>
      <c r="Q23" s="1"/>
      <c r="R23" s="1"/>
      <c r="S23" s="1"/>
      <c r="T23" s="1"/>
      <c r="U23" s="1"/>
      <c r="V23" s="1"/>
      <c r="W23" s="1"/>
      <c r="X23" s="1"/>
      <c r="Y23" s="1"/>
      <c r="Z23" s="1"/>
      <c r="AA23" s="1"/>
    </row>
    <row r="24" spans="1:27">
      <c r="J24" s="15"/>
      <c r="N24" s="15"/>
      <c r="O24" s="1"/>
      <c r="P24" s="1"/>
      <c r="Q24" s="1"/>
      <c r="R24" s="1"/>
      <c r="S24" s="1"/>
      <c r="T24" s="1"/>
      <c r="U24" s="1"/>
      <c r="V24" s="1"/>
      <c r="W24" s="1"/>
      <c r="X24" s="1"/>
      <c r="Y24" s="1"/>
      <c r="Z24" s="1"/>
      <c r="AA24" s="1"/>
    </row>
    <row r="25" spans="1:27">
      <c r="J25" s="15"/>
      <c r="N25" s="15"/>
      <c r="O25" s="1"/>
      <c r="P25" s="1"/>
      <c r="Q25" s="1"/>
      <c r="R25" s="1"/>
      <c r="S25" s="1"/>
      <c r="T25" s="1"/>
      <c r="U25" s="1"/>
      <c r="V25" s="1"/>
      <c r="W25" s="1"/>
      <c r="X25" s="1"/>
      <c r="Y25" s="1"/>
      <c r="Z25" s="1"/>
      <c r="AA25" s="1"/>
    </row>
    <row r="26" spans="1:27">
      <c r="J26" s="15"/>
      <c r="N26" s="15"/>
      <c r="O26" s="1"/>
      <c r="P26" s="1"/>
      <c r="Q26" s="1"/>
      <c r="R26" s="1"/>
      <c r="S26" s="1"/>
      <c r="T26" s="1"/>
      <c r="U26" s="1"/>
      <c r="V26" s="1"/>
      <c r="W26" s="1"/>
      <c r="X26" s="1"/>
      <c r="Y26" s="1"/>
      <c r="Z26" s="1"/>
      <c r="AA26" s="1"/>
    </row>
    <row r="27" spans="1:27">
      <c r="J27" s="15"/>
      <c r="N27" s="15"/>
      <c r="O27" s="1"/>
      <c r="P27" s="1"/>
      <c r="Q27" s="1"/>
      <c r="R27" s="1"/>
      <c r="S27" s="1"/>
      <c r="T27" s="1"/>
      <c r="U27" s="1"/>
      <c r="V27" s="1"/>
      <c r="W27" s="1"/>
      <c r="X27" s="1"/>
      <c r="Y27" s="1"/>
      <c r="Z27" s="1"/>
      <c r="AA27" s="1"/>
    </row>
    <row r="28" spans="1:27">
      <c r="J28" s="15"/>
      <c r="N28" s="15"/>
      <c r="O28" s="1"/>
      <c r="P28" s="1"/>
      <c r="Q28" s="1"/>
      <c r="R28" s="1"/>
      <c r="S28" s="1"/>
      <c r="T28" s="1"/>
      <c r="U28" s="1"/>
      <c r="V28" s="1"/>
      <c r="W28" s="1"/>
      <c r="X28" s="1"/>
      <c r="Y28" s="1"/>
      <c r="Z28" s="1"/>
      <c r="AA28" s="1"/>
    </row>
    <row r="29" spans="1:27">
      <c r="J29" s="15"/>
      <c r="N29" s="15"/>
      <c r="O29" s="1"/>
      <c r="P29" s="1"/>
      <c r="Q29" s="1"/>
      <c r="R29" s="1"/>
      <c r="S29" s="1"/>
      <c r="T29" s="1"/>
      <c r="U29" s="1"/>
      <c r="V29" s="1"/>
      <c r="W29" s="1"/>
      <c r="X29" s="1"/>
      <c r="Y29" s="1"/>
      <c r="Z29" s="1"/>
      <c r="AA29" s="1"/>
    </row>
    <row r="30" spans="1:27">
      <c r="J30" s="15"/>
      <c r="N30" s="15"/>
      <c r="O30" s="15"/>
      <c r="P30" s="15"/>
      <c r="Q30" s="15"/>
      <c r="R30" s="15"/>
      <c r="S30" s="15"/>
      <c r="T30" s="15"/>
      <c r="U30" s="15"/>
    </row>
    <row r="31" spans="1:27">
      <c r="J31" s="15"/>
      <c r="N31" s="15"/>
      <c r="O31" s="15"/>
      <c r="P31" s="15"/>
      <c r="Q31" s="15"/>
      <c r="R31" s="15"/>
      <c r="S31" s="15"/>
      <c r="T31" s="15"/>
      <c r="U31" s="15"/>
    </row>
    <row r="32" spans="1:27">
      <c r="J32" s="15"/>
      <c r="N32" s="15"/>
      <c r="O32" s="15"/>
      <c r="P32" s="15"/>
      <c r="Q32" s="15"/>
      <c r="R32" s="15"/>
      <c r="S32" s="15"/>
      <c r="T32" s="15"/>
      <c r="U32" s="15"/>
    </row>
    <row r="33" spans="10:21">
      <c r="J33" s="15"/>
      <c r="N33" s="15"/>
      <c r="O33" s="15"/>
      <c r="P33" s="15"/>
      <c r="Q33" s="15"/>
      <c r="R33" s="15"/>
      <c r="S33" s="15"/>
      <c r="T33" s="15"/>
      <c r="U33" s="15"/>
    </row>
    <row r="34" spans="10:21">
      <c r="J34" s="15"/>
      <c r="N34" s="15"/>
      <c r="O34" s="15"/>
      <c r="P34" s="15"/>
      <c r="Q34" s="15"/>
      <c r="R34" s="15"/>
      <c r="S34" s="15"/>
      <c r="T34" s="15"/>
      <c r="U34" s="15"/>
    </row>
    <row r="35" spans="10:21">
      <c r="J35" s="15"/>
      <c r="N35" s="15"/>
      <c r="O35" s="15"/>
      <c r="P35" s="15"/>
      <c r="Q35" s="15"/>
      <c r="R35" s="15"/>
      <c r="S35" s="15"/>
      <c r="T35" s="15"/>
      <c r="U35" s="15"/>
    </row>
    <row r="36" spans="10:21">
      <c r="J36" s="15"/>
      <c r="N36" s="15"/>
      <c r="O36" s="15"/>
      <c r="P36" s="15"/>
      <c r="Q36" s="15"/>
      <c r="R36" s="15"/>
      <c r="S36" s="15"/>
      <c r="T36" s="15"/>
      <c r="U36" s="15"/>
    </row>
    <row r="37" spans="10:21">
      <c r="J37" s="15"/>
      <c r="N37" s="15"/>
      <c r="O37" s="15"/>
      <c r="P37" s="15"/>
      <c r="Q37" s="15"/>
      <c r="R37" s="15"/>
      <c r="S37" s="15"/>
      <c r="T37" s="15"/>
      <c r="U37" s="15"/>
    </row>
    <row r="38" spans="10:21">
      <c r="J38" s="15"/>
      <c r="N38" s="15"/>
      <c r="O38" s="15"/>
      <c r="P38" s="15"/>
      <c r="Q38" s="15"/>
      <c r="R38" s="15"/>
      <c r="S38" s="15"/>
      <c r="T38" s="15"/>
      <c r="U38" s="15"/>
    </row>
    <row r="39" spans="10:21">
      <c r="J39" s="15"/>
      <c r="N39" s="15"/>
      <c r="O39" s="15"/>
      <c r="P39" s="15"/>
      <c r="Q39" s="15"/>
      <c r="R39" s="15"/>
      <c r="S39" s="15"/>
      <c r="T39" s="15"/>
      <c r="U39" s="15"/>
    </row>
    <row r="40" spans="10:21">
      <c r="J40" s="15"/>
      <c r="N40" s="15"/>
      <c r="O40" s="15"/>
      <c r="P40" s="15"/>
      <c r="Q40" s="15"/>
      <c r="R40" s="15"/>
      <c r="S40" s="15"/>
      <c r="T40" s="15"/>
      <c r="U40" s="15"/>
    </row>
    <row r="41" spans="10:21">
      <c r="J41" s="15"/>
      <c r="N41" s="15"/>
      <c r="O41" s="15"/>
      <c r="P41" s="15"/>
      <c r="Q41" s="15"/>
      <c r="R41" s="15"/>
      <c r="S41" s="15"/>
      <c r="T41" s="15"/>
      <c r="U41" s="15"/>
    </row>
    <row r="42" spans="10:21">
      <c r="J42" s="15"/>
      <c r="N42" s="15"/>
      <c r="O42" s="15"/>
      <c r="P42" s="15"/>
      <c r="Q42" s="15"/>
      <c r="R42" s="15"/>
      <c r="S42" s="15"/>
      <c r="T42" s="15"/>
      <c r="U42" s="15"/>
    </row>
    <row r="43" spans="10:21">
      <c r="J43" s="15"/>
      <c r="N43" s="15"/>
      <c r="O43" s="15"/>
      <c r="P43" s="15"/>
      <c r="Q43" s="15"/>
      <c r="R43" s="15"/>
      <c r="S43" s="15"/>
      <c r="T43" s="15"/>
      <c r="U43" s="15"/>
    </row>
    <row r="44" spans="10:21">
      <c r="J44" s="15"/>
      <c r="N44" s="15"/>
      <c r="O44" s="15"/>
      <c r="P44" s="15"/>
      <c r="Q44" s="15"/>
      <c r="R44" s="15"/>
      <c r="S44" s="15"/>
      <c r="T44" s="15"/>
      <c r="U44" s="15"/>
    </row>
    <row r="45" spans="10:21">
      <c r="J45" s="15"/>
      <c r="N45" s="15"/>
      <c r="O45" s="15"/>
      <c r="P45" s="15"/>
      <c r="Q45" s="15"/>
      <c r="R45" s="15"/>
      <c r="S45" s="15"/>
      <c r="T45" s="15"/>
      <c r="U45" s="15"/>
    </row>
    <row r="46" spans="10:21">
      <c r="J46" s="15"/>
      <c r="N46" s="15"/>
      <c r="O46" s="15"/>
      <c r="P46" s="15"/>
      <c r="Q46" s="15"/>
      <c r="R46" s="15"/>
      <c r="S46" s="15"/>
      <c r="T46" s="15"/>
      <c r="U46" s="15"/>
    </row>
    <row r="47" spans="10:21">
      <c r="J47" s="15"/>
      <c r="N47" s="15"/>
      <c r="O47" s="15"/>
      <c r="P47" s="15"/>
      <c r="Q47" s="15"/>
      <c r="R47" s="15"/>
      <c r="S47" s="15"/>
      <c r="T47" s="15"/>
      <c r="U47" s="15"/>
    </row>
    <row r="48" spans="10:21">
      <c r="J48" s="15"/>
      <c r="N48" s="15"/>
      <c r="O48" s="15"/>
      <c r="P48" s="15"/>
      <c r="Q48" s="15"/>
      <c r="R48" s="15"/>
      <c r="S48" s="15"/>
      <c r="T48" s="15"/>
      <c r="U48" s="15"/>
    </row>
    <row r="49" spans="10:21">
      <c r="J49" s="15"/>
      <c r="N49" s="15"/>
      <c r="O49" s="15"/>
      <c r="P49" s="15"/>
      <c r="Q49" s="15"/>
      <c r="R49" s="15"/>
      <c r="S49" s="15"/>
      <c r="T49" s="15"/>
      <c r="U49" s="15"/>
    </row>
    <row r="50" spans="10:21">
      <c r="J50" s="15"/>
      <c r="N50" s="15"/>
      <c r="O50" s="15"/>
      <c r="P50" s="15"/>
      <c r="Q50" s="15"/>
      <c r="R50" s="15"/>
      <c r="S50" s="15"/>
      <c r="T50" s="15"/>
      <c r="U50" s="15"/>
    </row>
    <row r="51" spans="10:21">
      <c r="J51" s="15"/>
      <c r="N51" s="15"/>
      <c r="O51" s="15"/>
      <c r="P51" s="15"/>
      <c r="Q51" s="15"/>
      <c r="R51" s="15"/>
      <c r="S51" s="15"/>
      <c r="T51" s="15"/>
      <c r="U51" s="15"/>
    </row>
    <row r="52" spans="10:21">
      <c r="J52" s="15"/>
      <c r="N52" s="15"/>
      <c r="O52" s="15"/>
      <c r="P52" s="15"/>
      <c r="Q52" s="15"/>
      <c r="R52" s="15"/>
      <c r="S52" s="15"/>
      <c r="T52" s="15"/>
      <c r="U52" s="15"/>
    </row>
    <row r="53" spans="10:21">
      <c r="J53" s="15"/>
      <c r="N53" s="15"/>
      <c r="O53" s="15"/>
      <c r="P53" s="15"/>
      <c r="Q53" s="15"/>
      <c r="R53" s="15"/>
      <c r="S53" s="15"/>
      <c r="T53" s="15"/>
      <c r="U53" s="15"/>
    </row>
    <row r="54" spans="10:21">
      <c r="J54" s="15"/>
      <c r="N54" s="15"/>
      <c r="O54" s="15"/>
      <c r="P54" s="15"/>
      <c r="Q54" s="15"/>
      <c r="R54" s="15"/>
      <c r="S54" s="15"/>
      <c r="T54" s="15"/>
      <c r="U54" s="15"/>
    </row>
    <row r="55" spans="10:21">
      <c r="J55" s="15"/>
      <c r="N55" s="15"/>
      <c r="O55" s="15"/>
      <c r="P55" s="15"/>
      <c r="Q55" s="15"/>
      <c r="R55" s="15"/>
      <c r="S55" s="15"/>
      <c r="T55" s="15"/>
      <c r="U55" s="15"/>
    </row>
    <row r="56" spans="10:21">
      <c r="J56" s="15"/>
      <c r="N56" s="15"/>
      <c r="O56" s="15"/>
      <c r="P56" s="15"/>
      <c r="Q56" s="15"/>
      <c r="R56" s="15"/>
      <c r="S56" s="15"/>
      <c r="T56" s="15"/>
      <c r="U56" s="1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92E44-C512-4C93-A468-58EEF0F20BEC}">
  <dimension ref="A1:Q29"/>
  <sheetViews>
    <sheetView topLeftCell="A9" workbookViewId="0">
      <selection activeCell="N14" sqref="N14"/>
    </sheetView>
  </sheetViews>
  <sheetFormatPr defaultRowHeight="14.5"/>
  <cols>
    <col min="1" max="2" width="14.08984375" customWidth="1"/>
    <col min="3" max="3" width="17.1796875" style="28" customWidth="1"/>
    <col min="4" max="4" width="12" customWidth="1"/>
    <col min="5" max="5" width="12.81640625" customWidth="1"/>
    <col min="6" max="6" width="10.90625" customWidth="1"/>
    <col min="7" max="9" width="10.1796875" bestFit="1" customWidth="1"/>
    <col min="10" max="10" width="11.26953125" customWidth="1"/>
    <col min="11" max="11" width="12.54296875" customWidth="1"/>
  </cols>
  <sheetData>
    <row r="1" spans="1:10">
      <c r="J1" s="14"/>
    </row>
    <row r="2" spans="1:10" ht="20" customHeight="1" thickBot="1">
      <c r="A2" s="265" t="s">
        <v>60</v>
      </c>
      <c r="B2" s="265"/>
      <c r="C2" s="265"/>
    </row>
    <row r="3" spans="1:10" ht="14.5" customHeight="1">
      <c r="A3" s="3" t="s">
        <v>21</v>
      </c>
      <c r="B3" s="28"/>
      <c r="C3"/>
      <c r="D3" s="275" t="s">
        <v>63</v>
      </c>
      <c r="E3" s="270" t="s">
        <v>62</v>
      </c>
    </row>
    <row r="4" spans="1:10">
      <c r="A4" t="s">
        <v>64</v>
      </c>
      <c r="B4" s="29">
        <v>30</v>
      </c>
      <c r="C4"/>
      <c r="D4" s="276"/>
      <c r="E4" s="271"/>
    </row>
    <row r="5" spans="1:10">
      <c r="A5" t="s">
        <v>65</v>
      </c>
      <c r="B5" s="29">
        <v>10</v>
      </c>
      <c r="C5"/>
      <c r="D5" s="24">
        <v>0</v>
      </c>
      <c r="E5" s="25">
        <v>24</v>
      </c>
    </row>
    <row r="6" spans="1:10">
      <c r="A6" s="3" t="s">
        <v>54</v>
      </c>
      <c r="B6" s="28"/>
      <c r="C6"/>
      <c r="D6" s="24">
        <v>1000</v>
      </c>
      <c r="E6" s="25">
        <v>23</v>
      </c>
    </row>
    <row r="7" spans="1:10">
      <c r="A7" t="s">
        <v>10</v>
      </c>
      <c r="B7" s="30">
        <v>500</v>
      </c>
      <c r="C7" t="s">
        <v>67</v>
      </c>
      <c r="D7" s="24">
        <v>2000</v>
      </c>
      <c r="E7" s="25">
        <v>22.25</v>
      </c>
    </row>
    <row r="8" spans="1:10">
      <c r="A8" t="s">
        <v>61</v>
      </c>
      <c r="B8" s="30">
        <v>500</v>
      </c>
      <c r="C8"/>
      <c r="D8" s="24">
        <v>3000</v>
      </c>
      <c r="E8" s="25">
        <v>21.75</v>
      </c>
    </row>
    <row r="9" spans="1:10" ht="15" thickBot="1">
      <c r="A9" t="s">
        <v>66</v>
      </c>
      <c r="B9" s="28">
        <f>MAX(B8-B7,0)</f>
        <v>0</v>
      </c>
      <c r="C9" t="str">
        <f ca="1">_xlfn.FORMULATEXT(B9)</f>
        <v>=MAX(B8-B7,0)</v>
      </c>
      <c r="D9" s="26">
        <v>4000</v>
      </c>
      <c r="E9" s="27">
        <v>21.3</v>
      </c>
    </row>
    <row r="10" spans="1:10">
      <c r="A10" t="s">
        <v>68</v>
      </c>
      <c r="B10" s="28">
        <f>IF(B7&gt;B8,0,B8-B7)</f>
        <v>0</v>
      </c>
      <c r="C10" t="str">
        <f ca="1">_xlfn.FORMULATEXT(B10)</f>
        <v>=IF(B7&gt;B8,0,B8-B7)</v>
      </c>
    </row>
    <row r="11" spans="1:10">
      <c r="A11" s="3" t="s">
        <v>2</v>
      </c>
      <c r="B11" s="28"/>
      <c r="C11"/>
    </row>
    <row r="12" spans="1:10">
      <c r="A12" t="s">
        <v>69</v>
      </c>
      <c r="B12" s="31">
        <f>VLOOKUP(B8,D3:E9,2,TRUE)*B8</f>
        <v>12000</v>
      </c>
      <c r="C12" t="str">
        <f ca="1">_xlfn.FORMULATEXT(B12)</f>
        <v>=VLOOKUP(B8,D3:E9,2,TRUE)*B8</v>
      </c>
    </row>
    <row r="13" spans="1:10">
      <c r="A13" s="3" t="s">
        <v>8</v>
      </c>
      <c r="B13" s="32">
        <f>B7*B4+B9*B5</f>
        <v>15000</v>
      </c>
      <c r="C13"/>
    </row>
    <row r="14" spans="1:10">
      <c r="A14" s="3" t="s">
        <v>53</v>
      </c>
      <c r="B14" s="32">
        <f>B13-B12</f>
        <v>3000</v>
      </c>
      <c r="C14" t="str">
        <f ca="1">_xlfn.FORMULATEXT(B14)</f>
        <v>=B13-B12</v>
      </c>
    </row>
    <row r="18" spans="1:17" ht="15" thickBot="1"/>
    <row r="19" spans="1:17" ht="14.5" customHeight="1" thickBot="1">
      <c r="A19" s="36"/>
      <c r="B19" s="34"/>
      <c r="C19" s="272" t="s">
        <v>70</v>
      </c>
      <c r="D19" s="273"/>
      <c r="E19" s="273"/>
      <c r="F19" s="273"/>
      <c r="G19" s="273"/>
      <c r="H19" s="273"/>
      <c r="I19" s="273"/>
      <c r="J19" s="273"/>
      <c r="K19" s="274"/>
      <c r="L19" s="33"/>
      <c r="M19" s="33"/>
      <c r="N19" s="33"/>
      <c r="O19" s="33"/>
      <c r="P19" s="33"/>
      <c r="Q19" s="33"/>
    </row>
    <row r="20" spans="1:17" ht="15" thickBot="1">
      <c r="A20" s="35"/>
      <c r="B20" s="37">
        <f>B14</f>
        <v>3000</v>
      </c>
      <c r="C20" s="38">
        <v>500</v>
      </c>
      <c r="D20" s="39">
        <v>1000</v>
      </c>
      <c r="E20" s="39">
        <v>1500</v>
      </c>
      <c r="F20" s="39">
        <v>2000</v>
      </c>
      <c r="G20" s="39">
        <v>2500</v>
      </c>
      <c r="H20" s="39">
        <v>3000</v>
      </c>
      <c r="I20" s="39">
        <v>3500</v>
      </c>
      <c r="J20" s="39">
        <v>4000</v>
      </c>
      <c r="K20" s="40">
        <v>4500</v>
      </c>
    </row>
    <row r="21" spans="1:17" ht="16" customHeight="1">
      <c r="A21" s="267" t="s">
        <v>71</v>
      </c>
      <c r="B21" s="41">
        <v>500</v>
      </c>
      <c r="C21" s="52">
        <f t="dataTable" ref="C21:K29" dt2D="1" dtr="1" r1="B7" r2="B8"/>
        <v>3000</v>
      </c>
      <c r="D21" s="42">
        <v>18000</v>
      </c>
      <c r="E21" s="42">
        <v>33000</v>
      </c>
      <c r="F21" s="42">
        <v>48000</v>
      </c>
      <c r="G21" s="42">
        <v>63000</v>
      </c>
      <c r="H21" s="42">
        <v>78000</v>
      </c>
      <c r="I21" s="42">
        <v>93000</v>
      </c>
      <c r="J21" s="42">
        <v>108000</v>
      </c>
      <c r="K21" s="43">
        <v>123000</v>
      </c>
    </row>
    <row r="22" spans="1:17">
      <c r="A22" s="268"/>
      <c r="B22" s="44">
        <v>1000</v>
      </c>
      <c r="C22" s="45">
        <v>-3000</v>
      </c>
      <c r="D22" s="46">
        <v>7000</v>
      </c>
      <c r="E22" s="46">
        <v>22000</v>
      </c>
      <c r="F22" s="46">
        <v>37000</v>
      </c>
      <c r="G22" s="46">
        <v>52000</v>
      </c>
      <c r="H22" s="46">
        <v>67000</v>
      </c>
      <c r="I22" s="46">
        <v>82000</v>
      </c>
      <c r="J22" s="46">
        <v>97000</v>
      </c>
      <c r="K22" s="47">
        <v>112000</v>
      </c>
    </row>
    <row r="23" spans="1:17">
      <c r="A23" s="268"/>
      <c r="B23" s="44">
        <v>1500</v>
      </c>
      <c r="C23" s="45">
        <v>-9500</v>
      </c>
      <c r="D23" s="46">
        <v>500</v>
      </c>
      <c r="E23" s="46">
        <v>10500</v>
      </c>
      <c r="F23" s="46">
        <v>25500</v>
      </c>
      <c r="G23" s="46">
        <v>40500</v>
      </c>
      <c r="H23" s="46">
        <v>55500</v>
      </c>
      <c r="I23" s="46">
        <v>70500</v>
      </c>
      <c r="J23" s="46">
        <v>85500</v>
      </c>
      <c r="K23" s="47">
        <v>100500</v>
      </c>
    </row>
    <row r="24" spans="1:17">
      <c r="A24" s="268"/>
      <c r="B24" s="44">
        <v>2000</v>
      </c>
      <c r="C24" s="45">
        <v>-14500</v>
      </c>
      <c r="D24" s="46">
        <v>-4500</v>
      </c>
      <c r="E24" s="46">
        <v>5500</v>
      </c>
      <c r="F24" s="46">
        <v>15500</v>
      </c>
      <c r="G24" s="46">
        <v>30500</v>
      </c>
      <c r="H24" s="46">
        <v>45500</v>
      </c>
      <c r="I24" s="46">
        <v>60500</v>
      </c>
      <c r="J24" s="46">
        <v>75500</v>
      </c>
      <c r="K24" s="47">
        <v>90500</v>
      </c>
    </row>
    <row r="25" spans="1:17">
      <c r="A25" s="268"/>
      <c r="B25" s="44">
        <v>2500</v>
      </c>
      <c r="C25" s="45">
        <v>-20625</v>
      </c>
      <c r="D25" s="46">
        <v>-10625</v>
      </c>
      <c r="E25" s="46">
        <v>-625</v>
      </c>
      <c r="F25" s="46">
        <v>9375</v>
      </c>
      <c r="G25" s="46">
        <v>19375</v>
      </c>
      <c r="H25" s="46">
        <v>34375</v>
      </c>
      <c r="I25" s="46">
        <v>49375</v>
      </c>
      <c r="J25" s="46">
        <v>64375</v>
      </c>
      <c r="K25" s="47">
        <v>79375</v>
      </c>
    </row>
    <row r="26" spans="1:17">
      <c r="A26" s="268"/>
      <c r="B26" s="44">
        <v>3000</v>
      </c>
      <c r="C26" s="45">
        <v>-25250</v>
      </c>
      <c r="D26" s="46">
        <v>-15250</v>
      </c>
      <c r="E26" s="46">
        <v>-5250</v>
      </c>
      <c r="F26" s="46">
        <v>4750</v>
      </c>
      <c r="G26" s="46">
        <v>14750</v>
      </c>
      <c r="H26" s="46">
        <v>24750</v>
      </c>
      <c r="I26" s="46">
        <v>39750</v>
      </c>
      <c r="J26" s="46">
        <v>54750</v>
      </c>
      <c r="K26" s="47">
        <v>69750</v>
      </c>
    </row>
    <row r="27" spans="1:17">
      <c r="A27" s="268"/>
      <c r="B27" s="44">
        <v>3500</v>
      </c>
      <c r="C27" s="45">
        <v>-31125</v>
      </c>
      <c r="D27" s="46">
        <v>-21125</v>
      </c>
      <c r="E27" s="46">
        <v>-11125</v>
      </c>
      <c r="F27" s="46">
        <v>-1125</v>
      </c>
      <c r="G27" s="46">
        <v>8875</v>
      </c>
      <c r="H27" s="46">
        <v>18875</v>
      </c>
      <c r="I27" s="46">
        <v>28875</v>
      </c>
      <c r="J27" s="46">
        <v>43875</v>
      </c>
      <c r="K27" s="47">
        <v>58875</v>
      </c>
    </row>
    <row r="28" spans="1:17">
      <c r="A28" s="268"/>
      <c r="B28" s="44">
        <v>4000</v>
      </c>
      <c r="C28" s="45">
        <v>-35200</v>
      </c>
      <c r="D28" s="46">
        <v>-25200</v>
      </c>
      <c r="E28" s="46">
        <v>-15200</v>
      </c>
      <c r="F28" s="46">
        <v>-5200</v>
      </c>
      <c r="G28" s="46">
        <v>4800</v>
      </c>
      <c r="H28" s="46">
        <v>14800</v>
      </c>
      <c r="I28" s="46">
        <v>24800</v>
      </c>
      <c r="J28" s="46">
        <v>34800</v>
      </c>
      <c r="K28" s="47">
        <v>49800</v>
      </c>
    </row>
    <row r="29" spans="1:17" ht="15" thickBot="1">
      <c r="A29" s="269"/>
      <c r="B29" s="48">
        <v>4500</v>
      </c>
      <c r="C29" s="49">
        <v>-40850</v>
      </c>
      <c r="D29" s="50">
        <v>-30850</v>
      </c>
      <c r="E29" s="50">
        <v>-20850</v>
      </c>
      <c r="F29" s="50">
        <v>-10850</v>
      </c>
      <c r="G29" s="50">
        <v>-850</v>
      </c>
      <c r="H29" s="50">
        <v>9150</v>
      </c>
      <c r="I29" s="50">
        <v>19150</v>
      </c>
      <c r="J29" s="50">
        <v>29150</v>
      </c>
      <c r="K29" s="51">
        <v>39150</v>
      </c>
    </row>
  </sheetData>
  <mergeCells count="5">
    <mergeCell ref="A21:A29"/>
    <mergeCell ref="E3:E4"/>
    <mergeCell ref="A2:C2"/>
    <mergeCell ref="C19:K19"/>
    <mergeCell ref="D3:D4"/>
  </mergeCells>
  <conditionalFormatting sqref="C21:K29">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217C-B2AA-4A81-8EE6-45FB95FA9B75}">
  <dimension ref="A2:P95"/>
  <sheetViews>
    <sheetView zoomScale="64" zoomScaleNormal="64" workbookViewId="0">
      <selection activeCell="T40" sqref="T40"/>
    </sheetView>
  </sheetViews>
  <sheetFormatPr defaultRowHeight="14.5"/>
  <cols>
    <col min="1" max="1" width="13.90625" customWidth="1"/>
    <col min="2" max="2" width="26.08984375" customWidth="1"/>
    <col min="3" max="3" width="12.6328125" customWidth="1"/>
    <col min="4" max="4" width="17.26953125" customWidth="1"/>
    <col min="5" max="5" width="12.6328125" customWidth="1"/>
    <col min="6" max="6" width="13.81640625" bestFit="1" customWidth="1"/>
    <col min="8" max="8" width="9.6328125" bestFit="1" customWidth="1"/>
    <col min="9" max="9" width="16.1796875" customWidth="1"/>
    <col min="10" max="10" width="12.90625" bestFit="1" customWidth="1"/>
    <col min="11" max="16" width="14.453125" bestFit="1" customWidth="1"/>
  </cols>
  <sheetData>
    <row r="2" spans="1:6">
      <c r="A2" s="55" t="s">
        <v>74</v>
      </c>
      <c r="B2" s="54" t="s">
        <v>72</v>
      </c>
      <c r="C2" s="56" t="s">
        <v>73</v>
      </c>
    </row>
    <row r="3" spans="1:6">
      <c r="A3" s="55">
        <v>1</v>
      </c>
      <c r="B3" s="54">
        <v>450</v>
      </c>
      <c r="C3" s="56">
        <v>45</v>
      </c>
    </row>
    <row r="4" spans="1:6">
      <c r="A4" s="55">
        <v>2</v>
      </c>
      <c r="B4" s="54">
        <v>300</v>
      </c>
      <c r="C4" s="56">
        <v>103</v>
      </c>
    </row>
    <row r="5" spans="1:6">
      <c r="A5" s="55">
        <v>3</v>
      </c>
      <c r="B5" s="54">
        <v>440</v>
      </c>
      <c r="C5" s="56">
        <v>49</v>
      </c>
    </row>
    <row r="6" spans="1:6">
      <c r="A6" s="55">
        <v>4</v>
      </c>
      <c r="B6" s="54">
        <v>360</v>
      </c>
      <c r="C6" s="56">
        <v>86</v>
      </c>
    </row>
    <row r="7" spans="1:6">
      <c r="A7" s="55">
        <v>5</v>
      </c>
      <c r="B7" s="54">
        <v>290</v>
      </c>
      <c r="C7" s="56">
        <v>125</v>
      </c>
    </row>
    <row r="8" spans="1:6">
      <c r="A8" s="55">
        <v>6</v>
      </c>
      <c r="B8" s="54">
        <v>450</v>
      </c>
      <c r="C8" s="56">
        <v>52</v>
      </c>
    </row>
    <row r="9" spans="1:6">
      <c r="A9" s="55">
        <v>7</v>
      </c>
      <c r="B9" s="54">
        <v>340</v>
      </c>
      <c r="C9" s="56">
        <v>87</v>
      </c>
    </row>
    <row r="10" spans="1:6">
      <c r="A10" s="55">
        <v>8</v>
      </c>
      <c r="B10" s="54">
        <v>370</v>
      </c>
      <c r="C10" s="56">
        <v>68</v>
      </c>
    </row>
    <row r="11" spans="1:6">
      <c r="A11" s="55">
        <v>9</v>
      </c>
      <c r="B11" s="54">
        <v>500</v>
      </c>
      <c r="C11" s="56">
        <v>45</v>
      </c>
    </row>
    <row r="12" spans="1:6">
      <c r="A12" s="55">
        <v>10</v>
      </c>
      <c r="B12" s="54">
        <v>490</v>
      </c>
      <c r="C12" s="56">
        <v>44</v>
      </c>
    </row>
    <row r="13" spans="1:6">
      <c r="A13" s="55">
        <v>11</v>
      </c>
      <c r="B13" s="54">
        <v>430</v>
      </c>
      <c r="C13" s="56">
        <v>58</v>
      </c>
    </row>
    <row r="14" spans="1:6" ht="15" thickBot="1">
      <c r="A14" s="57">
        <v>12</v>
      </c>
      <c r="B14" s="58">
        <v>390</v>
      </c>
      <c r="C14" s="59">
        <v>68</v>
      </c>
    </row>
    <row r="16" spans="1:6">
      <c r="A16" s="281" t="s">
        <v>80</v>
      </c>
      <c r="B16" s="282"/>
      <c r="C16" s="281" t="s">
        <v>94</v>
      </c>
      <c r="D16" s="282"/>
      <c r="E16" s="281" t="s">
        <v>81</v>
      </c>
      <c r="F16" s="282"/>
    </row>
    <row r="17" spans="1:10">
      <c r="A17" s="10" t="s">
        <v>76</v>
      </c>
      <c r="B17" s="54">
        <v>211.31</v>
      </c>
      <c r="C17" s="10" t="s">
        <v>78</v>
      </c>
      <c r="D17" s="60">
        <v>5871064</v>
      </c>
      <c r="E17" s="10" t="s">
        <v>78</v>
      </c>
      <c r="F17" s="12">
        <v>466.51</v>
      </c>
    </row>
    <row r="18" spans="1:10">
      <c r="A18" s="10" t="s">
        <v>77</v>
      </c>
      <c r="B18" s="54">
        <v>-0.35460000000000003</v>
      </c>
      <c r="C18" s="10" t="s">
        <v>79</v>
      </c>
      <c r="D18" s="12">
        <v>-1.9079999999999999</v>
      </c>
      <c r="E18" s="10" t="s">
        <v>79</v>
      </c>
      <c r="F18" s="12">
        <v>-5.0000000000000001E-3</v>
      </c>
      <c r="J18" t="s">
        <v>99</v>
      </c>
    </row>
    <row r="20" spans="1:10">
      <c r="A20" t="s">
        <v>82</v>
      </c>
      <c r="F20" s="283" t="s">
        <v>86</v>
      </c>
      <c r="G20" s="283"/>
      <c r="H20" s="283"/>
    </row>
    <row r="21" spans="1:10">
      <c r="A21" s="12" t="s">
        <v>72</v>
      </c>
      <c r="B21" s="12" t="s">
        <v>75</v>
      </c>
      <c r="C21" s="12" t="s">
        <v>83</v>
      </c>
      <c r="D21" s="12" t="s">
        <v>84</v>
      </c>
      <c r="E21" s="63" t="s">
        <v>85</v>
      </c>
      <c r="F21" s="12" t="s">
        <v>75</v>
      </c>
      <c r="G21" s="12" t="s">
        <v>83</v>
      </c>
      <c r="H21" s="12" t="s">
        <v>84</v>
      </c>
    </row>
    <row r="22" spans="1:10">
      <c r="A22" s="54">
        <v>450</v>
      </c>
      <c r="B22" s="61">
        <f>$B$18*A22+$B$17</f>
        <v>51.739999999999981</v>
      </c>
      <c r="C22" s="62">
        <f>$D$17*A22^$D$18</f>
        <v>50.861286169919921</v>
      </c>
      <c r="D22" s="61">
        <f t="shared" ref="D22:D33" si="0">$F$17*EXP($F$18*A22)</f>
        <v>49.169792250355329</v>
      </c>
      <c r="E22" s="64">
        <v>45</v>
      </c>
      <c r="F22" s="65">
        <f>ABS(B22-$E$22)/$E$22</f>
        <v>0.14977777777777734</v>
      </c>
      <c r="G22" s="65">
        <f t="shared" ref="G22:G33" si="1">ABS(C22-$E22)/$E22</f>
        <v>0.13025080377599826</v>
      </c>
      <c r="H22" s="65">
        <f t="shared" ref="H22:H33" si="2">ABS(D22-$E22)/$E22</f>
        <v>9.2662050007896193E-2</v>
      </c>
    </row>
    <row r="23" spans="1:10">
      <c r="A23" s="54">
        <v>300</v>
      </c>
      <c r="B23" s="61">
        <f t="shared" ref="B23:B33" si="3">$B$18*A23+$B$17</f>
        <v>104.92999999999999</v>
      </c>
      <c r="C23" s="62">
        <f t="shared" ref="C23:C33" si="4">$D$17*A23^$D$18</f>
        <v>110.2476803704582</v>
      </c>
      <c r="D23" s="61">
        <f t="shared" si="0"/>
        <v>104.09245101084399</v>
      </c>
      <c r="E23" s="64">
        <v>103</v>
      </c>
      <c r="F23" s="65">
        <f t="shared" ref="F23:F33" si="5">ABS(B23-E23)/E23</f>
        <v>1.8737864077669832E-2</v>
      </c>
      <c r="G23" s="65">
        <f t="shared" si="1"/>
        <v>7.0365828839399985E-2</v>
      </c>
      <c r="H23" s="65">
        <f t="shared" si="2"/>
        <v>1.0606320493630948E-2</v>
      </c>
    </row>
    <row r="24" spans="1:10">
      <c r="A24" s="54">
        <v>440</v>
      </c>
      <c r="B24" s="61">
        <f t="shared" si="3"/>
        <v>55.286000000000001</v>
      </c>
      <c r="C24" s="62">
        <f t="shared" si="4"/>
        <v>53.089557787712614</v>
      </c>
      <c r="D24" s="61">
        <f t="shared" si="0"/>
        <v>51.69078140761237</v>
      </c>
      <c r="E24" s="64">
        <v>49</v>
      </c>
      <c r="F24" s="65">
        <f t="shared" si="5"/>
        <v>0.12828571428571431</v>
      </c>
      <c r="G24" s="65">
        <f t="shared" si="1"/>
        <v>8.3460363014543154E-2</v>
      </c>
      <c r="H24" s="65">
        <f t="shared" si="2"/>
        <v>5.4913906277803466E-2</v>
      </c>
    </row>
    <row r="25" spans="1:10">
      <c r="A25" s="54">
        <v>360</v>
      </c>
      <c r="B25" s="61">
        <f t="shared" si="3"/>
        <v>83.653999999999996</v>
      </c>
      <c r="C25" s="62">
        <f t="shared" si="4"/>
        <v>77.85592038588905</v>
      </c>
      <c r="D25" s="61">
        <f t="shared" si="0"/>
        <v>77.113584344252331</v>
      </c>
      <c r="E25" s="64">
        <v>86</v>
      </c>
      <c r="F25" s="65">
        <f t="shared" si="5"/>
        <v>2.7279069767441901E-2</v>
      </c>
      <c r="G25" s="65">
        <f t="shared" si="1"/>
        <v>9.4698600164080812E-2</v>
      </c>
      <c r="H25" s="65">
        <f t="shared" si="2"/>
        <v>0.10333041460171709</v>
      </c>
    </row>
    <row r="26" spans="1:10">
      <c r="A26" s="54">
        <v>290</v>
      </c>
      <c r="B26" s="61">
        <f t="shared" si="3"/>
        <v>108.476</v>
      </c>
      <c r="C26" s="62">
        <f t="shared" si="4"/>
        <v>117.61465381582187</v>
      </c>
      <c r="D26" s="61">
        <f t="shared" si="0"/>
        <v>109.42938509863754</v>
      </c>
      <c r="E26" s="64">
        <v>125</v>
      </c>
      <c r="F26" s="65">
        <f t="shared" si="5"/>
        <v>0.132192</v>
      </c>
      <c r="G26" s="65">
        <f t="shared" si="1"/>
        <v>5.9082769473425063E-2</v>
      </c>
      <c r="H26" s="65">
        <f t="shared" si="2"/>
        <v>0.12456491921089968</v>
      </c>
    </row>
    <row r="27" spans="1:10">
      <c r="A27" s="54">
        <v>450</v>
      </c>
      <c r="B27" s="61">
        <f t="shared" si="3"/>
        <v>51.739999999999981</v>
      </c>
      <c r="C27" s="62">
        <f t="shared" si="4"/>
        <v>50.861286169919921</v>
      </c>
      <c r="D27" s="61">
        <f t="shared" si="0"/>
        <v>49.169792250355329</v>
      </c>
      <c r="E27" s="64">
        <v>52</v>
      </c>
      <c r="F27" s="65">
        <f t="shared" si="5"/>
        <v>5.0000000000003713E-3</v>
      </c>
      <c r="G27" s="65">
        <f t="shared" si="1"/>
        <v>2.1898342886155355E-2</v>
      </c>
      <c r="H27" s="65">
        <f t="shared" si="2"/>
        <v>5.4427072108551369E-2</v>
      </c>
    </row>
    <row r="28" spans="1:10">
      <c r="A28" s="54">
        <v>340</v>
      </c>
      <c r="B28" s="61">
        <f t="shared" si="3"/>
        <v>90.745999999999995</v>
      </c>
      <c r="C28" s="62">
        <f t="shared" si="4"/>
        <v>86.827049006961417</v>
      </c>
      <c r="D28" s="61">
        <f t="shared" si="0"/>
        <v>85.223690805841244</v>
      </c>
      <c r="E28" s="64">
        <v>87</v>
      </c>
      <c r="F28" s="65">
        <f t="shared" si="5"/>
        <v>4.3057471264367757E-2</v>
      </c>
      <c r="G28" s="65">
        <f t="shared" si="1"/>
        <v>1.9879424487193459E-3</v>
      </c>
      <c r="H28" s="65">
        <f t="shared" si="2"/>
        <v>2.0417347059296046E-2</v>
      </c>
    </row>
    <row r="29" spans="1:10">
      <c r="A29" s="54">
        <v>370</v>
      </c>
      <c r="B29" s="61">
        <f t="shared" si="3"/>
        <v>80.108000000000004</v>
      </c>
      <c r="C29" s="62">
        <f t="shared" si="4"/>
        <v>73.890384263545585</v>
      </c>
      <c r="D29" s="61">
        <f t="shared" si="0"/>
        <v>73.352710456970414</v>
      </c>
      <c r="E29" s="64">
        <v>68</v>
      </c>
      <c r="F29" s="65">
        <f t="shared" si="5"/>
        <v>0.17805882352941182</v>
      </c>
      <c r="G29" s="65">
        <f t="shared" si="1"/>
        <v>8.6623297993317416E-2</v>
      </c>
      <c r="H29" s="65">
        <f t="shared" si="2"/>
        <v>7.8716330249564911E-2</v>
      </c>
    </row>
    <row r="30" spans="1:10">
      <c r="A30" s="54">
        <v>500</v>
      </c>
      <c r="B30" s="61">
        <f t="shared" si="3"/>
        <v>34.009999999999991</v>
      </c>
      <c r="C30" s="62">
        <f t="shared" si="4"/>
        <v>41.59891911995917</v>
      </c>
      <c r="D30" s="61">
        <f t="shared" si="0"/>
        <v>38.293472708035026</v>
      </c>
      <c r="E30" s="64">
        <v>45</v>
      </c>
      <c r="F30" s="65">
        <f t="shared" si="5"/>
        <v>0.24422222222222242</v>
      </c>
      <c r="G30" s="65">
        <f t="shared" si="1"/>
        <v>7.5579575112018446E-2</v>
      </c>
      <c r="H30" s="65">
        <f t="shared" si="2"/>
        <v>0.14903393982144386</v>
      </c>
    </row>
    <row r="31" spans="1:10">
      <c r="A31" s="54">
        <v>490</v>
      </c>
      <c r="B31" s="61">
        <f t="shared" si="3"/>
        <v>37.555999999999983</v>
      </c>
      <c r="C31" s="62">
        <f t="shared" si="4"/>
        <v>43.233728796663705</v>
      </c>
      <c r="D31" s="61">
        <f t="shared" si="0"/>
        <v>40.256821037821332</v>
      </c>
      <c r="E31" s="64">
        <v>44</v>
      </c>
      <c r="F31" s="65">
        <f t="shared" si="5"/>
        <v>0.14645454545454584</v>
      </c>
      <c r="G31" s="65">
        <f t="shared" si="1"/>
        <v>1.7415254621279432E-2</v>
      </c>
      <c r="H31" s="65">
        <f t="shared" si="2"/>
        <v>8.5072249140424272E-2</v>
      </c>
    </row>
    <row r="32" spans="1:10">
      <c r="A32" s="54">
        <v>430</v>
      </c>
      <c r="B32" s="61">
        <f t="shared" si="3"/>
        <v>58.831999999999994</v>
      </c>
      <c r="C32" s="62">
        <f t="shared" si="4"/>
        <v>55.470106712335337</v>
      </c>
      <c r="D32" s="61">
        <f t="shared" si="0"/>
        <v>54.341024442914069</v>
      </c>
      <c r="E32" s="64">
        <v>58</v>
      </c>
      <c r="F32" s="65">
        <f t="shared" si="5"/>
        <v>1.4344827586206787E-2</v>
      </c>
      <c r="G32" s="65">
        <f t="shared" si="1"/>
        <v>4.3618849787321778E-2</v>
      </c>
      <c r="H32" s="65">
        <f t="shared" si="2"/>
        <v>6.3085785466998806E-2</v>
      </c>
    </row>
    <row r="33" spans="1:16">
      <c r="A33" s="54">
        <v>390</v>
      </c>
      <c r="B33" s="61">
        <f t="shared" si="3"/>
        <v>73.015999999999991</v>
      </c>
      <c r="C33" s="62">
        <f t="shared" si="4"/>
        <v>66.829089531318985</v>
      </c>
      <c r="D33" s="61">
        <f t="shared" si="0"/>
        <v>66.372277135824447</v>
      </c>
      <c r="E33" s="67">
        <v>68</v>
      </c>
      <c r="F33" s="65">
        <f t="shared" si="5"/>
        <v>7.3764705882352816E-2</v>
      </c>
      <c r="G33" s="65">
        <f t="shared" si="1"/>
        <v>1.7219271598250221E-2</v>
      </c>
      <c r="H33" s="65">
        <f t="shared" si="2"/>
        <v>2.393710094375813E-2</v>
      </c>
    </row>
    <row r="34" spans="1:16">
      <c r="E34" s="10" t="s">
        <v>87</v>
      </c>
      <c r="F34" s="66">
        <f>AVERAGE(F22:F33)</f>
        <v>9.6764585153975916E-2</v>
      </c>
      <c r="G34" s="68">
        <f t="shared" ref="G34:H34" si="6">AVERAGE(G22:G33)</f>
        <v>5.8516741642875771E-2</v>
      </c>
      <c r="H34" s="66">
        <f t="shared" si="6"/>
        <v>7.17306196151654E-2</v>
      </c>
      <c r="I34" t="s">
        <v>88</v>
      </c>
    </row>
    <row r="35" spans="1:16">
      <c r="A35" t="s">
        <v>89</v>
      </c>
    </row>
    <row r="36" spans="1:16" ht="15" thickBot="1">
      <c r="A36" t="s">
        <v>91</v>
      </c>
      <c r="B36" s="16">
        <v>250</v>
      </c>
      <c r="C36" t="s">
        <v>92</v>
      </c>
      <c r="E36" t="s">
        <v>72</v>
      </c>
      <c r="F36" t="s">
        <v>53</v>
      </c>
    </row>
    <row r="37" spans="1:16" ht="15" thickBot="1">
      <c r="A37" t="s">
        <v>90</v>
      </c>
      <c r="B37" s="71">
        <v>400</v>
      </c>
      <c r="C37" t="s">
        <v>93</v>
      </c>
      <c r="E37" s="16"/>
      <c r="F37" s="72">
        <f>B43</f>
        <v>955163.26238462282</v>
      </c>
      <c r="G37" s="84"/>
      <c r="H37" s="82"/>
      <c r="I37" s="279" t="s">
        <v>100</v>
      </c>
      <c r="J37" s="279"/>
      <c r="K37" s="279"/>
      <c r="L37" s="279"/>
      <c r="M37" s="279"/>
      <c r="N37" s="279"/>
      <c r="O37" s="279"/>
      <c r="P37" s="280"/>
    </row>
    <row r="38" spans="1:16">
      <c r="A38" t="s">
        <v>73</v>
      </c>
      <c r="B38" s="69">
        <f>D17*B37^D18</f>
        <v>63.677550825641511</v>
      </c>
      <c r="C38" t="s">
        <v>98</v>
      </c>
      <c r="D38" t="str">
        <f ca="1">_xlfn.FORMULATEXT(B38)</f>
        <v>=D17*B37^D18</v>
      </c>
      <c r="E38" s="16">
        <v>250</v>
      </c>
      <c r="F38" s="20">
        <f t="dataTable" ref="F38:F95" dt2D="0" dtr="0" r1="B37"/>
        <v>0</v>
      </c>
      <c r="G38" s="277" t="s">
        <v>72</v>
      </c>
      <c r="H38" s="74">
        <f>B43</f>
        <v>955163.26238462282</v>
      </c>
      <c r="I38" s="75">
        <v>250</v>
      </c>
      <c r="J38" s="76">
        <v>300</v>
      </c>
      <c r="K38" s="75">
        <v>350</v>
      </c>
      <c r="L38" s="76">
        <v>400</v>
      </c>
      <c r="M38" s="75">
        <v>450</v>
      </c>
      <c r="N38" s="76">
        <v>500</v>
      </c>
      <c r="O38" s="75">
        <v>550</v>
      </c>
      <c r="P38" s="77">
        <v>600</v>
      </c>
    </row>
    <row r="39" spans="1:16">
      <c r="A39" t="s">
        <v>95</v>
      </c>
      <c r="B39" s="69">
        <f>B38*100</f>
        <v>6367.7550825641511</v>
      </c>
      <c r="D39" t="str">
        <f ca="1">_xlfn.FORMULATEXT(B39)</f>
        <v>=B38*100</v>
      </c>
      <c r="E39" s="16">
        <v>260</v>
      </c>
      <c r="F39" s="20">
        <v>144859.72842847556</v>
      </c>
      <c r="G39" s="277"/>
      <c r="H39" s="73">
        <v>260</v>
      </c>
      <c r="I39" s="73">
        <f t="dataTable" ref="I39:P95" dt2D="1" dtr="1" r1="B36" r2="B37"/>
        <v>955163.26238462282</v>
      </c>
      <c r="J39" s="73">
        <v>955163.26238462282</v>
      </c>
      <c r="K39" s="73">
        <v>955163.26238462282</v>
      </c>
      <c r="L39" s="73">
        <v>955163.26238462282</v>
      </c>
      <c r="M39" s="73">
        <v>955163.26238462282</v>
      </c>
      <c r="N39" s="73">
        <v>955163.26238462282</v>
      </c>
      <c r="O39" s="73">
        <v>955163.26238462282</v>
      </c>
      <c r="P39" s="78">
        <v>955163.26238462282</v>
      </c>
    </row>
    <row r="40" spans="1:16">
      <c r="B40" s="69"/>
      <c r="E40" s="16">
        <v>270</v>
      </c>
      <c r="F40" s="20">
        <v>269590.60184817808</v>
      </c>
      <c r="G40" s="277"/>
      <c r="H40" s="73">
        <v>270</v>
      </c>
      <c r="I40" s="73">
        <v>955163.26238462282</v>
      </c>
      <c r="J40" s="73">
        <v>955163.26238462282</v>
      </c>
      <c r="K40" s="73">
        <v>955163.26238462282</v>
      </c>
      <c r="L40" s="73">
        <v>955163.26238462282</v>
      </c>
      <c r="M40" s="73">
        <v>955163.26238462282</v>
      </c>
      <c r="N40" s="73">
        <v>955163.26238462282</v>
      </c>
      <c r="O40" s="73">
        <v>955163.26238462282</v>
      </c>
      <c r="P40" s="78">
        <v>955163.26238462282</v>
      </c>
    </row>
    <row r="41" spans="1:16">
      <c r="A41" t="s">
        <v>96</v>
      </c>
      <c r="B41" s="20">
        <f>B36*B39</f>
        <v>1591938.7706410377</v>
      </c>
      <c r="D41" t="str">
        <f ca="1">_xlfn.FORMULATEXT(B41)</f>
        <v>=B36*B39</v>
      </c>
      <c r="E41" s="16">
        <v>280</v>
      </c>
      <c r="F41" s="20">
        <v>377277.18719872413</v>
      </c>
      <c r="G41" s="277"/>
      <c r="H41" s="73">
        <v>280</v>
      </c>
      <c r="I41" s="73">
        <v>955163.26238462282</v>
      </c>
      <c r="J41" s="73">
        <v>955163.26238462282</v>
      </c>
      <c r="K41" s="73">
        <v>955163.26238462282</v>
      </c>
      <c r="L41" s="73">
        <v>955163.26238462282</v>
      </c>
      <c r="M41" s="73">
        <v>955163.26238462282</v>
      </c>
      <c r="N41" s="73">
        <v>955163.26238462282</v>
      </c>
      <c r="O41" s="73">
        <v>955163.26238462282</v>
      </c>
      <c r="P41" s="78">
        <v>955163.26238462282</v>
      </c>
    </row>
    <row r="42" spans="1:16">
      <c r="A42" t="s">
        <v>8</v>
      </c>
      <c r="B42" s="20">
        <f>B37*B39</f>
        <v>2547102.0330256606</v>
      </c>
      <c r="D42" t="str">
        <f ca="1">_xlfn.FORMULATEXT(B42)</f>
        <v>=B37*B39</v>
      </c>
      <c r="E42" s="16">
        <v>290</v>
      </c>
      <c r="F42" s="20">
        <v>470458.61526328744</v>
      </c>
      <c r="G42" s="277"/>
      <c r="H42" s="73">
        <v>290</v>
      </c>
      <c r="I42" s="73">
        <v>955163.26238462282</v>
      </c>
      <c r="J42" s="73">
        <v>955163.26238462282</v>
      </c>
      <c r="K42" s="73">
        <v>955163.26238462282</v>
      </c>
      <c r="L42" s="73">
        <v>955163.26238462282</v>
      </c>
      <c r="M42" s="73">
        <v>955163.26238462282</v>
      </c>
      <c r="N42" s="73">
        <v>955163.26238462282</v>
      </c>
      <c r="O42" s="73">
        <v>955163.26238462282</v>
      </c>
      <c r="P42" s="78">
        <v>955163.26238462282</v>
      </c>
    </row>
    <row r="43" spans="1:16">
      <c r="A43" s="3" t="s">
        <v>97</v>
      </c>
      <c r="B43" s="70">
        <f>B42-B41</f>
        <v>955163.26238462282</v>
      </c>
      <c r="D43" t="str">
        <f ca="1">_xlfn.FORMULATEXT(B43)</f>
        <v>=B42-B41</v>
      </c>
      <c r="E43" s="16">
        <v>300</v>
      </c>
      <c r="F43" s="20">
        <v>551238.40185229108</v>
      </c>
      <c r="G43" s="277"/>
      <c r="H43" s="73">
        <v>300</v>
      </c>
      <c r="I43" s="73">
        <v>955163.26238462282</v>
      </c>
      <c r="J43" s="73">
        <v>955163.26238462282</v>
      </c>
      <c r="K43" s="73">
        <v>955163.26238462282</v>
      </c>
      <c r="L43" s="73">
        <v>955163.26238462282</v>
      </c>
      <c r="M43" s="73">
        <v>955163.26238462282</v>
      </c>
      <c r="N43" s="73">
        <v>955163.26238462282</v>
      </c>
      <c r="O43" s="73">
        <v>955163.26238462282</v>
      </c>
      <c r="P43" s="78">
        <v>955163.26238462282</v>
      </c>
    </row>
    <row r="44" spans="1:16">
      <c r="E44" s="16">
        <v>310</v>
      </c>
      <c r="F44" s="20">
        <v>621369.53021456813</v>
      </c>
      <c r="G44" s="277"/>
      <c r="H44" s="73">
        <v>310</v>
      </c>
      <c r="I44" s="73">
        <v>955163.26238462282</v>
      </c>
      <c r="J44" s="73">
        <v>955163.26238462282</v>
      </c>
      <c r="K44" s="73">
        <v>955163.26238462282</v>
      </c>
      <c r="L44" s="73">
        <v>955163.26238462282</v>
      </c>
      <c r="M44" s="73">
        <v>955163.26238462282</v>
      </c>
      <c r="N44" s="73">
        <v>955163.26238462282</v>
      </c>
      <c r="O44" s="73">
        <v>955163.26238462282</v>
      </c>
      <c r="P44" s="78">
        <v>955163.26238462282</v>
      </c>
    </row>
    <row r="45" spans="1:16">
      <c r="E45" s="16">
        <v>320</v>
      </c>
      <c r="F45" s="20">
        <v>682320.93416212313</v>
      </c>
      <c r="G45" s="277"/>
      <c r="H45" s="73">
        <v>320</v>
      </c>
      <c r="I45" s="73">
        <v>955163.26238462282</v>
      </c>
      <c r="J45" s="73">
        <v>955163.26238462282</v>
      </c>
      <c r="K45" s="73">
        <v>955163.26238462282</v>
      </c>
      <c r="L45" s="73">
        <v>955163.26238462282</v>
      </c>
      <c r="M45" s="73">
        <v>955163.26238462282</v>
      </c>
      <c r="N45" s="73">
        <v>955163.26238462282</v>
      </c>
      <c r="O45" s="73">
        <v>955163.26238462282</v>
      </c>
      <c r="P45" s="78">
        <v>955163.26238462282</v>
      </c>
    </row>
    <row r="46" spans="1:16">
      <c r="E46" s="16">
        <v>330</v>
      </c>
      <c r="F46" s="20">
        <v>735329.86392835062</v>
      </c>
      <c r="G46" s="277"/>
      <c r="H46" s="73">
        <v>330</v>
      </c>
      <c r="I46" s="73">
        <v>955163.26238462282</v>
      </c>
      <c r="J46" s="73">
        <v>955163.26238462282</v>
      </c>
      <c r="K46" s="73">
        <v>955163.26238462282</v>
      </c>
      <c r="L46" s="73">
        <v>955163.26238462282</v>
      </c>
      <c r="M46" s="73">
        <v>955163.26238462282</v>
      </c>
      <c r="N46" s="73">
        <v>955163.26238462282</v>
      </c>
      <c r="O46" s="73">
        <v>955163.26238462282</v>
      </c>
      <c r="P46" s="78">
        <v>955163.26238462282</v>
      </c>
    </row>
    <row r="47" spans="1:16">
      <c r="E47" s="16">
        <v>340</v>
      </c>
      <c r="F47" s="20">
        <v>781443.44106265297</v>
      </c>
      <c r="G47" s="277"/>
      <c r="H47" s="73">
        <v>340</v>
      </c>
      <c r="I47" s="73">
        <v>955163.26238462282</v>
      </c>
      <c r="J47" s="73">
        <v>955163.26238462282</v>
      </c>
      <c r="K47" s="73">
        <v>955163.26238462282</v>
      </c>
      <c r="L47" s="73">
        <v>955163.26238462282</v>
      </c>
      <c r="M47" s="73">
        <v>955163.26238462282</v>
      </c>
      <c r="N47" s="73">
        <v>955163.26238462282</v>
      </c>
      <c r="O47" s="73">
        <v>955163.26238462282</v>
      </c>
      <c r="P47" s="78">
        <v>955163.26238462282</v>
      </c>
    </row>
    <row r="48" spans="1:16">
      <c r="E48" s="16">
        <v>350</v>
      </c>
      <c r="F48" s="20">
        <v>821551.86522268457</v>
      </c>
      <c r="G48" s="277"/>
      <c r="H48" s="73">
        <v>350</v>
      </c>
      <c r="I48" s="73">
        <v>955163.26238462282</v>
      </c>
      <c r="J48" s="73">
        <v>955163.26238462282</v>
      </c>
      <c r="K48" s="73">
        <v>955163.26238462282</v>
      </c>
      <c r="L48" s="73">
        <v>955163.26238462282</v>
      </c>
      <c r="M48" s="73">
        <v>955163.26238462282</v>
      </c>
      <c r="N48" s="73">
        <v>955163.26238462282</v>
      </c>
      <c r="O48" s="73">
        <v>955163.26238462282</v>
      </c>
      <c r="P48" s="78">
        <v>955163.26238462282</v>
      </c>
    </row>
    <row r="49" spans="5:16">
      <c r="E49" s="16">
        <v>360</v>
      </c>
      <c r="F49" s="20">
        <v>856415.12424477958</v>
      </c>
      <c r="G49" s="277"/>
      <c r="H49" s="73">
        <v>360</v>
      </c>
      <c r="I49" s="73">
        <v>955163.26238462282</v>
      </c>
      <c r="J49" s="73">
        <v>955163.26238462282</v>
      </c>
      <c r="K49" s="73">
        <v>955163.26238462282</v>
      </c>
      <c r="L49" s="73">
        <v>955163.26238462282</v>
      </c>
      <c r="M49" s="73">
        <v>955163.26238462282</v>
      </c>
      <c r="N49" s="73">
        <v>955163.26238462282</v>
      </c>
      <c r="O49" s="73">
        <v>955163.26238462282</v>
      </c>
      <c r="P49" s="78">
        <v>955163.26238462282</v>
      </c>
    </row>
    <row r="50" spans="5:16">
      <c r="E50" s="16">
        <v>370</v>
      </c>
      <c r="F50" s="20">
        <v>886684.61116254725</v>
      </c>
      <c r="G50" s="277"/>
      <c r="H50" s="73">
        <v>370</v>
      </c>
      <c r="I50" s="73">
        <v>955163.26238462282</v>
      </c>
      <c r="J50" s="73">
        <v>955163.26238462282</v>
      </c>
      <c r="K50" s="73">
        <v>955163.26238462282</v>
      </c>
      <c r="L50" s="73">
        <v>955163.26238462282</v>
      </c>
      <c r="M50" s="73">
        <v>955163.26238462282</v>
      </c>
      <c r="N50" s="73">
        <v>955163.26238462282</v>
      </c>
      <c r="O50" s="73">
        <v>955163.26238462282</v>
      </c>
      <c r="P50" s="78">
        <v>955163.26238462282</v>
      </c>
    </row>
    <row r="51" spans="5:16">
      <c r="E51" s="16">
        <v>380</v>
      </c>
      <c r="F51" s="20">
        <v>912920.72098907013</v>
      </c>
      <c r="G51" s="277"/>
      <c r="H51" s="73">
        <v>380</v>
      </c>
      <c r="I51" s="73">
        <v>955163.26238462282</v>
      </c>
      <c r="J51" s="73">
        <v>955163.26238462282</v>
      </c>
      <c r="K51" s="73">
        <v>955163.26238462282</v>
      </c>
      <c r="L51" s="73">
        <v>955163.26238462282</v>
      </c>
      <c r="M51" s="73">
        <v>955163.26238462282</v>
      </c>
      <c r="N51" s="73">
        <v>955163.26238462282</v>
      </c>
      <c r="O51" s="73">
        <v>955163.26238462282</v>
      </c>
      <c r="P51" s="78">
        <v>955163.26238462282</v>
      </c>
    </row>
    <row r="52" spans="5:16">
      <c r="E52" s="16">
        <v>390</v>
      </c>
      <c r="F52" s="20">
        <v>935607.253438466</v>
      </c>
      <c r="G52" s="277"/>
      <c r="H52" s="73">
        <v>390</v>
      </c>
      <c r="I52" s="73">
        <v>955163.26238462282</v>
      </c>
      <c r="J52" s="73">
        <v>955163.26238462282</v>
      </c>
      <c r="K52" s="73">
        <v>955163.26238462282</v>
      </c>
      <c r="L52" s="73">
        <v>955163.26238462282</v>
      </c>
      <c r="M52" s="73">
        <v>955163.26238462282</v>
      </c>
      <c r="N52" s="73">
        <v>955163.26238462282</v>
      </c>
      <c r="O52" s="73">
        <v>955163.26238462282</v>
      </c>
      <c r="P52" s="78">
        <v>955163.26238462282</v>
      </c>
    </row>
    <row r="53" spans="5:16">
      <c r="E53" s="16">
        <v>400</v>
      </c>
      <c r="F53" s="20">
        <v>955163.26238462282</v>
      </c>
      <c r="G53" s="277"/>
      <c r="H53" s="73">
        <v>400</v>
      </c>
      <c r="I53" s="73">
        <v>955163.26238462282</v>
      </c>
      <c r="J53" s="73">
        <v>955163.26238462282</v>
      </c>
      <c r="K53" s="73">
        <v>955163.26238462282</v>
      </c>
      <c r="L53" s="73">
        <v>955163.26238462282</v>
      </c>
      <c r="M53" s="73">
        <v>955163.26238462282</v>
      </c>
      <c r="N53" s="73">
        <v>955163.26238462282</v>
      </c>
      <c r="O53" s="73">
        <v>955163.26238462282</v>
      </c>
      <c r="P53" s="78">
        <v>955163.26238462282</v>
      </c>
    </row>
    <row r="54" spans="5:16">
      <c r="E54" s="16">
        <v>410</v>
      </c>
      <c r="F54" s="20">
        <v>971952.85243747453</v>
      </c>
      <c r="G54" s="277"/>
      <c r="H54" s="73">
        <v>410</v>
      </c>
      <c r="I54" s="73">
        <v>955163.26238462282</v>
      </c>
      <c r="J54" s="73">
        <v>955163.26238462282</v>
      </c>
      <c r="K54" s="73">
        <v>955163.26238462282</v>
      </c>
      <c r="L54" s="73">
        <v>955163.26238462282</v>
      </c>
      <c r="M54" s="73">
        <v>955163.26238462282</v>
      </c>
      <c r="N54" s="73">
        <v>955163.26238462282</v>
      </c>
      <c r="O54" s="73">
        <v>955163.26238462282</v>
      </c>
      <c r="P54" s="78">
        <v>955163.26238462282</v>
      </c>
    </row>
    <row r="55" spans="5:16">
      <c r="E55" s="16">
        <v>420</v>
      </c>
      <c r="F55" s="20">
        <v>986293.31587235699</v>
      </c>
      <c r="G55" s="277"/>
      <c r="H55" s="73">
        <v>420</v>
      </c>
      <c r="I55" s="73">
        <v>955163.26238462282</v>
      </c>
      <c r="J55" s="73">
        <v>955163.26238462282</v>
      </c>
      <c r="K55" s="73">
        <v>955163.26238462282</v>
      </c>
      <c r="L55" s="73">
        <v>955163.26238462282</v>
      </c>
      <c r="M55" s="73">
        <v>955163.26238462282</v>
      </c>
      <c r="N55" s="73">
        <v>955163.26238462282</v>
      </c>
      <c r="O55" s="73">
        <v>955163.26238462282</v>
      </c>
      <c r="P55" s="78">
        <v>955163.26238462282</v>
      </c>
    </row>
    <row r="56" spans="5:16">
      <c r="E56" s="16">
        <v>430</v>
      </c>
      <c r="F56" s="20">
        <v>998461.92082203622</v>
      </c>
      <c r="G56" s="277"/>
      <c r="H56" s="73">
        <v>430</v>
      </c>
      <c r="I56" s="73">
        <v>955163.26238462282</v>
      </c>
      <c r="J56" s="73">
        <v>955163.26238462282</v>
      </c>
      <c r="K56" s="73">
        <v>955163.26238462282</v>
      </c>
      <c r="L56" s="73">
        <v>955163.26238462282</v>
      </c>
      <c r="M56" s="73">
        <v>955163.26238462282</v>
      </c>
      <c r="N56" s="73">
        <v>955163.26238462282</v>
      </c>
      <c r="O56" s="73">
        <v>955163.26238462282</v>
      </c>
      <c r="P56" s="78">
        <v>955163.26238462282</v>
      </c>
    </row>
    <row r="57" spans="5:16">
      <c r="E57" s="16">
        <v>440</v>
      </c>
      <c r="F57" s="20">
        <v>1008701.5979665397</v>
      </c>
      <c r="G57" s="277"/>
      <c r="H57" s="73">
        <v>440</v>
      </c>
      <c r="I57" s="73">
        <v>955163.26238462282</v>
      </c>
      <c r="J57" s="73">
        <v>955163.26238462282</v>
      </c>
      <c r="K57" s="73">
        <v>955163.26238462282</v>
      </c>
      <c r="L57" s="73">
        <v>955163.26238462282</v>
      </c>
      <c r="M57" s="73">
        <v>955163.26238462282</v>
      </c>
      <c r="N57" s="73">
        <v>955163.26238462282</v>
      </c>
      <c r="O57" s="73">
        <v>955163.26238462282</v>
      </c>
      <c r="P57" s="78">
        <v>955163.26238462282</v>
      </c>
    </row>
    <row r="58" spans="5:16">
      <c r="E58" s="16">
        <v>450</v>
      </c>
      <c r="F58" s="20">
        <v>1017225.7233983984</v>
      </c>
      <c r="G58" s="277"/>
      <c r="H58" s="73">
        <v>450</v>
      </c>
      <c r="I58" s="73">
        <v>955163.26238462282</v>
      </c>
      <c r="J58" s="73">
        <v>955163.26238462282</v>
      </c>
      <c r="K58" s="73">
        <v>955163.26238462282</v>
      </c>
      <c r="L58" s="73">
        <v>955163.26238462282</v>
      </c>
      <c r="M58" s="73">
        <v>955163.26238462282</v>
      </c>
      <c r="N58" s="73">
        <v>955163.26238462282</v>
      </c>
      <c r="O58" s="73">
        <v>955163.26238462282</v>
      </c>
      <c r="P58" s="78">
        <v>955163.26238462282</v>
      </c>
    </row>
    <row r="59" spans="5:16">
      <c r="E59" s="16">
        <v>460</v>
      </c>
      <c r="F59" s="20">
        <v>1024222.1565401531</v>
      </c>
      <c r="G59" s="277"/>
      <c r="H59" s="73">
        <v>460</v>
      </c>
      <c r="I59" s="73">
        <v>955163.26238462282</v>
      </c>
      <c r="J59" s="73">
        <v>955163.26238462282</v>
      </c>
      <c r="K59" s="73">
        <v>955163.26238462282</v>
      </c>
      <c r="L59" s="73">
        <v>955163.26238462282</v>
      </c>
      <c r="M59" s="73">
        <v>955163.26238462282</v>
      </c>
      <c r="N59" s="73">
        <v>955163.26238462282</v>
      </c>
      <c r="O59" s="73">
        <v>955163.26238462282</v>
      </c>
      <c r="P59" s="78">
        <v>955163.26238462282</v>
      </c>
    </row>
    <row r="60" spans="5:16">
      <c r="E60" s="16">
        <v>470</v>
      </c>
      <c r="F60" s="20">
        <v>1029856.6614397548</v>
      </c>
      <c r="G60" s="277"/>
      <c r="H60" s="73">
        <v>470</v>
      </c>
      <c r="I60" s="73">
        <v>955163.26238462282</v>
      </c>
      <c r="J60" s="73">
        <v>955163.26238462282</v>
      </c>
      <c r="K60" s="73">
        <v>955163.26238462282</v>
      </c>
      <c r="L60" s="73">
        <v>955163.26238462282</v>
      </c>
      <c r="M60" s="73">
        <v>955163.26238462282</v>
      </c>
      <c r="N60" s="73">
        <v>955163.26238462282</v>
      </c>
      <c r="O60" s="73">
        <v>955163.26238462282</v>
      </c>
      <c r="P60" s="78">
        <v>955163.26238462282</v>
      </c>
    </row>
    <row r="61" spans="5:16">
      <c r="E61" s="16">
        <v>480</v>
      </c>
      <c r="F61" s="20">
        <v>1034275.8155834542</v>
      </c>
      <c r="G61" s="277"/>
      <c r="H61" s="73">
        <v>480</v>
      </c>
      <c r="I61" s="73">
        <v>955163.26238462282</v>
      </c>
      <c r="J61" s="73">
        <v>955163.26238462282</v>
      </c>
      <c r="K61" s="73">
        <v>955163.26238462282</v>
      </c>
      <c r="L61" s="73">
        <v>955163.26238462282</v>
      </c>
      <c r="M61" s="73">
        <v>955163.26238462282</v>
      </c>
      <c r="N61" s="73">
        <v>955163.26238462282</v>
      </c>
      <c r="O61" s="73">
        <v>955163.26238462282</v>
      </c>
      <c r="P61" s="78">
        <v>955163.26238462282</v>
      </c>
    </row>
    <row r="62" spans="5:16">
      <c r="E62" s="16">
        <v>490</v>
      </c>
      <c r="F62" s="20">
        <v>1037609.4911199291</v>
      </c>
      <c r="G62" s="277"/>
      <c r="H62" s="73">
        <v>490</v>
      </c>
      <c r="I62" s="73">
        <v>955163.26238462282</v>
      </c>
      <c r="J62" s="73">
        <v>955163.26238462282</v>
      </c>
      <c r="K62" s="73">
        <v>955163.26238462282</v>
      </c>
      <c r="L62" s="73">
        <v>955163.26238462282</v>
      </c>
      <c r="M62" s="73">
        <v>955163.26238462282</v>
      </c>
      <c r="N62" s="73">
        <v>955163.26238462282</v>
      </c>
      <c r="O62" s="73">
        <v>955163.26238462282</v>
      </c>
      <c r="P62" s="78">
        <v>955163.26238462282</v>
      </c>
    </row>
    <row r="63" spans="5:16">
      <c r="E63" s="16">
        <v>500</v>
      </c>
      <c r="F63" s="20">
        <v>1039972.9779989794</v>
      </c>
      <c r="G63" s="277"/>
      <c r="H63" s="73">
        <v>500</v>
      </c>
      <c r="I63" s="73">
        <v>955163.26238462282</v>
      </c>
      <c r="J63" s="73">
        <v>955163.26238462282</v>
      </c>
      <c r="K63" s="73">
        <v>955163.26238462282</v>
      </c>
      <c r="L63" s="73">
        <v>955163.26238462282</v>
      </c>
      <c r="M63" s="73">
        <v>955163.26238462282</v>
      </c>
      <c r="N63" s="73">
        <v>955163.26238462282</v>
      </c>
      <c r="O63" s="73">
        <v>955163.26238462282</v>
      </c>
      <c r="P63" s="78">
        <v>955163.26238462282</v>
      </c>
    </row>
    <row r="64" spans="5:16">
      <c r="E64" s="16">
        <v>510</v>
      </c>
      <c r="F64" s="20">
        <v>1041468.8061629091</v>
      </c>
      <c r="G64" s="277"/>
      <c r="H64" s="73">
        <v>510</v>
      </c>
      <c r="I64" s="73">
        <v>955163.26238462282</v>
      </c>
      <c r="J64" s="73">
        <v>955163.26238462282</v>
      </c>
      <c r="K64" s="73">
        <v>955163.26238462282</v>
      </c>
      <c r="L64" s="73">
        <v>955163.26238462282</v>
      </c>
      <c r="M64" s="73">
        <v>955163.26238462282</v>
      </c>
      <c r="N64" s="73">
        <v>955163.26238462282</v>
      </c>
      <c r="O64" s="73">
        <v>955163.26238462282</v>
      </c>
      <c r="P64" s="78">
        <v>955163.26238462282</v>
      </c>
    </row>
    <row r="65" spans="5:16">
      <c r="E65" s="16">
        <v>520</v>
      </c>
      <c r="F65" s="20">
        <v>1042188.3139489595</v>
      </c>
      <c r="G65" s="277"/>
      <c r="H65" s="73">
        <v>520</v>
      </c>
      <c r="I65" s="73">
        <v>955163.26238462282</v>
      </c>
      <c r="J65" s="73">
        <v>955163.26238462282</v>
      </c>
      <c r="K65" s="73">
        <v>955163.26238462282</v>
      </c>
      <c r="L65" s="73">
        <v>955163.26238462282</v>
      </c>
      <c r="M65" s="73">
        <v>955163.26238462282</v>
      </c>
      <c r="N65" s="73">
        <v>955163.26238462282</v>
      </c>
      <c r="O65" s="73">
        <v>955163.26238462282</v>
      </c>
      <c r="P65" s="78">
        <v>955163.26238462282</v>
      </c>
    </row>
    <row r="66" spans="5:16">
      <c r="E66" s="16">
        <v>530</v>
      </c>
      <c r="F66" s="20">
        <v>1042213.0017719698</v>
      </c>
      <c r="G66" s="277"/>
      <c r="H66" s="73">
        <v>530</v>
      </c>
      <c r="I66" s="73">
        <v>955163.26238462282</v>
      </c>
      <c r="J66" s="73">
        <v>955163.26238462282</v>
      </c>
      <c r="K66" s="73">
        <v>955163.26238462282</v>
      </c>
      <c r="L66" s="73">
        <v>955163.26238462282</v>
      </c>
      <c r="M66" s="73">
        <v>955163.26238462282</v>
      </c>
      <c r="N66" s="73">
        <v>955163.26238462282</v>
      </c>
      <c r="O66" s="73">
        <v>955163.26238462282</v>
      </c>
      <c r="P66" s="78">
        <v>955163.26238462282</v>
      </c>
    </row>
    <row r="67" spans="5:16">
      <c r="E67" s="16">
        <v>540</v>
      </c>
      <c r="F67" s="20">
        <v>1041615.7035724644</v>
      </c>
      <c r="G67" s="277"/>
      <c r="H67" s="73">
        <v>540</v>
      </c>
      <c r="I67" s="73">
        <v>955163.26238462282</v>
      </c>
      <c r="J67" s="73">
        <v>955163.26238462282</v>
      </c>
      <c r="K67" s="73">
        <v>955163.26238462282</v>
      </c>
      <c r="L67" s="73">
        <v>955163.26238462282</v>
      </c>
      <c r="M67" s="73">
        <v>955163.26238462282</v>
      </c>
      <c r="N67" s="73">
        <v>955163.26238462282</v>
      </c>
      <c r="O67" s="73">
        <v>955163.26238462282</v>
      </c>
      <c r="P67" s="78">
        <v>955163.26238462282</v>
      </c>
    </row>
    <row r="68" spans="5:16">
      <c r="E68" s="16">
        <v>550</v>
      </c>
      <c r="F68" s="20">
        <v>1040461.6031350964</v>
      </c>
      <c r="G68" s="277"/>
      <c r="H68" s="73">
        <v>550</v>
      </c>
      <c r="I68" s="73">
        <v>955163.26238462282</v>
      </c>
      <c r="J68" s="73">
        <v>955163.26238462282</v>
      </c>
      <c r="K68" s="73">
        <v>955163.26238462282</v>
      </c>
      <c r="L68" s="73">
        <v>955163.26238462282</v>
      </c>
      <c r="M68" s="73">
        <v>955163.26238462282</v>
      </c>
      <c r="N68" s="73">
        <v>955163.26238462282</v>
      </c>
      <c r="O68" s="73">
        <v>955163.26238462282</v>
      </c>
      <c r="P68" s="78">
        <v>955163.26238462282</v>
      </c>
    </row>
    <row r="69" spans="5:16">
      <c r="E69" s="16">
        <v>560</v>
      </c>
      <c r="F69" s="20">
        <v>1038809.1179690239</v>
      </c>
      <c r="G69" s="277"/>
      <c r="H69" s="73">
        <v>560</v>
      </c>
      <c r="I69" s="73">
        <v>955163.26238462282</v>
      </c>
      <c r="J69" s="73">
        <v>955163.26238462282</v>
      </c>
      <c r="K69" s="73">
        <v>955163.26238462282</v>
      </c>
      <c r="L69" s="73">
        <v>955163.26238462282</v>
      </c>
      <c r="M69" s="73">
        <v>955163.26238462282</v>
      </c>
      <c r="N69" s="73">
        <v>955163.26238462282</v>
      </c>
      <c r="O69" s="73">
        <v>955163.26238462282</v>
      </c>
      <c r="P69" s="78">
        <v>955163.26238462282</v>
      </c>
    </row>
    <row r="70" spans="5:16">
      <c r="E70" s="16">
        <v>570</v>
      </c>
      <c r="F70" s="20">
        <v>1036710.669808225</v>
      </c>
      <c r="G70" s="277"/>
      <c r="H70" s="73">
        <v>570</v>
      </c>
      <c r="I70" s="73">
        <v>955163.26238462282</v>
      </c>
      <c r="J70" s="73">
        <v>955163.26238462282</v>
      </c>
      <c r="K70" s="73">
        <v>955163.26238462282</v>
      </c>
      <c r="L70" s="73">
        <v>955163.26238462282</v>
      </c>
      <c r="M70" s="73">
        <v>955163.26238462282</v>
      </c>
      <c r="N70" s="73">
        <v>955163.26238462282</v>
      </c>
      <c r="O70" s="73">
        <v>955163.26238462282</v>
      </c>
      <c r="P70" s="78">
        <v>955163.26238462282</v>
      </c>
    </row>
    <row r="71" spans="5:16">
      <c r="E71" s="16">
        <v>580</v>
      </c>
      <c r="F71" s="20">
        <v>1034213.3577876764</v>
      </c>
      <c r="G71" s="277"/>
      <c r="H71" s="73">
        <v>580</v>
      </c>
      <c r="I71" s="73">
        <v>955163.26238462282</v>
      </c>
      <c r="J71" s="73">
        <v>955163.26238462282</v>
      </c>
      <c r="K71" s="73">
        <v>955163.26238462282</v>
      </c>
      <c r="L71" s="73">
        <v>955163.26238462282</v>
      </c>
      <c r="M71" s="73">
        <v>955163.26238462282</v>
      </c>
      <c r="N71" s="73">
        <v>955163.26238462282</v>
      </c>
      <c r="O71" s="73">
        <v>955163.26238462282</v>
      </c>
      <c r="P71" s="78">
        <v>955163.26238462282</v>
      </c>
    </row>
    <row r="72" spans="5:16">
      <c r="E72" s="16">
        <v>590</v>
      </c>
      <c r="F72" s="20">
        <v>1031359.5478624469</v>
      </c>
      <c r="G72" s="277"/>
      <c r="H72" s="73">
        <v>590</v>
      </c>
      <c r="I72" s="73">
        <v>955163.26238462282</v>
      </c>
      <c r="J72" s="73">
        <v>955163.26238462282</v>
      </c>
      <c r="K72" s="73">
        <v>955163.26238462282</v>
      </c>
      <c r="L72" s="73">
        <v>955163.26238462282</v>
      </c>
      <c r="M72" s="73">
        <v>955163.26238462282</v>
      </c>
      <c r="N72" s="73">
        <v>955163.26238462282</v>
      </c>
      <c r="O72" s="73">
        <v>955163.26238462282</v>
      </c>
      <c r="P72" s="78">
        <v>955163.26238462282</v>
      </c>
    </row>
    <row r="73" spans="5:16">
      <c r="E73" s="16">
        <v>600</v>
      </c>
      <c r="F73" s="20">
        <v>1028187.3899667513</v>
      </c>
      <c r="G73" s="277"/>
      <c r="H73" s="73">
        <v>600</v>
      </c>
      <c r="I73" s="73">
        <v>955163.26238462282</v>
      </c>
      <c r="J73" s="73">
        <v>955163.26238462282</v>
      </c>
      <c r="K73" s="73">
        <v>955163.26238462282</v>
      </c>
      <c r="L73" s="73">
        <v>955163.26238462282</v>
      </c>
      <c r="M73" s="73">
        <v>955163.26238462282</v>
      </c>
      <c r="N73" s="73">
        <v>955163.26238462282</v>
      </c>
      <c r="O73" s="73">
        <v>955163.26238462282</v>
      </c>
      <c r="P73" s="78">
        <v>955163.26238462282</v>
      </c>
    </row>
    <row r="74" spans="5:16">
      <c r="E74" s="16">
        <v>610</v>
      </c>
      <c r="F74" s="16">
        <v>1024731.2726827315</v>
      </c>
      <c r="G74" s="277"/>
      <c r="H74" s="73">
        <v>610</v>
      </c>
      <c r="I74" s="73">
        <v>955163.26238462282</v>
      </c>
      <c r="J74" s="73">
        <v>955163.26238462282</v>
      </c>
      <c r="K74" s="73">
        <v>955163.26238462282</v>
      </c>
      <c r="L74" s="73">
        <v>955163.26238462282</v>
      </c>
      <c r="M74" s="73">
        <v>955163.26238462282</v>
      </c>
      <c r="N74" s="73">
        <v>955163.26238462282</v>
      </c>
      <c r="O74" s="73">
        <v>955163.26238462282</v>
      </c>
      <c r="P74" s="78">
        <v>955163.26238462282</v>
      </c>
    </row>
    <row r="75" spans="5:16">
      <c r="E75" s="16">
        <v>620</v>
      </c>
      <c r="F75" s="16">
        <v>1021022.2237432048</v>
      </c>
      <c r="G75" s="277"/>
      <c r="H75" s="73">
        <v>620</v>
      </c>
      <c r="I75" s="73">
        <v>955163.26238462282</v>
      </c>
      <c r="J75" s="73">
        <v>955163.26238462282</v>
      </c>
      <c r="K75" s="73">
        <v>955163.26238462282</v>
      </c>
      <c r="L75" s="73">
        <v>955163.26238462282</v>
      </c>
      <c r="M75" s="73">
        <v>955163.26238462282</v>
      </c>
      <c r="N75" s="73">
        <v>955163.26238462282</v>
      </c>
      <c r="O75" s="73">
        <v>955163.26238462282</v>
      </c>
      <c r="P75" s="78">
        <v>955163.26238462282</v>
      </c>
    </row>
    <row r="76" spans="5:16">
      <c r="E76" s="16">
        <v>630</v>
      </c>
      <c r="F76" s="16">
        <v>1017088.2634793159</v>
      </c>
      <c r="G76" s="277"/>
      <c r="H76" s="73">
        <v>630</v>
      </c>
      <c r="I76" s="73">
        <v>955163.26238462282</v>
      </c>
      <c r="J76" s="73">
        <v>955163.26238462282</v>
      </c>
      <c r="K76" s="73">
        <v>955163.26238462282</v>
      </c>
      <c r="L76" s="73">
        <v>955163.26238462282</v>
      </c>
      <c r="M76" s="73">
        <v>955163.26238462282</v>
      </c>
      <c r="N76" s="73">
        <v>955163.26238462282</v>
      </c>
      <c r="O76" s="73">
        <v>955163.26238462282</v>
      </c>
      <c r="P76" s="78">
        <v>955163.26238462282</v>
      </c>
    </row>
    <row r="77" spans="5:16">
      <c r="E77" s="16">
        <v>640</v>
      </c>
      <c r="F77" s="16">
        <v>1012954.7173026291</v>
      </c>
      <c r="G77" s="277"/>
      <c r="H77" s="73">
        <v>640</v>
      </c>
      <c r="I77" s="73">
        <v>955163.26238462282</v>
      </c>
      <c r="J77" s="73">
        <v>955163.26238462282</v>
      </c>
      <c r="K77" s="73">
        <v>955163.26238462282</v>
      </c>
      <c r="L77" s="73">
        <v>955163.26238462282</v>
      </c>
      <c r="M77" s="73">
        <v>955163.26238462282</v>
      </c>
      <c r="N77" s="73">
        <v>955163.26238462282</v>
      </c>
      <c r="O77" s="73">
        <v>955163.26238462282</v>
      </c>
      <c r="P77" s="78">
        <v>955163.26238462282</v>
      </c>
    </row>
    <row r="78" spans="5:16">
      <c r="E78" s="16">
        <v>650</v>
      </c>
      <c r="F78" s="16">
        <v>1008644.4924491229</v>
      </c>
      <c r="G78" s="277"/>
      <c r="H78" s="73">
        <v>650</v>
      </c>
      <c r="I78" s="73">
        <v>955163.26238462282</v>
      </c>
      <c r="J78" s="73">
        <v>955163.26238462282</v>
      </c>
      <c r="K78" s="73">
        <v>955163.26238462282</v>
      </c>
      <c r="L78" s="73">
        <v>955163.26238462282</v>
      </c>
      <c r="M78" s="73">
        <v>955163.26238462282</v>
      </c>
      <c r="N78" s="73">
        <v>955163.26238462282</v>
      </c>
      <c r="O78" s="73">
        <v>955163.26238462282</v>
      </c>
      <c r="P78" s="78">
        <v>955163.26238462282</v>
      </c>
    </row>
    <row r="79" spans="5:16">
      <c r="E79" s="16">
        <v>660</v>
      </c>
      <c r="F79" s="16">
        <v>1004178.3234829371</v>
      </c>
      <c r="G79" s="277"/>
      <c r="H79" s="73">
        <v>660</v>
      </c>
      <c r="I79" s="73">
        <v>955163.26238462282</v>
      </c>
      <c r="J79" s="73">
        <v>955163.26238462282</v>
      </c>
      <c r="K79" s="73">
        <v>955163.26238462282</v>
      </c>
      <c r="L79" s="73">
        <v>955163.26238462282</v>
      </c>
      <c r="M79" s="73">
        <v>955163.26238462282</v>
      </c>
      <c r="N79" s="73">
        <v>955163.26238462282</v>
      </c>
      <c r="O79" s="73">
        <v>955163.26238462282</v>
      </c>
      <c r="P79" s="78">
        <v>955163.26238462282</v>
      </c>
    </row>
    <row r="80" spans="5:16">
      <c r="E80" s="16">
        <v>670</v>
      </c>
      <c r="F80" s="16">
        <v>999574.99043870345</v>
      </c>
      <c r="G80" s="277"/>
      <c r="H80" s="73">
        <v>670</v>
      </c>
      <c r="I80" s="73">
        <v>955163.26238462282</v>
      </c>
      <c r="J80" s="73">
        <v>955163.26238462282</v>
      </c>
      <c r="K80" s="73">
        <v>955163.26238462282</v>
      </c>
      <c r="L80" s="73">
        <v>955163.26238462282</v>
      </c>
      <c r="M80" s="73">
        <v>955163.26238462282</v>
      </c>
      <c r="N80" s="73">
        <v>955163.26238462282</v>
      </c>
      <c r="O80" s="73">
        <v>955163.26238462282</v>
      </c>
      <c r="P80" s="78">
        <v>955163.26238462282</v>
      </c>
    </row>
    <row r="81" spans="5:16">
      <c r="E81" s="16">
        <v>680</v>
      </c>
      <c r="F81" s="16">
        <v>994851.51295467373</v>
      </c>
      <c r="G81" s="277"/>
      <c r="H81" s="73">
        <v>680</v>
      </c>
      <c r="I81" s="73">
        <v>955163.26238462282</v>
      </c>
      <c r="J81" s="73">
        <v>955163.26238462282</v>
      </c>
      <c r="K81" s="73">
        <v>955163.26238462282</v>
      </c>
      <c r="L81" s="73">
        <v>955163.26238462282</v>
      </c>
      <c r="M81" s="73">
        <v>955163.26238462282</v>
      </c>
      <c r="N81" s="73">
        <v>955163.26238462282</v>
      </c>
      <c r="O81" s="73">
        <v>955163.26238462282</v>
      </c>
      <c r="P81" s="78">
        <v>955163.26238462282</v>
      </c>
    </row>
    <row r="82" spans="5:16">
      <c r="E82" s="16">
        <v>690</v>
      </c>
      <c r="F82" s="16">
        <v>990023.32329994719</v>
      </c>
      <c r="G82" s="277"/>
      <c r="H82" s="73">
        <v>690</v>
      </c>
      <c r="I82" s="73">
        <v>955163.26238462282</v>
      </c>
      <c r="J82" s="73">
        <v>955163.26238462282</v>
      </c>
      <c r="K82" s="73">
        <v>955163.26238462282</v>
      </c>
      <c r="L82" s="73">
        <v>955163.26238462282</v>
      </c>
      <c r="M82" s="73">
        <v>955163.26238462282</v>
      </c>
      <c r="N82" s="73">
        <v>955163.26238462282</v>
      </c>
      <c r="O82" s="73">
        <v>955163.26238462282</v>
      </c>
      <c r="P82" s="78">
        <v>955163.26238462282</v>
      </c>
    </row>
    <row r="83" spans="5:16">
      <c r="E83" s="16">
        <v>700</v>
      </c>
      <c r="F83" s="16">
        <v>985104.42081539321</v>
      </c>
      <c r="G83" s="277"/>
      <c r="H83" s="73">
        <v>700</v>
      </c>
      <c r="I83" s="73">
        <v>955163.26238462282</v>
      </c>
      <c r="J83" s="73">
        <v>955163.26238462282</v>
      </c>
      <c r="K83" s="73">
        <v>955163.26238462282</v>
      </c>
      <c r="L83" s="73">
        <v>955163.26238462282</v>
      </c>
      <c r="M83" s="73">
        <v>955163.26238462282</v>
      </c>
      <c r="N83" s="73">
        <v>955163.26238462282</v>
      </c>
      <c r="O83" s="73">
        <v>955163.26238462282</v>
      </c>
      <c r="P83" s="78">
        <v>955163.26238462282</v>
      </c>
    </row>
    <row r="84" spans="5:16">
      <c r="E84" s="16">
        <v>710</v>
      </c>
      <c r="F84" s="16">
        <v>980107.50995916908</v>
      </c>
      <c r="G84" s="277"/>
      <c r="H84" s="73">
        <v>710</v>
      </c>
      <c r="I84" s="73">
        <v>955163.26238462282</v>
      </c>
      <c r="J84" s="73">
        <v>955163.26238462282</v>
      </c>
      <c r="K84" s="73">
        <v>955163.26238462282</v>
      </c>
      <c r="L84" s="73">
        <v>955163.26238462282</v>
      </c>
      <c r="M84" s="73">
        <v>955163.26238462282</v>
      </c>
      <c r="N84" s="73">
        <v>955163.26238462282</v>
      </c>
      <c r="O84" s="73">
        <v>955163.26238462282</v>
      </c>
      <c r="P84" s="78">
        <v>955163.26238462282</v>
      </c>
    </row>
    <row r="85" spans="5:16">
      <c r="E85" s="16">
        <v>720</v>
      </c>
      <c r="F85" s="16">
        <v>975044.1238656675</v>
      </c>
      <c r="G85" s="277"/>
      <c r="H85" s="73">
        <v>720</v>
      </c>
      <c r="I85" s="73">
        <v>955163.26238462282</v>
      </c>
      <c r="J85" s="73">
        <v>955163.26238462282</v>
      </c>
      <c r="K85" s="73">
        <v>955163.26238462282</v>
      </c>
      <c r="L85" s="73">
        <v>955163.26238462282</v>
      </c>
      <c r="M85" s="73">
        <v>955163.26238462282</v>
      </c>
      <c r="N85" s="73">
        <v>955163.26238462282</v>
      </c>
      <c r="O85" s="73">
        <v>955163.26238462282</v>
      </c>
      <c r="P85" s="78">
        <v>955163.26238462282</v>
      </c>
    </row>
    <row r="86" spans="5:16">
      <c r="E86" s="16">
        <v>730</v>
      </c>
      <c r="F86" s="16">
        <v>969924.73508398188</v>
      </c>
      <c r="G86" s="277"/>
      <c r="H86" s="73">
        <v>730</v>
      </c>
      <c r="I86" s="73">
        <v>955163.26238462282</v>
      </c>
      <c r="J86" s="73">
        <v>955163.26238462282</v>
      </c>
      <c r="K86" s="73">
        <v>955163.26238462282</v>
      </c>
      <c r="L86" s="73">
        <v>955163.26238462282</v>
      </c>
      <c r="M86" s="73">
        <v>955163.26238462282</v>
      </c>
      <c r="N86" s="73">
        <v>955163.26238462282</v>
      </c>
      <c r="O86" s="73">
        <v>955163.26238462282</v>
      </c>
      <c r="P86" s="78">
        <v>955163.26238462282</v>
      </c>
    </row>
    <row r="87" spans="5:16">
      <c r="E87" s="16">
        <v>740</v>
      </c>
      <c r="F87" s="16">
        <v>964758.8549528002</v>
      </c>
      <c r="G87" s="277"/>
      <c r="H87" s="73">
        <v>740</v>
      </c>
      <c r="I87" s="73">
        <v>955163.26238462282</v>
      </c>
      <c r="J87" s="73">
        <v>955163.26238462282</v>
      </c>
      <c r="K87" s="73">
        <v>955163.26238462282</v>
      </c>
      <c r="L87" s="73">
        <v>955163.26238462282</v>
      </c>
      <c r="M87" s="73">
        <v>955163.26238462282</v>
      </c>
      <c r="N87" s="73">
        <v>955163.26238462282</v>
      </c>
      <c r="O87" s="73">
        <v>955163.26238462282</v>
      </c>
      <c r="P87" s="78">
        <v>955163.26238462282</v>
      </c>
    </row>
    <row r="88" spans="5:16">
      <c r="E88" s="16">
        <v>750</v>
      </c>
      <c r="F88" s="16">
        <v>959555.12288789009</v>
      </c>
      <c r="G88" s="277"/>
      <c r="H88" s="73">
        <v>750</v>
      </c>
      <c r="I88" s="73">
        <v>955163.26238462282</v>
      </c>
      <c r="J88" s="73">
        <v>955163.26238462282</v>
      </c>
      <c r="K88" s="73">
        <v>955163.26238462282</v>
      </c>
      <c r="L88" s="73">
        <v>955163.26238462282</v>
      </c>
      <c r="M88" s="73">
        <v>955163.26238462282</v>
      </c>
      <c r="N88" s="73">
        <v>955163.26238462282</v>
      </c>
      <c r="O88" s="73">
        <v>955163.26238462282</v>
      </c>
      <c r="P88" s="78">
        <v>955163.26238462282</v>
      </c>
    </row>
    <row r="89" spans="5:16">
      <c r="E89" s="16">
        <v>760</v>
      </c>
      <c r="F89" s="16">
        <v>954321.38670201262</v>
      </c>
      <c r="G89" s="277"/>
      <c r="H89" s="73">
        <v>760</v>
      </c>
      <c r="I89" s="73">
        <v>955163.26238462282</v>
      </c>
      <c r="J89" s="73">
        <v>955163.26238462282</v>
      </c>
      <c r="K89" s="73">
        <v>955163.26238462282</v>
      </c>
      <c r="L89" s="73">
        <v>955163.26238462282</v>
      </c>
      <c r="M89" s="73">
        <v>955163.26238462282</v>
      </c>
      <c r="N89" s="73">
        <v>955163.26238462282</v>
      </c>
      <c r="O89" s="73">
        <v>955163.26238462282</v>
      </c>
      <c r="P89" s="78">
        <v>955163.26238462282</v>
      </c>
    </row>
    <row r="90" spans="5:16">
      <c r="E90" s="16">
        <v>770</v>
      </c>
      <c r="F90" s="16">
        <v>949064.7749414182</v>
      </c>
      <c r="G90" s="277"/>
      <c r="H90" s="73">
        <v>770</v>
      </c>
      <c r="I90" s="73">
        <v>955163.26238462282</v>
      </c>
      <c r="J90" s="73">
        <v>955163.26238462282</v>
      </c>
      <c r="K90" s="73">
        <v>955163.26238462282</v>
      </c>
      <c r="L90" s="73">
        <v>955163.26238462282</v>
      </c>
      <c r="M90" s="73">
        <v>955163.26238462282</v>
      </c>
      <c r="N90" s="73">
        <v>955163.26238462282</v>
      </c>
      <c r="O90" s="73">
        <v>955163.26238462282</v>
      </c>
      <c r="P90" s="78">
        <v>955163.26238462282</v>
      </c>
    </row>
    <row r="91" spans="5:16">
      <c r="E91" s="16">
        <v>780</v>
      </c>
      <c r="F91" s="16">
        <v>943791.76210536808</v>
      </c>
      <c r="G91" s="277"/>
      <c r="H91" s="73">
        <v>780</v>
      </c>
      <c r="I91" s="73">
        <v>955163.26238462282</v>
      </c>
      <c r="J91" s="73">
        <v>955163.26238462282</v>
      </c>
      <c r="K91" s="73">
        <v>955163.26238462282</v>
      </c>
      <c r="L91" s="73">
        <v>955163.26238462282</v>
      </c>
      <c r="M91" s="73">
        <v>955163.26238462282</v>
      </c>
      <c r="N91" s="73">
        <v>955163.26238462282</v>
      </c>
      <c r="O91" s="73">
        <v>955163.26238462282</v>
      </c>
      <c r="P91" s="78">
        <v>955163.26238462282</v>
      </c>
    </row>
    <row r="92" spans="5:16">
      <c r="E92" s="16">
        <v>790</v>
      </c>
      <c r="F92" s="16">
        <v>938508.22751260083</v>
      </c>
      <c r="G92" s="277"/>
      <c r="H92" s="73">
        <v>790</v>
      </c>
      <c r="I92" s="73">
        <v>955163.26238462282</v>
      </c>
      <c r="J92" s="73">
        <v>955163.26238462282</v>
      </c>
      <c r="K92" s="73">
        <v>955163.26238462282</v>
      </c>
      <c r="L92" s="73">
        <v>955163.26238462282</v>
      </c>
      <c r="M92" s="73">
        <v>955163.26238462282</v>
      </c>
      <c r="N92" s="73">
        <v>955163.26238462282</v>
      </c>
      <c r="O92" s="73">
        <v>955163.26238462282</v>
      </c>
      <c r="P92" s="78">
        <v>955163.26238462282</v>
      </c>
    </row>
    <row r="93" spans="5:16">
      <c r="E93" s="16">
        <v>800</v>
      </c>
      <c r="F93" s="16">
        <v>933219.50848926988</v>
      </c>
      <c r="G93" s="277"/>
      <c r="H93" s="73">
        <v>800</v>
      </c>
      <c r="I93" s="73">
        <v>955163.26238462282</v>
      </c>
      <c r="J93" s="73">
        <v>955163.26238462282</v>
      </c>
      <c r="K93" s="73">
        <v>955163.26238462282</v>
      </c>
      <c r="L93" s="73">
        <v>955163.26238462282</v>
      </c>
      <c r="M93" s="73">
        <v>955163.26238462282</v>
      </c>
      <c r="N93" s="73">
        <v>955163.26238462282</v>
      </c>
      <c r="O93" s="73">
        <v>955163.26238462282</v>
      </c>
      <c r="P93" s="78">
        <v>955163.26238462282</v>
      </c>
    </row>
    <row r="94" spans="5:16" ht="15" thickBot="1">
      <c r="E94" s="16">
        <v>810</v>
      </c>
      <c r="F94" s="16">
        <v>927930.44847494666</v>
      </c>
      <c r="G94" s="278"/>
      <c r="H94" s="73">
        <v>810</v>
      </c>
      <c r="I94" s="73">
        <v>955163.26238462282</v>
      </c>
      <c r="J94" s="73">
        <v>955163.26238462282</v>
      </c>
      <c r="K94" s="73">
        <v>955163.26238462282</v>
      </c>
      <c r="L94" s="73">
        <v>955163.26238462282</v>
      </c>
      <c r="M94" s="73">
        <v>955163.26238462282</v>
      </c>
      <c r="N94" s="73">
        <v>955163.26238462282</v>
      </c>
      <c r="O94" s="73">
        <v>955163.26238462282</v>
      </c>
      <c r="P94" s="78">
        <v>955163.26238462282</v>
      </c>
    </row>
    <row r="95" spans="5:16" ht="15" thickBot="1">
      <c r="E95" s="16">
        <v>820</v>
      </c>
      <c r="F95" s="16">
        <v>922645.44057495799</v>
      </c>
      <c r="G95" s="83"/>
      <c r="H95" s="79">
        <v>820</v>
      </c>
      <c r="I95" s="80">
        <v>955163.26238462282</v>
      </c>
      <c r="J95" s="80">
        <v>955163.26238462282</v>
      </c>
      <c r="K95" s="80">
        <v>955163.26238462282</v>
      </c>
      <c r="L95" s="80">
        <v>955163.26238462282</v>
      </c>
      <c r="M95" s="80">
        <v>955163.26238462282</v>
      </c>
      <c r="N95" s="80">
        <v>955163.26238462282</v>
      </c>
      <c r="O95" s="80">
        <v>955163.26238462282</v>
      </c>
      <c r="P95" s="81">
        <v>955163.26238462282</v>
      </c>
    </row>
  </sheetData>
  <mergeCells count="6">
    <mergeCell ref="G38:G94"/>
    <mergeCell ref="I37:P37"/>
    <mergeCell ref="C16:D16"/>
    <mergeCell ref="E16:F16"/>
    <mergeCell ref="A16:B16"/>
    <mergeCell ref="F20:H20"/>
  </mergeCells>
  <conditionalFormatting sqref="F38:F82">
    <cfRule type="top10" dxfId="15" priority="5" rank="1"/>
  </conditionalFormatting>
  <conditionalFormatting sqref="I39:I95">
    <cfRule type="cellIs" dxfId="14" priority="4" operator="equal">
      <formula>MAX($I$35:$I$95)</formula>
    </cfRule>
  </conditionalFormatting>
  <conditionalFormatting sqref="J39:J95">
    <cfRule type="top10" dxfId="13" priority="3" rank="1"/>
  </conditionalFormatting>
  <conditionalFormatting sqref="K39:K85">
    <cfRule type="top10" dxfId="12" priority="2" rank="1"/>
  </conditionalFormatting>
  <conditionalFormatting sqref="L39:L95">
    <cfRule type="top10" dxfId="11" priority="1" rank="1"/>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FB7D-2134-439B-9682-F3E66D99A4E3}">
  <dimension ref="A1:G23"/>
  <sheetViews>
    <sheetView workbookViewId="0">
      <selection activeCell="A13" sqref="A13"/>
    </sheetView>
  </sheetViews>
  <sheetFormatPr defaultRowHeight="14.5"/>
  <cols>
    <col min="1" max="1" width="20.54296875" customWidth="1"/>
    <col min="2" max="2" width="11.54296875" bestFit="1" customWidth="1"/>
    <col min="3" max="3" width="14.08984375" customWidth="1"/>
    <col min="5" max="5" width="10.36328125" customWidth="1"/>
    <col min="6" max="6" width="14.6328125" style="29" customWidth="1"/>
    <col min="7" max="7" width="10.7265625" customWidth="1"/>
  </cols>
  <sheetData>
    <row r="1" spans="1:7" ht="21">
      <c r="A1" s="89" t="s">
        <v>115</v>
      </c>
    </row>
    <row r="2" spans="1:7">
      <c r="E2" s="284" t="s">
        <v>109</v>
      </c>
      <c r="F2" s="284"/>
    </row>
    <row r="3" spans="1:7">
      <c r="A3" t="s">
        <v>101</v>
      </c>
      <c r="B3">
        <v>9.3000000000000007</v>
      </c>
      <c r="C3" t="s">
        <v>107</v>
      </c>
      <c r="E3" s="10" t="s">
        <v>110</v>
      </c>
      <c r="F3" s="86" t="s">
        <v>111</v>
      </c>
    </row>
    <row r="4" spans="1:7">
      <c r="A4" t="s">
        <v>102</v>
      </c>
      <c r="B4">
        <v>20</v>
      </c>
      <c r="C4" t="s">
        <v>108</v>
      </c>
      <c r="E4" s="12">
        <v>1</v>
      </c>
      <c r="F4" s="87">
        <f>B5</f>
        <v>1.2</v>
      </c>
      <c r="G4" t="str">
        <f ca="1">_xlfn.FORMULATEXT(F4)</f>
        <v>=B5</v>
      </c>
    </row>
    <row r="5" spans="1:7">
      <c r="A5" t="s">
        <v>103</v>
      </c>
      <c r="B5">
        <v>1.2</v>
      </c>
      <c r="C5" t="s">
        <v>107</v>
      </c>
      <c r="E5" s="12">
        <v>2</v>
      </c>
      <c r="F5" s="87">
        <f>IF(E5&lt;$B$6,F4*(1+$B$7),F4*(1-$B$8))</f>
        <v>1.32</v>
      </c>
      <c r="G5" t="str">
        <f t="shared" ref="G5:G23" ca="1" si="0">_xlfn.FORMULATEXT(F5)</f>
        <v>=IF(E5&lt;$B$6,F4*(1+$B$7),F4*(1-$B$8))</v>
      </c>
    </row>
    <row r="6" spans="1:7">
      <c r="A6" t="s">
        <v>112</v>
      </c>
      <c r="B6">
        <v>8</v>
      </c>
      <c r="E6" s="12">
        <v>3</v>
      </c>
      <c r="F6" s="87">
        <f>IF(E6&lt;$B$6,F5*(1+$B$7),F5*(1-$B$8))</f>
        <v>1.4520000000000002</v>
      </c>
      <c r="G6" t="str">
        <f t="shared" ca="1" si="0"/>
        <v>=IF(E6&lt;$B$6,F5*(1+$B$7),F5*(1-$B$8))</v>
      </c>
    </row>
    <row r="7" spans="1:7">
      <c r="A7" t="s">
        <v>104</v>
      </c>
      <c r="B7" s="85">
        <v>0.1</v>
      </c>
      <c r="E7" s="12">
        <v>4</v>
      </c>
      <c r="F7" s="87">
        <f t="shared" ref="F7:F23" si="1">IF(E7&lt;$B$6,F6*(1+$B$7),F6*(1-$B$8))</f>
        <v>1.5972000000000004</v>
      </c>
      <c r="G7" t="str">
        <f t="shared" ca="1" si="0"/>
        <v>=IF(E7&lt;$B$6,F6*(1+$B$7),F6*(1-$B$8))</v>
      </c>
    </row>
    <row r="8" spans="1:7">
      <c r="A8" t="s">
        <v>105</v>
      </c>
      <c r="B8" s="85">
        <v>0.05</v>
      </c>
      <c r="E8" s="12">
        <v>5</v>
      </c>
      <c r="F8" s="87">
        <f t="shared" si="1"/>
        <v>1.7569200000000005</v>
      </c>
      <c r="G8" t="str">
        <f t="shared" ca="1" si="0"/>
        <v>=IF(E8&lt;$B$6,F7*(1+$B$7),F7*(1-$B$8))</v>
      </c>
    </row>
    <row r="9" spans="1:7">
      <c r="A9" t="s">
        <v>106</v>
      </c>
      <c r="B9" s="85">
        <v>0.12</v>
      </c>
      <c r="E9" s="12">
        <v>6</v>
      </c>
      <c r="F9" s="87">
        <f t="shared" si="1"/>
        <v>1.9326120000000007</v>
      </c>
      <c r="G9" t="str">
        <f t="shared" ca="1" si="0"/>
        <v>=IF(E9&lt;$B$6,F8*(1+$B$7),F8*(1-$B$8))</v>
      </c>
    </row>
    <row r="10" spans="1:7">
      <c r="C10" s="4"/>
      <c r="E10" s="12">
        <v>7</v>
      </c>
      <c r="F10" s="87">
        <f t="shared" si="1"/>
        <v>2.1258732000000009</v>
      </c>
      <c r="G10" t="str">
        <f t="shared" ca="1" si="0"/>
        <v>=IF(E10&lt;$B$6,F9*(1+$B$7),F9*(1-$B$8))</v>
      </c>
    </row>
    <row r="11" spans="1:7">
      <c r="A11" t="s">
        <v>114</v>
      </c>
      <c r="B11" s="88">
        <f>NPV(B9,F4:F23)</f>
        <v>11.851609399230441</v>
      </c>
      <c r="C11" t="str">
        <f ca="1">_xlfn.FORMULATEXT(B11)</f>
        <v>=NPV(B9,F4:F23)</v>
      </c>
      <c r="D11" s="285" t="s">
        <v>107</v>
      </c>
      <c r="E11" s="12">
        <v>8</v>
      </c>
      <c r="F11" s="87">
        <f t="shared" si="1"/>
        <v>2.019579540000001</v>
      </c>
      <c r="G11" t="str">
        <f t="shared" ca="1" si="0"/>
        <v>=IF(E11&lt;$B$6,F10*(1+$B$7),F10*(1-$B$8))</v>
      </c>
    </row>
    <row r="12" spans="1:7">
      <c r="A12" t="s">
        <v>101</v>
      </c>
      <c r="B12" s="2">
        <v>9.3000000000000007</v>
      </c>
      <c r="D12" s="285"/>
      <c r="E12" s="12">
        <v>9</v>
      </c>
      <c r="F12" s="87">
        <f t="shared" si="1"/>
        <v>1.9186005630000007</v>
      </c>
      <c r="G12" t="str">
        <f t="shared" ca="1" si="0"/>
        <v>=IF(E12&lt;$B$6,F11*(1+$B$7),F11*(1-$B$8))</v>
      </c>
    </row>
    <row r="13" spans="1:7">
      <c r="A13" t="s">
        <v>113</v>
      </c>
      <c r="B13" s="88">
        <f>B11-B12</f>
        <v>2.5516093992304398</v>
      </c>
      <c r="D13" s="285"/>
      <c r="E13" s="12">
        <v>10</v>
      </c>
      <c r="F13" s="87">
        <f t="shared" si="1"/>
        <v>1.8226705348500005</v>
      </c>
      <c r="G13" t="str">
        <f t="shared" ca="1" si="0"/>
        <v>=IF(E13&lt;$B$6,F12*(1+$B$7),F12*(1-$B$8))</v>
      </c>
    </row>
    <row r="14" spans="1:7">
      <c r="E14" s="12">
        <v>11</v>
      </c>
      <c r="F14" s="87">
        <f t="shared" si="1"/>
        <v>1.7315370081075003</v>
      </c>
      <c r="G14" t="str">
        <f t="shared" ca="1" si="0"/>
        <v>=IF(E14&lt;$B$6,F13*(1+$B$7),F13*(1-$B$8))</v>
      </c>
    </row>
    <row r="15" spans="1:7">
      <c r="E15" s="12">
        <v>12</v>
      </c>
      <c r="F15" s="87">
        <f t="shared" si="1"/>
        <v>1.6449601577021253</v>
      </c>
      <c r="G15" t="str">
        <f t="shared" ca="1" si="0"/>
        <v>=IF(E15&lt;$B$6,F14*(1+$B$7),F14*(1-$B$8))</v>
      </c>
    </row>
    <row r="16" spans="1:7">
      <c r="B16" s="85"/>
      <c r="E16" s="12">
        <v>13</v>
      </c>
      <c r="F16" s="87">
        <f t="shared" si="1"/>
        <v>1.5627121498170189</v>
      </c>
      <c r="G16" t="str">
        <f t="shared" ca="1" si="0"/>
        <v>=IF(E16&lt;$B$6,F15*(1+$B$7),F15*(1-$B$8))</v>
      </c>
    </row>
    <row r="17" spans="2:7">
      <c r="B17" s="88"/>
      <c r="E17" s="12">
        <v>14</v>
      </c>
      <c r="F17" s="87">
        <f t="shared" si="1"/>
        <v>1.4845765423261679</v>
      </c>
      <c r="G17" t="str">
        <f t="shared" ca="1" si="0"/>
        <v>=IF(E17&lt;$B$6,F16*(1+$B$7),F16*(1-$B$8))</v>
      </c>
    </row>
    <row r="18" spans="2:7">
      <c r="E18" s="12">
        <v>15</v>
      </c>
      <c r="F18" s="87">
        <f t="shared" si="1"/>
        <v>1.4103477152098594</v>
      </c>
      <c r="G18" t="str">
        <f t="shared" ca="1" si="0"/>
        <v>=IF(E18&lt;$B$6,F17*(1+$B$7),F17*(1-$B$8))</v>
      </c>
    </row>
    <row r="19" spans="2:7">
      <c r="B19" s="90"/>
      <c r="E19" s="12">
        <v>16</v>
      </c>
      <c r="F19" s="87">
        <f t="shared" si="1"/>
        <v>1.3398303294493663</v>
      </c>
      <c r="G19" t="str">
        <f t="shared" ca="1" si="0"/>
        <v>=IF(E19&lt;$B$6,F18*(1+$B$7),F18*(1-$B$8))</v>
      </c>
    </row>
    <row r="20" spans="2:7">
      <c r="B20" s="90"/>
      <c r="E20" s="12">
        <v>17</v>
      </c>
      <c r="F20" s="87">
        <f t="shared" si="1"/>
        <v>1.2728388129768979</v>
      </c>
      <c r="G20" t="str">
        <f t="shared" ca="1" si="0"/>
        <v>=IF(E20&lt;$B$6,F19*(1+$B$7),F19*(1-$B$8))</v>
      </c>
    </row>
    <row r="21" spans="2:7">
      <c r="B21" s="90"/>
      <c r="E21" s="12">
        <v>18</v>
      </c>
      <c r="F21" s="87">
        <f t="shared" si="1"/>
        <v>1.2091968723280531</v>
      </c>
      <c r="G21" t="str">
        <f t="shared" ca="1" si="0"/>
        <v>=IF(E21&lt;$B$6,F20*(1+$B$7),F20*(1-$B$8))</v>
      </c>
    </row>
    <row r="22" spans="2:7">
      <c r="B22" s="90"/>
      <c r="E22" s="12">
        <v>19</v>
      </c>
      <c r="F22" s="87">
        <f t="shared" si="1"/>
        <v>1.1487370287116503</v>
      </c>
      <c r="G22" t="str">
        <f t="shared" ca="1" si="0"/>
        <v>=IF(E22&lt;$B$6,F21*(1+$B$7),F21*(1-$B$8))</v>
      </c>
    </row>
    <row r="23" spans="2:7">
      <c r="B23" s="90"/>
      <c r="E23" s="12">
        <v>20</v>
      </c>
      <c r="F23" s="87">
        <f t="shared" si="1"/>
        <v>1.0913001772760678</v>
      </c>
      <c r="G23" t="str">
        <f t="shared" ca="1" si="0"/>
        <v>=IF(E23&lt;$B$6,F22*(1+$B$7),F22*(1-$B$8))</v>
      </c>
    </row>
  </sheetData>
  <mergeCells count="2">
    <mergeCell ref="E2:F2"/>
    <mergeCell ref="D11:D13"/>
  </mergeCells>
  <pageMargins left="0.7" right="0.7" top="0.75" bottom="0.75" header="0.3" footer="0.3"/>
  <ignoredErrors>
    <ignoredError sqref="G4" evalError="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162D-7F5B-4860-BEB3-5DF900F13C5C}">
  <dimension ref="A1:K62"/>
  <sheetViews>
    <sheetView workbookViewId="0">
      <selection activeCell="C6" sqref="C6"/>
    </sheetView>
  </sheetViews>
  <sheetFormatPr defaultRowHeight="14.5"/>
  <cols>
    <col min="1" max="1" width="14.81640625" customWidth="1"/>
    <col min="2" max="2" width="11.54296875" bestFit="1" customWidth="1"/>
    <col min="3" max="3" width="17.54296875" style="2" customWidth="1"/>
    <col min="4" max="4" width="10.453125" customWidth="1"/>
    <col min="5" max="5" width="16.6328125" style="2" customWidth="1"/>
    <col min="6" max="6" width="9.36328125" bestFit="1" customWidth="1"/>
    <col min="7" max="7" width="11.1796875" bestFit="1" customWidth="1"/>
    <col min="10" max="10" width="9.81640625" customWidth="1"/>
    <col min="11" max="11" width="14.7265625" customWidth="1"/>
  </cols>
  <sheetData>
    <row r="1" spans="1:7" s="93" customFormat="1" ht="49" customHeight="1">
      <c r="A1" s="93" t="s">
        <v>116</v>
      </c>
      <c r="B1" s="93" t="s">
        <v>116</v>
      </c>
      <c r="C1" s="94" t="s">
        <v>117</v>
      </c>
      <c r="D1" s="93" t="s">
        <v>118</v>
      </c>
      <c r="E1" s="94" t="s">
        <v>123</v>
      </c>
      <c r="F1" s="93" t="s">
        <v>120</v>
      </c>
      <c r="G1" s="93" t="s">
        <v>124</v>
      </c>
    </row>
    <row r="2" spans="1:7">
      <c r="A2">
        <v>1992</v>
      </c>
      <c r="B2">
        <v>1</v>
      </c>
      <c r="C2" s="2">
        <v>150781.17000000001</v>
      </c>
      <c r="D2" s="91">
        <v>0</v>
      </c>
      <c r="E2" s="2">
        <f t="shared" ref="E2:E21" si="0">$K$19*EXP($K$20*B2)</f>
        <v>165143.66740010298</v>
      </c>
      <c r="F2" s="91">
        <f>ABS(E2-C2)/C2</f>
        <v>9.5253919306389254E-2</v>
      </c>
      <c r="G2" s="4">
        <v>0</v>
      </c>
    </row>
    <row r="3" spans="1:7">
      <c r="A3">
        <v>1993</v>
      </c>
      <c r="B3">
        <v>2</v>
      </c>
      <c r="C3" s="2">
        <v>161696.25</v>
      </c>
      <c r="D3" s="91">
        <f>1-C2/C3</f>
        <v>6.750360629884733E-2</v>
      </c>
      <c r="E3" s="2">
        <f t="shared" si="0"/>
        <v>172399.73249357322</v>
      </c>
      <c r="F3" s="91">
        <f t="shared" ref="F3:F21" si="1">ABS(E3-C3)/C3</f>
        <v>6.6194995205969331E-2</v>
      </c>
      <c r="G3" s="4">
        <f>C3-C2</f>
        <v>10915.079999999987</v>
      </c>
    </row>
    <row r="4" spans="1:7">
      <c r="A4">
        <v>1994</v>
      </c>
      <c r="B4">
        <v>3</v>
      </c>
      <c r="C4" s="2">
        <v>175688.83</v>
      </c>
      <c r="D4" s="91">
        <f t="shared" ref="D4:D21" si="2">1-C3/C4</f>
        <v>7.9644107141017328E-2</v>
      </c>
      <c r="E4" s="2">
        <f t="shared" si="0"/>
        <v>179974.61381214956</v>
      </c>
      <c r="F4" s="91">
        <f t="shared" si="1"/>
        <v>2.4394173563279883E-2</v>
      </c>
      <c r="G4" s="4">
        <f t="shared" ref="G4:G6" si="3">C4-C3</f>
        <v>13992.579999999987</v>
      </c>
    </row>
    <row r="5" spans="1:7">
      <c r="A5">
        <v>1995</v>
      </c>
      <c r="B5">
        <v>4</v>
      </c>
      <c r="C5" s="2">
        <v>185437.25</v>
      </c>
      <c r="D5" s="91">
        <f t="shared" si="2"/>
        <v>5.256991246365017E-2</v>
      </c>
      <c r="E5" s="2">
        <f t="shared" si="0"/>
        <v>187882.31946960744</v>
      </c>
      <c r="F5" s="91">
        <f t="shared" si="1"/>
        <v>1.3185427790842644E-2</v>
      </c>
      <c r="G5" s="4">
        <f t="shared" si="3"/>
        <v>9748.4200000000128</v>
      </c>
    </row>
    <row r="6" spans="1:7">
      <c r="A6">
        <v>1996</v>
      </c>
      <c r="B6">
        <v>5</v>
      </c>
      <c r="C6" s="2">
        <v>196728.17</v>
      </c>
      <c r="D6" s="91">
        <f t="shared" si="2"/>
        <v>5.7393509023135891E-2</v>
      </c>
      <c r="E6" s="2">
        <f t="shared" si="0"/>
        <v>196137.47306675219</v>
      </c>
      <c r="F6" s="91">
        <f t="shared" si="1"/>
        <v>3.0026047273647607E-3</v>
      </c>
      <c r="G6" s="4">
        <f t="shared" si="3"/>
        <v>11290.920000000013</v>
      </c>
    </row>
    <row r="7" spans="1:7">
      <c r="A7">
        <v>1997</v>
      </c>
      <c r="B7">
        <v>6</v>
      </c>
      <c r="C7" s="2">
        <v>206334.07999999999</v>
      </c>
      <c r="D7" s="91">
        <f t="shared" si="2"/>
        <v>4.6555130398235556E-2</v>
      </c>
      <c r="E7" s="2">
        <f t="shared" si="0"/>
        <v>204755.34073462404</v>
      </c>
      <c r="F7" s="91">
        <f t="shared" si="1"/>
        <v>7.6513742440218573E-3</v>
      </c>
    </row>
    <row r="8" spans="1:7">
      <c r="A8">
        <v>1998</v>
      </c>
      <c r="B8">
        <v>7</v>
      </c>
      <c r="C8" s="2">
        <v>215657.67</v>
      </c>
      <c r="D8" s="91">
        <f t="shared" si="2"/>
        <v>4.3233287274225041E-2</v>
      </c>
      <c r="E8" s="2">
        <f t="shared" si="0"/>
        <v>213751.8593659233</v>
      </c>
      <c r="F8" s="91">
        <f t="shared" si="1"/>
        <v>8.8372031195399249E-3</v>
      </c>
    </row>
    <row r="9" spans="1:7">
      <c r="A9">
        <v>1999</v>
      </c>
      <c r="B9">
        <v>8</v>
      </c>
      <c r="C9" s="2">
        <v>233872</v>
      </c>
      <c r="D9" s="91">
        <f t="shared" si="2"/>
        <v>7.7881619005267799E-2</v>
      </c>
      <c r="E9" s="2">
        <f t="shared" si="0"/>
        <v>223143.66608686617</v>
      </c>
      <c r="F9" s="91">
        <f t="shared" si="1"/>
        <v>4.5872673569875101E-2</v>
      </c>
    </row>
    <row r="10" spans="1:7">
      <c r="A10">
        <v>2000</v>
      </c>
      <c r="B10">
        <v>9</v>
      </c>
      <c r="C10" s="2">
        <v>248748.25</v>
      </c>
      <c r="D10" s="91">
        <f t="shared" si="2"/>
        <v>5.9804440835262151E-2</v>
      </c>
      <c r="E10" s="2">
        <f t="shared" si="0"/>
        <v>232948.12902397109</v>
      </c>
      <c r="F10" s="91">
        <f t="shared" si="1"/>
        <v>6.3518521139460909E-2</v>
      </c>
    </row>
    <row r="11" spans="1:7">
      <c r="A11">
        <v>2001</v>
      </c>
      <c r="B11">
        <v>10</v>
      </c>
      <c r="C11" s="2">
        <v>255663.75</v>
      </c>
      <c r="D11" s="91">
        <f t="shared" si="2"/>
        <v>2.7049200365714787E-2</v>
      </c>
      <c r="E11" s="2">
        <f t="shared" si="0"/>
        <v>243183.37942267326</v>
      </c>
      <c r="F11" s="91">
        <f t="shared" si="1"/>
        <v>4.88155656690741E-2</v>
      </c>
    </row>
    <row r="12" spans="1:7">
      <c r="A12">
        <v>2002</v>
      </c>
      <c r="B12">
        <v>11</v>
      </c>
      <c r="C12" s="2">
        <v>261272.42</v>
      </c>
      <c r="D12" s="91">
        <f t="shared" si="2"/>
        <v>2.1466751063889622E-2</v>
      </c>
      <c r="E12" s="2">
        <f t="shared" si="0"/>
        <v>253868.34517716331</v>
      </c>
      <c r="F12" s="91">
        <f t="shared" si="1"/>
        <v>2.8338524299031258E-2</v>
      </c>
    </row>
    <row r="13" spans="1:7">
      <c r="A13">
        <v>2003</v>
      </c>
      <c r="B13">
        <v>12</v>
      </c>
      <c r="C13" s="2">
        <v>272232.5</v>
      </c>
      <c r="D13" s="91">
        <f t="shared" si="2"/>
        <v>4.0259998347001114E-2</v>
      </c>
      <c r="E13" s="2">
        <f t="shared" si="0"/>
        <v>265022.78583345655</v>
      </c>
      <c r="F13" s="91">
        <f t="shared" si="1"/>
        <v>2.6483664391810113E-2</v>
      </c>
    </row>
    <row r="14" spans="1:7">
      <c r="A14">
        <v>2004</v>
      </c>
      <c r="B14">
        <v>13</v>
      </c>
      <c r="C14" s="2">
        <v>288987.5</v>
      </c>
      <c r="D14" s="91">
        <f t="shared" si="2"/>
        <v>5.7978286258056122E-2</v>
      </c>
      <c r="E14" s="2">
        <f t="shared" si="0"/>
        <v>276667.32913042337</v>
      </c>
      <c r="F14" s="91">
        <f t="shared" si="1"/>
        <v>4.2632192982660591E-2</v>
      </c>
    </row>
    <row r="15" spans="1:7">
      <c r="A15">
        <v>2005</v>
      </c>
      <c r="B15">
        <v>14</v>
      </c>
      <c r="C15" s="2">
        <v>307826.08</v>
      </c>
      <c r="D15" s="91">
        <f t="shared" si="2"/>
        <v>6.1198778219181516E-2</v>
      </c>
      <c r="E15" s="2">
        <f t="shared" si="0"/>
        <v>288823.50914635573</v>
      </c>
      <c r="F15" s="91">
        <f t="shared" si="1"/>
        <v>6.1731516880065139E-2</v>
      </c>
    </row>
    <row r="16" spans="1:7">
      <c r="A16">
        <v>2006</v>
      </c>
      <c r="B16">
        <v>15</v>
      </c>
      <c r="C16" s="2">
        <v>323823.08</v>
      </c>
      <c r="D16" s="91">
        <f t="shared" si="2"/>
        <v>4.9400431865449512E-2</v>
      </c>
      <c r="E16" s="2">
        <f t="shared" si="0"/>
        <v>301513.80612161325</v>
      </c>
      <c r="F16" s="91">
        <f t="shared" si="1"/>
        <v>6.8893402775326476E-2</v>
      </c>
    </row>
    <row r="17" spans="1:11">
      <c r="A17">
        <v>2007</v>
      </c>
      <c r="B17">
        <v>16</v>
      </c>
      <c r="C17" s="2">
        <v>334008</v>
      </c>
      <c r="D17" s="91">
        <f t="shared" si="2"/>
        <v>3.0493042082824329E-2</v>
      </c>
      <c r="E17" s="2">
        <f t="shared" si="0"/>
        <v>314761.68803099269</v>
      </c>
      <c r="F17" s="91">
        <f t="shared" si="1"/>
        <v>5.7622308354911583E-2</v>
      </c>
    </row>
    <row r="18" spans="1:11">
      <c r="A18">
        <v>2008</v>
      </c>
      <c r="B18">
        <v>17</v>
      </c>
      <c r="C18" s="2">
        <v>328780.33</v>
      </c>
      <c r="D18" s="91">
        <f t="shared" si="2"/>
        <v>-1.5900190866041219E-2</v>
      </c>
      <c r="E18" s="2">
        <f t="shared" si="0"/>
        <v>328591.65398269973</v>
      </c>
      <c r="F18" s="91">
        <f t="shared" si="1"/>
        <v>5.7386650016527446E-4</v>
      </c>
      <c r="J18" s="281" t="s">
        <v>81</v>
      </c>
      <c r="K18" s="282"/>
    </row>
    <row r="19" spans="1:11">
      <c r="A19">
        <v>2009</v>
      </c>
      <c r="B19">
        <v>18</v>
      </c>
      <c r="C19" s="2">
        <v>303288.92</v>
      </c>
      <c r="D19" s="91">
        <f t="shared" si="2"/>
        <v>-8.4049921770963598E-2</v>
      </c>
      <c r="E19" s="2">
        <f t="shared" si="0"/>
        <v>343029.27952418046</v>
      </c>
      <c r="F19" s="91">
        <f t="shared" si="1"/>
        <v>0.1310313595504263</v>
      </c>
      <c r="J19" s="10" t="s">
        <v>78</v>
      </c>
      <c r="K19" s="12">
        <v>158193</v>
      </c>
    </row>
    <row r="20" spans="1:11">
      <c r="A20">
        <v>2010</v>
      </c>
      <c r="B20">
        <v>19</v>
      </c>
      <c r="C20" s="2">
        <v>323964.17</v>
      </c>
      <c r="D20" s="91">
        <f t="shared" si="2"/>
        <v>6.381955757638258E-2</v>
      </c>
      <c r="E20" s="2">
        <f t="shared" si="0"/>
        <v>358101.26393859531</v>
      </c>
      <c r="F20" s="91">
        <f t="shared" si="1"/>
        <v>0.10537305387381365</v>
      </c>
      <c r="J20" s="10" t="s">
        <v>79</v>
      </c>
      <c r="K20" s="12">
        <v>4.2999999999999997E-2</v>
      </c>
    </row>
    <row r="21" spans="1:11">
      <c r="A21">
        <v>2011</v>
      </c>
      <c r="B21">
        <v>20</v>
      </c>
      <c r="C21" s="2">
        <v>349717.75</v>
      </c>
      <c r="D21" s="91">
        <f t="shared" si="2"/>
        <v>7.3641043384272131E-2</v>
      </c>
      <c r="E21" s="2">
        <f t="shared" si="0"/>
        <v>373835.47961940081</v>
      </c>
      <c r="F21" s="91">
        <f t="shared" si="1"/>
        <v>6.8963412979183375E-2</v>
      </c>
    </row>
    <row r="22" spans="1:11">
      <c r="D22" s="91">
        <f>AVERAGE(D3:D21)</f>
        <v>4.2628557313968848E-2</v>
      </c>
      <c r="E22" s="2" t="str">
        <f ca="1">_xlfn.FORMULATEXT(D22)</f>
        <v>=AVERAGE(D3:D21)</v>
      </c>
      <c r="F22" s="92">
        <f>AVERAGE(F2:F21)</f>
        <v>4.8418488046160578E-2</v>
      </c>
      <c r="G22" s="2" t="str">
        <f ca="1">_xlfn.FORMULATEXT(F22)</f>
        <v>=AVERAGE(F2:F21)</v>
      </c>
      <c r="J22" s="93" t="s">
        <v>116</v>
      </c>
      <c r="K22" t="s">
        <v>122</v>
      </c>
    </row>
    <row r="23" spans="1:11">
      <c r="A23" t="s">
        <v>125</v>
      </c>
      <c r="B23" s="85">
        <v>0.05</v>
      </c>
      <c r="E23" t="s">
        <v>119</v>
      </c>
      <c r="G23" t="s">
        <v>121</v>
      </c>
      <c r="K23" s="97">
        <f>E21</f>
        <v>373835.47961940081</v>
      </c>
    </row>
    <row r="24" spans="1:11">
      <c r="A24" t="s">
        <v>126</v>
      </c>
      <c r="B24" s="88">
        <f>NPV(B23,E2:E6)</f>
        <v>777370.25245035125</v>
      </c>
      <c r="I24">
        <v>2012</v>
      </c>
      <c r="J24">
        <v>21</v>
      </c>
      <c r="K24" s="98">
        <f t="dataTable" ref="K24:K62" dt2D="0" dtr="0" r1="B21"/>
        <v>390261.02361434634</v>
      </c>
    </row>
    <row r="25" spans="1:11">
      <c r="I25">
        <v>2013</v>
      </c>
      <c r="J25">
        <v>22</v>
      </c>
      <c r="K25" s="16">
        <v>407408.27143420593</v>
      </c>
    </row>
    <row r="26" spans="1:11">
      <c r="I26">
        <v>2014</v>
      </c>
      <c r="J26">
        <v>23</v>
      </c>
      <c r="K26" s="16">
        <v>425308.93322575185</v>
      </c>
    </row>
    <row r="27" spans="1:11">
      <c r="I27">
        <v>2015</v>
      </c>
      <c r="J27">
        <v>24</v>
      </c>
      <c r="K27" s="16">
        <v>443996.1124128513</v>
      </c>
    </row>
    <row r="28" spans="1:11">
      <c r="I28">
        <v>2016</v>
      </c>
      <c r="J28">
        <v>25</v>
      </c>
      <c r="K28" s="16">
        <v>463504.36691412784</v>
      </c>
    </row>
    <row r="29" spans="1:11">
      <c r="I29">
        <v>2017</v>
      </c>
      <c r="J29">
        <v>26</v>
      </c>
      <c r="K29" s="16">
        <v>483869.77305040054</v>
      </c>
    </row>
    <row r="30" spans="1:11">
      <c r="I30">
        <v>2018</v>
      </c>
      <c r="J30">
        <v>27</v>
      </c>
      <c r="K30" s="16">
        <v>505129.99226007872</v>
      </c>
    </row>
    <row r="31" spans="1:11">
      <c r="I31">
        <v>2019</v>
      </c>
      <c r="J31">
        <v>28</v>
      </c>
      <c r="K31" s="16">
        <v>527324.34074589284</v>
      </c>
    </row>
    <row r="32" spans="1:11">
      <c r="I32">
        <v>2020</v>
      </c>
      <c r="J32">
        <v>29</v>
      </c>
      <c r="K32" s="16">
        <v>550493.86218175455</v>
      </c>
    </row>
    <row r="33" spans="5:11">
      <c r="I33">
        <v>2021</v>
      </c>
      <c r="J33">
        <v>30</v>
      </c>
      <c r="K33" s="16">
        <v>574681.40361420403</v>
      </c>
    </row>
    <row r="34" spans="5:11">
      <c r="I34">
        <v>2022</v>
      </c>
      <c r="J34">
        <v>31</v>
      </c>
      <c r="K34" s="16">
        <v>599931.69469880743</v>
      </c>
    </row>
    <row r="35" spans="5:11">
      <c r="E35" s="2">
        <f>$K$19*EXP($K$20*B35)</f>
        <v>158193</v>
      </c>
      <c r="I35">
        <v>2023</v>
      </c>
      <c r="J35">
        <v>32</v>
      </c>
      <c r="K35" s="16">
        <v>626291.43041803339</v>
      </c>
    </row>
    <row r="36" spans="5:11">
      <c r="I36">
        <v>2024</v>
      </c>
      <c r="J36">
        <v>33</v>
      </c>
      <c r="K36" s="16">
        <v>653809.35743358068</v>
      </c>
    </row>
    <row r="37" spans="5:11">
      <c r="I37">
        <v>2025</v>
      </c>
      <c r="J37">
        <v>34</v>
      </c>
      <c r="K37" s="16">
        <v>682536.36423284397</v>
      </c>
    </row>
    <row r="38" spans="5:11">
      <c r="I38">
        <v>2026</v>
      </c>
      <c r="J38">
        <v>35</v>
      </c>
      <c r="K38" s="16">
        <v>712525.57523622608</v>
      </c>
    </row>
    <row r="39" spans="5:11">
      <c r="I39">
        <v>2027</v>
      </c>
      <c r="J39">
        <v>36</v>
      </c>
      <c r="K39" s="16">
        <v>743832.44903932756</v>
      </c>
    </row>
    <row r="40" spans="5:11">
      <c r="I40">
        <v>2028</v>
      </c>
      <c r="J40">
        <v>37</v>
      </c>
      <c r="K40" s="16">
        <v>776514.88097169134</v>
      </c>
    </row>
    <row r="41" spans="5:11">
      <c r="I41">
        <v>2029</v>
      </c>
      <c r="J41">
        <v>38</v>
      </c>
      <c r="K41" s="16">
        <v>810633.31016176147</v>
      </c>
    </row>
    <row r="42" spans="5:11">
      <c r="I42">
        <v>2030</v>
      </c>
      <c r="J42">
        <v>39</v>
      </c>
      <c r="K42" s="16">
        <v>846250.83130605274</v>
      </c>
    </row>
    <row r="43" spans="5:11">
      <c r="I43">
        <v>2031</v>
      </c>
      <c r="J43">
        <v>40</v>
      </c>
      <c r="K43" s="16">
        <v>883433.31134922162</v>
      </c>
    </row>
    <row r="44" spans="5:11">
      <c r="I44">
        <v>2032</v>
      </c>
      <c r="J44">
        <v>41</v>
      </c>
      <c r="K44" s="16">
        <v>922249.5112908124</v>
      </c>
    </row>
    <row r="45" spans="5:11">
      <c r="I45">
        <v>2033</v>
      </c>
      <c r="J45">
        <v>42</v>
      </c>
      <c r="K45" s="16">
        <v>962771.21334393672</v>
      </c>
    </row>
    <row r="46" spans="5:11">
      <c r="I46">
        <v>2034</v>
      </c>
      <c r="J46">
        <v>43</v>
      </c>
      <c r="K46" s="16">
        <v>1005073.3536810393</v>
      </c>
    </row>
    <row r="47" spans="5:11">
      <c r="I47">
        <v>2035</v>
      </c>
      <c r="J47">
        <v>44</v>
      </c>
      <c r="K47" s="16">
        <v>1049234.1610122295</v>
      </c>
    </row>
    <row r="48" spans="5:11">
      <c r="I48">
        <v>2036</v>
      </c>
      <c r="J48">
        <v>45</v>
      </c>
      <c r="K48" s="16">
        <v>1095335.3012524555</v>
      </c>
    </row>
    <row r="49" spans="9:11">
      <c r="I49">
        <v>2037</v>
      </c>
      <c r="J49">
        <v>46</v>
      </c>
      <c r="K49" s="16">
        <v>1143462.02854505</v>
      </c>
    </row>
    <row r="50" spans="9:11">
      <c r="I50">
        <v>2038</v>
      </c>
      <c r="J50">
        <v>47</v>
      </c>
      <c r="K50" s="16">
        <v>1193703.3429209306</v>
      </c>
    </row>
    <row r="51" spans="9:11">
      <c r="I51">
        <v>2039</v>
      </c>
      <c r="J51">
        <v>48</v>
      </c>
      <c r="K51" s="16">
        <v>1246152.1548850155</v>
      </c>
    </row>
    <row r="52" spans="9:11">
      <c r="I52">
        <v>2040</v>
      </c>
      <c r="J52">
        <v>49</v>
      </c>
      <c r="K52" s="16">
        <v>1300905.4572342171</v>
      </c>
    </row>
    <row r="53" spans="9:11">
      <c r="I53">
        <v>2041</v>
      </c>
      <c r="J53">
        <v>50</v>
      </c>
      <c r="K53" s="16">
        <v>1358064.5044247624</v>
      </c>
    </row>
    <row r="54" spans="9:11">
      <c r="I54">
        <v>2042</v>
      </c>
      <c r="J54">
        <v>51</v>
      </c>
      <c r="K54" s="16">
        <v>1417734.9998205265</v>
      </c>
    </row>
    <row r="55" spans="9:11">
      <c r="I55">
        <v>2043</v>
      </c>
      <c r="J55">
        <v>52</v>
      </c>
      <c r="K55" s="16">
        <v>1480027.2911686744</v>
      </c>
    </row>
    <row r="56" spans="9:11">
      <c r="I56">
        <v>2044</v>
      </c>
      <c r="J56">
        <v>53</v>
      </c>
      <c r="K56" s="16">
        <v>1545056.5746640807</v>
      </c>
    </row>
    <row r="57" spans="9:11">
      <c r="I57">
        <v>2045</v>
      </c>
      <c r="J57">
        <v>54</v>
      </c>
      <c r="K57" s="16">
        <v>1612943.1079799184</v>
      </c>
    </row>
    <row r="58" spans="9:11">
      <c r="I58">
        <v>2046</v>
      </c>
      <c r="J58">
        <v>55</v>
      </c>
      <c r="K58" s="16">
        <v>1683812.4326583603</v>
      </c>
    </row>
    <row r="59" spans="9:11">
      <c r="I59">
        <v>2047</v>
      </c>
      <c r="J59">
        <v>56</v>
      </c>
      <c r="K59" s="16">
        <v>1757795.6062726579</v>
      </c>
    </row>
    <row r="60" spans="9:11">
      <c r="I60">
        <v>2048</v>
      </c>
      <c r="J60">
        <v>57</v>
      </c>
      <c r="K60" s="16">
        <v>1835029.4447899342</v>
      </c>
    </row>
    <row r="61" spans="9:11">
      <c r="I61">
        <v>2049</v>
      </c>
      <c r="J61">
        <v>58</v>
      </c>
      <c r="K61" s="16">
        <v>1915656.7755828928</v>
      </c>
    </row>
    <row r="62" spans="9:11">
      <c r="I62">
        <v>2050</v>
      </c>
      <c r="J62">
        <v>59</v>
      </c>
      <c r="K62" s="16">
        <v>1999826.7015583178</v>
      </c>
    </row>
  </sheetData>
  <mergeCells count="1">
    <mergeCell ref="J18:K1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2B3AC-8C41-4481-B011-7C0BA7FCDA7A}">
  <dimension ref="A1:I13"/>
  <sheetViews>
    <sheetView workbookViewId="0">
      <selection activeCell="B14" sqref="B14"/>
    </sheetView>
  </sheetViews>
  <sheetFormatPr defaultRowHeight="14.5"/>
  <cols>
    <col min="1" max="1" width="17.81640625" customWidth="1"/>
    <col min="2" max="2" width="15.453125" customWidth="1"/>
    <col min="4" max="4" width="13.81640625" bestFit="1" customWidth="1"/>
    <col min="5" max="5" width="20.1796875" customWidth="1"/>
    <col min="6" max="6" width="12.1796875" bestFit="1" customWidth="1"/>
    <col min="8" max="8" width="12.1796875" bestFit="1" customWidth="1"/>
    <col min="9" max="9" width="11.1796875" bestFit="1" customWidth="1"/>
  </cols>
  <sheetData>
    <row r="1" spans="1:9">
      <c r="A1" s="119" t="s">
        <v>130</v>
      </c>
      <c r="B1" s="120">
        <v>0.48847277306962228</v>
      </c>
      <c r="C1" s="96" t="s">
        <v>133</v>
      </c>
      <c r="D1" s="95"/>
      <c r="E1" s="95"/>
      <c r="F1" s="95"/>
      <c r="G1" s="95"/>
    </row>
    <row r="2" spans="1:9">
      <c r="A2" s="24" t="s">
        <v>101</v>
      </c>
      <c r="B2" s="121">
        <v>4000000</v>
      </c>
      <c r="C2" s="95"/>
      <c r="D2" s="95"/>
      <c r="E2" s="95"/>
      <c r="F2" s="95"/>
      <c r="G2" s="95"/>
    </row>
    <row r="3" spans="1:9" ht="15" thickBot="1">
      <c r="A3" s="26" t="s">
        <v>106</v>
      </c>
      <c r="B3" s="122">
        <v>0.05</v>
      </c>
      <c r="C3" s="95"/>
      <c r="D3" s="95"/>
      <c r="E3" s="95"/>
      <c r="F3" s="95"/>
      <c r="G3" s="95"/>
    </row>
    <row r="4" spans="1:9" ht="15" thickBot="1">
      <c r="A4" s="26" t="s">
        <v>136</v>
      </c>
      <c r="B4" s="128">
        <f>NPV(B3,D7:D11)</f>
        <v>21551026.449200694</v>
      </c>
      <c r="C4" s="95"/>
      <c r="D4" s="95"/>
      <c r="G4" s="95"/>
    </row>
    <row r="5" spans="1:9" ht="15" thickBot="1">
      <c r="A5" s="104"/>
      <c r="B5" s="127"/>
      <c r="C5" s="95"/>
      <c r="D5" s="95"/>
      <c r="E5" s="95"/>
      <c r="G5" s="95"/>
    </row>
    <row r="6" spans="1:9" ht="15" thickBot="1">
      <c r="A6" s="123" t="s">
        <v>116</v>
      </c>
      <c r="B6" s="124" t="s">
        <v>127</v>
      </c>
      <c r="C6" s="125" t="s">
        <v>128</v>
      </c>
      <c r="D6" s="125" t="s">
        <v>8</v>
      </c>
      <c r="E6" s="125" t="s">
        <v>134</v>
      </c>
      <c r="F6" s="125" t="s">
        <v>129</v>
      </c>
      <c r="G6" s="125" t="s">
        <v>135</v>
      </c>
      <c r="H6" s="125" t="s">
        <v>131</v>
      </c>
      <c r="I6" s="126" t="s">
        <v>53</v>
      </c>
    </row>
    <row r="7" spans="1:9">
      <c r="A7" s="109">
        <v>1</v>
      </c>
      <c r="B7" s="110">
        <v>80000</v>
      </c>
      <c r="C7" s="111">
        <v>25</v>
      </c>
      <c r="D7" s="112">
        <f>B7*C7</f>
        <v>2000000</v>
      </c>
      <c r="E7" s="112">
        <f>D7/2</f>
        <v>1000000</v>
      </c>
      <c r="F7" s="112">
        <f>D7*0.4</f>
        <v>800000</v>
      </c>
      <c r="G7" s="111" t="str">
        <f ca="1">_xlfn.FORMULATEXT(F7)</f>
        <v>=D7*0.4</v>
      </c>
      <c r="H7" s="113">
        <f>SUM(E7:F7)</f>
        <v>1800000</v>
      </c>
      <c r="I7" s="113">
        <f>D7-H7</f>
        <v>200000</v>
      </c>
    </row>
    <row r="8" spans="1:9">
      <c r="A8" s="12">
        <v>2</v>
      </c>
      <c r="B8" s="108">
        <f>B7*(1+$B$1)</f>
        <v>119077.82184556979</v>
      </c>
      <c r="C8" s="105">
        <v>25</v>
      </c>
      <c r="D8" s="106">
        <f t="shared" ref="D8:D11" si="0">B8*C8</f>
        <v>2976945.5461392449</v>
      </c>
      <c r="E8" s="106">
        <f t="shared" ref="E8:E13" si="1">D8/2</f>
        <v>1488472.7730696225</v>
      </c>
      <c r="F8" s="106">
        <f>D8*0.38</f>
        <v>1131239.3075329131</v>
      </c>
      <c r="G8" s="105" t="str">
        <f ca="1">_xlfn.FORMULATEXT(F8)</f>
        <v>=D8*0.38</v>
      </c>
      <c r="H8" s="107">
        <f t="shared" ref="H8:H11" si="2">SUM(E8:F8)</f>
        <v>2619712.0806025355</v>
      </c>
      <c r="I8" s="107">
        <f t="shared" ref="I8:I10" si="3">D8-H8</f>
        <v>357233.46553670941</v>
      </c>
    </row>
    <row r="9" spans="1:9">
      <c r="A9" s="12">
        <v>3</v>
      </c>
      <c r="B9" s="108">
        <f>B8*(1+$B$1)</f>
        <v>177244.09569356573</v>
      </c>
      <c r="C9" s="105">
        <v>25</v>
      </c>
      <c r="D9" s="106">
        <f t="shared" si="0"/>
        <v>4431102.392339143</v>
      </c>
      <c r="E9" s="106">
        <f t="shared" si="1"/>
        <v>2215551.1961695715</v>
      </c>
      <c r="F9" s="106">
        <f>D9*0.36</f>
        <v>1595196.8612420915</v>
      </c>
      <c r="G9" s="105" t="str">
        <f t="shared" ref="G9:G11" ca="1" si="4">_xlfn.FORMULATEXT(F9)</f>
        <v>=D9*0.36</v>
      </c>
      <c r="H9" s="107">
        <f t="shared" si="2"/>
        <v>3810748.0574116632</v>
      </c>
      <c r="I9" s="107">
        <f t="shared" si="3"/>
        <v>620354.33492747974</v>
      </c>
    </row>
    <row r="10" spans="1:9">
      <c r="A10" s="12">
        <v>4</v>
      </c>
      <c r="B10" s="108">
        <f>B9*(1+$B$1)</f>
        <v>263823.01062721928</v>
      </c>
      <c r="C10" s="105">
        <v>25</v>
      </c>
      <c r="D10" s="106">
        <f t="shared" si="0"/>
        <v>6595575.2656804817</v>
      </c>
      <c r="E10" s="106">
        <f t="shared" si="1"/>
        <v>3297787.6328402408</v>
      </c>
      <c r="F10" s="106">
        <f>D10*0.34</f>
        <v>2242495.590331364</v>
      </c>
      <c r="G10" s="105" t="str">
        <f t="shared" ca="1" si="4"/>
        <v>=D10*0.34</v>
      </c>
      <c r="H10" s="107">
        <f t="shared" si="2"/>
        <v>5540283.2231716048</v>
      </c>
      <c r="I10" s="107">
        <f t="shared" si="3"/>
        <v>1055292.0425088769</v>
      </c>
    </row>
    <row r="11" spans="1:9" ht="15" thickBot="1">
      <c r="A11" s="114">
        <v>5</v>
      </c>
      <c r="B11" s="115">
        <f>B10*(1+$B$1)</f>
        <v>392693.36822787352</v>
      </c>
      <c r="C11" s="116">
        <v>25</v>
      </c>
      <c r="D11" s="117">
        <f t="shared" si="0"/>
        <v>9817334.205696838</v>
      </c>
      <c r="E11" s="117">
        <f t="shared" si="1"/>
        <v>4908667.102848419</v>
      </c>
      <c r="F11" s="117">
        <f>D11*0.32</f>
        <v>3141546.9458229882</v>
      </c>
      <c r="G11" s="116" t="str">
        <f t="shared" ca="1" si="4"/>
        <v>=D11*0.32</v>
      </c>
      <c r="H11" s="118">
        <f t="shared" si="2"/>
        <v>8050214.0486714076</v>
      </c>
      <c r="I11" s="118">
        <f>D11-H11</f>
        <v>1767120.1570254304</v>
      </c>
    </row>
    <row r="12" spans="1:9" ht="15" thickBot="1">
      <c r="A12" s="99" t="s">
        <v>132</v>
      </c>
      <c r="B12" s="100"/>
      <c r="C12" s="100"/>
      <c r="D12" s="101">
        <f>SUM(D7:D11)</f>
        <v>25820957.409855708</v>
      </c>
      <c r="E12" s="102">
        <f t="shared" si="1"/>
        <v>12910478.704927854</v>
      </c>
      <c r="F12" s="102">
        <f>SUM(F7:F11)</f>
        <v>8910478.7049293555</v>
      </c>
      <c r="G12" s="100"/>
      <c r="H12" s="101">
        <f>SUM(H7:H11)</f>
        <v>21820957.409857213</v>
      </c>
      <c r="I12" s="103">
        <f>SUM(I7:I11)</f>
        <v>3999999.9999984964</v>
      </c>
    </row>
    <row r="13" spans="1:9">
      <c r="D13" s="129">
        <f>B4</f>
        <v>21551026.449200694</v>
      </c>
      <c r="E13" s="130">
        <f t="shared" si="1"/>
        <v>10775513.224600347</v>
      </c>
      <c r="F13">
        <v>8910478.7049293555</v>
      </c>
      <c r="H13" s="20">
        <f>SUM(E13:F13)</f>
        <v>19685991.929529704</v>
      </c>
      <c r="I13" s="129">
        <f>D13-H13</f>
        <v>1865034.5196709894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CE61D-1729-42DF-9247-DA58BD0B3908}">
  <dimension ref="A1:G17"/>
  <sheetViews>
    <sheetView topLeftCell="A2" workbookViewId="0">
      <selection activeCell="D14" sqref="D14"/>
    </sheetView>
  </sheetViews>
  <sheetFormatPr defaultRowHeight="14.5"/>
  <cols>
    <col min="1" max="1" width="14" customWidth="1"/>
    <col min="2" max="2" width="10.1796875" bestFit="1" customWidth="1"/>
  </cols>
  <sheetData>
    <row r="1" spans="1:7">
      <c r="A1" s="265" t="s">
        <v>137</v>
      </c>
      <c r="B1" s="265"/>
      <c r="C1" s="265"/>
      <c r="D1" s="265"/>
      <c r="E1" s="265"/>
    </row>
    <row r="2" spans="1:7">
      <c r="B2" s="3" t="s">
        <v>138</v>
      </c>
      <c r="C2" s="3" t="s">
        <v>139</v>
      </c>
    </row>
    <row r="3" spans="1:7">
      <c r="A3" s="3" t="s">
        <v>140</v>
      </c>
      <c r="B3" s="131">
        <v>175</v>
      </c>
      <c r="C3" s="131">
        <v>10.000000000000007</v>
      </c>
      <c r="D3" t="s">
        <v>144</v>
      </c>
    </row>
    <row r="4" spans="1:7">
      <c r="B4">
        <v>3000</v>
      </c>
      <c r="C4">
        <v>7000</v>
      </c>
      <c r="D4" t="s">
        <v>150</v>
      </c>
    </row>
    <row r="5" spans="1:7">
      <c r="A5" s="3" t="s">
        <v>141</v>
      </c>
    </row>
    <row r="6" spans="1:7">
      <c r="A6" t="s">
        <v>151</v>
      </c>
      <c r="B6" s="133">
        <f>SUMPRODUCT(B3:C3,B4:C4)</f>
        <v>595000</v>
      </c>
    </row>
    <row r="9" spans="1:7">
      <c r="D9" t="s">
        <v>148</v>
      </c>
    </row>
    <row r="10" spans="1:7">
      <c r="A10" s="10" t="s">
        <v>142</v>
      </c>
      <c r="B10" s="12"/>
      <c r="C10" s="12"/>
      <c r="D10" s="12" t="s">
        <v>145</v>
      </c>
      <c r="E10" s="12" t="s">
        <v>146</v>
      </c>
      <c r="F10" s="12" t="s">
        <v>147</v>
      </c>
    </row>
    <row r="11" spans="1:7">
      <c r="A11" s="12" t="s">
        <v>143</v>
      </c>
      <c r="B11" s="12">
        <v>200</v>
      </c>
      <c r="C11" s="12">
        <v>500</v>
      </c>
      <c r="D11" s="12">
        <f>SUMPRODUCT(B3:C3,B11:C11)</f>
        <v>40000</v>
      </c>
      <c r="E11" s="12" t="s">
        <v>149</v>
      </c>
      <c r="F11" s="135">
        <v>40000</v>
      </c>
      <c r="G11" t="str">
        <f ca="1">_xlfn.FORMULATEXT(D11)</f>
        <v>=SUMPRODUCT(B3:C3,B11:C11)</v>
      </c>
    </row>
    <row r="12" spans="1:7">
      <c r="A12" s="12" t="s">
        <v>157</v>
      </c>
      <c r="B12" s="12">
        <v>1</v>
      </c>
      <c r="C12" s="12"/>
      <c r="D12" s="12">
        <f>SUMPRODUCT(B12:C12,B3:C3)</f>
        <v>175</v>
      </c>
      <c r="E12" s="12" t="s">
        <v>152</v>
      </c>
      <c r="F12" s="12">
        <v>10</v>
      </c>
      <c r="G12" t="str">
        <f ca="1">_xlfn.FORMULATEXT(D12)</f>
        <v>=SUMPRODUCT(B12:C12,B3:C3)</v>
      </c>
    </row>
    <row r="13" spans="1:7">
      <c r="A13" s="12" t="s">
        <v>156</v>
      </c>
      <c r="B13" s="12"/>
      <c r="C13" s="12">
        <v>1</v>
      </c>
      <c r="D13" s="12">
        <f>SUMPRODUCT(B13:C13,B3:C3)</f>
        <v>10.000000000000007</v>
      </c>
      <c r="E13" s="12" t="s">
        <v>152</v>
      </c>
      <c r="F13" s="12">
        <v>10</v>
      </c>
      <c r="G13" t="str">
        <f ca="1">_xlfn.FORMULATEXT(D13)</f>
        <v>=SUMPRODUCT(B13:C13,B3:C3)</v>
      </c>
    </row>
    <row r="14" spans="1:7">
      <c r="A14" s="12" t="s">
        <v>153</v>
      </c>
      <c r="B14" s="12">
        <v>1</v>
      </c>
      <c r="C14" s="12">
        <v>-1</v>
      </c>
      <c r="D14" s="12">
        <f>SUMPRODUCT(B14:C14,B3:C3)</f>
        <v>165</v>
      </c>
      <c r="E14" s="12" t="s">
        <v>152</v>
      </c>
      <c r="F14" s="12">
        <v>0</v>
      </c>
      <c r="G14" t="str">
        <f ca="1">_xlfn.FORMULATEXT(D14)</f>
        <v>=SUMPRODUCT(B14:C14,B3:C3)</v>
      </c>
    </row>
    <row r="16" spans="1:7">
      <c r="A16" s="3" t="s">
        <v>154</v>
      </c>
    </row>
    <row r="17" spans="1:1">
      <c r="A17" t="s">
        <v>155</v>
      </c>
    </row>
  </sheetData>
  <mergeCells count="1">
    <mergeCell ref="A1:E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04FB-502F-4B63-985D-9E28152F12FF}">
  <dimension ref="A1:F13"/>
  <sheetViews>
    <sheetView workbookViewId="0">
      <selection activeCell="C7" sqref="C7"/>
    </sheetView>
  </sheetViews>
  <sheetFormatPr defaultRowHeight="14.5"/>
  <cols>
    <col min="1" max="1" width="16.81640625" customWidth="1"/>
  </cols>
  <sheetData>
    <row r="1" spans="1:6">
      <c r="A1" s="265" t="s">
        <v>137</v>
      </c>
      <c r="B1" s="265"/>
      <c r="C1" s="265"/>
      <c r="D1" s="265"/>
      <c r="E1" s="265"/>
    </row>
    <row r="2" spans="1:6">
      <c r="B2" s="265" t="s">
        <v>160</v>
      </c>
      <c r="C2" s="265"/>
    </row>
    <row r="3" spans="1:6">
      <c r="B3" s="3" t="s">
        <v>158</v>
      </c>
      <c r="C3" s="3" t="s">
        <v>159</v>
      </c>
    </row>
    <row r="4" spans="1:6">
      <c r="A4" s="3" t="s">
        <v>140</v>
      </c>
      <c r="B4" s="131">
        <v>30</v>
      </c>
      <c r="C4" s="131">
        <v>60</v>
      </c>
      <c r="D4" t="s">
        <v>144</v>
      </c>
    </row>
    <row r="5" spans="1:6">
      <c r="A5" t="s">
        <v>161</v>
      </c>
      <c r="B5" s="16">
        <v>7</v>
      </c>
      <c r="C5" s="16">
        <v>6</v>
      </c>
      <c r="D5" t="s">
        <v>150</v>
      </c>
    </row>
    <row r="6" spans="1:6">
      <c r="A6" s="3" t="s">
        <v>141</v>
      </c>
    </row>
    <row r="7" spans="1:6">
      <c r="A7" t="s">
        <v>53</v>
      </c>
      <c r="B7" s="133">
        <f>SUMPRODUCT(B4:C4,B5:C5)</f>
        <v>570</v>
      </c>
    </row>
    <row r="10" spans="1:6">
      <c r="D10" t="s">
        <v>148</v>
      </c>
    </row>
    <row r="11" spans="1:6">
      <c r="A11" s="3" t="s">
        <v>142</v>
      </c>
      <c r="D11" t="s">
        <v>145</v>
      </c>
      <c r="E11" t="s">
        <v>146</v>
      </c>
      <c r="F11" t="s">
        <v>147</v>
      </c>
    </row>
    <row r="12" spans="1:6">
      <c r="A12" s="134" t="s">
        <v>162</v>
      </c>
      <c r="B12">
        <v>2</v>
      </c>
      <c r="C12">
        <v>1</v>
      </c>
      <c r="D12">
        <f>SUMPRODUCT(B12:C12,B4:C4)</f>
        <v>120</v>
      </c>
      <c r="E12" t="s">
        <v>149</v>
      </c>
      <c r="F12" s="132">
        <v>120</v>
      </c>
    </row>
    <row r="13" spans="1:6">
      <c r="A13" t="s">
        <v>163</v>
      </c>
      <c r="B13">
        <v>2</v>
      </c>
      <c r="C13">
        <v>3</v>
      </c>
      <c r="D13">
        <f>SUMPRODUCT(B13:C13,B4:C4)</f>
        <v>240</v>
      </c>
      <c r="E13" t="s">
        <v>152</v>
      </c>
      <c r="F13">
        <v>240</v>
      </c>
    </row>
  </sheetData>
  <mergeCells count="2">
    <mergeCell ref="A1:E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F771-E554-439D-8BB9-4FE2E8B34ABE}">
  <dimension ref="A1:I22"/>
  <sheetViews>
    <sheetView workbookViewId="0">
      <selection activeCell="D11" sqref="D11"/>
    </sheetView>
  </sheetViews>
  <sheetFormatPr defaultRowHeight="14.5"/>
  <cols>
    <col min="1" max="1" width="17" customWidth="1"/>
    <col min="2" max="2" width="10.1796875" bestFit="1" customWidth="1"/>
    <col min="4" max="4" width="10.1796875" bestFit="1" customWidth="1"/>
    <col min="9" max="9" width="10" customWidth="1"/>
  </cols>
  <sheetData>
    <row r="1" spans="1:9">
      <c r="A1" s="265" t="s">
        <v>137</v>
      </c>
      <c r="B1" s="265"/>
      <c r="C1" s="265"/>
      <c r="D1" s="265"/>
      <c r="E1" s="265"/>
    </row>
    <row r="2" spans="1:9">
      <c r="B2" s="3" t="s">
        <v>164</v>
      </c>
      <c r="C2" s="3" t="s">
        <v>165</v>
      </c>
    </row>
    <row r="3" spans="1:9">
      <c r="A3" s="3" t="s">
        <v>140</v>
      </c>
      <c r="B3" s="139">
        <v>560</v>
      </c>
      <c r="C3" s="139">
        <v>1200</v>
      </c>
      <c r="D3" t="s">
        <v>144</v>
      </c>
    </row>
    <row r="5" spans="1:9">
      <c r="A5" s="10" t="s">
        <v>177</v>
      </c>
      <c r="B5" s="12"/>
      <c r="C5" s="12"/>
      <c r="D5" s="12" t="s">
        <v>170</v>
      </c>
    </row>
    <row r="6" spans="1:9">
      <c r="A6" s="10" t="s">
        <v>168</v>
      </c>
      <c r="B6" s="106">
        <v>300</v>
      </c>
      <c r="C6" s="106">
        <v>450</v>
      </c>
      <c r="D6" s="106">
        <f>SUMPRODUCT(B3:C3,B6:C6)</f>
        <v>708000</v>
      </c>
      <c r="E6" s="137" t="str">
        <f ca="1">_xlfn.FORMULATEXT(D6)</f>
        <v>=SUMPRODUCT(B3:C3,B6:C6)</v>
      </c>
    </row>
    <row r="7" spans="1:9">
      <c r="A7" s="10" t="s">
        <v>169</v>
      </c>
      <c r="B7" s="12"/>
      <c r="C7" s="12"/>
      <c r="D7" s="107">
        <f>SUM(D8:D10)</f>
        <v>508400</v>
      </c>
    </row>
    <row r="8" spans="1:9">
      <c r="A8" s="10" t="s">
        <v>171</v>
      </c>
      <c r="B8" s="106">
        <v>150</v>
      </c>
      <c r="C8" s="106">
        <v>225</v>
      </c>
      <c r="D8" s="106">
        <f>SUMPRODUCT(B8:C8,B3:C3)</f>
        <v>354000</v>
      </c>
    </row>
    <row r="9" spans="1:9">
      <c r="A9" s="10" t="s">
        <v>173</v>
      </c>
      <c r="B9" s="12">
        <v>5</v>
      </c>
      <c r="C9" s="12">
        <v>6</v>
      </c>
      <c r="D9" s="106">
        <f>SUMPRODUCT(B9:C9,B3:C3)*F9</f>
        <v>110000</v>
      </c>
      <c r="F9" s="16">
        <v>11</v>
      </c>
      <c r="G9" t="s">
        <v>176</v>
      </c>
    </row>
    <row r="10" spans="1:9">
      <c r="A10" s="10" t="s">
        <v>174</v>
      </c>
      <c r="B10" s="12">
        <v>1</v>
      </c>
      <c r="C10" s="12">
        <v>2</v>
      </c>
      <c r="D10" s="106">
        <f>SUMPRODUCT(B10:C10,B3:C3)*F10</f>
        <v>44400</v>
      </c>
      <c r="F10" s="16">
        <v>15</v>
      </c>
      <c r="G10" t="s">
        <v>175</v>
      </c>
    </row>
    <row r="11" spans="1:9">
      <c r="A11" s="10" t="s">
        <v>97</v>
      </c>
      <c r="B11" s="12"/>
      <c r="C11" s="12"/>
      <c r="D11" s="138">
        <f>D6-D7</f>
        <v>199600</v>
      </c>
      <c r="E11" s="137" t="str">
        <f ca="1">_xlfn.FORMULATEXT(D11)</f>
        <v>=D6-D7</v>
      </c>
    </row>
    <row r="14" spans="1:9">
      <c r="D14" t="s">
        <v>148</v>
      </c>
    </row>
    <row r="15" spans="1:9">
      <c r="A15" s="10" t="s">
        <v>142</v>
      </c>
      <c r="B15" s="12"/>
      <c r="C15" s="12"/>
      <c r="D15" s="12" t="s">
        <v>145</v>
      </c>
      <c r="E15" s="12" t="s">
        <v>146</v>
      </c>
      <c r="F15" s="140" t="s">
        <v>147</v>
      </c>
      <c r="G15" s="3"/>
      <c r="H15" s="3"/>
      <c r="I15" s="3"/>
    </row>
    <row r="16" spans="1:9">
      <c r="A16" s="12" t="s">
        <v>166</v>
      </c>
      <c r="B16" s="12">
        <v>1</v>
      </c>
      <c r="C16" s="12"/>
      <c r="D16" s="12">
        <f>SUMPRODUCT(B3:C3,B16:C16)</f>
        <v>560</v>
      </c>
      <c r="E16" s="12" t="s">
        <v>149</v>
      </c>
      <c r="F16" s="141">
        <v>600</v>
      </c>
      <c r="G16" s="3" t="str">
        <f ca="1">_xlfn.FORMULATEXT(D16)</f>
        <v>=SUMPRODUCT(B3:C3,B16:C16)</v>
      </c>
      <c r="H16" s="3"/>
      <c r="I16" s="3"/>
    </row>
    <row r="17" spans="1:9">
      <c r="A17" s="12" t="s">
        <v>167</v>
      </c>
      <c r="B17" s="12"/>
      <c r="C17" s="12">
        <v>1</v>
      </c>
      <c r="D17" s="12">
        <f>SUMPRODUCT(B17:C17,B3:C3)</f>
        <v>1200</v>
      </c>
      <c r="E17" s="12" t="s">
        <v>149</v>
      </c>
      <c r="F17" s="140">
        <v>1200</v>
      </c>
      <c r="G17" s="3" t="str">
        <f ca="1">_xlfn.FORMULATEXT(D17)</f>
        <v>=SUMPRODUCT(B17:C17,B3:C3)</v>
      </c>
      <c r="H17" s="3"/>
      <c r="I17" s="3"/>
    </row>
    <row r="18" spans="1:9">
      <c r="A18" s="12" t="s">
        <v>172</v>
      </c>
      <c r="B18" s="12">
        <v>5</v>
      </c>
      <c r="C18" s="12">
        <v>6</v>
      </c>
      <c r="D18" s="12">
        <f>SUMPRODUCT(B18:C18,B3:C3)</f>
        <v>10000</v>
      </c>
      <c r="E18" s="12" t="s">
        <v>149</v>
      </c>
      <c r="F18" s="140">
        <v>10000</v>
      </c>
      <c r="G18" s="3" t="str">
        <f ca="1">_xlfn.FORMULATEXT(D18)</f>
        <v>=SUMPRODUCT(B18:C18,B3:C3)</v>
      </c>
      <c r="H18" s="3"/>
      <c r="I18" s="3"/>
    </row>
    <row r="19" spans="1:9">
      <c r="A19" s="12" t="s">
        <v>178</v>
      </c>
      <c r="B19" s="12">
        <v>1</v>
      </c>
      <c r="C19" s="12">
        <v>2</v>
      </c>
      <c r="D19" s="12">
        <f>SUMPRODUCT(B19:C19,B3:C3)</f>
        <v>2960</v>
      </c>
      <c r="E19" s="12" t="s">
        <v>149</v>
      </c>
      <c r="F19" s="140">
        <v>3000</v>
      </c>
      <c r="G19" s="3" t="str">
        <f ca="1">_xlfn.FORMULATEXT(D19)</f>
        <v>=SUMPRODUCT(B19:C19,B3:C3)</v>
      </c>
      <c r="H19" s="3"/>
      <c r="I19" s="3"/>
    </row>
    <row r="20" spans="1:9">
      <c r="G20" s="3"/>
      <c r="H20" s="3"/>
      <c r="I20" s="3"/>
    </row>
    <row r="21" spans="1:9">
      <c r="A21" s="3" t="s">
        <v>154</v>
      </c>
      <c r="G21" s="3"/>
      <c r="H21" s="3"/>
      <c r="I21" s="3"/>
    </row>
    <row r="22" spans="1:9">
      <c r="A22" t="s">
        <v>179</v>
      </c>
    </row>
  </sheetData>
  <mergeCells count="1">
    <mergeCell ref="A1:E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1D7B-BE21-4899-B0B7-9000BAAF8F23}">
  <dimension ref="A1:F17"/>
  <sheetViews>
    <sheetView topLeftCell="A7" workbookViewId="0">
      <selection activeCell="D18" sqref="D18"/>
    </sheetView>
  </sheetViews>
  <sheetFormatPr defaultRowHeight="14.5"/>
  <cols>
    <col min="1" max="1" width="16.81640625" customWidth="1"/>
    <col min="4" max="4" width="18.08984375" customWidth="1"/>
  </cols>
  <sheetData>
    <row r="1" spans="1:6">
      <c r="A1" s="265" t="s">
        <v>137</v>
      </c>
      <c r="B1" s="265"/>
      <c r="C1" s="265"/>
      <c r="D1" s="265"/>
      <c r="E1" s="265"/>
    </row>
    <row r="2" spans="1:6">
      <c r="B2" s="265" t="s">
        <v>186</v>
      </c>
      <c r="C2" s="265"/>
    </row>
    <row r="3" spans="1:6">
      <c r="B3" s="3" t="s">
        <v>180</v>
      </c>
      <c r="C3" s="3" t="s">
        <v>181</v>
      </c>
    </row>
    <row r="4" spans="1:6">
      <c r="A4" s="3" t="s">
        <v>140</v>
      </c>
      <c r="B4" s="131">
        <v>260</v>
      </c>
      <c r="C4" s="131">
        <v>35</v>
      </c>
      <c r="D4" t="s">
        <v>144</v>
      </c>
    </row>
    <row r="5" spans="1:6">
      <c r="A5" s="3" t="s">
        <v>182</v>
      </c>
      <c r="B5">
        <v>4</v>
      </c>
      <c r="C5">
        <v>6</v>
      </c>
      <c r="D5" s="266" t="s">
        <v>150</v>
      </c>
    </row>
    <row r="6" spans="1:6">
      <c r="A6" t="s">
        <v>187</v>
      </c>
      <c r="B6" s="142">
        <v>9</v>
      </c>
      <c r="C6" s="142">
        <v>36</v>
      </c>
      <c r="D6" s="266"/>
    </row>
    <row r="7" spans="1:6">
      <c r="A7" t="s">
        <v>183</v>
      </c>
      <c r="D7" s="266"/>
    </row>
    <row r="8" spans="1:6">
      <c r="A8" t="s">
        <v>161</v>
      </c>
      <c r="B8" s="16">
        <v>12</v>
      </c>
      <c r="C8" s="16">
        <v>20</v>
      </c>
      <c r="D8" s="16"/>
    </row>
    <row r="9" spans="1:6">
      <c r="A9" s="3" t="s">
        <v>141</v>
      </c>
    </row>
    <row r="10" spans="1:6">
      <c r="A10" t="s">
        <v>53</v>
      </c>
      <c r="B10" s="136">
        <f>SUMPRODUCT(B8:C8,B4:C4)</f>
        <v>3820</v>
      </c>
    </row>
    <row r="13" spans="1:6">
      <c r="D13" t="s">
        <v>148</v>
      </c>
    </row>
    <row r="14" spans="1:6">
      <c r="A14" s="3" t="s">
        <v>142</v>
      </c>
      <c r="D14" t="s">
        <v>145</v>
      </c>
      <c r="E14" t="s">
        <v>146</v>
      </c>
      <c r="F14" t="s">
        <v>147</v>
      </c>
    </row>
    <row r="15" spans="1:6">
      <c r="A15" t="s">
        <v>184</v>
      </c>
      <c r="B15">
        <v>4</v>
      </c>
      <c r="C15">
        <v>6</v>
      </c>
      <c r="D15">
        <f>SUMPRODUCT(B15:C15,B4:C4)</f>
        <v>1250</v>
      </c>
      <c r="E15" t="s">
        <v>149</v>
      </c>
      <c r="F15" s="132">
        <v>1250</v>
      </c>
    </row>
    <row r="16" spans="1:6">
      <c r="A16" t="s">
        <v>185</v>
      </c>
      <c r="B16">
        <v>9</v>
      </c>
      <c r="C16">
        <v>36</v>
      </c>
      <c r="D16">
        <f>SUMPRODUCT(B16:C16,B4:C4)</f>
        <v>3600</v>
      </c>
      <c r="E16" t="s">
        <v>149</v>
      </c>
      <c r="F16">
        <v>3600</v>
      </c>
    </row>
    <row r="17" spans="1:6">
      <c r="A17" t="s">
        <v>153</v>
      </c>
      <c r="B17">
        <v>1</v>
      </c>
      <c r="C17">
        <v>-1</v>
      </c>
      <c r="D17">
        <f>SUMPRODUCT(B17:C17,B4:C4)</f>
        <v>225</v>
      </c>
      <c r="E17" t="s">
        <v>152</v>
      </c>
      <c r="F17">
        <v>0</v>
      </c>
    </row>
  </sheetData>
  <mergeCells count="3">
    <mergeCell ref="A1:E1"/>
    <mergeCell ref="B2:C2"/>
    <mergeCell ref="D5:D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EC5B1-E048-4FB8-845B-F3C5855CF948}">
  <dimension ref="A1:M16"/>
  <sheetViews>
    <sheetView topLeftCell="A12" workbookViewId="0">
      <selection sqref="A1:I16"/>
    </sheetView>
  </sheetViews>
  <sheetFormatPr defaultRowHeight="14.5"/>
  <cols>
    <col min="1" max="1" width="21.26953125" customWidth="1"/>
    <col min="2" max="2" width="11.08984375" customWidth="1"/>
    <col min="4" max="4" width="12.7265625" customWidth="1"/>
    <col min="5" max="6" width="13" customWidth="1"/>
    <col min="8" max="8" width="17.7265625" customWidth="1"/>
    <col min="9" max="9" width="15.1796875" customWidth="1"/>
    <col min="11" max="11" width="23.26953125" customWidth="1"/>
    <col min="12" max="12" width="15.81640625" customWidth="1"/>
  </cols>
  <sheetData>
    <row r="1" spans="1:13">
      <c r="A1" s="265" t="s">
        <v>137</v>
      </c>
      <c r="B1" s="265"/>
      <c r="C1" s="265"/>
      <c r="D1" s="265"/>
      <c r="E1" s="265"/>
    </row>
    <row r="2" spans="1:13">
      <c r="B2" s="265" t="s">
        <v>201</v>
      </c>
      <c r="C2" s="265"/>
    </row>
    <row r="3" spans="1:13">
      <c r="B3" s="3" t="s">
        <v>196</v>
      </c>
      <c r="C3" s="3" t="s">
        <v>197</v>
      </c>
      <c r="D3" s="3" t="s">
        <v>198</v>
      </c>
      <c r="E3" s="3" t="s">
        <v>199</v>
      </c>
      <c r="F3" s="3" t="s">
        <v>200</v>
      </c>
    </row>
    <row r="4" spans="1:13">
      <c r="A4" s="3" t="s">
        <v>140</v>
      </c>
      <c r="B4" s="144">
        <v>50000</v>
      </c>
      <c r="C4" s="144">
        <v>0</v>
      </c>
      <c r="D4" s="144">
        <v>0</v>
      </c>
      <c r="E4" s="144">
        <v>175000</v>
      </c>
      <c r="F4" s="144">
        <v>25000</v>
      </c>
      <c r="G4" t="s">
        <v>202</v>
      </c>
    </row>
    <row r="5" spans="1:13">
      <c r="A5" s="3"/>
      <c r="B5" s="21">
        <v>5.2999999999999999E-2</v>
      </c>
      <c r="C5" s="21">
        <v>6.8000000000000005E-2</v>
      </c>
      <c r="D5" s="21">
        <v>4.9000000000000002E-2</v>
      </c>
      <c r="E5" s="21">
        <v>8.4000000000000005E-2</v>
      </c>
      <c r="F5" s="21">
        <v>0.11799999999999999</v>
      </c>
    </row>
    <row r="6" spans="1:13">
      <c r="B6" s="16"/>
      <c r="C6" s="16"/>
      <c r="D6" s="16"/>
    </row>
    <row r="7" spans="1:13">
      <c r="A7" s="3" t="s">
        <v>141</v>
      </c>
    </row>
    <row r="8" spans="1:13">
      <c r="A8" t="s">
        <v>195</v>
      </c>
      <c r="B8" s="145">
        <f>SUMPRODUCT(B4:F4,B5:F5)</f>
        <v>20300</v>
      </c>
    </row>
    <row r="11" spans="1:13">
      <c r="G11" t="s">
        <v>148</v>
      </c>
      <c r="J11" s="10" t="s">
        <v>74</v>
      </c>
      <c r="K11" s="10" t="s">
        <v>188</v>
      </c>
      <c r="L11" s="10" t="s">
        <v>189</v>
      </c>
    </row>
    <row r="12" spans="1:13">
      <c r="A12" s="3" t="s">
        <v>142</v>
      </c>
      <c r="G12" t="s">
        <v>145</v>
      </c>
      <c r="H12" t="s">
        <v>146</v>
      </c>
      <c r="I12" t="s">
        <v>147</v>
      </c>
      <c r="J12" s="10" t="s">
        <v>196</v>
      </c>
      <c r="K12" s="10" t="s">
        <v>190</v>
      </c>
      <c r="L12" s="10">
        <v>5.3</v>
      </c>
    </row>
    <row r="13" spans="1:13">
      <c r="A13" t="s">
        <v>203</v>
      </c>
      <c r="B13">
        <v>1</v>
      </c>
      <c r="C13">
        <v>1</v>
      </c>
      <c r="D13">
        <v>1</v>
      </c>
      <c r="E13">
        <v>1</v>
      </c>
      <c r="F13">
        <v>1</v>
      </c>
      <c r="G13">
        <f>SUMPRODUCT(B13:F13,$B$4:$F$4)</f>
        <v>250000</v>
      </c>
      <c r="H13" t="s">
        <v>149</v>
      </c>
      <c r="I13" s="16">
        <v>250000</v>
      </c>
      <c r="J13" s="10" t="s">
        <v>197</v>
      </c>
      <c r="K13" s="10" t="s">
        <v>191</v>
      </c>
      <c r="L13" s="10">
        <v>6.8</v>
      </c>
      <c r="M13" s="3" t="s">
        <v>207</v>
      </c>
    </row>
    <row r="14" spans="1:13">
      <c r="A14" t="s">
        <v>204</v>
      </c>
      <c r="B14">
        <v>1</v>
      </c>
      <c r="G14">
        <f t="shared" ref="G14:G16" si="0">SUMPRODUCT(B14:F14,$B$4:$F$4)</f>
        <v>50000</v>
      </c>
      <c r="H14" t="s">
        <v>152</v>
      </c>
      <c r="I14" s="16">
        <f>0.2*I13</f>
        <v>50000</v>
      </c>
      <c r="J14" s="10" t="s">
        <v>198</v>
      </c>
      <c r="K14" s="10" t="s">
        <v>192</v>
      </c>
      <c r="L14" s="10">
        <v>4.9000000000000004</v>
      </c>
      <c r="M14" s="3" t="s">
        <v>207</v>
      </c>
    </row>
    <row r="15" spans="1:13">
      <c r="A15" t="s">
        <v>205</v>
      </c>
      <c r="C15">
        <v>1</v>
      </c>
      <c r="D15">
        <v>1</v>
      </c>
      <c r="E15">
        <v>1</v>
      </c>
      <c r="G15">
        <f t="shared" si="0"/>
        <v>175000</v>
      </c>
      <c r="H15" t="s">
        <v>152</v>
      </c>
      <c r="I15" s="146">
        <f>0.4*I13</f>
        <v>100000</v>
      </c>
      <c r="J15" s="10" t="s">
        <v>199</v>
      </c>
      <c r="K15" s="10" t="s">
        <v>193</v>
      </c>
      <c r="L15" s="10">
        <v>8.4</v>
      </c>
      <c r="M15" s="3" t="s">
        <v>207</v>
      </c>
    </row>
    <row r="16" spans="1:13">
      <c r="A16" t="s">
        <v>206</v>
      </c>
      <c r="B16" s="85">
        <v>-0.5</v>
      </c>
      <c r="F16">
        <v>1</v>
      </c>
      <c r="G16">
        <f t="shared" si="0"/>
        <v>0</v>
      </c>
      <c r="H16" t="s">
        <v>149</v>
      </c>
      <c r="I16" s="146">
        <v>0</v>
      </c>
      <c r="J16" s="10" t="s">
        <v>200</v>
      </c>
      <c r="K16" s="10" t="s">
        <v>194</v>
      </c>
      <c r="L16" s="10">
        <v>11.8</v>
      </c>
    </row>
  </sheetData>
  <mergeCells count="2">
    <mergeCell ref="A1:E1"/>
    <mergeCell ref="B2:C2"/>
  </mergeCells>
  <phoneticPr fontId="12"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248B-FEC7-40F6-853E-76656FD06C88}">
  <dimension ref="A2:M19"/>
  <sheetViews>
    <sheetView workbookViewId="0">
      <selection activeCell="D5" sqref="D5"/>
    </sheetView>
  </sheetViews>
  <sheetFormatPr defaultRowHeight="14.5"/>
  <cols>
    <col min="1" max="1" width="16.6328125" customWidth="1"/>
  </cols>
  <sheetData>
    <row r="2" spans="1:13" ht="42">
      <c r="I2" s="147" t="s">
        <v>208</v>
      </c>
      <c r="J2" s="147" t="s">
        <v>209</v>
      </c>
      <c r="K2" s="147" t="s">
        <v>210</v>
      </c>
      <c r="L2" s="147" t="s">
        <v>211</v>
      </c>
      <c r="M2" s="147" t="s">
        <v>212</v>
      </c>
    </row>
    <row r="3" spans="1:13">
      <c r="B3" t="s">
        <v>218</v>
      </c>
      <c r="C3" t="s">
        <v>219</v>
      </c>
      <c r="D3" t="s">
        <v>220</v>
      </c>
      <c r="I3" s="148" t="s">
        <v>213</v>
      </c>
      <c r="J3" s="148">
        <v>3</v>
      </c>
      <c r="K3" s="148">
        <v>4</v>
      </c>
      <c r="L3" s="148">
        <v>2</v>
      </c>
      <c r="M3" s="148">
        <v>5</v>
      </c>
    </row>
    <row r="4" spans="1:13">
      <c r="A4" t="s">
        <v>221</v>
      </c>
      <c r="B4">
        <v>0.25</v>
      </c>
      <c r="C4" s="150">
        <v>4.5</v>
      </c>
      <c r="D4" s="150">
        <v>0</v>
      </c>
      <c r="I4" s="148" t="s">
        <v>180</v>
      </c>
      <c r="J4" s="148">
        <v>0.5</v>
      </c>
      <c r="K4" s="148">
        <v>1</v>
      </c>
      <c r="L4" s="148">
        <v>1</v>
      </c>
      <c r="M4" s="148">
        <v>2</v>
      </c>
    </row>
    <row r="5" spans="1:13">
      <c r="A5" t="s">
        <v>223</v>
      </c>
      <c r="B5" s="2">
        <v>0.09</v>
      </c>
      <c r="C5" s="2">
        <v>0.12</v>
      </c>
      <c r="D5" s="2">
        <v>0.18</v>
      </c>
      <c r="I5" s="148" t="s">
        <v>214</v>
      </c>
      <c r="J5" s="148">
        <v>4</v>
      </c>
      <c r="K5" s="148">
        <v>2</v>
      </c>
      <c r="L5" s="148">
        <v>6</v>
      </c>
      <c r="M5" s="148">
        <v>10</v>
      </c>
    </row>
    <row r="6" spans="1:13">
      <c r="I6" s="148" t="s">
        <v>215</v>
      </c>
      <c r="J6" s="148">
        <v>1</v>
      </c>
      <c r="K6" s="148">
        <v>1.5</v>
      </c>
      <c r="L6" s="148">
        <v>2</v>
      </c>
      <c r="M6" s="148">
        <v>7</v>
      </c>
    </row>
    <row r="7" spans="1:13">
      <c r="A7" t="s">
        <v>222</v>
      </c>
      <c r="I7" s="148" t="s">
        <v>216</v>
      </c>
      <c r="J7" s="148">
        <v>0.5</v>
      </c>
      <c r="K7" s="148">
        <v>1.5</v>
      </c>
      <c r="L7" s="148">
        <v>0.5</v>
      </c>
      <c r="M7" s="148">
        <v>6</v>
      </c>
    </row>
    <row r="8" spans="1:13">
      <c r="A8" t="s">
        <v>224</v>
      </c>
      <c r="B8">
        <f>SUMPRODUCT(B5:D5,B4:D4)</f>
        <v>0.5625</v>
      </c>
      <c r="I8" s="148" t="s">
        <v>217</v>
      </c>
      <c r="J8" s="149">
        <v>0.09</v>
      </c>
      <c r="K8" s="149">
        <v>0.12</v>
      </c>
      <c r="L8" s="149">
        <v>0.18</v>
      </c>
      <c r="M8" s="143"/>
    </row>
    <row r="11" spans="1:13">
      <c r="A11" t="s">
        <v>225</v>
      </c>
      <c r="E11" t="s">
        <v>145</v>
      </c>
      <c r="G11" t="s">
        <v>147</v>
      </c>
    </row>
    <row r="12" spans="1:13">
      <c r="A12" t="s">
        <v>226</v>
      </c>
    </row>
    <row r="13" spans="1:13">
      <c r="A13" t="s">
        <v>213</v>
      </c>
      <c r="B13">
        <v>3</v>
      </c>
      <c r="C13">
        <v>4</v>
      </c>
      <c r="D13">
        <v>2</v>
      </c>
      <c r="E13">
        <f>SUMPRODUCT(B13:D13,$B$4:$D$4)</f>
        <v>18.75</v>
      </c>
      <c r="F13" t="s">
        <v>152</v>
      </c>
      <c r="G13">
        <v>5</v>
      </c>
    </row>
    <row r="14" spans="1:13">
      <c r="A14" t="s">
        <v>180</v>
      </c>
      <c r="B14">
        <v>0.5</v>
      </c>
      <c r="C14">
        <v>1</v>
      </c>
      <c r="D14">
        <v>1</v>
      </c>
      <c r="E14">
        <f t="shared" ref="E14:E16" si="0">SUMPRODUCT(B14:D14,$B$4:$D$4)</f>
        <v>4.625</v>
      </c>
      <c r="F14" t="s">
        <v>152</v>
      </c>
      <c r="G14">
        <v>2</v>
      </c>
    </row>
    <row r="15" spans="1:13">
      <c r="A15" t="s">
        <v>214</v>
      </c>
      <c r="B15">
        <v>4</v>
      </c>
      <c r="C15">
        <v>2</v>
      </c>
      <c r="D15">
        <v>6</v>
      </c>
      <c r="E15">
        <f t="shared" si="0"/>
        <v>10</v>
      </c>
      <c r="F15" t="s">
        <v>152</v>
      </c>
      <c r="G15">
        <v>10</v>
      </c>
    </row>
    <row r="16" spans="1:13">
      <c r="A16" t="s">
        <v>215</v>
      </c>
      <c r="B16">
        <v>1</v>
      </c>
      <c r="C16">
        <v>1.5</v>
      </c>
      <c r="D16">
        <v>2</v>
      </c>
      <c r="E16">
        <f t="shared" si="0"/>
        <v>7</v>
      </c>
      <c r="F16" t="s">
        <v>152</v>
      </c>
      <c r="G16">
        <v>7</v>
      </c>
    </row>
    <row r="17" spans="1:7">
      <c r="A17" t="s">
        <v>216</v>
      </c>
      <c r="B17">
        <v>0.5</v>
      </c>
      <c r="C17">
        <v>1.5</v>
      </c>
      <c r="D17">
        <v>0.5</v>
      </c>
      <c r="E17">
        <f t="shared" ref="E17:E18" si="1">SUMPRODUCT(B17:D17,$B$4:$D$4)</f>
        <v>6.875</v>
      </c>
      <c r="F17" t="s">
        <v>152</v>
      </c>
      <c r="G17">
        <v>6</v>
      </c>
    </row>
    <row r="18" spans="1:7">
      <c r="A18" t="s">
        <v>227</v>
      </c>
      <c r="B18">
        <v>1</v>
      </c>
      <c r="C18">
        <v>1</v>
      </c>
      <c r="D18">
        <v>1</v>
      </c>
      <c r="E18">
        <f t="shared" si="1"/>
        <v>4.75</v>
      </c>
      <c r="F18" t="s">
        <v>149</v>
      </c>
      <c r="G18">
        <v>6</v>
      </c>
    </row>
    <row r="19" spans="1:7">
      <c r="A19" t="s">
        <v>228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5F61-4325-4C75-AFCC-0457DA407508}">
  <dimension ref="A1:S34"/>
  <sheetViews>
    <sheetView topLeftCell="A14" workbookViewId="0">
      <selection activeCell="D34" sqref="D34"/>
    </sheetView>
  </sheetViews>
  <sheetFormatPr defaultRowHeight="14.5"/>
  <cols>
    <col min="1" max="1" width="21.26953125" customWidth="1"/>
    <col min="2" max="2" width="11.08984375" customWidth="1"/>
    <col min="4" max="4" width="12.7265625" customWidth="1"/>
    <col min="5" max="6" width="13" customWidth="1"/>
    <col min="8" max="8" width="17.7265625" customWidth="1"/>
    <col min="9" max="9" width="15.1796875" customWidth="1"/>
    <col min="10" max="10" width="15" customWidth="1"/>
    <col min="11" max="11" width="23.26953125" customWidth="1"/>
    <col min="12" max="12" width="15.81640625" customWidth="1"/>
    <col min="13" max="13" width="17.453125" customWidth="1"/>
    <col min="17" max="17" width="14" customWidth="1"/>
  </cols>
  <sheetData>
    <row r="1" spans="1:16">
      <c r="A1" s="265" t="s">
        <v>137</v>
      </c>
      <c r="B1" s="265"/>
      <c r="C1" s="265"/>
      <c r="D1" s="265"/>
      <c r="E1" s="265"/>
    </row>
    <row r="2" spans="1:16">
      <c r="B2" s="265"/>
      <c r="C2" s="265"/>
    </row>
    <row r="4" spans="1:16">
      <c r="A4" s="3"/>
    </row>
    <row r="5" spans="1:16">
      <c r="A5" s="3"/>
    </row>
    <row r="7" spans="1:16">
      <c r="A7" s="3"/>
    </row>
    <row r="12" spans="1:16">
      <c r="A12" s="3"/>
    </row>
    <row r="13" spans="1:16">
      <c r="B13" s="286" t="s">
        <v>252</v>
      </c>
      <c r="I13" s="73"/>
    </row>
    <row r="14" spans="1:16" ht="45.5" customHeight="1">
      <c r="B14" s="286"/>
      <c r="I14" s="151"/>
    </row>
    <row r="15" spans="1:16">
      <c r="B15" s="286"/>
      <c r="I15" s="3"/>
      <c r="J15" s="3"/>
      <c r="K15" s="3"/>
      <c r="L15" s="3"/>
      <c r="M15" s="3"/>
    </row>
    <row r="16" spans="1:16">
      <c r="A16" t="s">
        <v>253</v>
      </c>
      <c r="B16" s="3" t="s">
        <v>229</v>
      </c>
      <c r="C16" s="3" t="s">
        <v>230</v>
      </c>
      <c r="D16" s="3" t="s">
        <v>231</v>
      </c>
      <c r="E16" s="3" t="s">
        <v>232</v>
      </c>
      <c r="F16" s="3" t="s">
        <v>233</v>
      </c>
      <c r="G16" s="3" t="s">
        <v>234</v>
      </c>
      <c r="H16" s="3" t="s">
        <v>236</v>
      </c>
      <c r="I16" s="3" t="s">
        <v>237</v>
      </c>
      <c r="J16" s="3" t="s">
        <v>238</v>
      </c>
      <c r="K16" s="3" t="s">
        <v>235</v>
      </c>
      <c r="L16" s="3" t="s">
        <v>239</v>
      </c>
      <c r="M16" s="3" t="s">
        <v>240</v>
      </c>
      <c r="N16" s="3" t="s">
        <v>241</v>
      </c>
      <c r="O16" s="3" t="s">
        <v>242</v>
      </c>
      <c r="P16" s="3" t="s">
        <v>243</v>
      </c>
    </row>
    <row r="17" spans="1:19">
      <c r="B17" s="152">
        <v>400</v>
      </c>
      <c r="C17" s="152">
        <v>0</v>
      </c>
      <c r="D17" s="152">
        <v>300</v>
      </c>
      <c r="E17" s="152">
        <v>500</v>
      </c>
      <c r="F17" s="152">
        <v>0</v>
      </c>
      <c r="G17" s="152">
        <v>0</v>
      </c>
      <c r="H17" s="152">
        <v>0</v>
      </c>
      <c r="I17" s="152">
        <v>100</v>
      </c>
      <c r="J17" s="152">
        <v>0</v>
      </c>
      <c r="K17" s="152">
        <v>0</v>
      </c>
      <c r="L17" s="152">
        <v>800</v>
      </c>
      <c r="M17" s="152">
        <v>0</v>
      </c>
      <c r="N17" s="152">
        <v>0</v>
      </c>
      <c r="O17" s="152">
        <v>0</v>
      </c>
      <c r="P17" s="152">
        <v>400</v>
      </c>
      <c r="Q17" t="s">
        <v>244</v>
      </c>
    </row>
    <row r="18" spans="1:19">
      <c r="B18">
        <v>5</v>
      </c>
      <c r="C18">
        <v>8</v>
      </c>
      <c r="D18">
        <v>6</v>
      </c>
      <c r="E18">
        <v>0</v>
      </c>
      <c r="F18">
        <v>4</v>
      </c>
      <c r="G18">
        <v>12</v>
      </c>
      <c r="H18">
        <v>4</v>
      </c>
      <c r="I18" s="3">
        <v>0</v>
      </c>
      <c r="J18" s="3">
        <v>7</v>
      </c>
      <c r="K18" s="3">
        <v>7</v>
      </c>
      <c r="L18" s="3">
        <v>2</v>
      </c>
      <c r="M18" s="3">
        <v>5</v>
      </c>
      <c r="N18" s="3">
        <v>12</v>
      </c>
      <c r="O18" s="3">
        <v>7</v>
      </c>
      <c r="P18" s="3">
        <v>0</v>
      </c>
      <c r="Q18" t="s">
        <v>248</v>
      </c>
    </row>
    <row r="19" spans="1:19">
      <c r="A19" t="s">
        <v>245</v>
      </c>
      <c r="I19" s="3"/>
      <c r="J19" s="3"/>
      <c r="K19" s="3"/>
      <c r="L19" s="3"/>
      <c r="M19" s="3"/>
    </row>
    <row r="20" spans="1:19">
      <c r="A20" t="s">
        <v>246</v>
      </c>
      <c r="B20" s="153">
        <f>SUMPRODUCT(B17:P17,B18:P18)</f>
        <v>5400</v>
      </c>
      <c r="C20" t="str">
        <f ca="1">_xlfn.FORMULATEXT(B20)</f>
        <v>=SUMPRODUCT(B17:P17,B18:P18)</v>
      </c>
    </row>
    <row r="21" spans="1:19">
      <c r="Q21" t="str">
        <f ca="1">_xlfn.FORMULATEXT(Q23)</f>
        <v>=SUMPRODUCT(B23:P23,$B$17:$P$17)</v>
      </c>
    </row>
    <row r="22" spans="1:19">
      <c r="A22" s="10" t="s">
        <v>247</v>
      </c>
      <c r="B22" s="12"/>
      <c r="C22" s="12"/>
      <c r="D22" s="12"/>
      <c r="E22" s="12"/>
      <c r="F22" s="12"/>
      <c r="G22" s="12"/>
      <c r="H22" s="12"/>
      <c r="I22" s="12"/>
      <c r="J22" s="12"/>
      <c r="K22" s="12"/>
      <c r="L22" s="12"/>
      <c r="M22" s="12"/>
      <c r="N22" s="12"/>
      <c r="O22" s="12"/>
      <c r="P22" s="12"/>
      <c r="Q22" s="12" t="s">
        <v>145</v>
      </c>
      <c r="R22" s="12" t="s">
        <v>146</v>
      </c>
      <c r="S22" s="12" t="s">
        <v>147</v>
      </c>
    </row>
    <row r="23" spans="1:19">
      <c r="A23" s="10" t="s">
        <v>249</v>
      </c>
      <c r="B23" s="12">
        <v>1</v>
      </c>
      <c r="C23" s="12"/>
      <c r="D23" s="12"/>
      <c r="E23" s="12">
        <v>1</v>
      </c>
      <c r="F23" s="12"/>
      <c r="G23" s="12"/>
      <c r="H23" s="12">
        <v>1</v>
      </c>
      <c r="I23" s="12"/>
      <c r="J23" s="12"/>
      <c r="K23" s="12">
        <v>1</v>
      </c>
      <c r="L23" s="12"/>
      <c r="M23" s="12"/>
      <c r="N23" s="12">
        <v>1</v>
      </c>
      <c r="O23" s="12"/>
      <c r="P23" s="12"/>
      <c r="Q23" s="12">
        <f>SUMPRODUCT(B23:P23,$B$17:$P$17)</f>
        <v>900</v>
      </c>
      <c r="R23" s="12" t="s">
        <v>149</v>
      </c>
      <c r="S23" s="12">
        <v>900</v>
      </c>
    </row>
    <row r="24" spans="1:19">
      <c r="A24" s="10" t="s">
        <v>250</v>
      </c>
      <c r="B24" s="12"/>
      <c r="C24" s="12">
        <v>1</v>
      </c>
      <c r="D24" s="12"/>
      <c r="E24" s="12"/>
      <c r="F24" s="12">
        <v>1</v>
      </c>
      <c r="G24" s="12"/>
      <c r="H24" s="12"/>
      <c r="I24" s="12">
        <v>1</v>
      </c>
      <c r="J24" s="12"/>
      <c r="K24" s="12"/>
      <c r="L24" s="12">
        <v>1</v>
      </c>
      <c r="M24" s="12"/>
      <c r="N24" s="12"/>
      <c r="O24" s="12">
        <v>1</v>
      </c>
      <c r="P24" s="12"/>
      <c r="Q24" s="12">
        <f t="shared" ref="Q24:Q30" si="0">SUMPRODUCT(B24:P24,$B$17:$P$17)</f>
        <v>900</v>
      </c>
      <c r="R24" s="12" t="s">
        <v>149</v>
      </c>
      <c r="S24" s="12">
        <v>900</v>
      </c>
    </row>
    <row r="25" spans="1:19">
      <c r="A25" s="10" t="s">
        <v>251</v>
      </c>
      <c r="B25" s="12"/>
      <c r="C25" s="12"/>
      <c r="D25" s="12">
        <v>1</v>
      </c>
      <c r="E25" s="12"/>
      <c r="F25" s="12"/>
      <c r="G25" s="12">
        <v>1</v>
      </c>
      <c r="H25" s="12"/>
      <c r="I25" s="12"/>
      <c r="J25" s="12">
        <v>1</v>
      </c>
      <c r="K25" s="12"/>
      <c r="L25" s="12"/>
      <c r="M25" s="12">
        <v>1</v>
      </c>
      <c r="N25" s="12"/>
      <c r="O25" s="12"/>
      <c r="P25" s="12">
        <v>1</v>
      </c>
      <c r="Q25" s="12">
        <f t="shared" si="0"/>
        <v>700</v>
      </c>
      <c r="R25" s="12" t="s">
        <v>149</v>
      </c>
      <c r="S25" s="12">
        <v>900</v>
      </c>
    </row>
    <row r="26" spans="1:19">
      <c r="A26" s="10" t="s">
        <v>254</v>
      </c>
      <c r="B26" s="12">
        <v>1</v>
      </c>
      <c r="C26" s="12">
        <v>1</v>
      </c>
      <c r="D26" s="12">
        <v>1</v>
      </c>
      <c r="E26" s="12"/>
      <c r="F26" s="12"/>
      <c r="G26" s="12"/>
      <c r="H26" s="12"/>
      <c r="I26" s="12"/>
      <c r="J26" s="12"/>
      <c r="K26" s="12"/>
      <c r="L26" s="12"/>
      <c r="M26" s="12"/>
      <c r="N26" s="12"/>
      <c r="O26" s="12"/>
      <c r="P26" s="12"/>
      <c r="Q26" s="12">
        <f t="shared" si="0"/>
        <v>700</v>
      </c>
      <c r="R26" s="12" t="s">
        <v>259</v>
      </c>
      <c r="S26" s="12">
        <v>700</v>
      </c>
    </row>
    <row r="27" spans="1:19">
      <c r="A27" s="10" t="s">
        <v>255</v>
      </c>
      <c r="B27" s="12"/>
      <c r="C27" s="12"/>
      <c r="D27" s="12"/>
      <c r="E27" s="12">
        <v>1</v>
      </c>
      <c r="F27" s="12">
        <v>1</v>
      </c>
      <c r="G27" s="12">
        <v>1</v>
      </c>
      <c r="H27" s="12"/>
      <c r="I27" s="12"/>
      <c r="J27" s="12"/>
      <c r="K27" s="12"/>
      <c r="L27" s="12"/>
      <c r="M27" s="12"/>
      <c r="N27" s="12"/>
      <c r="O27" s="12"/>
      <c r="P27" s="12"/>
      <c r="Q27" s="12">
        <f t="shared" si="0"/>
        <v>500</v>
      </c>
      <c r="R27" s="12" t="s">
        <v>259</v>
      </c>
      <c r="S27" s="12">
        <v>500</v>
      </c>
    </row>
    <row r="28" spans="1:19">
      <c r="A28" s="10" t="s">
        <v>256</v>
      </c>
      <c r="B28" s="12"/>
      <c r="C28" s="12"/>
      <c r="D28" s="12"/>
      <c r="E28" s="12"/>
      <c r="F28" s="12"/>
      <c r="G28" s="12"/>
      <c r="H28" s="12">
        <v>1</v>
      </c>
      <c r="I28" s="12">
        <v>1</v>
      </c>
      <c r="J28" s="12">
        <v>1</v>
      </c>
      <c r="K28" s="12"/>
      <c r="L28" s="12"/>
      <c r="M28" s="12"/>
      <c r="N28" s="12"/>
      <c r="O28" s="12"/>
      <c r="P28" s="12"/>
      <c r="Q28" s="12">
        <f t="shared" si="0"/>
        <v>100</v>
      </c>
      <c r="R28" s="12" t="s">
        <v>259</v>
      </c>
      <c r="S28" s="12">
        <v>100</v>
      </c>
    </row>
    <row r="29" spans="1:19">
      <c r="A29" s="10" t="s">
        <v>257</v>
      </c>
      <c r="B29" s="12"/>
      <c r="C29" s="12"/>
      <c r="D29" s="12"/>
      <c r="E29" s="12"/>
      <c r="F29" s="12"/>
      <c r="G29" s="12"/>
      <c r="H29" s="12"/>
      <c r="I29" s="12"/>
      <c r="J29" s="12"/>
      <c r="K29" s="12">
        <v>1</v>
      </c>
      <c r="L29" s="12">
        <v>1</v>
      </c>
      <c r="M29" s="12">
        <v>1</v>
      </c>
      <c r="N29" s="12"/>
      <c r="O29" s="12"/>
      <c r="P29" s="12"/>
      <c r="Q29" s="12">
        <f t="shared" si="0"/>
        <v>800</v>
      </c>
      <c r="R29" s="12" t="s">
        <v>259</v>
      </c>
      <c r="S29" s="12">
        <v>800</v>
      </c>
    </row>
    <row r="30" spans="1:19">
      <c r="A30" s="10" t="s">
        <v>258</v>
      </c>
      <c r="B30" s="12"/>
      <c r="C30" s="12"/>
      <c r="D30" s="12"/>
      <c r="E30" s="12"/>
      <c r="F30" s="12"/>
      <c r="G30" s="12"/>
      <c r="H30" s="12"/>
      <c r="I30" s="12"/>
      <c r="J30" s="12"/>
      <c r="K30" s="12"/>
      <c r="L30" s="12"/>
      <c r="M30" s="12"/>
      <c r="N30" s="12">
        <v>1</v>
      </c>
      <c r="O30" s="12">
        <v>1</v>
      </c>
      <c r="P30" s="12">
        <v>1</v>
      </c>
      <c r="Q30" s="12">
        <f t="shared" si="0"/>
        <v>400</v>
      </c>
      <c r="R30" s="12" t="s">
        <v>259</v>
      </c>
      <c r="S30" s="12">
        <v>400</v>
      </c>
    </row>
    <row r="31" spans="1:19">
      <c r="A31" s="154" t="s">
        <v>260</v>
      </c>
    </row>
    <row r="32" spans="1:19">
      <c r="A32" s="287" t="s">
        <v>262</v>
      </c>
      <c r="B32" s="287"/>
      <c r="C32" t="s">
        <v>261</v>
      </c>
    </row>
    <row r="33" spans="1:2">
      <c r="A33" s="287"/>
      <c r="B33" s="287"/>
    </row>
    <row r="34" spans="1:2">
      <c r="A34" s="287"/>
      <c r="B34" s="287"/>
    </row>
  </sheetData>
  <mergeCells count="4">
    <mergeCell ref="A1:E1"/>
    <mergeCell ref="B2:C2"/>
    <mergeCell ref="B13:B15"/>
    <mergeCell ref="A32:B34"/>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E8D5-46A0-4D90-8180-C9C1B97E27F2}">
  <dimension ref="A1:H21"/>
  <sheetViews>
    <sheetView topLeftCell="A8" workbookViewId="0"/>
  </sheetViews>
  <sheetFormatPr defaultRowHeight="14.5"/>
  <cols>
    <col min="1" max="1" width="21.6328125" customWidth="1"/>
    <col min="2" max="2" width="10.1796875" bestFit="1" customWidth="1"/>
  </cols>
  <sheetData>
    <row r="1" spans="1:8">
      <c r="A1" t="s">
        <v>296</v>
      </c>
    </row>
    <row r="3" spans="1:8">
      <c r="A3" t="s">
        <v>263</v>
      </c>
      <c r="B3" t="s">
        <v>264</v>
      </c>
    </row>
    <row r="4" spans="1:8">
      <c r="A4" s="12" t="s">
        <v>265</v>
      </c>
      <c r="B4" s="12" t="s">
        <v>269</v>
      </c>
      <c r="C4" s="12" t="s">
        <v>270</v>
      </c>
      <c r="D4" s="12" t="s">
        <v>271</v>
      </c>
      <c r="E4" s="12" t="s">
        <v>272</v>
      </c>
    </row>
    <row r="5" spans="1:8">
      <c r="A5" s="12" t="s">
        <v>266</v>
      </c>
      <c r="B5" s="158">
        <v>800</v>
      </c>
      <c r="C5" s="158">
        <v>1100</v>
      </c>
      <c r="D5" s="158">
        <v>1200</v>
      </c>
      <c r="E5" s="158">
        <v>1000</v>
      </c>
    </row>
    <row r="6" spans="1:8">
      <c r="A6" s="12" t="s">
        <v>267</v>
      </c>
      <c r="B6" s="158">
        <v>500</v>
      </c>
      <c r="C6" s="158">
        <v>1000</v>
      </c>
      <c r="D6" s="158">
        <v>1300</v>
      </c>
      <c r="E6" s="158">
        <v>800</v>
      </c>
    </row>
    <row r="7" spans="1:8">
      <c r="A7" s="12" t="s">
        <v>268</v>
      </c>
      <c r="B7" s="158">
        <v>500</v>
      </c>
      <c r="C7" s="158">
        <v>1000</v>
      </c>
      <c r="D7" s="158">
        <v>2300</v>
      </c>
      <c r="E7" s="158">
        <v>1500</v>
      </c>
    </row>
    <row r="9" spans="1:8">
      <c r="A9" t="s">
        <v>273</v>
      </c>
      <c r="B9" t="s">
        <v>264</v>
      </c>
    </row>
    <row r="10" spans="1:8">
      <c r="A10" s="12" t="s">
        <v>274</v>
      </c>
      <c r="B10" s="12" t="s">
        <v>269</v>
      </c>
      <c r="C10" s="12" t="s">
        <v>270</v>
      </c>
      <c r="D10" s="12" t="s">
        <v>271</v>
      </c>
      <c r="E10" s="12" t="s">
        <v>272</v>
      </c>
      <c r="F10" s="12" t="s">
        <v>275</v>
      </c>
      <c r="G10" s="12" t="s">
        <v>146</v>
      </c>
      <c r="H10" s="12" t="s">
        <v>276</v>
      </c>
    </row>
    <row r="11" spans="1:8">
      <c r="A11" s="12" t="s">
        <v>266</v>
      </c>
      <c r="B11" s="157">
        <v>0</v>
      </c>
      <c r="C11" s="157">
        <v>1</v>
      </c>
      <c r="D11" s="157">
        <v>0</v>
      </c>
      <c r="E11" s="157">
        <v>0</v>
      </c>
      <c r="F11" s="12">
        <f>SUM(B11:E11)</f>
        <v>1</v>
      </c>
      <c r="G11" s="12" t="s">
        <v>259</v>
      </c>
      <c r="H11" s="12">
        <v>1</v>
      </c>
    </row>
    <row r="12" spans="1:8">
      <c r="A12" s="12" t="s">
        <v>267</v>
      </c>
      <c r="B12" s="157">
        <v>0</v>
      </c>
      <c r="C12" s="157">
        <v>0</v>
      </c>
      <c r="D12" s="157">
        <v>0</v>
      </c>
      <c r="E12" s="157">
        <v>1</v>
      </c>
      <c r="F12" s="12">
        <f t="shared" ref="F12:F13" si="0">SUM(B12:E12)</f>
        <v>1</v>
      </c>
      <c r="G12" s="12" t="s">
        <v>259</v>
      </c>
      <c r="H12" s="12">
        <v>1</v>
      </c>
    </row>
    <row r="13" spans="1:8">
      <c r="A13" s="12" t="s">
        <v>268</v>
      </c>
      <c r="B13" s="157">
        <v>1</v>
      </c>
      <c r="C13" s="157">
        <v>0</v>
      </c>
      <c r="D13" s="157">
        <v>0</v>
      </c>
      <c r="E13" s="157">
        <v>0</v>
      </c>
      <c r="F13" s="12">
        <f t="shared" si="0"/>
        <v>1</v>
      </c>
      <c r="G13" s="12" t="s">
        <v>259</v>
      </c>
      <c r="H13" s="12">
        <v>1</v>
      </c>
    </row>
    <row r="14" spans="1:8">
      <c r="A14" t="s">
        <v>277</v>
      </c>
      <c r="B14" s="160">
        <f>SUM(B11:B13)</f>
        <v>1</v>
      </c>
      <c r="C14" s="160">
        <f t="shared" ref="C14:E14" si="1">SUM(C11:C13)</f>
        <v>1</v>
      </c>
      <c r="D14" s="160">
        <f t="shared" si="1"/>
        <v>0</v>
      </c>
      <c r="E14" s="160">
        <f t="shared" si="1"/>
        <v>1</v>
      </c>
    </row>
    <row r="15" spans="1:8">
      <c r="B15" s="156" t="s">
        <v>149</v>
      </c>
      <c r="C15" s="156" t="s">
        <v>149</v>
      </c>
      <c r="D15" s="156" t="s">
        <v>149</v>
      </c>
      <c r="E15" s="156" t="s">
        <v>149</v>
      </c>
    </row>
    <row r="16" spans="1:8">
      <c r="B16">
        <v>1</v>
      </c>
      <c r="C16">
        <v>1</v>
      </c>
      <c r="D16">
        <v>1</v>
      </c>
      <c r="E16">
        <v>1</v>
      </c>
    </row>
    <row r="18" spans="1:2">
      <c r="A18" t="s">
        <v>278</v>
      </c>
    </row>
    <row r="19" spans="1:2">
      <c r="A19" t="s">
        <v>279</v>
      </c>
      <c r="B19" s="159">
        <f>SUMPRODUCT(B5:E7,B11:E13)</f>
        <v>2400</v>
      </c>
    </row>
    <row r="21" spans="1:2">
      <c r="A21" t="s">
        <v>260</v>
      </c>
      <c r="B21" t="s">
        <v>295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D6773-C51D-4285-80B9-E1604D1C7170}">
  <dimension ref="A1:H21"/>
  <sheetViews>
    <sheetView workbookViewId="0">
      <selection activeCell="A21" sqref="A21"/>
    </sheetView>
  </sheetViews>
  <sheetFormatPr defaultRowHeight="14.5"/>
  <cols>
    <col min="1" max="1" width="21.6328125" customWidth="1"/>
    <col min="2" max="2" width="10.1796875" bestFit="1" customWidth="1"/>
    <col min="8" max="8" width="11.1796875" customWidth="1"/>
  </cols>
  <sheetData>
    <row r="1" spans="1:8">
      <c r="A1" s="3" t="s">
        <v>280</v>
      </c>
      <c r="B1" s="3"/>
    </row>
    <row r="2" spans="1:8">
      <c r="A2" s="3"/>
      <c r="B2" s="3"/>
    </row>
    <row r="3" spans="1:8">
      <c r="A3" s="3" t="s">
        <v>281</v>
      </c>
      <c r="B3" s="3" t="s">
        <v>282</v>
      </c>
    </row>
    <row r="4" spans="1:8">
      <c r="A4" s="10" t="s">
        <v>283</v>
      </c>
      <c r="B4" s="10" t="s">
        <v>290</v>
      </c>
      <c r="C4" s="10" t="s">
        <v>291</v>
      </c>
      <c r="D4" s="10" t="s">
        <v>292</v>
      </c>
      <c r="E4" s="10" t="s">
        <v>293</v>
      </c>
    </row>
    <row r="5" spans="1:8">
      <c r="A5" s="10" t="s">
        <v>284</v>
      </c>
      <c r="B5" s="161">
        <v>1500</v>
      </c>
      <c r="C5" s="161">
        <v>1730</v>
      </c>
      <c r="D5" s="161">
        <v>1940</v>
      </c>
      <c r="E5" s="161">
        <v>2070</v>
      </c>
    </row>
    <row r="6" spans="1:8">
      <c r="A6" s="10" t="s">
        <v>285</v>
      </c>
      <c r="B6" s="161">
        <v>460</v>
      </c>
      <c r="C6" s="161">
        <v>810</v>
      </c>
      <c r="D6" s="161">
        <v>1020</v>
      </c>
      <c r="E6" s="161">
        <v>1270</v>
      </c>
    </row>
    <row r="7" spans="1:8">
      <c r="A7" s="151" t="s">
        <v>288</v>
      </c>
      <c r="B7" s="162">
        <v>1500</v>
      </c>
      <c r="C7" s="162">
        <v>1850</v>
      </c>
      <c r="D7" s="162">
        <v>2080</v>
      </c>
      <c r="E7" s="162" t="s">
        <v>287</v>
      </c>
    </row>
    <row r="8" spans="1:8">
      <c r="A8" s="10" t="s">
        <v>286</v>
      </c>
      <c r="B8" s="161">
        <v>960</v>
      </c>
      <c r="C8" s="161">
        <v>610</v>
      </c>
      <c r="D8" s="161">
        <v>400</v>
      </c>
      <c r="E8" s="161">
        <v>330</v>
      </c>
    </row>
    <row r="10" spans="1:8">
      <c r="A10" s="3" t="s">
        <v>273</v>
      </c>
      <c r="B10" t="s">
        <v>289</v>
      </c>
      <c r="H10" s="288" t="s">
        <v>294</v>
      </c>
    </row>
    <row r="11" spans="1:8">
      <c r="A11" s="10" t="s">
        <v>283</v>
      </c>
      <c r="B11" s="10" t="s">
        <v>290</v>
      </c>
      <c r="C11" s="10" t="s">
        <v>291</v>
      </c>
      <c r="D11" s="10" t="s">
        <v>292</v>
      </c>
      <c r="E11" s="10" t="s">
        <v>293</v>
      </c>
      <c r="F11" s="10" t="s">
        <v>277</v>
      </c>
      <c r="G11" s="10" t="s">
        <v>146</v>
      </c>
      <c r="H11" s="289"/>
    </row>
    <row r="12" spans="1:8">
      <c r="A12" s="10" t="s">
        <v>284</v>
      </c>
      <c r="B12" s="157">
        <v>0</v>
      </c>
      <c r="C12" s="157">
        <v>0</v>
      </c>
      <c r="D12" s="157">
        <v>1</v>
      </c>
      <c r="E12" s="157">
        <v>0</v>
      </c>
      <c r="F12" s="12">
        <f>SUM(B12:E12)</f>
        <v>1</v>
      </c>
      <c r="G12" s="12" t="s">
        <v>259</v>
      </c>
      <c r="H12" s="12">
        <v>1</v>
      </c>
    </row>
    <row r="13" spans="1:8">
      <c r="A13" s="10" t="s">
        <v>285</v>
      </c>
      <c r="B13" s="157">
        <v>0</v>
      </c>
      <c r="C13" s="157">
        <v>1</v>
      </c>
      <c r="D13" s="157">
        <v>0</v>
      </c>
      <c r="E13" s="157">
        <v>0</v>
      </c>
      <c r="F13" s="12">
        <f t="shared" ref="F13:F15" si="0">SUM(B13:E13)</f>
        <v>1</v>
      </c>
      <c r="G13" s="12" t="s">
        <v>259</v>
      </c>
      <c r="H13" s="12">
        <v>1</v>
      </c>
    </row>
    <row r="14" spans="1:8">
      <c r="A14" s="151" t="s">
        <v>288</v>
      </c>
      <c r="B14" s="157">
        <v>1</v>
      </c>
      <c r="C14" s="157">
        <v>0</v>
      </c>
      <c r="D14" s="157">
        <v>0</v>
      </c>
      <c r="E14" s="157">
        <v>0</v>
      </c>
      <c r="F14" s="12">
        <f t="shared" si="0"/>
        <v>1</v>
      </c>
      <c r="G14" s="12" t="s">
        <v>259</v>
      </c>
      <c r="H14" s="12">
        <v>1</v>
      </c>
    </row>
    <row r="15" spans="1:8">
      <c r="A15" s="10" t="s">
        <v>286</v>
      </c>
      <c r="B15" s="157">
        <v>0</v>
      </c>
      <c r="C15" s="157">
        <v>0</v>
      </c>
      <c r="D15" s="157">
        <v>0</v>
      </c>
      <c r="E15" s="157">
        <v>1</v>
      </c>
      <c r="F15" s="12">
        <f t="shared" si="0"/>
        <v>1</v>
      </c>
      <c r="G15" s="12" t="s">
        <v>259</v>
      </c>
      <c r="H15" s="12">
        <v>1</v>
      </c>
    </row>
    <row r="16" spans="1:8">
      <c r="A16" s="3"/>
      <c r="B16" s="163">
        <f>SUM(B12:B15)</f>
        <v>1</v>
      </c>
      <c r="C16" s="163">
        <f t="shared" ref="C16:E16" si="1">SUM(C12:C15)</f>
        <v>1</v>
      </c>
      <c r="D16" s="163">
        <f t="shared" si="1"/>
        <v>1</v>
      </c>
      <c r="E16" s="163">
        <f t="shared" si="1"/>
        <v>1</v>
      </c>
    </row>
    <row r="17" spans="1:5">
      <c r="B17" s="28" t="s">
        <v>149</v>
      </c>
      <c r="C17" s="28" t="s">
        <v>149</v>
      </c>
      <c r="D17" s="28" t="s">
        <v>149</v>
      </c>
      <c r="E17" s="28" t="s">
        <v>149</v>
      </c>
    </row>
    <row r="18" spans="1:5">
      <c r="B18" s="28">
        <v>1</v>
      </c>
      <c r="C18" s="28">
        <v>1</v>
      </c>
      <c r="D18" s="28">
        <v>1</v>
      </c>
      <c r="E18" s="28">
        <v>1</v>
      </c>
    </row>
    <row r="20" spans="1:5">
      <c r="A20" t="s">
        <v>278</v>
      </c>
    </row>
    <row r="21" spans="1:5">
      <c r="A21" t="s">
        <v>281</v>
      </c>
      <c r="B21" s="164">
        <f>SUMPRODUCT(B5:E8,B12:E15)</f>
        <v>4580</v>
      </c>
      <c r="C21" t="str">
        <f ca="1">_xlfn.FORMULATEXT(B21)</f>
        <v>=SUMPRODUCT(B5:E8,B12:E15)</v>
      </c>
    </row>
  </sheetData>
  <mergeCells count="1">
    <mergeCell ref="H10:H1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607BF-EA86-460F-A700-19987ADCDC94}">
  <dimension ref="A1:H21"/>
  <sheetViews>
    <sheetView topLeftCell="A8" workbookViewId="0">
      <selection activeCell="C23" sqref="C23"/>
    </sheetView>
  </sheetViews>
  <sheetFormatPr defaultRowHeight="14.5"/>
  <cols>
    <col min="1" max="1" width="21.6328125" customWidth="1"/>
    <col min="2" max="2" width="10.1796875" bestFit="1" customWidth="1"/>
    <col min="3" max="3" width="12.26953125" customWidth="1"/>
    <col min="4" max="4" width="12" customWidth="1"/>
    <col min="5" max="5" width="10.81640625" customWidth="1"/>
    <col min="8" max="8" width="11.1796875" customWidth="1"/>
  </cols>
  <sheetData>
    <row r="1" spans="1:8">
      <c r="A1" s="3" t="s">
        <v>280</v>
      </c>
      <c r="B1" s="3"/>
    </row>
    <row r="2" spans="1:8">
      <c r="A2" s="3"/>
      <c r="B2" s="3"/>
    </row>
    <row r="3" spans="1:8">
      <c r="A3" s="3" t="s">
        <v>281</v>
      </c>
      <c r="B3" s="3" t="s">
        <v>282</v>
      </c>
    </row>
    <row r="4" spans="1:8">
      <c r="A4" s="10"/>
      <c r="B4" s="10" t="s">
        <v>297</v>
      </c>
      <c r="C4" s="10" t="s">
        <v>298</v>
      </c>
      <c r="D4" s="10" t="s">
        <v>299</v>
      </c>
      <c r="E4" s="10" t="s">
        <v>300</v>
      </c>
    </row>
    <row r="5" spans="1:8">
      <c r="A5" s="10" t="s">
        <v>301</v>
      </c>
      <c r="B5" s="161">
        <v>80</v>
      </c>
      <c r="C5" s="161">
        <v>85</v>
      </c>
      <c r="D5" s="161">
        <v>95</v>
      </c>
      <c r="E5" s="161">
        <v>40</v>
      </c>
    </row>
    <row r="6" spans="1:8">
      <c r="A6" s="151" t="s">
        <v>302</v>
      </c>
      <c r="B6" s="162">
        <v>85</v>
      </c>
      <c r="C6" s="162">
        <v>30</v>
      </c>
      <c r="D6" s="162">
        <v>75</v>
      </c>
      <c r="E6" s="162">
        <v>65</v>
      </c>
    </row>
    <row r="7" spans="1:8">
      <c r="A7" s="10" t="s">
        <v>303</v>
      </c>
      <c r="B7" s="161">
        <v>90</v>
      </c>
      <c r="C7" s="161">
        <v>55</v>
      </c>
      <c r="D7" s="161">
        <v>80</v>
      </c>
      <c r="E7" s="161">
        <v>70</v>
      </c>
    </row>
    <row r="8" spans="1:8">
      <c r="A8" s="3" t="s">
        <v>304</v>
      </c>
      <c r="B8" s="161">
        <v>55</v>
      </c>
      <c r="C8" s="161">
        <v>80</v>
      </c>
      <c r="D8" s="161">
        <v>65</v>
      </c>
      <c r="E8" s="161">
        <v>50</v>
      </c>
    </row>
    <row r="10" spans="1:8">
      <c r="A10" s="3" t="s">
        <v>273</v>
      </c>
      <c r="B10" t="s">
        <v>289</v>
      </c>
      <c r="H10" s="288" t="s">
        <v>306</v>
      </c>
    </row>
    <row r="11" spans="1:8">
      <c r="A11" s="10"/>
      <c r="B11" s="10" t="s">
        <v>297</v>
      </c>
      <c r="C11" s="10" t="s">
        <v>298</v>
      </c>
      <c r="D11" s="10" t="s">
        <v>299</v>
      </c>
      <c r="E11" s="10" t="s">
        <v>300</v>
      </c>
      <c r="F11" s="10" t="s">
        <v>277</v>
      </c>
      <c r="G11" s="10" t="s">
        <v>146</v>
      </c>
      <c r="H11" s="289"/>
    </row>
    <row r="12" spans="1:8">
      <c r="A12" s="10" t="s">
        <v>301</v>
      </c>
      <c r="B12" s="157">
        <v>0</v>
      </c>
      <c r="C12" s="157">
        <v>0</v>
      </c>
      <c r="D12" s="157">
        <v>1</v>
      </c>
      <c r="E12" s="157">
        <v>0</v>
      </c>
      <c r="F12" s="12">
        <f>SUM(B12:E12)</f>
        <v>1</v>
      </c>
      <c r="G12" s="12" t="s">
        <v>259</v>
      </c>
      <c r="H12" s="12">
        <v>1</v>
      </c>
    </row>
    <row r="13" spans="1:8">
      <c r="A13" s="151" t="s">
        <v>302</v>
      </c>
      <c r="B13" s="157">
        <v>0</v>
      </c>
      <c r="C13" s="157">
        <v>0</v>
      </c>
      <c r="D13" s="157">
        <v>0</v>
      </c>
      <c r="E13" s="157">
        <v>1</v>
      </c>
      <c r="F13" s="12">
        <f t="shared" ref="F13:F15" si="0">SUM(B13:E13)</f>
        <v>1</v>
      </c>
      <c r="G13" s="12" t="s">
        <v>259</v>
      </c>
      <c r="H13" s="12">
        <v>1</v>
      </c>
    </row>
    <row r="14" spans="1:8">
      <c r="A14" s="10" t="s">
        <v>303</v>
      </c>
      <c r="B14" s="157">
        <v>1</v>
      </c>
      <c r="C14" s="157">
        <v>0</v>
      </c>
      <c r="D14" s="157">
        <v>0</v>
      </c>
      <c r="E14" s="157">
        <v>0</v>
      </c>
      <c r="F14" s="12">
        <f t="shared" si="0"/>
        <v>1</v>
      </c>
      <c r="G14" s="12" t="s">
        <v>259</v>
      </c>
      <c r="H14" s="12">
        <v>1</v>
      </c>
    </row>
    <row r="15" spans="1:8">
      <c r="A15" s="3" t="s">
        <v>304</v>
      </c>
      <c r="B15" s="157">
        <v>0</v>
      </c>
      <c r="C15" s="157">
        <v>1</v>
      </c>
      <c r="D15" s="157">
        <v>0</v>
      </c>
      <c r="E15" s="157">
        <v>0</v>
      </c>
      <c r="F15" s="12">
        <f t="shared" si="0"/>
        <v>1</v>
      </c>
      <c r="G15" s="12" t="s">
        <v>259</v>
      </c>
      <c r="H15" s="12">
        <v>1</v>
      </c>
    </row>
    <row r="16" spans="1:8">
      <c r="A16" s="3"/>
      <c r="B16" s="163">
        <f>SUM(B12:B15)</f>
        <v>1</v>
      </c>
      <c r="C16" s="163">
        <f t="shared" ref="C16:E16" si="1">SUM(C12:C15)</f>
        <v>1</v>
      </c>
      <c r="D16" s="163">
        <f t="shared" si="1"/>
        <v>1</v>
      </c>
      <c r="E16" s="163">
        <f t="shared" si="1"/>
        <v>1</v>
      </c>
    </row>
    <row r="17" spans="1:5">
      <c r="B17" s="28" t="s">
        <v>149</v>
      </c>
      <c r="C17" s="28" t="s">
        <v>149</v>
      </c>
      <c r="D17" s="28" t="s">
        <v>149</v>
      </c>
      <c r="E17" s="28" t="s">
        <v>149</v>
      </c>
    </row>
    <row r="18" spans="1:5">
      <c r="B18" s="28">
        <v>1</v>
      </c>
      <c r="C18" s="28">
        <v>1</v>
      </c>
      <c r="D18" s="28">
        <v>1</v>
      </c>
      <c r="E18" s="28">
        <v>1</v>
      </c>
    </row>
    <row r="20" spans="1:5">
      <c r="A20" t="s">
        <v>307</v>
      </c>
    </row>
    <row r="21" spans="1:5">
      <c r="A21" t="s">
        <v>305</v>
      </c>
      <c r="B21" s="164">
        <f>SUMPRODUCT(B5:E8,B12:E15)</f>
        <v>330</v>
      </c>
      <c r="C21" t="str">
        <f ca="1">_xlfn.FORMULATEXT(B21)</f>
        <v>=SUMPRODUCT(B5:E8,B12:E15)</v>
      </c>
    </row>
  </sheetData>
  <mergeCells count="1">
    <mergeCell ref="H10:H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953C-2B9C-4671-8F89-71BE4A55AF45}">
  <dimension ref="A1:I17"/>
  <sheetViews>
    <sheetView topLeftCell="A6" workbookViewId="0">
      <selection activeCell="A17" sqref="A17"/>
    </sheetView>
  </sheetViews>
  <sheetFormatPr defaultRowHeight="14.5"/>
  <cols>
    <col min="1" max="2" width="16.26953125" customWidth="1"/>
    <col min="4" max="4" width="10.1796875" bestFit="1" customWidth="1"/>
    <col min="6" max="6" width="10.1796875" bestFit="1" customWidth="1"/>
    <col min="9" max="9" width="10" customWidth="1"/>
  </cols>
  <sheetData>
    <row r="1" spans="1:9" s="166" customFormat="1" ht="21">
      <c r="A1" s="290" t="s">
        <v>308</v>
      </c>
      <c r="B1" s="290"/>
      <c r="C1" s="290"/>
      <c r="D1" s="290"/>
      <c r="E1" s="290"/>
    </row>
    <row r="2" spans="1:9">
      <c r="A2" s="10" t="s">
        <v>311</v>
      </c>
      <c r="B2" s="10" t="s">
        <v>309</v>
      </c>
      <c r="C2" s="10" t="s">
        <v>310</v>
      </c>
    </row>
    <row r="3" spans="1:9">
      <c r="A3" s="10" t="s">
        <v>312</v>
      </c>
      <c r="B3" s="167">
        <v>4</v>
      </c>
      <c r="C3" s="167">
        <v>1</v>
      </c>
      <c r="D3" t="s">
        <v>144</v>
      </c>
    </row>
    <row r="4" spans="1:9">
      <c r="A4" s="10" t="s">
        <v>313</v>
      </c>
      <c r="B4" s="10">
        <v>8200</v>
      </c>
      <c r="C4" s="10">
        <v>5100</v>
      </c>
    </row>
    <row r="5" spans="1:9">
      <c r="A5" s="3"/>
      <c r="B5" s="3"/>
      <c r="C5" s="3"/>
    </row>
    <row r="6" spans="1:9">
      <c r="A6" s="3" t="s">
        <v>141</v>
      </c>
    </row>
    <row r="7" spans="1:9">
      <c r="A7" s="3" t="s">
        <v>313</v>
      </c>
      <c r="B7" s="153">
        <f>SUMPRODUCT(B3:C3,B4:C4)</f>
        <v>37900</v>
      </c>
      <c r="C7" t="str">
        <f ca="1">_xlfn.FORMULATEXT(B7)</f>
        <v>=SUMPRODUCT(B3:C3,B4:C4)</v>
      </c>
    </row>
    <row r="9" spans="1:9">
      <c r="A9" s="10" t="s">
        <v>247</v>
      </c>
      <c r="B9" s="10" t="s">
        <v>309</v>
      </c>
      <c r="C9" s="10" t="s">
        <v>310</v>
      </c>
      <c r="D9" s="10" t="s">
        <v>145</v>
      </c>
      <c r="E9" s="10" t="s">
        <v>314</v>
      </c>
      <c r="F9" s="10" t="s">
        <v>147</v>
      </c>
    </row>
    <row r="10" spans="1:9">
      <c r="A10" s="10" t="s">
        <v>143</v>
      </c>
      <c r="B10" s="46">
        <v>390</v>
      </c>
      <c r="C10" s="46">
        <v>240</v>
      </c>
      <c r="D10" s="170">
        <f>SUMPRODUCT(B3:C3,B10:C10)</f>
        <v>1800</v>
      </c>
      <c r="E10" s="10" t="s">
        <v>149</v>
      </c>
      <c r="F10" s="46">
        <v>1800</v>
      </c>
      <c r="G10" t="str">
        <f ca="1">_xlfn.FORMULATEXT(D10)</f>
        <v>=SUMPRODUCT(B3:C3,B10:C10)</v>
      </c>
    </row>
    <row r="11" spans="1:9">
      <c r="A11" s="10" t="s">
        <v>315</v>
      </c>
      <c r="B11" s="46"/>
      <c r="C11" s="10">
        <v>1</v>
      </c>
      <c r="D11" s="10">
        <f>SUMPRODUCT(B3:C3,B11:C11)</f>
        <v>1</v>
      </c>
      <c r="E11" s="10" t="s">
        <v>149</v>
      </c>
      <c r="F11" s="10">
        <v>6</v>
      </c>
      <c r="G11" t="str">
        <f t="shared" ref="G11:G12" ca="1" si="0">_xlfn.FORMULATEXT(D11)</f>
        <v>=SUMPRODUCT(B3:C3,B11:C11)</v>
      </c>
    </row>
    <row r="12" spans="1:9">
      <c r="A12" s="10" t="s">
        <v>316</v>
      </c>
      <c r="B12" s="10">
        <v>1</v>
      </c>
      <c r="C12" s="10"/>
      <c r="D12" s="10">
        <f>SUMPRODUCT(B3:C3,B12:C12)</f>
        <v>4</v>
      </c>
      <c r="E12" s="10" t="s">
        <v>152</v>
      </c>
      <c r="F12" s="10">
        <v>2</v>
      </c>
      <c r="G12" t="str">
        <f t="shared" ca="1" si="0"/>
        <v>=SUMPRODUCT(B3:C3,B12:C12)</v>
      </c>
    </row>
    <row r="15" spans="1:9">
      <c r="G15" s="3"/>
      <c r="H15" s="3"/>
      <c r="I15" s="3"/>
    </row>
    <row r="16" spans="1:9">
      <c r="A16" s="3" t="s">
        <v>154</v>
      </c>
      <c r="G16" s="3"/>
      <c r="H16" s="3"/>
      <c r="I16" s="3"/>
    </row>
    <row r="17" spans="1:1">
      <c r="A17" t="s">
        <v>317</v>
      </c>
    </row>
  </sheetData>
  <mergeCells count="1">
    <mergeCell ref="A1:E1"/>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7DCF-BE96-48CC-8289-F3FA3FF3C5AE}">
  <dimension ref="A1:I17"/>
  <sheetViews>
    <sheetView topLeftCell="A3" workbookViewId="0">
      <selection activeCell="A18" sqref="A18"/>
    </sheetView>
  </sheetViews>
  <sheetFormatPr defaultRowHeight="14.5"/>
  <cols>
    <col min="1" max="1" width="27.36328125" customWidth="1"/>
    <col min="2" max="2" width="16.26953125" customWidth="1"/>
    <col min="4" max="4" width="10.1796875" bestFit="1" customWidth="1"/>
    <col min="6" max="6" width="10.1796875" bestFit="1" customWidth="1"/>
    <col min="9" max="9" width="10" customWidth="1"/>
  </cols>
  <sheetData>
    <row r="1" spans="1:9" s="166" customFormat="1" ht="21">
      <c r="A1" s="291" t="s">
        <v>318</v>
      </c>
      <c r="B1" s="291"/>
      <c r="C1" s="291"/>
      <c r="D1" s="291"/>
      <c r="E1" s="291"/>
    </row>
    <row r="2" spans="1:9">
      <c r="A2" s="10" t="s">
        <v>140</v>
      </c>
      <c r="B2" s="10" t="s">
        <v>319</v>
      </c>
      <c r="C2" s="10" t="s">
        <v>320</v>
      </c>
    </row>
    <row r="3" spans="1:9">
      <c r="A3" s="10" t="s">
        <v>321</v>
      </c>
      <c r="B3" s="167">
        <v>44</v>
      </c>
      <c r="C3" s="167">
        <v>20</v>
      </c>
      <c r="D3" t="s">
        <v>144</v>
      </c>
    </row>
    <row r="4" spans="1:9">
      <c r="A4" s="10" t="s">
        <v>322</v>
      </c>
      <c r="B4" s="46">
        <v>85</v>
      </c>
      <c r="C4" s="171">
        <v>1.5</v>
      </c>
    </row>
    <row r="5" spans="1:9">
      <c r="A5" s="3"/>
      <c r="B5" s="3"/>
      <c r="C5" s="3"/>
    </row>
    <row r="6" spans="1:9">
      <c r="A6" s="3" t="s">
        <v>141</v>
      </c>
    </row>
    <row r="7" spans="1:9">
      <c r="A7" s="3" t="s">
        <v>323</v>
      </c>
      <c r="B7" s="168">
        <f>SUMPRODUCT(B3:C3,B4:C4)</f>
        <v>3770</v>
      </c>
      <c r="C7" t="str">
        <f ca="1">_xlfn.FORMULATEXT(B7)</f>
        <v>=SUMPRODUCT(B3:C3,B4:C4)</v>
      </c>
    </row>
    <row r="9" spans="1:9">
      <c r="A9" s="10" t="s">
        <v>324</v>
      </c>
      <c r="B9" s="10" t="s">
        <v>319</v>
      </c>
      <c r="C9" s="10" t="s">
        <v>320</v>
      </c>
      <c r="D9" s="10" t="s">
        <v>145</v>
      </c>
      <c r="E9" s="10" t="s">
        <v>314</v>
      </c>
      <c r="F9" s="10" t="s">
        <v>147</v>
      </c>
    </row>
    <row r="10" spans="1:9">
      <c r="A10" s="10" t="s">
        <v>213</v>
      </c>
      <c r="B10" s="10">
        <v>30</v>
      </c>
      <c r="C10" s="10">
        <v>0.5</v>
      </c>
      <c r="D10" s="169">
        <f>SUMPRODUCT(B3:C3,B10:C10)</f>
        <v>1330</v>
      </c>
      <c r="E10" s="10" t="s">
        <v>149</v>
      </c>
      <c r="F10" s="10">
        <v>2000</v>
      </c>
      <c r="G10" t="str">
        <f ca="1">_xlfn.FORMULATEXT(D10)</f>
        <v>=SUMPRODUCT(B3:C3,B10:C10)</v>
      </c>
    </row>
    <row r="11" spans="1:9">
      <c r="A11" s="10" t="s">
        <v>180</v>
      </c>
      <c r="B11" s="10">
        <v>18</v>
      </c>
      <c r="C11" s="10">
        <v>0.4</v>
      </c>
      <c r="D11" s="10">
        <f>SUMPRODUCT(B3:C3,B11:C11)</f>
        <v>800</v>
      </c>
      <c r="E11" s="10" t="s">
        <v>149</v>
      </c>
      <c r="F11" s="10">
        <v>800</v>
      </c>
      <c r="G11" t="str">
        <f t="shared" ref="G11:G12" ca="1" si="0">_xlfn.FORMULATEXT(D11)</f>
        <v>=SUMPRODUCT(B3:C3,B11:C11)</v>
      </c>
    </row>
    <row r="12" spans="1:9">
      <c r="A12" s="10" t="s">
        <v>214</v>
      </c>
      <c r="B12" s="10">
        <v>2</v>
      </c>
      <c r="C12" s="10">
        <v>0.1</v>
      </c>
      <c r="D12" s="10">
        <f>SUMPRODUCT(B3:C3,B12:C12)</f>
        <v>90</v>
      </c>
      <c r="E12" s="10" t="s">
        <v>149</v>
      </c>
      <c r="F12" s="10">
        <v>200</v>
      </c>
      <c r="G12" t="str">
        <f t="shared" ca="1" si="0"/>
        <v>=SUMPRODUCT(B3:C3,B12:C12)</v>
      </c>
    </row>
    <row r="13" spans="1:9">
      <c r="A13" s="10" t="s">
        <v>325</v>
      </c>
      <c r="B13" s="10">
        <v>1</v>
      </c>
      <c r="C13" s="10"/>
      <c r="D13" s="10">
        <f>SUMPRODUCT(B3:C3,B13:C13)</f>
        <v>44</v>
      </c>
      <c r="E13" s="10" t="s">
        <v>259</v>
      </c>
      <c r="F13" s="10" t="s">
        <v>326</v>
      </c>
    </row>
    <row r="15" spans="1:9">
      <c r="G15" s="3"/>
      <c r="H15" s="3"/>
      <c r="I15" s="3"/>
    </row>
    <row r="16" spans="1:9">
      <c r="A16" s="3" t="s">
        <v>327</v>
      </c>
      <c r="G16" s="3"/>
      <c r="H16" s="3"/>
      <c r="I16" s="3"/>
    </row>
    <row r="17" spans="1:1">
      <c r="A17" t="s">
        <v>328</v>
      </c>
    </row>
  </sheetData>
  <mergeCells count="1">
    <mergeCell ref="A1:E1"/>
  </mergeCell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07EC1-B306-4D17-BE63-17177AB98837}">
  <dimension ref="A1:I17"/>
  <sheetViews>
    <sheetView topLeftCell="A4" workbookViewId="0">
      <selection activeCell="A18" sqref="A18"/>
    </sheetView>
  </sheetViews>
  <sheetFormatPr defaultRowHeight="14.5"/>
  <cols>
    <col min="1" max="1" width="27.36328125" customWidth="1"/>
    <col min="2" max="2" width="16.26953125" customWidth="1"/>
    <col min="3" max="3" width="12.08984375" customWidth="1"/>
    <col min="4" max="4" width="10.1796875" bestFit="1" customWidth="1"/>
    <col min="6" max="6" width="10.1796875" bestFit="1" customWidth="1"/>
    <col min="9" max="9" width="10" customWidth="1"/>
  </cols>
  <sheetData>
    <row r="1" spans="1:9" s="166" customFormat="1" ht="21">
      <c r="A1" s="291" t="s">
        <v>318</v>
      </c>
      <c r="B1" s="291"/>
      <c r="C1" s="291"/>
      <c r="D1" s="291"/>
      <c r="E1" s="291"/>
    </row>
    <row r="2" spans="1:9">
      <c r="A2" s="10" t="s">
        <v>140</v>
      </c>
      <c r="B2" s="10" t="s">
        <v>329</v>
      </c>
      <c r="C2" s="10" t="s">
        <v>330</v>
      </c>
    </row>
    <row r="3" spans="1:9">
      <c r="A3" s="10" t="s">
        <v>321</v>
      </c>
      <c r="B3" s="167">
        <v>2</v>
      </c>
      <c r="C3" s="167">
        <v>6</v>
      </c>
      <c r="D3" t="s">
        <v>144</v>
      </c>
    </row>
    <row r="4" spans="1:9">
      <c r="A4" s="10" t="s">
        <v>334</v>
      </c>
      <c r="B4" s="173">
        <v>3</v>
      </c>
      <c r="C4" s="173">
        <v>1.5</v>
      </c>
    </row>
    <row r="5" spans="1:9">
      <c r="A5" s="10" t="s">
        <v>53</v>
      </c>
      <c r="B5" s="46">
        <v>5</v>
      </c>
      <c r="C5" s="171">
        <v>7</v>
      </c>
    </row>
    <row r="6" spans="1:9">
      <c r="A6" s="3"/>
      <c r="B6" s="3"/>
      <c r="C6" s="3"/>
    </row>
    <row r="7" spans="1:9">
      <c r="A7" s="3" t="s">
        <v>141</v>
      </c>
    </row>
    <row r="8" spans="1:9">
      <c r="A8" s="3" t="s">
        <v>323</v>
      </c>
      <c r="B8" s="168">
        <f>SUMPRODUCT(B3:C3,B5:C5)</f>
        <v>52</v>
      </c>
      <c r="C8" t="str">
        <f ca="1">_xlfn.FORMULATEXT(B8)</f>
        <v>=SUMPRODUCT(B3:C3,B5:C5)</v>
      </c>
    </row>
    <row r="10" spans="1:9">
      <c r="A10" s="10" t="s">
        <v>324</v>
      </c>
      <c r="B10" s="10" t="s">
        <v>329</v>
      </c>
      <c r="C10" s="10" t="s">
        <v>330</v>
      </c>
      <c r="D10" s="10" t="s">
        <v>145</v>
      </c>
      <c r="E10" s="10" t="s">
        <v>314</v>
      </c>
      <c r="F10" s="10" t="s">
        <v>147</v>
      </c>
    </row>
    <row r="11" spans="1:9">
      <c r="A11" s="10" t="s">
        <v>332</v>
      </c>
      <c r="B11" s="10"/>
      <c r="C11" s="10">
        <v>1</v>
      </c>
      <c r="D11" s="172">
        <f>SUMPRODUCT(B3:C3,B11:C11)</f>
        <v>6</v>
      </c>
      <c r="E11" s="10" t="s">
        <v>149</v>
      </c>
      <c r="F11" s="10">
        <v>6</v>
      </c>
      <c r="G11" t="str">
        <f ca="1">_xlfn.FORMULATEXT(D11)</f>
        <v>=SUMPRODUCT(B3:C3,B11:C11)</v>
      </c>
    </row>
    <row r="12" spans="1:9">
      <c r="A12" s="10" t="s">
        <v>331</v>
      </c>
      <c r="B12" s="10">
        <v>1</v>
      </c>
      <c r="C12" s="10"/>
      <c r="D12" s="10">
        <f>SUMPRODUCT(B3:C3,B12:C12)</f>
        <v>2</v>
      </c>
      <c r="E12" s="10" t="s">
        <v>149</v>
      </c>
      <c r="F12" s="10">
        <v>4</v>
      </c>
      <c r="G12" t="str">
        <f t="shared" ref="G12:G13" ca="1" si="0">_xlfn.FORMULATEXT(D12)</f>
        <v>=SUMPRODUCT(B3:C3,B12:C12)</v>
      </c>
    </row>
    <row r="13" spans="1:9">
      <c r="A13" s="10" t="s">
        <v>333</v>
      </c>
      <c r="B13" s="10">
        <v>3</v>
      </c>
      <c r="C13" s="10">
        <v>1.5</v>
      </c>
      <c r="D13" s="172">
        <f>SUMPRODUCT(B3:C3,B13:C13)</f>
        <v>15</v>
      </c>
      <c r="E13" s="10" t="s">
        <v>149</v>
      </c>
      <c r="F13" s="10">
        <v>15</v>
      </c>
      <c r="G13" t="str">
        <f t="shared" ca="1" si="0"/>
        <v>=SUMPRODUCT(B3:C3,B13:C13)</v>
      </c>
    </row>
    <row r="15" spans="1:9">
      <c r="G15" s="3"/>
      <c r="H15" s="3"/>
      <c r="I15" s="3"/>
    </row>
    <row r="16" spans="1:9">
      <c r="A16" s="3" t="s">
        <v>327</v>
      </c>
      <c r="G16" s="3"/>
      <c r="H16" s="3"/>
      <c r="I16" s="3"/>
    </row>
    <row r="17" spans="1:1">
      <c r="A17" t="s">
        <v>335</v>
      </c>
    </row>
  </sheetData>
  <mergeCells count="1">
    <mergeCell ref="A1:E1"/>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384EA-31CA-4C1D-9EE3-D05183CFDFFC}">
  <dimension ref="A1:K14"/>
  <sheetViews>
    <sheetView topLeftCell="A4" workbookViewId="0">
      <selection activeCell="A15" sqref="A15"/>
    </sheetView>
  </sheetViews>
  <sheetFormatPr defaultRowHeight="14.5"/>
  <cols>
    <col min="1" max="1" width="26.453125" customWidth="1"/>
    <col min="2" max="3" width="17.90625" customWidth="1"/>
    <col min="4" max="4" width="11.81640625" customWidth="1"/>
    <col min="5" max="5" width="14.08984375" customWidth="1"/>
    <col min="6" max="6" width="11.81640625" customWidth="1"/>
    <col min="7" max="7" width="10" customWidth="1"/>
    <col min="8" max="8" width="8.453125" customWidth="1"/>
  </cols>
  <sheetData>
    <row r="1" spans="1:11" s="166" customFormat="1" ht="21">
      <c r="A1" s="184" t="s">
        <v>375</v>
      </c>
      <c r="B1" s="165"/>
      <c r="C1" s="165"/>
      <c r="D1"/>
      <c r="E1"/>
      <c r="F1"/>
      <c r="G1"/>
      <c r="H1"/>
    </row>
    <row r="2" spans="1:11" s="175" customFormat="1" ht="21">
      <c r="A2" s="10" t="s">
        <v>393</v>
      </c>
      <c r="B2" s="185" t="s">
        <v>398</v>
      </c>
      <c r="C2" s="185" t="s">
        <v>397</v>
      </c>
      <c r="D2"/>
      <c r="E2"/>
      <c r="F2"/>
      <c r="G2"/>
      <c r="H2"/>
      <c r="I2" s="166"/>
      <c r="J2" s="166"/>
      <c r="K2" s="166"/>
    </row>
    <row r="3" spans="1:11" s="175" customFormat="1" ht="21">
      <c r="A3" s="10" t="s">
        <v>395</v>
      </c>
      <c r="B3" s="202">
        <v>35</v>
      </c>
      <c r="C3" s="202">
        <v>50</v>
      </c>
      <c r="D3"/>
      <c r="E3"/>
      <c r="F3"/>
      <c r="G3"/>
      <c r="H3"/>
      <c r="I3" s="166"/>
      <c r="J3" s="166"/>
      <c r="K3" s="166"/>
    </row>
    <row r="4" spans="1:11" ht="21">
      <c r="A4" s="10" t="s">
        <v>161</v>
      </c>
      <c r="B4" s="203">
        <v>80</v>
      </c>
      <c r="C4" s="203">
        <v>45</v>
      </c>
      <c r="I4" s="166"/>
      <c r="J4" s="166"/>
      <c r="K4" s="166"/>
    </row>
    <row r="7" spans="1:11">
      <c r="A7" s="3" t="s">
        <v>396</v>
      </c>
      <c r="B7" s="6">
        <f>SUMPRODUCT(B3:C3,B4:C4)</f>
        <v>5050</v>
      </c>
    </row>
    <row r="9" spans="1:11">
      <c r="A9" s="185" t="s">
        <v>225</v>
      </c>
      <c r="B9" s="185" t="s">
        <v>398</v>
      </c>
      <c r="C9" s="185" t="s">
        <v>397</v>
      </c>
      <c r="D9" s="185" t="s">
        <v>145</v>
      </c>
      <c r="E9" s="185" t="s">
        <v>314</v>
      </c>
      <c r="F9" s="185" t="s">
        <v>147</v>
      </c>
    </row>
    <row r="10" spans="1:11">
      <c r="A10" s="201" t="s">
        <v>399</v>
      </c>
      <c r="B10" s="185">
        <v>3</v>
      </c>
      <c r="C10" s="185">
        <v>5</v>
      </c>
      <c r="D10" s="194">
        <f>SUMPRODUCT($B$3:$C$3,B10:C10)</f>
        <v>355</v>
      </c>
      <c r="E10" s="28" t="s">
        <v>149</v>
      </c>
      <c r="F10" s="177">
        <v>360</v>
      </c>
    </row>
    <row r="11" spans="1:11" ht="21">
      <c r="A11" s="10" t="s">
        <v>394</v>
      </c>
      <c r="B11" s="200">
        <v>4</v>
      </c>
      <c r="C11" s="200">
        <v>2</v>
      </c>
      <c r="D11" s="194">
        <f>SUMPRODUCT($B$3:$C$3,B11:C11)</f>
        <v>240</v>
      </c>
      <c r="E11" s="185" t="s">
        <v>149</v>
      </c>
      <c r="F11" s="155">
        <v>240</v>
      </c>
      <c r="I11" s="166"/>
      <c r="J11" s="166"/>
      <c r="K11" s="166"/>
    </row>
    <row r="13" spans="1:11">
      <c r="A13" s="195" t="s">
        <v>327</v>
      </c>
    </row>
    <row r="14" spans="1:11">
      <c r="A14" t="s">
        <v>400</v>
      </c>
    </row>
  </sheetData>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B4B14-623A-495F-873F-64BBD65A1A46}">
  <dimension ref="A1:L17"/>
  <sheetViews>
    <sheetView topLeftCell="A2" workbookViewId="0">
      <selection activeCell="K15" sqref="K15"/>
    </sheetView>
  </sheetViews>
  <sheetFormatPr defaultRowHeight="14.5"/>
  <cols>
    <col min="1" max="1" width="14.6328125" customWidth="1"/>
    <col min="2" max="2" width="6" customWidth="1"/>
    <col min="3" max="4" width="4.6328125" customWidth="1"/>
    <col min="5" max="5" width="5.36328125" customWidth="1"/>
    <col min="6" max="8" width="4.6328125" customWidth="1"/>
    <col min="9" max="9" width="10" customWidth="1"/>
  </cols>
  <sheetData>
    <row r="1" spans="1:12" s="166" customFormat="1" ht="21">
      <c r="A1" s="291" t="s">
        <v>336</v>
      </c>
      <c r="B1" s="291"/>
      <c r="C1" s="291"/>
      <c r="D1" s="291"/>
      <c r="E1" s="291"/>
      <c r="F1" s="291"/>
      <c r="G1" s="291"/>
      <c r="H1" s="291"/>
      <c r="I1" s="291"/>
      <c r="J1" s="291"/>
    </row>
    <row r="2" spans="1:12" s="175" customFormat="1" ht="21">
      <c r="A2" s="292" t="s">
        <v>345</v>
      </c>
      <c r="B2" s="292"/>
      <c r="C2" s="292"/>
      <c r="D2" s="292"/>
      <c r="E2" s="292"/>
      <c r="F2" s="292"/>
      <c r="G2" s="292"/>
      <c r="H2" s="292"/>
    </row>
    <row r="3" spans="1:12">
      <c r="A3" s="10" t="s">
        <v>140</v>
      </c>
      <c r="B3" s="10" t="s">
        <v>196</v>
      </c>
      <c r="C3" s="10" t="s">
        <v>197</v>
      </c>
      <c r="D3" s="10" t="s">
        <v>198</v>
      </c>
      <c r="E3" s="10" t="s">
        <v>199</v>
      </c>
      <c r="F3" s="10" t="s">
        <v>200</v>
      </c>
      <c r="G3" s="10" t="s">
        <v>337</v>
      </c>
      <c r="H3" s="10" t="s">
        <v>338</v>
      </c>
    </row>
    <row r="4" spans="1:12">
      <c r="A4" s="10" t="s">
        <v>340</v>
      </c>
      <c r="B4" s="167">
        <v>0</v>
      </c>
      <c r="C4" s="167">
        <v>0</v>
      </c>
      <c r="D4" s="167">
        <v>1</v>
      </c>
      <c r="E4" s="167">
        <v>1</v>
      </c>
      <c r="F4" s="167">
        <v>1</v>
      </c>
      <c r="G4" s="167">
        <v>1</v>
      </c>
      <c r="H4" s="167">
        <v>0</v>
      </c>
      <c r="I4" t="s">
        <v>339</v>
      </c>
    </row>
    <row r="5" spans="1:12">
      <c r="A5" s="10" t="s">
        <v>341</v>
      </c>
      <c r="B5" s="173">
        <v>50</v>
      </c>
      <c r="C5" s="173">
        <v>80</v>
      </c>
      <c r="D5" s="10">
        <v>90</v>
      </c>
      <c r="E5" s="10">
        <v>120</v>
      </c>
      <c r="F5" s="10">
        <v>110</v>
      </c>
      <c r="G5" s="10">
        <v>40</v>
      </c>
      <c r="H5" s="10">
        <v>75</v>
      </c>
    </row>
    <row r="6" spans="1:12">
      <c r="A6" s="3"/>
      <c r="B6" s="3"/>
      <c r="C6" s="3"/>
    </row>
    <row r="7" spans="1:12">
      <c r="A7" s="3" t="s">
        <v>141</v>
      </c>
    </row>
    <row r="8" spans="1:12">
      <c r="A8" s="3" t="s">
        <v>342</v>
      </c>
      <c r="B8" s="174">
        <f>SUMPRODUCT(B4:H4,B5:H5)</f>
        <v>360</v>
      </c>
      <c r="C8" t="str">
        <f ca="1">_xlfn.FORMULATEXT(B8)</f>
        <v>=SUMPRODUCT(B4:H4,B5:H5)</v>
      </c>
    </row>
    <row r="10" spans="1:12">
      <c r="A10" s="10" t="s">
        <v>343</v>
      </c>
      <c r="B10" s="10"/>
      <c r="C10" s="10"/>
      <c r="D10" s="10"/>
      <c r="E10" s="10"/>
      <c r="F10" s="10"/>
      <c r="G10" s="10"/>
      <c r="H10" s="10"/>
      <c r="I10" s="10" t="s">
        <v>145</v>
      </c>
      <c r="J10" s="10" t="s">
        <v>314</v>
      </c>
      <c r="K10" s="10" t="s">
        <v>147</v>
      </c>
    </row>
    <row r="11" spans="1:12">
      <c r="A11" s="10" t="s">
        <v>346</v>
      </c>
      <c r="B11" s="155">
        <v>1</v>
      </c>
      <c r="C11" s="155"/>
      <c r="D11" s="155"/>
      <c r="E11" s="155">
        <v>1</v>
      </c>
      <c r="F11" s="155">
        <v>1</v>
      </c>
      <c r="G11" s="155"/>
      <c r="H11" s="155"/>
      <c r="I11" s="177">
        <f>SUMPRODUCT($B$4:$H$4,B11:H11)</f>
        <v>2</v>
      </c>
      <c r="J11" s="155" t="s">
        <v>152</v>
      </c>
      <c r="K11" s="155">
        <v>2</v>
      </c>
      <c r="L11" t="str">
        <f ca="1">_xlfn.FORMULATEXT(I11)</f>
        <v>=SUMPRODUCT($B$4:$H$4,B11:H11)</v>
      </c>
    </row>
    <row r="12" spans="1:12">
      <c r="A12" s="10" t="s">
        <v>344</v>
      </c>
      <c r="B12" s="155"/>
      <c r="C12" s="155">
        <v>1</v>
      </c>
      <c r="D12" s="155">
        <v>1</v>
      </c>
      <c r="E12" s="155"/>
      <c r="F12" s="155"/>
      <c r="G12" s="155"/>
      <c r="H12" s="155"/>
      <c r="I12" s="177">
        <f t="shared" ref="I12:I14" si="0">SUMPRODUCT($B$4:$H$4,B12:H12)</f>
        <v>1</v>
      </c>
      <c r="J12" s="155" t="s">
        <v>149</v>
      </c>
      <c r="K12" s="155">
        <v>1</v>
      </c>
      <c r="L12" t="str">
        <f t="shared" ref="L12:L13" ca="1" si="1">_xlfn.FORMULATEXT(I12)</f>
        <v>=SUMPRODUCT($B$4:$H$4,B12:H12)</v>
      </c>
    </row>
    <row r="13" spans="1:12">
      <c r="A13" s="10" t="s">
        <v>347</v>
      </c>
      <c r="B13" s="155"/>
      <c r="C13" s="155"/>
      <c r="D13" s="155"/>
      <c r="E13" s="155"/>
      <c r="F13" s="155"/>
      <c r="G13" s="155">
        <v>1</v>
      </c>
      <c r="H13" s="155">
        <v>1</v>
      </c>
      <c r="I13" s="177">
        <f t="shared" si="0"/>
        <v>1</v>
      </c>
      <c r="J13" s="155" t="s">
        <v>259</v>
      </c>
      <c r="K13" s="155">
        <v>1</v>
      </c>
      <c r="L13" t="str">
        <f t="shared" ca="1" si="1"/>
        <v>=SUMPRODUCT($B$4:$H$4,B13:H13)</v>
      </c>
    </row>
    <row r="14" spans="1:12">
      <c r="A14" s="10" t="s">
        <v>203</v>
      </c>
      <c r="B14" s="155">
        <v>480</v>
      </c>
      <c r="C14" s="155">
        <v>540</v>
      </c>
      <c r="D14" s="155">
        <v>680</v>
      </c>
      <c r="E14" s="155">
        <v>1000</v>
      </c>
      <c r="F14" s="155">
        <v>700</v>
      </c>
      <c r="G14" s="155">
        <v>510</v>
      </c>
      <c r="H14" s="155">
        <v>900</v>
      </c>
      <c r="I14" s="177">
        <f t="shared" si="0"/>
        <v>2890</v>
      </c>
      <c r="J14" s="178" t="s">
        <v>149</v>
      </c>
      <c r="K14" s="155">
        <v>3000</v>
      </c>
    </row>
    <row r="15" spans="1:12">
      <c r="G15" s="3"/>
      <c r="H15" s="3"/>
      <c r="I15" s="3"/>
    </row>
    <row r="16" spans="1:12">
      <c r="A16" s="3" t="s">
        <v>327</v>
      </c>
      <c r="G16" s="3"/>
      <c r="H16" s="3"/>
      <c r="I16" s="3"/>
    </row>
    <row r="17" spans="1:1">
      <c r="A17" t="s">
        <v>348</v>
      </c>
    </row>
  </sheetData>
  <mergeCells count="2">
    <mergeCell ref="A1:J1"/>
    <mergeCell ref="A2:H2"/>
  </mergeCells>
  <phoneticPr fontId="12" type="noConversion"/>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E06C-61A5-4EAF-B13D-A07B0E37E787}">
  <dimension ref="A1:K18"/>
  <sheetViews>
    <sheetView topLeftCell="A5" workbookViewId="0">
      <selection activeCell="A5" sqref="A5"/>
    </sheetView>
  </sheetViews>
  <sheetFormatPr defaultRowHeight="14.5"/>
  <cols>
    <col min="1" max="1" width="33.7265625" customWidth="1"/>
    <col min="2" max="2" width="6" customWidth="1"/>
    <col min="3" max="4" width="4.6328125" customWidth="1"/>
    <col min="5" max="5" width="5.36328125" customWidth="1"/>
    <col min="6" max="7" width="4.6328125" customWidth="1"/>
    <col min="8" max="8" width="10" customWidth="1"/>
    <col min="9" max="9" width="8.453125" customWidth="1"/>
  </cols>
  <sheetData>
    <row r="1" spans="1:11" s="166" customFormat="1" ht="21">
      <c r="A1" s="184" t="s">
        <v>361</v>
      </c>
      <c r="B1" s="165"/>
      <c r="C1" s="165"/>
      <c r="D1" s="165"/>
      <c r="E1" s="165"/>
      <c r="F1" s="165"/>
      <c r="G1" s="165"/>
      <c r="H1" s="165"/>
    </row>
    <row r="2" spans="1:11" s="175" customFormat="1" ht="21">
      <c r="A2" s="176" t="s">
        <v>362</v>
      </c>
      <c r="B2" s="176"/>
      <c r="C2" s="176"/>
      <c r="D2" s="176"/>
      <c r="E2" s="176"/>
      <c r="F2" s="176"/>
      <c r="G2" s="176"/>
    </row>
    <row r="3" spans="1:11">
      <c r="A3" s="3" t="s">
        <v>349</v>
      </c>
      <c r="B3" s="180" t="s">
        <v>350</v>
      </c>
      <c r="C3" s="180" t="s">
        <v>351</v>
      </c>
      <c r="D3" s="180" t="s">
        <v>352</v>
      </c>
      <c r="E3" s="180" t="s">
        <v>353</v>
      </c>
      <c r="F3" s="180" t="s">
        <v>354</v>
      </c>
      <c r="G3" s="180" t="s">
        <v>355</v>
      </c>
    </row>
    <row r="4" spans="1:11">
      <c r="B4" s="179">
        <v>1</v>
      </c>
      <c r="C4" s="179">
        <v>1</v>
      </c>
      <c r="D4" s="179">
        <v>1</v>
      </c>
      <c r="E4" s="179">
        <v>0</v>
      </c>
      <c r="F4" s="179">
        <v>0</v>
      </c>
      <c r="G4" s="179">
        <v>0</v>
      </c>
    </row>
    <row r="5" spans="1:11">
      <c r="A5" t="s">
        <v>359</v>
      </c>
      <c r="B5" s="181">
        <f>SUM(B4:G4)</f>
        <v>3</v>
      </c>
    </row>
    <row r="7" spans="1:11">
      <c r="A7" s="10" t="s">
        <v>360</v>
      </c>
      <c r="B7" s="10"/>
    </row>
    <row r="8" spans="1:11">
      <c r="A8" s="183" t="s">
        <v>358</v>
      </c>
      <c r="B8" s="183" t="s">
        <v>350</v>
      </c>
      <c r="C8" s="183" t="s">
        <v>351</v>
      </c>
      <c r="D8" s="183" t="s">
        <v>352</v>
      </c>
      <c r="E8" s="183" t="s">
        <v>353</v>
      </c>
      <c r="F8" s="183" t="s">
        <v>354</v>
      </c>
      <c r="G8" s="183" t="s">
        <v>355</v>
      </c>
      <c r="H8" s="155" t="s">
        <v>145</v>
      </c>
      <c r="I8" s="155" t="s">
        <v>314</v>
      </c>
      <c r="J8" s="183" t="s">
        <v>147</v>
      </c>
    </row>
    <row r="9" spans="1:11">
      <c r="A9" s="183" t="s">
        <v>213</v>
      </c>
      <c r="B9" s="183">
        <v>1</v>
      </c>
      <c r="C9" s="183">
        <v>0</v>
      </c>
      <c r="D9" s="183">
        <v>0</v>
      </c>
      <c r="E9" s="183">
        <v>0</v>
      </c>
      <c r="F9" s="183">
        <v>0</v>
      </c>
      <c r="G9" s="183">
        <v>1</v>
      </c>
      <c r="H9" s="177">
        <f>SUMPRODUCT($B$4:$G$4,B9:G9)</f>
        <v>1</v>
      </c>
      <c r="I9" s="182" t="s">
        <v>152</v>
      </c>
      <c r="J9" s="183">
        <v>1</v>
      </c>
      <c r="K9" t="str">
        <f ca="1">_xlfn.FORMULATEXT(H9)</f>
        <v>=SUMPRODUCT($B$4:$G$4,B9:G9)</v>
      </c>
    </row>
    <row r="10" spans="1:11">
      <c r="A10" s="183" t="s">
        <v>180</v>
      </c>
      <c r="B10" s="183">
        <v>0</v>
      </c>
      <c r="C10" s="183">
        <v>1</v>
      </c>
      <c r="D10" s="183">
        <v>1</v>
      </c>
      <c r="E10" s="183">
        <v>0</v>
      </c>
      <c r="F10" s="183">
        <v>0</v>
      </c>
      <c r="G10" s="183">
        <v>0</v>
      </c>
      <c r="H10" s="177">
        <f t="shared" ref="H10:H15" si="0">SUMPRODUCT($B$4:$G$4,B10:G10)</f>
        <v>2</v>
      </c>
      <c r="I10" s="182" t="s">
        <v>152</v>
      </c>
      <c r="J10" s="183">
        <v>1</v>
      </c>
      <c r="K10" t="str">
        <f t="shared" ref="K10:K16" ca="1" si="1">_xlfn.FORMULATEXT(H10)</f>
        <v>=SUMPRODUCT($B$4:$G$4,B10:G10)</v>
      </c>
    </row>
    <row r="11" spans="1:11">
      <c r="A11" s="183" t="s">
        <v>214</v>
      </c>
      <c r="B11" s="183">
        <v>1</v>
      </c>
      <c r="C11" s="183">
        <v>0</v>
      </c>
      <c r="D11" s="183">
        <v>1</v>
      </c>
      <c r="E11" s="183">
        <v>0</v>
      </c>
      <c r="F11" s="183">
        <v>0</v>
      </c>
      <c r="G11" s="183">
        <v>0</v>
      </c>
      <c r="H11" s="177">
        <f t="shared" si="0"/>
        <v>2</v>
      </c>
      <c r="I11" s="182" t="s">
        <v>152</v>
      </c>
      <c r="J11" s="183">
        <v>1</v>
      </c>
      <c r="K11" t="str">
        <f t="shared" ca="1" si="1"/>
        <v>=SUMPRODUCT($B$4:$G$4,B11:G11)</v>
      </c>
    </row>
    <row r="12" spans="1:11">
      <c r="A12" s="183" t="s">
        <v>215</v>
      </c>
      <c r="B12" s="183">
        <v>1</v>
      </c>
      <c r="C12" s="183">
        <v>1</v>
      </c>
      <c r="D12" s="183">
        <v>0</v>
      </c>
      <c r="E12" s="183">
        <v>0</v>
      </c>
      <c r="F12" s="183">
        <v>1</v>
      </c>
      <c r="G12" s="183">
        <v>1</v>
      </c>
      <c r="H12" s="177">
        <f t="shared" si="0"/>
        <v>2</v>
      </c>
      <c r="I12" s="182" t="s">
        <v>152</v>
      </c>
      <c r="J12" s="183">
        <v>1</v>
      </c>
      <c r="K12" t="str">
        <f t="shared" ca="1" si="1"/>
        <v>=SUMPRODUCT($B$4:$G$4,B12:G12)</v>
      </c>
    </row>
    <row r="13" spans="1:11">
      <c r="A13" s="183" t="s">
        <v>216</v>
      </c>
      <c r="B13" s="183">
        <v>0</v>
      </c>
      <c r="C13" s="183">
        <v>0</v>
      </c>
      <c r="D13" s="183">
        <v>1</v>
      </c>
      <c r="E13" s="183">
        <v>1</v>
      </c>
      <c r="F13" s="183">
        <v>0</v>
      </c>
      <c r="G13" s="183">
        <v>0</v>
      </c>
      <c r="H13" s="177">
        <f t="shared" si="0"/>
        <v>1</v>
      </c>
      <c r="I13" s="182" t="s">
        <v>152</v>
      </c>
      <c r="J13" s="183">
        <v>1</v>
      </c>
      <c r="K13" t="str">
        <f t="shared" ca="1" si="1"/>
        <v>=SUMPRODUCT($B$4:$G$4,B13:G13)</v>
      </c>
    </row>
    <row r="14" spans="1:11">
      <c r="A14" s="183" t="s">
        <v>356</v>
      </c>
      <c r="B14" s="183">
        <v>0</v>
      </c>
      <c r="C14" s="183">
        <v>0</v>
      </c>
      <c r="D14" s="183">
        <v>1</v>
      </c>
      <c r="E14" s="183">
        <v>1</v>
      </c>
      <c r="F14" s="183">
        <v>0</v>
      </c>
      <c r="G14" s="183">
        <v>1</v>
      </c>
      <c r="H14" s="177">
        <f t="shared" si="0"/>
        <v>1</v>
      </c>
      <c r="I14" s="182" t="s">
        <v>152</v>
      </c>
      <c r="J14" s="183">
        <v>1</v>
      </c>
      <c r="K14" t="str">
        <f t="shared" ca="1" si="1"/>
        <v>=SUMPRODUCT($B$4:$G$4,B14:G14)</v>
      </c>
    </row>
    <row r="15" spans="1:11">
      <c r="A15" s="183" t="s">
        <v>219</v>
      </c>
      <c r="B15" s="183">
        <v>0</v>
      </c>
      <c r="C15" s="183">
        <v>1</v>
      </c>
      <c r="D15" s="183">
        <v>0</v>
      </c>
      <c r="E15" s="183">
        <v>0</v>
      </c>
      <c r="F15" s="183">
        <v>1</v>
      </c>
      <c r="G15" s="183">
        <v>0</v>
      </c>
      <c r="H15" s="177">
        <f t="shared" si="0"/>
        <v>1</v>
      </c>
      <c r="I15" s="182" t="s">
        <v>152</v>
      </c>
      <c r="J15" s="183">
        <v>1</v>
      </c>
      <c r="K15" t="str">
        <f t="shared" ca="1" si="1"/>
        <v>=SUMPRODUCT($B$4:$G$4,B15:G15)</v>
      </c>
    </row>
    <row r="16" spans="1:11">
      <c r="A16" s="155" t="s">
        <v>357</v>
      </c>
      <c r="B16" s="183">
        <v>0</v>
      </c>
      <c r="C16" s="183">
        <v>0</v>
      </c>
      <c r="D16" s="183">
        <v>0</v>
      </c>
      <c r="E16" s="183">
        <v>1</v>
      </c>
      <c r="F16" s="183">
        <v>1</v>
      </c>
      <c r="G16" s="183">
        <v>0</v>
      </c>
      <c r="H16" s="183">
        <v>0</v>
      </c>
      <c r="I16" s="182" t="s">
        <v>152</v>
      </c>
      <c r="J16" s="183">
        <v>1</v>
      </c>
      <c r="K16" t="e">
        <f t="shared" ca="1" si="1"/>
        <v>#N/A</v>
      </c>
    </row>
    <row r="18" spans="1:1">
      <c r="A18" t="s">
        <v>343</v>
      </c>
    </row>
  </sheetData>
  <phoneticPr fontId="12" type="noConversion"/>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D680-4396-471B-A9E0-E3C89E601F62}">
  <dimension ref="A1:L14"/>
  <sheetViews>
    <sheetView tabSelected="1" topLeftCell="A4" workbookViewId="0">
      <selection activeCell="C12" sqref="C12"/>
    </sheetView>
  </sheetViews>
  <sheetFormatPr defaultRowHeight="14.5"/>
  <cols>
    <col min="1" max="1" width="26.453125" customWidth="1"/>
    <col min="2" max="2" width="13.90625" customWidth="1"/>
    <col min="3" max="3" width="12.6328125" customWidth="1"/>
    <col min="4" max="4" width="10.453125" customWidth="1"/>
    <col min="5" max="5" width="11.81640625" customWidth="1"/>
    <col min="6" max="6" width="14.08984375" customWidth="1"/>
    <col min="7" max="7" width="11.81640625" customWidth="1"/>
    <col min="8" max="8" width="10" customWidth="1"/>
    <col min="9" max="9" width="8.453125" customWidth="1"/>
  </cols>
  <sheetData>
    <row r="1" spans="1:12" s="166" customFormat="1" ht="21">
      <c r="A1" s="184" t="s">
        <v>363</v>
      </c>
      <c r="B1" s="165"/>
      <c r="C1" s="165"/>
      <c r="D1"/>
      <c r="E1"/>
      <c r="F1"/>
      <c r="G1"/>
      <c r="H1"/>
      <c r="I1"/>
    </row>
    <row r="2" spans="1:12" s="175" customFormat="1" ht="21">
      <c r="A2" s="3" t="s">
        <v>383</v>
      </c>
      <c r="B2" s="163" t="s">
        <v>158</v>
      </c>
      <c r="C2" s="163" t="s">
        <v>159</v>
      </c>
      <c r="D2"/>
      <c r="E2"/>
      <c r="F2"/>
      <c r="G2"/>
      <c r="H2"/>
      <c r="I2"/>
      <c r="J2" s="166"/>
      <c r="K2" s="166"/>
      <c r="L2" s="166"/>
    </row>
    <row r="3" spans="1:12" ht="21">
      <c r="A3" s="3" t="s">
        <v>364</v>
      </c>
      <c r="B3" s="190">
        <v>0.93023256126453513</v>
      </c>
      <c r="C3" s="190">
        <v>6.9767438735465051E-2</v>
      </c>
      <c r="J3" s="166"/>
      <c r="K3" s="166"/>
      <c r="L3" s="166"/>
    </row>
    <row r="4" spans="1:12" ht="21">
      <c r="A4" s="10" t="s">
        <v>365</v>
      </c>
      <c r="B4" s="185" t="s">
        <v>366</v>
      </c>
      <c r="C4" s="185" t="s">
        <v>367</v>
      </c>
      <c r="D4" s="185" t="s">
        <v>368</v>
      </c>
      <c r="J4" s="166"/>
      <c r="K4" s="166"/>
      <c r="L4" s="166"/>
    </row>
    <row r="5" spans="1:12" ht="21">
      <c r="A5" s="10" t="s">
        <v>372</v>
      </c>
      <c r="B5" s="185">
        <f>B3*B3</f>
        <v>0.86533261803677708</v>
      </c>
      <c r="C5" s="185">
        <f>B3*C3</f>
        <v>6.4899943227758189E-2</v>
      </c>
      <c r="D5" s="185">
        <f>C3*C3</f>
        <v>4.8674955077068691E-3</v>
      </c>
      <c r="J5" s="166"/>
      <c r="K5" s="166"/>
      <c r="L5" s="166"/>
    </row>
    <row r="6" spans="1:12" ht="21">
      <c r="A6" s="10" t="s">
        <v>371</v>
      </c>
      <c r="B6" s="185" t="str">
        <f ca="1">_xlfn.FORMULATEXT(B5)</f>
        <v>=B3*B3</v>
      </c>
      <c r="C6" s="185" t="str">
        <f t="shared" ref="C6:D6" ca="1" si="0">_xlfn.FORMULATEXT(C5)</f>
        <v>=B3*C3</v>
      </c>
      <c r="D6" s="185" t="str">
        <f t="shared" ca="1" si="0"/>
        <v>=C3*C3</v>
      </c>
      <c r="J6" s="166"/>
      <c r="K6" s="166"/>
      <c r="L6" s="166"/>
    </row>
    <row r="7" spans="1:12" ht="23" customHeight="1">
      <c r="A7" s="10" t="s">
        <v>370</v>
      </c>
      <c r="B7" s="185">
        <v>0.16</v>
      </c>
      <c r="C7" s="185">
        <v>0.2</v>
      </c>
      <c r="D7" s="185">
        <v>0.9</v>
      </c>
    </row>
    <row r="9" spans="1:12">
      <c r="A9" s="3" t="s">
        <v>278</v>
      </c>
    </row>
    <row r="10" spans="1:12">
      <c r="A10" s="3" t="s">
        <v>369</v>
      </c>
      <c r="B10" s="186">
        <f>SUMPRODUCT(B5:D5,B7:D7)</f>
        <v>0.15581395348837215</v>
      </c>
      <c r="C10" s="188" t="str">
        <f ca="1">_xlfn.FORMULATEXT(B10)</f>
        <v>=SUMPRODUCT(B5:D5,B7:D7)</v>
      </c>
      <c r="D10" s="189"/>
    </row>
    <row r="12" spans="1:12">
      <c r="A12" s="185" t="s">
        <v>225</v>
      </c>
      <c r="B12" s="185" t="s">
        <v>158</v>
      </c>
      <c r="C12" s="185" t="s">
        <v>159</v>
      </c>
      <c r="D12" s="185" t="s">
        <v>145</v>
      </c>
      <c r="E12" s="185" t="s">
        <v>314</v>
      </c>
      <c r="F12" s="185" t="s">
        <v>147</v>
      </c>
    </row>
    <row r="13" spans="1:12">
      <c r="A13" s="185" t="s">
        <v>373</v>
      </c>
      <c r="B13" s="185">
        <v>1</v>
      </c>
      <c r="C13" s="185">
        <v>1</v>
      </c>
      <c r="D13" s="191">
        <f>SUMPRODUCT($B$3:$C$3,B13:C13)</f>
        <v>1.0000000000000002</v>
      </c>
      <c r="E13" s="185" t="s">
        <v>259</v>
      </c>
      <c r="F13" s="187">
        <v>1</v>
      </c>
    </row>
    <row r="14" spans="1:12">
      <c r="A14" s="185" t="s">
        <v>374</v>
      </c>
      <c r="B14" s="187">
        <v>0.11</v>
      </c>
      <c r="C14" s="187">
        <v>0.08</v>
      </c>
      <c r="D14" s="191">
        <f>SUMPRODUCT($B$3:$C$3,B14:C14)</f>
        <v>0.10790697683793607</v>
      </c>
      <c r="E14" s="185" t="s">
        <v>152</v>
      </c>
      <c r="F14" s="187">
        <v>0.09</v>
      </c>
    </row>
  </sheetData>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279B4-5D19-411B-8BBD-FA1FD24E4608}">
  <dimension ref="A1:K15"/>
  <sheetViews>
    <sheetView topLeftCell="A5" workbookViewId="0">
      <selection activeCell="C16" sqref="C16"/>
    </sheetView>
  </sheetViews>
  <sheetFormatPr defaultRowHeight="14.5"/>
  <cols>
    <col min="1" max="1" width="26.453125" customWidth="1"/>
    <col min="2" max="2" width="13.90625" customWidth="1"/>
    <col min="3" max="3" width="12.6328125" customWidth="1"/>
    <col min="4" max="4" width="11.81640625" customWidth="1"/>
    <col min="5" max="5" width="14.08984375" customWidth="1"/>
    <col min="6" max="6" width="11.81640625" customWidth="1"/>
    <col min="7" max="7" width="10" customWidth="1"/>
    <col min="8" max="8" width="8.453125" customWidth="1"/>
  </cols>
  <sheetData>
    <row r="1" spans="1:11" s="166" customFormat="1" ht="21">
      <c r="A1" s="184" t="s">
        <v>375</v>
      </c>
      <c r="B1" s="165"/>
      <c r="C1" s="165"/>
      <c r="D1"/>
      <c r="E1"/>
      <c r="F1"/>
      <c r="G1"/>
      <c r="H1"/>
    </row>
    <row r="2" spans="1:11" s="175" customFormat="1" ht="21">
      <c r="A2" s="3" t="s">
        <v>378</v>
      </c>
      <c r="B2" s="163" t="s">
        <v>376</v>
      </c>
      <c r="C2" s="163" t="s">
        <v>377</v>
      </c>
      <c r="D2"/>
      <c r="E2"/>
      <c r="F2"/>
      <c r="G2"/>
      <c r="H2"/>
      <c r="I2" s="166"/>
      <c r="J2" s="166"/>
      <c r="K2" s="166"/>
    </row>
    <row r="3" spans="1:11" ht="21">
      <c r="A3" s="3" t="s">
        <v>380</v>
      </c>
      <c r="B3" s="192">
        <v>10</v>
      </c>
      <c r="C3" s="192">
        <v>15</v>
      </c>
      <c r="I3" s="166"/>
      <c r="J3" s="166"/>
      <c r="K3" s="166"/>
    </row>
    <row r="4" spans="1:11" ht="21">
      <c r="A4" s="10" t="s">
        <v>365</v>
      </c>
      <c r="B4" s="185" t="s">
        <v>379</v>
      </c>
      <c r="C4" s="185" t="s">
        <v>384</v>
      </c>
      <c r="I4" s="166"/>
      <c r="J4" s="166"/>
      <c r="K4" s="166"/>
    </row>
    <row r="5" spans="1:11" ht="21">
      <c r="A5" s="10" t="s">
        <v>372</v>
      </c>
      <c r="B5" s="193">
        <f>4-(0.1*B3)</f>
        <v>3</v>
      </c>
      <c r="C5" s="193">
        <f>5-(0.02*C3)</f>
        <v>4.7</v>
      </c>
      <c r="I5" s="166"/>
      <c r="J5" s="166"/>
      <c r="K5" s="166"/>
    </row>
    <row r="6" spans="1:11" ht="21">
      <c r="A6" s="10" t="s">
        <v>371</v>
      </c>
      <c r="B6" s="185" t="str">
        <f ca="1">_xlfn.FORMULATEXT(B5)</f>
        <v>=4-(0.1*B3)</v>
      </c>
      <c r="C6" s="185" t="str">
        <f t="shared" ref="C6" ca="1" si="0">_xlfn.FORMULATEXT(C5)</f>
        <v>=5-(0.02*C3)</v>
      </c>
      <c r="I6" s="166"/>
      <c r="J6" s="166"/>
      <c r="K6" s="166"/>
    </row>
    <row r="8" spans="1:11">
      <c r="A8" s="3" t="s">
        <v>307</v>
      </c>
    </row>
    <row r="9" spans="1:11">
      <c r="A9" s="3" t="s">
        <v>8</v>
      </c>
      <c r="B9" s="145">
        <f>SUMPRODUCT(B3:C3,B5:C5)</f>
        <v>100.5</v>
      </c>
      <c r="C9" t="s">
        <v>381</v>
      </c>
      <c r="D9" s="188" t="str">
        <f ca="1">_xlfn.FORMULATEXT(B9)</f>
        <v>=SUMPRODUCT(B3:C3,B5:C5)</v>
      </c>
    </row>
    <row r="11" spans="1:11">
      <c r="A11" s="185" t="s">
        <v>225</v>
      </c>
      <c r="B11" s="163" t="s">
        <v>376</v>
      </c>
      <c r="C11" s="163" t="s">
        <v>377</v>
      </c>
      <c r="D11" s="185" t="s">
        <v>145</v>
      </c>
      <c r="E11" s="185" t="s">
        <v>314</v>
      </c>
      <c r="F11" s="185" t="s">
        <v>147</v>
      </c>
    </row>
    <row r="12" spans="1:11">
      <c r="A12" s="185" t="s">
        <v>382</v>
      </c>
      <c r="B12" s="185">
        <v>1</v>
      </c>
      <c r="C12" s="185">
        <v>2</v>
      </c>
      <c r="D12" s="194">
        <f>SUMPRODUCT(B3:C3,B12:C12)</f>
        <v>40</v>
      </c>
      <c r="E12" s="185" t="s">
        <v>149</v>
      </c>
      <c r="F12" s="194">
        <v>40</v>
      </c>
    </row>
    <row r="14" spans="1:11">
      <c r="A14" s="195" t="s">
        <v>327</v>
      </c>
    </row>
    <row r="15" spans="1:11">
      <c r="A15" t="s">
        <v>385</v>
      </c>
    </row>
  </sheetData>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2097-A64B-4AFF-B7AF-EEF4A7258E06}">
  <dimension ref="A1:J21"/>
  <sheetViews>
    <sheetView workbookViewId="0">
      <selection activeCell="C1" sqref="C1:D1"/>
    </sheetView>
  </sheetViews>
  <sheetFormatPr defaultRowHeight="14.5"/>
  <cols>
    <col min="1" max="1" width="26.453125" customWidth="1"/>
    <col min="2" max="2" width="17.90625" customWidth="1"/>
    <col min="3" max="3" width="11.81640625" customWidth="1"/>
    <col min="4" max="4" width="14.08984375" customWidth="1"/>
    <col min="5" max="5" width="11.81640625" customWidth="1"/>
    <col min="6" max="6" width="10" customWidth="1"/>
    <col min="7" max="7" width="8.453125" customWidth="1"/>
  </cols>
  <sheetData>
    <row r="1" spans="1:10" s="166" customFormat="1" ht="21">
      <c r="A1" s="184" t="s">
        <v>405</v>
      </c>
      <c r="B1" s="165"/>
      <c r="C1" s="204"/>
      <c r="D1" s="204"/>
      <c r="E1"/>
      <c r="F1"/>
      <c r="G1"/>
    </row>
    <row r="2" spans="1:10" s="175" customFormat="1" ht="21">
      <c r="A2" s="3" t="s">
        <v>386</v>
      </c>
      <c r="B2" s="163" t="s">
        <v>158</v>
      </c>
      <c r="C2"/>
      <c r="D2"/>
      <c r="E2"/>
      <c r="F2"/>
      <c r="G2"/>
      <c r="H2" s="166"/>
      <c r="I2" s="166"/>
      <c r="J2" s="166"/>
    </row>
    <row r="3" spans="1:10" ht="21">
      <c r="A3" s="3" t="s">
        <v>401</v>
      </c>
      <c r="B3" s="192">
        <v>16000</v>
      </c>
      <c r="H3" s="166"/>
      <c r="I3" s="166"/>
      <c r="J3" s="166"/>
    </row>
    <row r="4" spans="1:10" ht="21">
      <c r="A4" s="10" t="s">
        <v>387</v>
      </c>
      <c r="B4" s="185" t="s">
        <v>388</v>
      </c>
      <c r="H4" s="166"/>
      <c r="I4" s="166"/>
      <c r="J4" s="166"/>
    </row>
    <row r="5" spans="1:10" ht="21">
      <c r="A5" s="10" t="s">
        <v>372</v>
      </c>
      <c r="B5" s="86">
        <f>4-0.0001*B3</f>
        <v>2.4</v>
      </c>
      <c r="H5" s="166"/>
      <c r="I5" s="166"/>
      <c r="J5" s="166"/>
    </row>
    <row r="6" spans="1:10" ht="21">
      <c r="A6" s="10" t="s">
        <v>371</v>
      </c>
      <c r="B6" s="185" t="str">
        <f ca="1">_xlfn.FORMULATEXT(B5)</f>
        <v>=4-0.0001*B3</v>
      </c>
      <c r="H6" s="166"/>
      <c r="I6" s="166"/>
      <c r="J6" s="166"/>
    </row>
    <row r="8" spans="1:10">
      <c r="A8" s="10" t="s">
        <v>389</v>
      </c>
      <c r="B8" s="12"/>
      <c r="C8" s="12"/>
    </row>
    <row r="9" spans="1:10">
      <c r="A9" s="10" t="s">
        <v>390</v>
      </c>
      <c r="B9" s="171">
        <v>1500</v>
      </c>
      <c r="C9" s="12"/>
    </row>
    <row r="10" spans="1:10">
      <c r="A10" s="10" t="s">
        <v>391</v>
      </c>
      <c r="B10" s="171">
        <f>0.8*B3</f>
        <v>12800</v>
      </c>
      <c r="C10" s="185" t="str">
        <f ca="1">_xlfn.FORMULATEXT(B10)</f>
        <v>=0.8*B3</v>
      </c>
    </row>
    <row r="11" spans="1:10">
      <c r="A11" s="10" t="s">
        <v>14</v>
      </c>
      <c r="B11" s="171">
        <f>SUM(B9:B10)</f>
        <v>14300</v>
      </c>
      <c r="C11" s="185" t="str">
        <f ca="1">_xlfn.FORMULATEXT(B11)</f>
        <v>=SUM(B9:B10)</v>
      </c>
    </row>
    <row r="12" spans="1:10">
      <c r="A12" s="10" t="s">
        <v>307</v>
      </c>
      <c r="B12" s="12"/>
      <c r="C12" s="12"/>
    </row>
    <row r="13" spans="1:10">
      <c r="A13" s="10"/>
      <c r="B13" s="12"/>
      <c r="C13" s="12"/>
    </row>
    <row r="14" spans="1:10">
      <c r="A14" s="10" t="s">
        <v>8</v>
      </c>
      <c r="B14" s="196">
        <f>B5*B3</f>
        <v>38400</v>
      </c>
      <c r="C14" s="188" t="str">
        <f ca="1">_xlfn.FORMULATEXT(B14)</f>
        <v>=B5*B3</v>
      </c>
    </row>
    <row r="15" spans="1:10">
      <c r="A15" s="10" t="s">
        <v>53</v>
      </c>
      <c r="B15" s="197">
        <f>B14-B11</f>
        <v>24100</v>
      </c>
      <c r="C15" s="188" t="str">
        <f ca="1">_xlfn.FORMULATEXT(B15)</f>
        <v>=B14-B11</v>
      </c>
    </row>
    <row r="17" spans="1:5">
      <c r="A17" s="185" t="s">
        <v>225</v>
      </c>
      <c r="B17" s="163" t="s">
        <v>158</v>
      </c>
      <c r="C17" s="185" t="s">
        <v>145</v>
      </c>
      <c r="D17" s="185" t="s">
        <v>314</v>
      </c>
      <c r="E17" s="185" t="s">
        <v>147</v>
      </c>
    </row>
    <row r="18" spans="1:5">
      <c r="A18" s="185"/>
      <c r="B18" s="185">
        <v>1</v>
      </c>
      <c r="C18" s="194">
        <f>B18*B3</f>
        <v>16000</v>
      </c>
      <c r="D18" s="185" t="s">
        <v>152</v>
      </c>
      <c r="E18" s="194">
        <v>0</v>
      </c>
    </row>
    <row r="20" spans="1:5">
      <c r="A20" s="195" t="s">
        <v>327</v>
      </c>
    </row>
    <row r="21" spans="1:5">
      <c r="A21" t="s">
        <v>392</v>
      </c>
    </row>
  </sheetData>
  <pageMargins left="0.7" right="0.7" top="0.75" bottom="0.75" header="0.3" footer="0.3"/>
  <pageSetup paperSize="9" orientation="portrait" r:id="rId1"/>
  <drawing r:id="rId2"/>
  <extLst>
    <ext xmlns:x15="http://schemas.microsoft.com/office/spreadsheetml/2010/11/main" uri="{F7C9EE02-42E1-4005-9D12-6889AFFD525C}">
      <x15:webExtensions xmlns:xm="http://schemas.microsoft.com/office/excel/2006/main">
        <x15:webExtension appRef="{93E59C5E-D562-4312-8E80-906C115CB3AC}">
          <xm:f>'NON LINEAR PROGRAM (HOT DOG)'!1:1048576</xm:f>
        </x15:webExtension>
        <x15:webExtension appRef="{668EF58A-4D87-40C5-8E4B-40DEE3AB7E99}">
          <xm:f>'NON LINEAR PROGRAM (HOT DOG)'!XFD1048550:XFD1048575</xm:f>
        </x15:webExtension>
        <x15:webExtension appRef="{15ED0969-7975-4C0F-8639-B0B402DB81BB}">
          <xm:f>'NON LINEAR PROGRAM (HOT DOG)'!B15</xm:f>
        </x15:webExtension>
      </x15:webExtens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01DA3-4DBD-477F-9A0E-B7236FC5603F}">
  <dimension ref="A1:J21"/>
  <sheetViews>
    <sheetView workbookViewId="0">
      <selection activeCell="C1" sqref="C1:D1"/>
    </sheetView>
  </sheetViews>
  <sheetFormatPr defaultRowHeight="14.5"/>
  <cols>
    <col min="1" max="1" width="26.453125" customWidth="1"/>
    <col min="2" max="2" width="17.90625" customWidth="1"/>
    <col min="3" max="3" width="11.81640625" customWidth="1"/>
    <col min="4" max="4" width="14.08984375" customWidth="1"/>
    <col min="5" max="5" width="11.81640625" customWidth="1"/>
    <col min="6" max="6" width="10" customWidth="1"/>
    <col min="7" max="7" width="8.453125" customWidth="1"/>
  </cols>
  <sheetData>
    <row r="1" spans="1:10" s="166" customFormat="1" ht="21">
      <c r="A1" s="184" t="s">
        <v>404</v>
      </c>
      <c r="B1" s="165"/>
      <c r="C1" s="204"/>
      <c r="D1" s="204"/>
      <c r="E1"/>
      <c r="F1"/>
      <c r="G1"/>
    </row>
    <row r="2" spans="1:10" s="175" customFormat="1" ht="21">
      <c r="A2" s="3" t="s">
        <v>386</v>
      </c>
      <c r="B2" s="163" t="s">
        <v>158</v>
      </c>
      <c r="C2"/>
      <c r="D2"/>
      <c r="E2"/>
      <c r="F2"/>
      <c r="G2"/>
      <c r="H2" s="166"/>
      <c r="I2" s="166"/>
      <c r="J2" s="166"/>
    </row>
    <row r="3" spans="1:10" ht="21">
      <c r="A3" s="3" t="s">
        <v>72</v>
      </c>
      <c r="B3" s="198">
        <v>3.7999999967981557</v>
      </c>
      <c r="H3" s="166"/>
      <c r="I3" s="166"/>
      <c r="J3" s="166"/>
    </row>
    <row r="4" spans="1:10" ht="21">
      <c r="A4" s="10" t="s">
        <v>402</v>
      </c>
      <c r="B4" s="185" t="s">
        <v>403</v>
      </c>
      <c r="H4" s="166"/>
      <c r="I4" s="166"/>
      <c r="J4" s="166"/>
    </row>
    <row r="5" spans="1:10" ht="21">
      <c r="A5" s="10" t="s">
        <v>401</v>
      </c>
      <c r="B5" s="199">
        <f>70000-10000*B3</f>
        <v>32000.000032018441</v>
      </c>
      <c r="H5" s="166"/>
      <c r="I5" s="166"/>
      <c r="J5" s="166"/>
    </row>
    <row r="6" spans="1:10" ht="21">
      <c r="A6" s="10" t="s">
        <v>371</v>
      </c>
      <c r="B6" s="185" t="str">
        <f ca="1">_xlfn.FORMULATEXT(B5)</f>
        <v>=70000-10000*B3</v>
      </c>
      <c r="H6" s="166"/>
      <c r="I6" s="166"/>
      <c r="J6" s="166"/>
    </row>
    <row r="8" spans="1:10">
      <c r="A8" s="10" t="s">
        <v>389</v>
      </c>
      <c r="B8" s="12"/>
      <c r="C8" s="12"/>
    </row>
    <row r="9" spans="1:10">
      <c r="A9" s="10" t="s">
        <v>390</v>
      </c>
      <c r="B9" s="171">
        <v>2500</v>
      </c>
      <c r="C9" s="12"/>
    </row>
    <row r="10" spans="1:10">
      <c r="A10" s="10" t="s">
        <v>391</v>
      </c>
      <c r="B10" s="171">
        <f>0.6*B5</f>
        <v>19200.000019211064</v>
      </c>
      <c r="C10" s="185" t="str">
        <f ca="1">_xlfn.FORMULATEXT(B10)</f>
        <v>=0.6*B5</v>
      </c>
    </row>
    <row r="11" spans="1:10">
      <c r="A11" s="10" t="s">
        <v>14</v>
      </c>
      <c r="B11" s="171">
        <f>SUM(B9:B10)</f>
        <v>21700.000019211064</v>
      </c>
      <c r="C11" s="185" t="str">
        <f ca="1">_xlfn.FORMULATEXT(B11)</f>
        <v>=SUM(B9:B10)</v>
      </c>
    </row>
    <row r="12" spans="1:10">
      <c r="A12" s="10" t="s">
        <v>307</v>
      </c>
      <c r="B12" s="12"/>
      <c r="C12" s="12"/>
    </row>
    <row r="13" spans="1:10">
      <c r="A13" s="10"/>
      <c r="B13" s="12"/>
      <c r="C13" s="12"/>
    </row>
    <row r="14" spans="1:10">
      <c r="A14" s="10" t="s">
        <v>8</v>
      </c>
      <c r="B14" s="196">
        <f>B5*B3</f>
        <v>121600.00001921106</v>
      </c>
      <c r="C14" s="188" t="str">
        <f ca="1">_xlfn.FORMULATEXT(B14)</f>
        <v>=B5*B3</v>
      </c>
    </row>
    <row r="15" spans="1:10">
      <c r="A15" s="10" t="s">
        <v>53</v>
      </c>
      <c r="B15" s="197">
        <f>B14-B11</f>
        <v>99900</v>
      </c>
      <c r="C15" s="188" t="str">
        <f ca="1">_xlfn.FORMULATEXT(B15)</f>
        <v>=B14-B11</v>
      </c>
    </row>
    <row r="17" spans="1:5">
      <c r="A17" s="185" t="s">
        <v>225</v>
      </c>
      <c r="B17" s="163" t="s">
        <v>158</v>
      </c>
      <c r="C17" s="185" t="s">
        <v>145</v>
      </c>
      <c r="D17" s="185" t="s">
        <v>314</v>
      </c>
      <c r="E17" s="185" t="s">
        <v>147</v>
      </c>
    </row>
    <row r="18" spans="1:5">
      <c r="A18" s="185"/>
      <c r="B18" s="185">
        <v>1</v>
      </c>
      <c r="C18" s="194">
        <f>B18*B5</f>
        <v>32000.000032018441</v>
      </c>
      <c r="D18" s="185" t="s">
        <v>152</v>
      </c>
      <c r="E18" s="194">
        <v>0</v>
      </c>
    </row>
    <row r="20" spans="1:5">
      <c r="A20" s="195" t="s">
        <v>327</v>
      </c>
    </row>
    <row r="21" spans="1:5">
      <c r="A21" t="s">
        <v>392</v>
      </c>
    </row>
  </sheetData>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5864-CEF5-483E-A05A-55BA78086DC9}">
  <dimension ref="A1:Q88"/>
  <sheetViews>
    <sheetView topLeftCell="A57" zoomScale="70" zoomScaleNormal="70" workbookViewId="0">
      <selection activeCell="M71" sqref="M71"/>
    </sheetView>
  </sheetViews>
  <sheetFormatPr defaultColWidth="9.6328125" defaultRowHeight="16"/>
  <cols>
    <col min="1" max="1" width="13.08984375" style="205" customWidth="1"/>
    <col min="2" max="2" width="15.26953125" style="205" customWidth="1"/>
    <col min="3" max="3" width="15.6328125" style="205" customWidth="1"/>
    <col min="4" max="4" width="19.6328125" style="205" customWidth="1"/>
    <col min="5" max="5" width="18.54296875" style="205" customWidth="1"/>
    <col min="6" max="7" width="18.90625" style="205" customWidth="1"/>
    <col min="8" max="8" width="9.81640625" style="205" customWidth="1"/>
    <col min="9" max="9" width="10.81640625" style="205" customWidth="1"/>
    <col min="10" max="10" width="7.81640625" style="205" customWidth="1"/>
    <col min="11" max="11" width="16" style="205" customWidth="1"/>
    <col min="12" max="12" width="10.54296875" style="205" customWidth="1"/>
    <col min="13" max="13" width="37.08984375" style="205" customWidth="1"/>
    <col min="14" max="14" width="20.1796875" style="205" customWidth="1"/>
    <col min="15" max="15" width="18" style="205" customWidth="1"/>
    <col min="16" max="16" width="15.6328125" style="205" customWidth="1"/>
    <col min="17" max="16384" width="9.6328125" style="205"/>
  </cols>
  <sheetData>
    <row r="1" spans="1:16" ht="21">
      <c r="A1" s="295" t="s">
        <v>406</v>
      </c>
      <c r="B1" s="296"/>
      <c r="C1" s="296"/>
      <c r="D1" s="296"/>
      <c r="E1" s="296"/>
      <c r="F1" s="296"/>
      <c r="G1" s="296"/>
      <c r="H1" s="296"/>
      <c r="I1" s="296"/>
      <c r="J1" s="296"/>
      <c r="K1" s="296"/>
      <c r="L1" s="296"/>
    </row>
    <row r="2" spans="1:16">
      <c r="A2" s="206" t="s">
        <v>407</v>
      </c>
    </row>
    <row r="3" spans="1:16">
      <c r="B3" s="207" t="s">
        <v>408</v>
      </c>
      <c r="C3" s="208" t="s">
        <v>409</v>
      </c>
      <c r="D3" s="208" t="s">
        <v>410</v>
      </c>
      <c r="E3" s="208" t="s">
        <v>411</v>
      </c>
      <c r="F3" s="208" t="s">
        <v>412</v>
      </c>
      <c r="G3" s="209" t="s">
        <v>413</v>
      </c>
      <c r="H3" s="208" t="s">
        <v>136</v>
      </c>
      <c r="I3" s="206"/>
      <c r="J3" s="206"/>
      <c r="M3" s="297" t="s">
        <v>55</v>
      </c>
      <c r="N3" s="297"/>
    </row>
    <row r="4" spans="1:16" ht="21">
      <c r="B4" s="210">
        <v>1</v>
      </c>
      <c r="C4" s="211" t="s">
        <v>414</v>
      </c>
      <c r="D4" s="212">
        <v>1</v>
      </c>
      <c r="E4" s="213">
        <v>250</v>
      </c>
      <c r="F4" s="213">
        <v>100</v>
      </c>
      <c r="G4" s="214">
        <v>100</v>
      </c>
      <c r="H4" s="211">
        <v>60</v>
      </c>
      <c r="M4" s="215" t="s">
        <v>415</v>
      </c>
      <c r="N4" s="216">
        <v>50000</v>
      </c>
      <c r="P4" s="217"/>
    </row>
    <row r="5" spans="1:16">
      <c r="B5" s="210">
        <v>2</v>
      </c>
      <c r="C5" s="211" t="s">
        <v>414</v>
      </c>
      <c r="D5" s="212">
        <v>0.33</v>
      </c>
      <c r="E5" s="213">
        <v>500</v>
      </c>
      <c r="F5" s="213">
        <v>300</v>
      </c>
      <c r="G5" s="214">
        <v>300</v>
      </c>
      <c r="H5" s="211">
        <v>180</v>
      </c>
      <c r="M5" s="215" t="s">
        <v>416</v>
      </c>
      <c r="N5" s="216">
        <v>10000</v>
      </c>
    </row>
    <row r="6" spans="1:16">
      <c r="B6" s="210">
        <v>3</v>
      </c>
      <c r="C6" s="211" t="s">
        <v>414</v>
      </c>
      <c r="D6" s="212">
        <v>0.5</v>
      </c>
      <c r="E6" s="213">
        <v>100</v>
      </c>
      <c r="F6" s="213">
        <v>200</v>
      </c>
      <c r="G6" s="214">
        <v>400</v>
      </c>
      <c r="H6" s="211">
        <v>80</v>
      </c>
      <c r="M6" s="215" t="s">
        <v>417</v>
      </c>
      <c r="N6" s="216">
        <v>4000</v>
      </c>
    </row>
    <row r="7" spans="1:16">
      <c r="B7" s="210">
        <v>4</v>
      </c>
      <c r="C7" s="211" t="s">
        <v>414</v>
      </c>
      <c r="D7" s="212">
        <v>1</v>
      </c>
      <c r="E7" s="213">
        <v>750</v>
      </c>
      <c r="F7" s="213">
        <v>500</v>
      </c>
      <c r="G7" s="214">
        <v>300</v>
      </c>
      <c r="H7" s="211">
        <v>310</v>
      </c>
      <c r="M7" s="215" t="s">
        <v>418</v>
      </c>
      <c r="N7" s="218">
        <v>0.12</v>
      </c>
    </row>
    <row r="8" spans="1:16">
      <c r="B8" s="210">
        <v>5</v>
      </c>
      <c r="C8" s="211" t="s">
        <v>414</v>
      </c>
      <c r="D8" s="212">
        <v>0.75</v>
      </c>
      <c r="E8" s="213">
        <v>200</v>
      </c>
      <c r="F8" s="213">
        <v>400</v>
      </c>
      <c r="G8" s="214">
        <v>800</v>
      </c>
      <c r="H8" s="211">
        <v>220</v>
      </c>
    </row>
    <row r="9" spans="1:16">
      <c r="B9" s="219">
        <v>6</v>
      </c>
      <c r="C9" s="220" t="s">
        <v>419</v>
      </c>
      <c r="D9" s="221">
        <v>0.5</v>
      </c>
      <c r="E9" s="222">
        <v>1000</v>
      </c>
      <c r="F9" s="222">
        <v>300</v>
      </c>
      <c r="G9" s="223">
        <v>300</v>
      </c>
      <c r="H9" s="220">
        <v>180</v>
      </c>
      <c r="M9" s="298" t="s">
        <v>420</v>
      </c>
      <c r="N9" s="299"/>
    </row>
    <row r="10" spans="1:16">
      <c r="B10" s="219">
        <v>7</v>
      </c>
      <c r="C10" s="220" t="s">
        <v>419</v>
      </c>
      <c r="D10" s="221">
        <v>1</v>
      </c>
      <c r="E10" s="222">
        <v>750</v>
      </c>
      <c r="F10" s="222">
        <v>750</v>
      </c>
      <c r="G10" s="223">
        <v>300</v>
      </c>
      <c r="H10" s="220">
        <v>410</v>
      </c>
      <c r="M10" s="224" t="s">
        <v>421</v>
      </c>
      <c r="N10" s="224">
        <f>IF(D38&lt;4000,1,0)</f>
        <v>1</v>
      </c>
    </row>
    <row r="11" spans="1:16">
      <c r="B11" s="219">
        <v>8</v>
      </c>
      <c r="C11" s="220" t="s">
        <v>419</v>
      </c>
      <c r="D11" s="221">
        <v>1</v>
      </c>
      <c r="E11" s="222">
        <v>800</v>
      </c>
      <c r="F11" s="222">
        <v>700</v>
      </c>
      <c r="G11" s="223">
        <v>600</v>
      </c>
      <c r="H11" s="220">
        <v>280</v>
      </c>
      <c r="M11" s="224" t="s">
        <v>422</v>
      </c>
      <c r="N11" s="224">
        <f>IF(E38&lt;4000,1,0)</f>
        <v>1</v>
      </c>
    </row>
    <row r="12" spans="1:16">
      <c r="B12" s="219">
        <v>9</v>
      </c>
      <c r="C12" s="220" t="s">
        <v>419</v>
      </c>
      <c r="D12" s="221">
        <v>0.67</v>
      </c>
      <c r="E12" s="222">
        <v>400</v>
      </c>
      <c r="F12" s="222">
        <v>600</v>
      </c>
      <c r="G12" s="223">
        <v>800</v>
      </c>
      <c r="H12" s="220">
        <v>380</v>
      </c>
      <c r="M12" s="224" t="s">
        <v>423</v>
      </c>
      <c r="N12" s="224">
        <f>IF(F38&lt;4000,1,0)</f>
        <v>1</v>
      </c>
    </row>
    <row r="13" spans="1:16">
      <c r="B13" s="225">
        <v>10</v>
      </c>
      <c r="C13" s="226" t="s">
        <v>424</v>
      </c>
      <c r="D13" s="227">
        <v>1</v>
      </c>
      <c r="E13" s="228">
        <v>100</v>
      </c>
      <c r="F13" s="228">
        <v>200</v>
      </c>
      <c r="G13" s="229">
        <v>400</v>
      </c>
      <c r="H13" s="226">
        <v>100</v>
      </c>
      <c r="M13" s="224" t="s">
        <v>425</v>
      </c>
      <c r="N13" s="224">
        <f>IF(G38&lt;10000,1,0)</f>
        <v>1</v>
      </c>
    </row>
    <row r="14" spans="1:16">
      <c r="B14" s="225">
        <v>11</v>
      </c>
      <c r="C14" s="226" t="s">
        <v>424</v>
      </c>
      <c r="D14" s="227">
        <v>0.5</v>
      </c>
      <c r="E14" s="228">
        <v>700</v>
      </c>
      <c r="F14" s="228">
        <v>500</v>
      </c>
      <c r="G14" s="229">
        <v>300</v>
      </c>
      <c r="H14" s="226">
        <v>260</v>
      </c>
      <c r="M14" s="224" t="s">
        <v>426</v>
      </c>
      <c r="N14" s="224">
        <f>IF(AND(N15&gt;=1,N16&gt;=1,N17&gt;=1),1,0)</f>
        <v>1</v>
      </c>
      <c r="O14" s="224" t="s">
        <v>426</v>
      </c>
    </row>
    <row r="15" spans="1:16">
      <c r="B15" s="225">
        <v>12</v>
      </c>
      <c r="C15" s="226" t="s">
        <v>424</v>
      </c>
      <c r="D15" s="227">
        <v>1</v>
      </c>
      <c r="E15" s="228">
        <v>1500</v>
      </c>
      <c r="F15" s="228">
        <v>400</v>
      </c>
      <c r="G15" s="229">
        <v>400</v>
      </c>
      <c r="H15" s="226">
        <v>340</v>
      </c>
      <c r="M15" s="224" t="s">
        <v>427</v>
      </c>
      <c r="N15" s="224">
        <f>SUM(K19:K23)</f>
        <v>3</v>
      </c>
      <c r="O15" s="230" t="s">
        <v>152</v>
      </c>
      <c r="P15" s="205">
        <v>1</v>
      </c>
    </row>
    <row r="16" spans="1:16" ht="17" customHeight="1">
      <c r="M16" s="224" t="s">
        <v>428</v>
      </c>
      <c r="N16" s="224">
        <f>SUM(K26:K29)</f>
        <v>4</v>
      </c>
      <c r="O16" s="230" t="s">
        <v>152</v>
      </c>
      <c r="P16" s="205">
        <v>1</v>
      </c>
    </row>
    <row r="17" spans="1:17">
      <c r="D17" s="300" t="s">
        <v>429</v>
      </c>
      <c r="E17" s="300"/>
      <c r="F17" s="300"/>
      <c r="G17" s="300"/>
      <c r="M17" s="224" t="s">
        <v>430</v>
      </c>
      <c r="N17" s="224">
        <f>SUM(K32:K34)</f>
        <v>1</v>
      </c>
      <c r="O17" s="230" t="s">
        <v>152</v>
      </c>
      <c r="P17" s="205">
        <v>1</v>
      </c>
    </row>
    <row r="18" spans="1:17">
      <c r="A18" s="231" t="s">
        <v>408</v>
      </c>
      <c r="B18" s="232" t="s">
        <v>409</v>
      </c>
      <c r="C18" s="232" t="s">
        <v>410</v>
      </c>
      <c r="D18" s="232" t="s">
        <v>431</v>
      </c>
      <c r="E18" s="232" t="s">
        <v>432</v>
      </c>
      <c r="F18" s="233" t="s">
        <v>433</v>
      </c>
      <c r="G18" s="232" t="s">
        <v>434</v>
      </c>
      <c r="H18" s="233" t="s">
        <v>136</v>
      </c>
      <c r="I18" s="232" t="s">
        <v>435</v>
      </c>
      <c r="J18" s="232" t="s">
        <v>436</v>
      </c>
      <c r="K18" s="234" t="s">
        <v>437</v>
      </c>
      <c r="L18" s="256" t="s">
        <v>455</v>
      </c>
      <c r="M18" s="224" t="s">
        <v>438</v>
      </c>
      <c r="N18" s="224">
        <f>SUM(N15:N17)</f>
        <v>8</v>
      </c>
      <c r="O18" s="230" t="s">
        <v>152</v>
      </c>
      <c r="P18" s="205">
        <v>1</v>
      </c>
    </row>
    <row r="19" spans="1:17">
      <c r="A19" s="235">
        <v>1</v>
      </c>
      <c r="B19" s="236" t="s">
        <v>414</v>
      </c>
      <c r="C19" s="237">
        <v>1</v>
      </c>
      <c r="D19" s="238">
        <f>E4*C19</f>
        <v>250</v>
      </c>
      <c r="E19" s="238">
        <f>F4*C19</f>
        <v>100</v>
      </c>
      <c r="F19" s="239">
        <f>G4*C19</f>
        <v>100</v>
      </c>
      <c r="G19" s="239">
        <f>SUM(D19,E19,F19)</f>
        <v>450</v>
      </c>
      <c r="H19" s="239">
        <f>H4</f>
        <v>60</v>
      </c>
      <c r="I19" s="238">
        <f>H19*(1-$N$7)</f>
        <v>52.8</v>
      </c>
      <c r="J19" s="237" t="str">
        <f>IF(K19=0,"",I19/SUM(E4:G4))</f>
        <v/>
      </c>
      <c r="K19" s="240">
        <v>0</v>
      </c>
      <c r="L19" s="230" t="e">
        <f>MATCH(1,C71:J71,0)</f>
        <v>#N/A</v>
      </c>
    </row>
    <row r="20" spans="1:17">
      <c r="A20" s="235">
        <v>2</v>
      </c>
      <c r="B20" s="236" t="s">
        <v>414</v>
      </c>
      <c r="C20" s="237">
        <v>0.33</v>
      </c>
      <c r="D20" s="238">
        <f>E5*C20</f>
        <v>165</v>
      </c>
      <c r="E20" s="238">
        <f>F5*C20</f>
        <v>99</v>
      </c>
      <c r="F20" s="239">
        <f>G5*C20</f>
        <v>99</v>
      </c>
      <c r="G20" s="239">
        <f>SUM(D20,E20,F20)</f>
        <v>363</v>
      </c>
      <c r="H20" s="239">
        <f>H5</f>
        <v>180</v>
      </c>
      <c r="I20" s="238">
        <f>H20*(1-$N$7)</f>
        <v>158.4</v>
      </c>
      <c r="J20" s="237">
        <f>IF(K20=0,"",I20/SUM(E5:G5))</f>
        <v>0.14400000000000002</v>
      </c>
      <c r="K20" s="240">
        <v>1</v>
      </c>
      <c r="L20" s="230">
        <f>_xlfn.XMATCH(1,C72:J72,0)</f>
        <v>4</v>
      </c>
      <c r="M20" s="232" t="s">
        <v>439</v>
      </c>
      <c r="N20" s="208">
        <f>IF(SUM(N10:N14)=5,1,0)</f>
        <v>1</v>
      </c>
    </row>
    <row r="21" spans="1:17">
      <c r="A21" s="235">
        <v>3</v>
      </c>
      <c r="B21" s="236" t="s">
        <v>414</v>
      </c>
      <c r="C21" s="237">
        <v>0.5</v>
      </c>
      <c r="D21" s="238">
        <f>E6*C21</f>
        <v>50</v>
      </c>
      <c r="E21" s="238">
        <f>F6*C21</f>
        <v>100</v>
      </c>
      <c r="F21" s="239">
        <f>G6*C21</f>
        <v>200</v>
      </c>
      <c r="G21" s="239">
        <f t="shared" ref="G21:G34" si="0">SUM(D21,E21,F21)</f>
        <v>350</v>
      </c>
      <c r="H21" s="239">
        <f>H6</f>
        <v>80</v>
      </c>
      <c r="I21" s="238">
        <f>H21*(1-$N$7)</f>
        <v>70.400000000000006</v>
      </c>
      <c r="J21" s="237" t="str">
        <f>IF(K21=0,"",I21/SUM(E6:G6))</f>
        <v/>
      </c>
      <c r="K21" s="240">
        <v>0</v>
      </c>
      <c r="L21" s="230" t="e">
        <f>_xlfn.XMATCH(1,C73:J73,0)</f>
        <v>#N/A</v>
      </c>
    </row>
    <row r="22" spans="1:17">
      <c r="A22" s="235">
        <v>4</v>
      </c>
      <c r="B22" s="236" t="s">
        <v>414</v>
      </c>
      <c r="C22" s="241">
        <v>1</v>
      </c>
      <c r="D22" s="238">
        <f>E7*C22</f>
        <v>750</v>
      </c>
      <c r="E22" s="238">
        <f>F7*C22</f>
        <v>500</v>
      </c>
      <c r="F22" s="239">
        <f>G7*C22</f>
        <v>300</v>
      </c>
      <c r="G22" s="239">
        <f t="shared" si="0"/>
        <v>1550</v>
      </c>
      <c r="H22" s="239">
        <f>H7</f>
        <v>310</v>
      </c>
      <c r="I22" s="238">
        <f>H22*(1-$N$7)</f>
        <v>272.8</v>
      </c>
      <c r="J22" s="237">
        <f>IF(K22=0,"",I22/SUM(E7:G7))</f>
        <v>0.17600000000000002</v>
      </c>
      <c r="K22" s="240">
        <v>1</v>
      </c>
      <c r="L22" s="230">
        <f>_xlfn.XMATCH(1,C74:J74,0)</f>
        <v>1</v>
      </c>
    </row>
    <row r="23" spans="1:17">
      <c r="A23" s="235">
        <v>5</v>
      </c>
      <c r="B23" s="236" t="s">
        <v>414</v>
      </c>
      <c r="C23" s="242">
        <v>0.75</v>
      </c>
      <c r="D23" s="238">
        <f>E8*C23</f>
        <v>150</v>
      </c>
      <c r="E23" s="238">
        <f>F8*C23</f>
        <v>300</v>
      </c>
      <c r="F23" s="239">
        <f>G8*C23</f>
        <v>600</v>
      </c>
      <c r="G23" s="238">
        <f t="shared" si="0"/>
        <v>1050</v>
      </c>
      <c r="H23" s="239">
        <f>H8</f>
        <v>220</v>
      </c>
      <c r="I23" s="238">
        <f>H23*(1-$N$7)</f>
        <v>193.6</v>
      </c>
      <c r="J23" s="237">
        <f>IF(K23=0,"",I23/SUM(E8:G8))</f>
        <v>0.13828571428571429</v>
      </c>
      <c r="K23" s="240">
        <v>1</v>
      </c>
      <c r="L23" s="230">
        <f t="shared" ref="L23" si="1">_xlfn.XMATCH(1,C75:J75,0)</f>
        <v>7</v>
      </c>
    </row>
    <row r="24" spans="1:17">
      <c r="C24" s="243" t="s">
        <v>440</v>
      </c>
      <c r="D24" s="244">
        <f>SUMPRODUCT(D19:D23,K19:K23)</f>
        <v>1065</v>
      </c>
      <c r="E24" s="244">
        <f>SUMPRODUCT(E19:E23,K19:K23)</f>
        <v>899</v>
      </c>
      <c r="F24" s="244">
        <f>SUMPRODUCT(F19:F23,K19:K23)</f>
        <v>999</v>
      </c>
      <c r="G24" s="244">
        <f t="shared" si="0"/>
        <v>2963</v>
      </c>
      <c r="K24" s="230"/>
      <c r="L24" s="230"/>
      <c r="O24" s="301" t="s">
        <v>441</v>
      </c>
      <c r="P24" s="301"/>
      <c r="Q24" s="301"/>
    </row>
    <row r="25" spans="1:17">
      <c r="K25" s="230"/>
      <c r="L25" s="230"/>
      <c r="N25" s="224"/>
      <c r="O25" s="245" t="s">
        <v>442</v>
      </c>
      <c r="P25" s="245" t="s">
        <v>443</v>
      </c>
      <c r="Q25" s="245" t="s">
        <v>444</v>
      </c>
    </row>
    <row r="26" spans="1:17">
      <c r="A26" s="235">
        <v>6</v>
      </c>
      <c r="B26" s="246" t="s">
        <v>419</v>
      </c>
      <c r="C26" s="237">
        <v>0.5</v>
      </c>
      <c r="D26" s="238">
        <f>E9*C26</f>
        <v>500</v>
      </c>
      <c r="E26" s="238">
        <f>F9*C26</f>
        <v>150</v>
      </c>
      <c r="F26" s="239">
        <f>G9*C26</f>
        <v>150</v>
      </c>
      <c r="G26" s="239">
        <f t="shared" si="0"/>
        <v>800</v>
      </c>
      <c r="H26" s="239">
        <f>H9</f>
        <v>180</v>
      </c>
      <c r="I26" s="238">
        <f>H26*(1-$N$7)</f>
        <v>158.4</v>
      </c>
      <c r="J26" s="237">
        <f>IF(K26=0,"",I26/SUM(E9:G9))</f>
        <v>9.9000000000000005E-2</v>
      </c>
      <c r="K26" s="240">
        <v>1</v>
      </c>
      <c r="L26" s="230">
        <f>_xlfn.XMATCH(1,C76:J76,0)</f>
        <v>6</v>
      </c>
      <c r="M26" s="302" t="s">
        <v>445</v>
      </c>
      <c r="N26" s="245" t="s">
        <v>446</v>
      </c>
      <c r="O26" s="247">
        <f>D24</f>
        <v>1065</v>
      </c>
      <c r="P26" s="247">
        <f>E24</f>
        <v>899</v>
      </c>
      <c r="Q26" s="247">
        <f>F24</f>
        <v>999</v>
      </c>
    </row>
    <row r="27" spans="1:17">
      <c r="A27" s="235">
        <v>7</v>
      </c>
      <c r="B27" s="246" t="s">
        <v>419</v>
      </c>
      <c r="C27" s="237">
        <v>1</v>
      </c>
      <c r="D27" s="238">
        <f>E10*C27</f>
        <v>750</v>
      </c>
      <c r="E27" s="238">
        <f>F10*C27</f>
        <v>750</v>
      </c>
      <c r="F27" s="239">
        <f>G10*C27</f>
        <v>300</v>
      </c>
      <c r="G27" s="239">
        <f t="shared" si="0"/>
        <v>1800</v>
      </c>
      <c r="H27" s="239">
        <f>H10</f>
        <v>410</v>
      </c>
      <c r="I27" s="238">
        <f>H27*(1-$N$7)</f>
        <v>360.8</v>
      </c>
      <c r="J27" s="237">
        <f>IF(K27=0,"",I27/SUM(E10:G10))</f>
        <v>0.20044444444444445</v>
      </c>
      <c r="K27" s="240">
        <v>1</v>
      </c>
      <c r="L27" s="230">
        <f t="shared" ref="L27:L29" si="2">_xlfn.XMATCH(1,C77:J77,0)</f>
        <v>5</v>
      </c>
      <c r="M27" s="302"/>
      <c r="N27" s="245" t="s">
        <v>419</v>
      </c>
      <c r="O27" s="247">
        <f>D30</f>
        <v>2318</v>
      </c>
      <c r="P27" s="247">
        <f>E30</f>
        <v>2002</v>
      </c>
      <c r="Q27" s="247">
        <f>F30</f>
        <v>1586</v>
      </c>
    </row>
    <row r="28" spans="1:17">
      <c r="A28" s="235">
        <v>8</v>
      </c>
      <c r="B28" s="246" t="s">
        <v>419</v>
      </c>
      <c r="C28" s="237">
        <v>1</v>
      </c>
      <c r="D28" s="238">
        <f>E11*C28</f>
        <v>800</v>
      </c>
      <c r="E28" s="238">
        <f>F11*C28</f>
        <v>700</v>
      </c>
      <c r="F28" s="239">
        <f>G11*C28</f>
        <v>600</v>
      </c>
      <c r="G28" s="239">
        <f t="shared" si="0"/>
        <v>2100</v>
      </c>
      <c r="H28" s="239">
        <f>H11</f>
        <v>280</v>
      </c>
      <c r="I28" s="238">
        <f>H28*(1-$N$7)</f>
        <v>246.4</v>
      </c>
      <c r="J28" s="237">
        <f>IF(K28=0,"",I28/SUM(E11:G11))</f>
        <v>0.11733333333333333</v>
      </c>
      <c r="K28" s="240">
        <v>1</v>
      </c>
      <c r="L28" s="230">
        <f t="shared" si="2"/>
        <v>2</v>
      </c>
      <c r="M28" s="302"/>
      <c r="N28" s="245" t="s">
        <v>424</v>
      </c>
      <c r="O28" s="247">
        <f>D35</f>
        <v>350</v>
      </c>
      <c r="P28" s="247">
        <f>E35</f>
        <v>250</v>
      </c>
      <c r="Q28" s="247">
        <f>F35</f>
        <v>150</v>
      </c>
    </row>
    <row r="29" spans="1:17">
      <c r="A29" s="235">
        <v>9</v>
      </c>
      <c r="B29" s="246" t="s">
        <v>419</v>
      </c>
      <c r="C29" s="237">
        <v>0.67</v>
      </c>
      <c r="D29" s="238">
        <f>E12*C29</f>
        <v>268</v>
      </c>
      <c r="E29" s="238">
        <f>F12*C29</f>
        <v>402</v>
      </c>
      <c r="F29" s="239">
        <f>G12*C29</f>
        <v>536</v>
      </c>
      <c r="G29" s="239">
        <f t="shared" si="0"/>
        <v>1206</v>
      </c>
      <c r="H29" s="239">
        <f>H12</f>
        <v>380</v>
      </c>
      <c r="I29" s="238">
        <f>H29*(1-$N$7)</f>
        <v>334.4</v>
      </c>
      <c r="J29" s="237">
        <f>IF(K29=0,"",I29/SUM(E12:G12))</f>
        <v>0.18577777777777776</v>
      </c>
      <c r="K29" s="240">
        <v>1</v>
      </c>
      <c r="L29" s="230">
        <f t="shared" si="2"/>
        <v>3</v>
      </c>
    </row>
    <row r="30" spans="1:17">
      <c r="C30" s="243" t="s">
        <v>447</v>
      </c>
      <c r="D30" s="244">
        <f>SUMPRODUCT(D26:D29,$K$26:$K$29)</f>
        <v>2318</v>
      </c>
      <c r="E30" s="244">
        <f>SUMPRODUCT(E26:E29,$K$26:$K$29)</f>
        <v>2002</v>
      </c>
      <c r="F30" s="244">
        <f>SUMPRODUCT(F26:F29,$K$26:$K$29)</f>
        <v>1586</v>
      </c>
      <c r="G30" s="247">
        <f>SUM(D30:F30)</f>
        <v>5906</v>
      </c>
      <c r="K30" s="230"/>
      <c r="L30" s="230"/>
    </row>
    <row r="31" spans="1:17">
      <c r="K31" s="230"/>
      <c r="L31" s="230"/>
    </row>
    <row r="32" spans="1:17">
      <c r="A32" s="235">
        <v>10</v>
      </c>
      <c r="B32" s="248" t="s">
        <v>424</v>
      </c>
      <c r="C32" s="237">
        <v>1</v>
      </c>
      <c r="D32" s="238">
        <f>E13*C32</f>
        <v>100</v>
      </c>
      <c r="E32" s="238">
        <f>F13*C32</f>
        <v>200</v>
      </c>
      <c r="F32" s="239">
        <f>G13*C32</f>
        <v>400</v>
      </c>
      <c r="G32" s="239">
        <f t="shared" si="0"/>
        <v>700</v>
      </c>
      <c r="H32" s="249">
        <f>H13</f>
        <v>100</v>
      </c>
      <c r="I32" s="238">
        <f>H32*(1-$N$7)</f>
        <v>88</v>
      </c>
      <c r="J32" s="237" t="str">
        <f>IF(K32=0,"",I32/SUM(E13:G13))</f>
        <v/>
      </c>
      <c r="K32" s="240">
        <v>0</v>
      </c>
      <c r="L32" s="230" t="e">
        <f>_xlfn.XMATCH(1,C80:J80,0)</f>
        <v>#N/A</v>
      </c>
    </row>
    <row r="33" spans="1:12">
      <c r="A33" s="235">
        <v>11</v>
      </c>
      <c r="B33" s="248" t="s">
        <v>424</v>
      </c>
      <c r="C33" s="237">
        <v>0.5</v>
      </c>
      <c r="D33" s="238">
        <f>E14*C33</f>
        <v>350</v>
      </c>
      <c r="E33" s="238">
        <f>F14*C33</f>
        <v>250</v>
      </c>
      <c r="F33" s="239">
        <f>G14*C33</f>
        <v>150</v>
      </c>
      <c r="G33" s="239">
        <f t="shared" si="0"/>
        <v>750</v>
      </c>
      <c r="H33" s="249">
        <f>H14</f>
        <v>260</v>
      </c>
      <c r="I33" s="238">
        <f>H33*(1-$N$7)</f>
        <v>228.8</v>
      </c>
      <c r="J33" s="237">
        <f>IF(K33=0,"",I33/SUM(E14:G14))</f>
        <v>0.15253333333333335</v>
      </c>
      <c r="K33" s="240">
        <v>1</v>
      </c>
      <c r="L33" s="230">
        <f t="shared" ref="L33:L34" si="3">_xlfn.XMATCH(1,C81:J81,0)</f>
        <v>8</v>
      </c>
    </row>
    <row r="34" spans="1:12">
      <c r="A34" s="235">
        <v>12</v>
      </c>
      <c r="B34" s="248" t="s">
        <v>424</v>
      </c>
      <c r="C34" s="237">
        <v>1</v>
      </c>
      <c r="D34" s="238">
        <f>E15*C34</f>
        <v>1500</v>
      </c>
      <c r="E34" s="238">
        <f>F15*C34</f>
        <v>400</v>
      </c>
      <c r="F34" s="239">
        <f>G15*C34</f>
        <v>400</v>
      </c>
      <c r="G34" s="239">
        <f t="shared" si="0"/>
        <v>2300</v>
      </c>
      <c r="H34" s="249">
        <f>H15</f>
        <v>340</v>
      </c>
      <c r="I34" s="238">
        <f>H34*(1-$N$7)</f>
        <v>299.2</v>
      </c>
      <c r="J34" s="237" t="str">
        <f>IF(K34=0,"",I34/SUM(E15:G15))</f>
        <v/>
      </c>
      <c r="K34" s="240">
        <v>0</v>
      </c>
      <c r="L34" s="230" t="e">
        <f t="shared" si="3"/>
        <v>#N/A</v>
      </c>
    </row>
    <row r="35" spans="1:12">
      <c r="C35" s="243" t="s">
        <v>448</v>
      </c>
      <c r="D35" s="238">
        <f>SUMPRODUCT(D32:D34,$K$32:$K$34)</f>
        <v>350</v>
      </c>
      <c r="E35" s="238">
        <f>SUMPRODUCT(E32:E34,$K$32:$K$34)</f>
        <v>250</v>
      </c>
      <c r="F35" s="238">
        <f>SUMPRODUCT(F32:F34,$K$32:$K$34)</f>
        <v>150</v>
      </c>
      <c r="G35" s="238">
        <f>SUM(D35:F35)</f>
        <v>750</v>
      </c>
    </row>
    <row r="36" spans="1:12">
      <c r="F36" s="250"/>
      <c r="G36" s="250"/>
    </row>
    <row r="37" spans="1:12">
      <c r="D37" s="232" t="s">
        <v>431</v>
      </c>
      <c r="E37" s="232" t="s">
        <v>432</v>
      </c>
      <c r="F37" s="233" t="s">
        <v>433</v>
      </c>
      <c r="G37" s="232" t="s">
        <v>434</v>
      </c>
      <c r="I37" s="251" t="s">
        <v>449</v>
      </c>
    </row>
    <row r="38" spans="1:12">
      <c r="C38" s="243" t="s">
        <v>450</v>
      </c>
      <c r="D38" s="252">
        <f>SUMPRODUCT(D19:D23,$K$19:$K$23)+SUMPRODUCT(D26:D29,$K$26:$K$29)+SUMPRODUCT(D32:D34,$K$32:$K$34)</f>
        <v>3733</v>
      </c>
      <c r="E38" s="252">
        <f>SUMPRODUCT(E19:E23,$K$19:$K$23)+SUMPRODUCT(E26:E29,$K$26:$K$29)+SUMPRODUCT(E32:E34,$K$32:$K$34)</f>
        <v>3151</v>
      </c>
      <c r="F38" s="252">
        <f>SUMPRODUCT(F19:F23,$K$19:$K$23)+SUMPRODUCT(F26:F29,$K$26:$K$29)+SUMPRODUCT(F32:F34,$K$32:$K$34)</f>
        <v>2735</v>
      </c>
      <c r="G38" s="252">
        <f>SUM(D38:F38)</f>
        <v>9619</v>
      </c>
      <c r="I38" s="253">
        <f>SUMPRODUCT(I19:I34,K19:K34)</f>
        <v>1953.6000000000001</v>
      </c>
      <c r="J38" s="205" t="s">
        <v>456</v>
      </c>
    </row>
    <row r="39" spans="1:12">
      <c r="D39" s="230" t="s">
        <v>149</v>
      </c>
      <c r="E39" s="230" t="s">
        <v>149</v>
      </c>
      <c r="F39" s="230" t="s">
        <v>149</v>
      </c>
      <c r="G39" s="230" t="s">
        <v>149</v>
      </c>
    </row>
    <row r="40" spans="1:12">
      <c r="D40" s="230">
        <v>4000</v>
      </c>
      <c r="E40" s="230">
        <v>4000</v>
      </c>
      <c r="F40" s="230">
        <v>4000</v>
      </c>
      <c r="G40" s="230">
        <v>10000</v>
      </c>
    </row>
    <row r="42" spans="1:12">
      <c r="E42" s="293" t="s">
        <v>451</v>
      </c>
      <c r="F42" s="293"/>
      <c r="G42" s="293"/>
    </row>
    <row r="43" spans="1:12">
      <c r="D43" s="232" t="s">
        <v>452</v>
      </c>
      <c r="E43" s="232" t="s">
        <v>87</v>
      </c>
      <c r="F43" s="232" t="s">
        <v>453</v>
      </c>
      <c r="G43" s="232" t="s">
        <v>454</v>
      </c>
    </row>
    <row r="44" spans="1:12">
      <c r="D44" s="254"/>
      <c r="E44" s="255">
        <f>AVERAGE(J19:J34)</f>
        <v>0.15167182539682542</v>
      </c>
      <c r="F44" s="255">
        <f>MIN(J19:J34)</f>
        <v>9.9000000000000005E-2</v>
      </c>
      <c r="G44" s="255">
        <f>MAX(J19:J34)</f>
        <v>0.20044444444444445</v>
      </c>
    </row>
    <row r="45" spans="1:12">
      <c r="D45" s="237">
        <v>0</v>
      </c>
      <c r="E45" s="237">
        <v>0.17235434704184699</v>
      </c>
      <c r="F45" s="237">
        <v>0.1125</v>
      </c>
      <c r="G45" s="237">
        <v>0.227777777777778</v>
      </c>
    </row>
    <row r="46" spans="1:12">
      <c r="D46" s="237">
        <v>0.05</v>
      </c>
      <c r="E46" s="237">
        <v>0.163736629689755</v>
      </c>
      <c r="F46" s="237">
        <v>0.106875</v>
      </c>
      <c r="G46" s="237">
        <v>0.21638888888888899</v>
      </c>
    </row>
    <row r="47" spans="1:12">
      <c r="D47" s="237">
        <v>0.1</v>
      </c>
      <c r="E47" s="237">
        <v>0.15511891233766201</v>
      </c>
      <c r="F47" s="237">
        <v>0.10125000000000001</v>
      </c>
      <c r="G47" s="237">
        <v>0.20499999999999999</v>
      </c>
    </row>
    <row r="48" spans="1:12">
      <c r="D48" s="237">
        <v>0.15</v>
      </c>
      <c r="E48" s="237">
        <v>0.14650119498556999</v>
      </c>
      <c r="F48" s="237">
        <v>9.5625000000000002E-2</v>
      </c>
      <c r="G48" s="237">
        <v>0.19361111111111101</v>
      </c>
    </row>
    <row r="49" spans="1:10">
      <c r="D49" s="237">
        <v>0.2</v>
      </c>
      <c r="E49" s="237">
        <v>0.137883477633478</v>
      </c>
      <c r="F49" s="237">
        <v>0.09</v>
      </c>
      <c r="G49" s="237">
        <v>0.18222222222222201</v>
      </c>
    </row>
    <row r="50" spans="1:10">
      <c r="D50" s="237">
        <v>0.25</v>
      </c>
      <c r="E50" s="237">
        <v>0.12926576028138501</v>
      </c>
      <c r="F50" s="237">
        <v>8.4375000000000006E-2</v>
      </c>
      <c r="G50" s="237">
        <v>0.170833333333333</v>
      </c>
    </row>
    <row r="51" spans="1:10">
      <c r="D51" s="237">
        <v>0.3</v>
      </c>
      <c r="E51" s="237">
        <v>0.120648042929293</v>
      </c>
      <c r="F51" s="237">
        <v>7.8750000000000001E-2</v>
      </c>
      <c r="G51" s="237">
        <v>0.159444444444444</v>
      </c>
    </row>
    <row r="53" spans="1:10" ht="20" thickBot="1">
      <c r="A53" s="257" t="s">
        <v>457</v>
      </c>
    </row>
    <row r="54" spans="1:10" ht="16.5" thickTop="1">
      <c r="A54" s="224"/>
      <c r="B54" s="293" t="s">
        <v>458</v>
      </c>
      <c r="C54" s="293"/>
      <c r="D54" s="293"/>
      <c r="E54" s="293"/>
      <c r="F54" s="293"/>
      <c r="G54" s="293"/>
      <c r="H54" s="293"/>
      <c r="I54" s="293"/>
      <c r="J54" s="224"/>
    </row>
    <row r="55" spans="1:10" ht="16.5" thickBot="1">
      <c r="A55" s="224"/>
      <c r="B55" s="224"/>
      <c r="C55" s="258">
        <v>1</v>
      </c>
      <c r="D55" s="258">
        <v>2</v>
      </c>
      <c r="E55" s="258">
        <v>3</v>
      </c>
      <c r="F55" s="258">
        <v>4</v>
      </c>
      <c r="G55" s="258">
        <v>5</v>
      </c>
      <c r="H55" s="258">
        <v>6</v>
      </c>
      <c r="I55" s="258">
        <v>7</v>
      </c>
      <c r="J55" s="258">
        <v>8</v>
      </c>
    </row>
    <row r="56" spans="1:10" ht="16.5" thickTop="1">
      <c r="A56" s="294" t="s">
        <v>459</v>
      </c>
      <c r="B56" s="232">
        <v>1</v>
      </c>
      <c r="C56" s="259">
        <v>1</v>
      </c>
      <c r="D56" s="259">
        <v>1</v>
      </c>
      <c r="E56" s="259">
        <v>1</v>
      </c>
      <c r="F56" s="259">
        <v>1</v>
      </c>
      <c r="G56" s="259">
        <v>1</v>
      </c>
      <c r="H56" s="259">
        <v>0</v>
      </c>
      <c r="I56" s="259">
        <v>0</v>
      </c>
      <c r="J56" s="259">
        <v>0</v>
      </c>
    </row>
    <row r="57" spans="1:10">
      <c r="A57" s="294"/>
      <c r="B57" s="232">
        <v>2</v>
      </c>
      <c r="C57" s="224">
        <v>1</v>
      </c>
      <c r="D57" s="224">
        <v>1</v>
      </c>
      <c r="E57" s="224">
        <v>1</v>
      </c>
      <c r="F57" s="224">
        <v>1</v>
      </c>
      <c r="G57" s="224">
        <v>0</v>
      </c>
      <c r="H57" s="224">
        <v>1</v>
      </c>
      <c r="I57" s="224">
        <v>0</v>
      </c>
      <c r="J57" s="224">
        <v>1</v>
      </c>
    </row>
    <row r="58" spans="1:10">
      <c r="A58" s="294"/>
      <c r="B58" s="232">
        <v>3</v>
      </c>
      <c r="C58" s="224">
        <v>1</v>
      </c>
      <c r="D58" s="224">
        <v>0</v>
      </c>
      <c r="E58" s="224">
        <v>0</v>
      </c>
      <c r="F58" s="224">
        <v>1</v>
      </c>
      <c r="G58" s="224">
        <v>1</v>
      </c>
      <c r="H58" s="224">
        <v>1</v>
      </c>
      <c r="I58" s="224">
        <v>0</v>
      </c>
      <c r="J58" s="224">
        <v>1</v>
      </c>
    </row>
    <row r="59" spans="1:10">
      <c r="A59" s="294"/>
      <c r="B59" s="232">
        <v>4</v>
      </c>
      <c r="C59" s="224">
        <v>0</v>
      </c>
      <c r="D59" s="224">
        <v>1</v>
      </c>
      <c r="E59" s="224">
        <v>0</v>
      </c>
      <c r="F59" s="224">
        <v>0</v>
      </c>
      <c r="G59" s="224">
        <v>1</v>
      </c>
      <c r="H59" s="224">
        <v>1</v>
      </c>
      <c r="I59" s="224">
        <v>1</v>
      </c>
      <c r="J59" s="224">
        <v>1</v>
      </c>
    </row>
    <row r="60" spans="1:10">
      <c r="A60" s="294"/>
      <c r="B60" s="232">
        <v>5</v>
      </c>
      <c r="C60" s="224">
        <v>1</v>
      </c>
      <c r="D60" s="224">
        <v>1</v>
      </c>
      <c r="E60" s="224">
        <v>1</v>
      </c>
      <c r="F60" s="224">
        <v>1</v>
      </c>
      <c r="G60" s="224">
        <v>1</v>
      </c>
      <c r="H60" s="224">
        <v>1</v>
      </c>
      <c r="I60" s="224">
        <v>1</v>
      </c>
      <c r="J60" s="224">
        <v>0</v>
      </c>
    </row>
    <row r="61" spans="1:10">
      <c r="A61" s="294"/>
      <c r="B61" s="232">
        <v>6</v>
      </c>
      <c r="C61" s="224">
        <v>1</v>
      </c>
      <c r="D61" s="224">
        <v>1</v>
      </c>
      <c r="E61" s="224">
        <v>1</v>
      </c>
      <c r="F61" s="224">
        <v>1</v>
      </c>
      <c r="G61" s="224">
        <v>1</v>
      </c>
      <c r="H61" s="224">
        <v>1</v>
      </c>
      <c r="I61" s="224">
        <v>1</v>
      </c>
      <c r="J61" s="224">
        <v>1</v>
      </c>
    </row>
    <row r="62" spans="1:10">
      <c r="A62" s="294"/>
      <c r="B62" s="232">
        <v>7</v>
      </c>
      <c r="C62" s="224">
        <v>1</v>
      </c>
      <c r="D62" s="224">
        <v>1</v>
      </c>
      <c r="E62" s="224">
        <v>1</v>
      </c>
      <c r="F62" s="224">
        <v>1</v>
      </c>
      <c r="G62" s="224">
        <v>1</v>
      </c>
      <c r="H62" s="224">
        <v>1</v>
      </c>
      <c r="I62" s="224">
        <v>0</v>
      </c>
      <c r="J62" s="224">
        <v>1</v>
      </c>
    </row>
    <row r="63" spans="1:10">
      <c r="A63" s="294"/>
      <c r="B63" s="232">
        <v>8</v>
      </c>
      <c r="C63" s="224">
        <v>1</v>
      </c>
      <c r="D63" s="224">
        <v>1</v>
      </c>
      <c r="E63" s="224">
        <v>1</v>
      </c>
      <c r="F63" s="224">
        <v>1</v>
      </c>
      <c r="G63" s="224">
        <v>0</v>
      </c>
      <c r="H63" s="224">
        <v>1</v>
      </c>
      <c r="I63" s="224">
        <v>1</v>
      </c>
      <c r="J63" s="224">
        <v>0</v>
      </c>
    </row>
    <row r="64" spans="1:10">
      <c r="A64" s="294"/>
      <c r="B64" s="232">
        <v>9</v>
      </c>
      <c r="C64" s="224">
        <v>1</v>
      </c>
      <c r="D64" s="224">
        <v>1</v>
      </c>
      <c r="E64" s="224">
        <v>1</v>
      </c>
      <c r="F64" s="224">
        <v>1</v>
      </c>
      <c r="G64" s="224">
        <v>0</v>
      </c>
      <c r="H64" s="224">
        <v>0</v>
      </c>
      <c r="I64" s="224">
        <v>0</v>
      </c>
      <c r="J64" s="224">
        <v>1</v>
      </c>
    </row>
    <row r="65" spans="1:14">
      <c r="A65" s="294"/>
      <c r="B65" s="232">
        <v>10</v>
      </c>
      <c r="C65" s="224">
        <v>1</v>
      </c>
      <c r="D65" s="224">
        <v>1</v>
      </c>
      <c r="E65" s="224">
        <v>1</v>
      </c>
      <c r="F65" s="224">
        <v>1</v>
      </c>
      <c r="G65" s="224">
        <v>0</v>
      </c>
      <c r="H65" s="224">
        <v>1</v>
      </c>
      <c r="I65" s="224">
        <v>1</v>
      </c>
      <c r="J65" s="224">
        <v>1</v>
      </c>
    </row>
    <row r="66" spans="1:14">
      <c r="A66" s="294"/>
      <c r="B66" s="232">
        <v>11</v>
      </c>
      <c r="C66" s="224">
        <v>1</v>
      </c>
      <c r="D66" s="224">
        <v>1</v>
      </c>
      <c r="E66" s="224">
        <v>1</v>
      </c>
      <c r="F66" s="224">
        <v>1</v>
      </c>
      <c r="G66" s="224">
        <v>1</v>
      </c>
      <c r="H66" s="224">
        <v>1</v>
      </c>
      <c r="I66" s="224">
        <v>0</v>
      </c>
      <c r="J66" s="224">
        <v>1</v>
      </c>
    </row>
    <row r="67" spans="1:14">
      <c r="A67" s="294"/>
      <c r="B67" s="232">
        <v>12</v>
      </c>
      <c r="C67" s="224">
        <v>0</v>
      </c>
      <c r="D67" s="224">
        <v>0</v>
      </c>
      <c r="E67" s="224">
        <v>0</v>
      </c>
      <c r="F67" s="224">
        <v>1</v>
      </c>
      <c r="G67" s="224">
        <v>1</v>
      </c>
      <c r="H67" s="224">
        <v>0</v>
      </c>
      <c r="I67" s="224">
        <v>1</v>
      </c>
      <c r="J67" s="224">
        <v>1</v>
      </c>
    </row>
    <row r="69" spans="1:14">
      <c r="A69" s="224"/>
      <c r="B69" s="293" t="s">
        <v>458</v>
      </c>
      <c r="C69" s="293"/>
      <c r="D69" s="293"/>
      <c r="E69" s="293"/>
      <c r="F69" s="293"/>
      <c r="G69" s="293"/>
      <c r="H69" s="293"/>
      <c r="I69" s="293"/>
      <c r="J69" s="224"/>
    </row>
    <row r="70" spans="1:14" ht="16.5" thickBot="1">
      <c r="A70" s="224"/>
      <c r="B70" s="224"/>
      <c r="C70" s="260">
        <v>1</v>
      </c>
      <c r="D70" s="260">
        <v>2</v>
      </c>
      <c r="E70" s="260">
        <v>3</v>
      </c>
      <c r="F70" s="260">
        <v>4</v>
      </c>
      <c r="G70" s="260">
        <v>5</v>
      </c>
      <c r="H70" s="260">
        <v>6</v>
      </c>
      <c r="I70" s="260">
        <v>7</v>
      </c>
      <c r="J70" s="260">
        <v>8</v>
      </c>
      <c r="K70" s="230" t="s">
        <v>460</v>
      </c>
      <c r="M70" s="230" t="s">
        <v>461</v>
      </c>
    </row>
    <row r="71" spans="1:14" ht="16.5" thickTop="1">
      <c r="A71" s="294" t="s">
        <v>459</v>
      </c>
      <c r="B71" s="232">
        <v>1</v>
      </c>
      <c r="C71" s="261">
        <v>0</v>
      </c>
      <c r="D71" s="261">
        <v>0</v>
      </c>
      <c r="E71" s="261">
        <v>0</v>
      </c>
      <c r="F71" s="261">
        <v>0</v>
      </c>
      <c r="G71" s="261">
        <v>0</v>
      </c>
      <c r="H71" s="261">
        <v>0</v>
      </c>
      <c r="I71" s="261">
        <v>0</v>
      </c>
      <c r="J71" s="261">
        <v>0</v>
      </c>
      <c r="K71" s="230">
        <f t="shared" ref="K71:K82" si="4">SUM(C71:J71)</f>
        <v>0</v>
      </c>
      <c r="L71" s="230" t="s">
        <v>149</v>
      </c>
      <c r="M71" s="230">
        <f>'Project Model '!K19</f>
        <v>0</v>
      </c>
      <c r="N71" s="205" t="str">
        <f t="shared" ref="N71:N82" ca="1" si="5">_xlfn.FORMULATEXT(M71)</f>
        <v>='Project Model '!K19</v>
      </c>
    </row>
    <row r="72" spans="1:14">
      <c r="A72" s="294"/>
      <c r="B72" s="232">
        <v>2</v>
      </c>
      <c r="C72" s="262">
        <v>0</v>
      </c>
      <c r="D72" s="262">
        <v>0</v>
      </c>
      <c r="E72" s="262">
        <v>0</v>
      </c>
      <c r="F72" s="262">
        <v>1</v>
      </c>
      <c r="G72" s="262">
        <v>0</v>
      </c>
      <c r="H72" s="262">
        <v>0</v>
      </c>
      <c r="I72" s="262">
        <v>0</v>
      </c>
      <c r="J72" s="262">
        <v>0</v>
      </c>
      <c r="K72" s="230">
        <f t="shared" si="4"/>
        <v>1</v>
      </c>
      <c r="L72" s="230" t="s">
        <v>149</v>
      </c>
      <c r="M72" s="230">
        <f>'Project Model '!K20</f>
        <v>1</v>
      </c>
      <c r="N72" s="205" t="str">
        <f t="shared" ca="1" si="5"/>
        <v>='Project Model '!K20</v>
      </c>
    </row>
    <row r="73" spans="1:14">
      <c r="A73" s="294"/>
      <c r="B73" s="232">
        <v>3</v>
      </c>
      <c r="C73" s="262">
        <v>0</v>
      </c>
      <c r="D73" s="262">
        <v>0</v>
      </c>
      <c r="E73" s="262">
        <v>0</v>
      </c>
      <c r="F73" s="262">
        <v>0</v>
      </c>
      <c r="G73" s="262">
        <v>0</v>
      </c>
      <c r="H73" s="262">
        <v>0</v>
      </c>
      <c r="I73" s="262">
        <v>0</v>
      </c>
      <c r="J73" s="262">
        <v>0</v>
      </c>
      <c r="K73" s="230">
        <f t="shared" si="4"/>
        <v>0</v>
      </c>
      <c r="L73" s="230" t="s">
        <v>149</v>
      </c>
      <c r="M73" s="230">
        <f>'Project Model '!K21</f>
        <v>0</v>
      </c>
      <c r="N73" s="205" t="str">
        <f t="shared" ca="1" si="5"/>
        <v>='Project Model '!K21</v>
      </c>
    </row>
    <row r="74" spans="1:14">
      <c r="A74" s="294"/>
      <c r="B74" s="232">
        <v>4</v>
      </c>
      <c r="C74" s="262">
        <v>1</v>
      </c>
      <c r="D74" s="262">
        <v>0</v>
      </c>
      <c r="E74" s="262">
        <v>0</v>
      </c>
      <c r="F74" s="262">
        <v>0</v>
      </c>
      <c r="G74" s="262">
        <v>0</v>
      </c>
      <c r="H74" s="262">
        <v>0</v>
      </c>
      <c r="I74" s="262">
        <v>0</v>
      </c>
      <c r="J74" s="262">
        <v>0</v>
      </c>
      <c r="K74" s="230">
        <f t="shared" si="4"/>
        <v>1</v>
      </c>
      <c r="L74" s="230" t="s">
        <v>149</v>
      </c>
      <c r="M74" s="230">
        <f>'Project Model '!K22</f>
        <v>1</v>
      </c>
      <c r="N74" s="205" t="str">
        <f t="shared" ca="1" si="5"/>
        <v>='Project Model '!K22</v>
      </c>
    </row>
    <row r="75" spans="1:14">
      <c r="A75" s="294"/>
      <c r="B75" s="232">
        <v>5</v>
      </c>
      <c r="C75" s="262">
        <v>0</v>
      </c>
      <c r="D75" s="262">
        <v>0</v>
      </c>
      <c r="E75" s="262">
        <v>0</v>
      </c>
      <c r="F75" s="262">
        <v>0</v>
      </c>
      <c r="G75" s="262">
        <v>0</v>
      </c>
      <c r="H75" s="262">
        <v>0</v>
      </c>
      <c r="I75" s="262">
        <v>1</v>
      </c>
      <c r="J75" s="262">
        <v>0</v>
      </c>
      <c r="K75" s="230">
        <f t="shared" si="4"/>
        <v>1</v>
      </c>
      <c r="L75" s="230" t="s">
        <v>149</v>
      </c>
      <c r="M75" s="230">
        <f>'Project Model '!K23</f>
        <v>1</v>
      </c>
      <c r="N75" s="205" t="str">
        <f t="shared" ca="1" si="5"/>
        <v>='Project Model '!K23</v>
      </c>
    </row>
    <row r="76" spans="1:14">
      <c r="A76" s="294"/>
      <c r="B76" s="232">
        <v>6</v>
      </c>
      <c r="C76" s="262">
        <v>0</v>
      </c>
      <c r="D76" s="262">
        <v>0</v>
      </c>
      <c r="E76" s="262">
        <v>0</v>
      </c>
      <c r="F76" s="262">
        <v>0</v>
      </c>
      <c r="G76" s="262">
        <v>0</v>
      </c>
      <c r="H76" s="262">
        <v>1</v>
      </c>
      <c r="I76" s="262">
        <v>0</v>
      </c>
      <c r="J76" s="262">
        <v>0</v>
      </c>
      <c r="K76" s="230">
        <f t="shared" si="4"/>
        <v>1</v>
      </c>
      <c r="L76" s="230" t="s">
        <v>149</v>
      </c>
      <c r="M76" s="230">
        <f>'Project Model '!K26</f>
        <v>1</v>
      </c>
      <c r="N76" s="205" t="str">
        <f t="shared" ca="1" si="5"/>
        <v>='Project Model '!K26</v>
      </c>
    </row>
    <row r="77" spans="1:14">
      <c r="A77" s="294"/>
      <c r="B77" s="232">
        <v>7</v>
      </c>
      <c r="C77" s="262">
        <v>0</v>
      </c>
      <c r="D77" s="262">
        <v>0</v>
      </c>
      <c r="E77" s="262">
        <v>0</v>
      </c>
      <c r="F77" s="262">
        <v>0</v>
      </c>
      <c r="G77" s="262">
        <v>1</v>
      </c>
      <c r="H77" s="262">
        <v>0</v>
      </c>
      <c r="I77" s="262">
        <v>0</v>
      </c>
      <c r="J77" s="262">
        <v>0</v>
      </c>
      <c r="K77" s="230">
        <f t="shared" si="4"/>
        <v>1</v>
      </c>
      <c r="L77" s="230" t="s">
        <v>149</v>
      </c>
      <c r="M77" s="230">
        <f>'Project Model '!K27</f>
        <v>1</v>
      </c>
      <c r="N77" s="205" t="str">
        <f t="shared" ca="1" si="5"/>
        <v>='Project Model '!K27</v>
      </c>
    </row>
    <row r="78" spans="1:14">
      <c r="A78" s="294"/>
      <c r="B78" s="232">
        <v>8</v>
      </c>
      <c r="C78" s="262">
        <v>0</v>
      </c>
      <c r="D78" s="262">
        <v>1</v>
      </c>
      <c r="E78" s="262">
        <v>0</v>
      </c>
      <c r="F78" s="262">
        <v>0</v>
      </c>
      <c r="G78" s="262">
        <v>0</v>
      </c>
      <c r="H78" s="262">
        <v>0</v>
      </c>
      <c r="I78" s="262">
        <v>0</v>
      </c>
      <c r="J78" s="262">
        <v>0</v>
      </c>
      <c r="K78" s="230">
        <f t="shared" si="4"/>
        <v>1</v>
      </c>
      <c r="L78" s="230" t="s">
        <v>149</v>
      </c>
      <c r="M78" s="230">
        <f>'Project Model '!K28</f>
        <v>1</v>
      </c>
      <c r="N78" s="205" t="str">
        <f t="shared" ca="1" si="5"/>
        <v>='Project Model '!K28</v>
      </c>
    </row>
    <row r="79" spans="1:14">
      <c r="A79" s="294"/>
      <c r="B79" s="232">
        <v>9</v>
      </c>
      <c r="C79" s="262">
        <v>0</v>
      </c>
      <c r="D79" s="262">
        <v>0</v>
      </c>
      <c r="E79" s="262">
        <v>1</v>
      </c>
      <c r="F79" s="262">
        <v>0</v>
      </c>
      <c r="G79" s="262">
        <v>0</v>
      </c>
      <c r="H79" s="262">
        <v>0</v>
      </c>
      <c r="I79" s="262">
        <v>0</v>
      </c>
      <c r="J79" s="262">
        <v>0</v>
      </c>
      <c r="K79" s="230">
        <f t="shared" si="4"/>
        <v>1</v>
      </c>
      <c r="L79" s="230" t="s">
        <v>149</v>
      </c>
      <c r="M79" s="230">
        <f>'Project Model '!K29</f>
        <v>1</v>
      </c>
      <c r="N79" s="205" t="str">
        <f t="shared" ca="1" si="5"/>
        <v>='Project Model '!K29</v>
      </c>
    </row>
    <row r="80" spans="1:14">
      <c r="A80" s="294"/>
      <c r="B80" s="232">
        <v>10</v>
      </c>
      <c r="C80" s="262">
        <v>0</v>
      </c>
      <c r="D80" s="262">
        <v>0</v>
      </c>
      <c r="E80" s="262">
        <v>0</v>
      </c>
      <c r="F80" s="262">
        <v>0</v>
      </c>
      <c r="G80" s="262">
        <v>0</v>
      </c>
      <c r="H80" s="262">
        <v>0</v>
      </c>
      <c r="I80" s="262">
        <v>0</v>
      </c>
      <c r="J80" s="262">
        <v>0</v>
      </c>
      <c r="K80" s="230">
        <f t="shared" si="4"/>
        <v>0</v>
      </c>
      <c r="L80" s="230" t="s">
        <v>149</v>
      </c>
      <c r="M80" s="230">
        <f>'Project Model '!K32</f>
        <v>0</v>
      </c>
      <c r="N80" s="205" t="str">
        <f t="shared" ca="1" si="5"/>
        <v>='Project Model '!K32</v>
      </c>
    </row>
    <row r="81" spans="1:14">
      <c r="A81" s="294"/>
      <c r="B81" s="232">
        <v>11</v>
      </c>
      <c r="C81" s="262">
        <v>0</v>
      </c>
      <c r="D81" s="262">
        <v>0</v>
      </c>
      <c r="E81" s="262">
        <v>0</v>
      </c>
      <c r="F81" s="262">
        <v>0</v>
      </c>
      <c r="G81" s="262">
        <v>0</v>
      </c>
      <c r="H81" s="262">
        <v>0</v>
      </c>
      <c r="I81" s="262">
        <v>0</v>
      </c>
      <c r="J81" s="262">
        <v>1</v>
      </c>
      <c r="K81" s="230">
        <f t="shared" si="4"/>
        <v>1</v>
      </c>
      <c r="L81" s="230" t="s">
        <v>149</v>
      </c>
      <c r="M81" s="230">
        <f>'Project Model '!K33</f>
        <v>1</v>
      </c>
      <c r="N81" s="205" t="str">
        <f t="shared" ca="1" si="5"/>
        <v>='Project Model '!K33</v>
      </c>
    </row>
    <row r="82" spans="1:14">
      <c r="A82" s="294"/>
      <c r="B82" s="232">
        <v>12</v>
      </c>
      <c r="C82" s="262">
        <v>0</v>
      </c>
      <c r="D82" s="262">
        <v>0</v>
      </c>
      <c r="E82" s="262">
        <v>0</v>
      </c>
      <c r="F82" s="262">
        <v>0</v>
      </c>
      <c r="G82" s="262">
        <v>0</v>
      </c>
      <c r="H82" s="262">
        <v>0</v>
      </c>
      <c r="I82" s="262">
        <v>0</v>
      </c>
      <c r="J82" s="262">
        <v>0</v>
      </c>
      <c r="K82" s="230">
        <f t="shared" si="4"/>
        <v>0</v>
      </c>
      <c r="L82" s="230" t="s">
        <v>149</v>
      </c>
      <c r="M82" s="230">
        <f>'Project Model '!K34</f>
        <v>0</v>
      </c>
      <c r="N82" s="205" t="str">
        <f t="shared" ca="1" si="5"/>
        <v>='Project Model '!K34</v>
      </c>
    </row>
    <row r="83" spans="1:14">
      <c r="B83" s="205" t="s">
        <v>460</v>
      </c>
      <c r="C83" s="230">
        <f t="shared" ref="C83:J83" si="6">SUM(C71:C82)</f>
        <v>1</v>
      </c>
      <c r="D83" s="230">
        <f t="shared" si="6"/>
        <v>1</v>
      </c>
      <c r="E83" s="230">
        <f t="shared" si="6"/>
        <v>1</v>
      </c>
      <c r="F83" s="230">
        <f t="shared" si="6"/>
        <v>1</v>
      </c>
      <c r="G83" s="230">
        <f t="shared" si="6"/>
        <v>1</v>
      </c>
      <c r="H83" s="230">
        <f t="shared" si="6"/>
        <v>1</v>
      </c>
      <c r="I83" s="230">
        <f t="shared" si="6"/>
        <v>1</v>
      </c>
      <c r="J83" s="230">
        <f t="shared" si="6"/>
        <v>1</v>
      </c>
    </row>
    <row r="84" spans="1:14">
      <c r="C84" s="230" t="s">
        <v>259</v>
      </c>
      <c r="D84" s="230" t="s">
        <v>259</v>
      </c>
      <c r="E84" s="230" t="s">
        <v>259</v>
      </c>
      <c r="F84" s="230" t="s">
        <v>259</v>
      </c>
      <c r="G84" s="230" t="s">
        <v>259</v>
      </c>
      <c r="H84" s="230" t="s">
        <v>259</v>
      </c>
      <c r="I84" s="230" t="s">
        <v>259</v>
      </c>
      <c r="J84" s="230" t="s">
        <v>259</v>
      </c>
    </row>
    <row r="85" spans="1:14">
      <c r="C85" s="230">
        <v>1</v>
      </c>
      <c r="D85" s="230">
        <v>1</v>
      </c>
      <c r="E85" s="230">
        <v>1</v>
      </c>
      <c r="F85" s="230">
        <v>1</v>
      </c>
      <c r="G85" s="230">
        <v>1</v>
      </c>
      <c r="H85" s="230">
        <v>1</v>
      </c>
      <c r="I85" s="230">
        <v>1</v>
      </c>
      <c r="J85" s="230">
        <v>1</v>
      </c>
    </row>
    <row r="87" spans="1:14">
      <c r="D87" s="263"/>
    </row>
    <row r="88" spans="1:14">
      <c r="D88" s="264"/>
    </row>
  </sheetData>
  <mergeCells count="11">
    <mergeCell ref="M26:M28"/>
    <mergeCell ref="A1:L1"/>
    <mergeCell ref="M3:N3"/>
    <mergeCell ref="M9:N9"/>
    <mergeCell ref="D17:G17"/>
    <mergeCell ref="O24:Q24"/>
    <mergeCell ref="E42:G42"/>
    <mergeCell ref="B54:I54"/>
    <mergeCell ref="A56:A67"/>
    <mergeCell ref="B69:I69"/>
    <mergeCell ref="A71:A82"/>
  </mergeCells>
  <conditionalFormatting sqref="D38:F38">
    <cfRule type="cellIs" dxfId="10" priority="7" operator="greaterThan">
      <formula>4000</formula>
    </cfRule>
    <cfRule type="cellIs" dxfId="9" priority="8" operator="lessThan">
      <formula>4000</formula>
    </cfRule>
  </conditionalFormatting>
  <conditionalFormatting sqref="G38">
    <cfRule type="cellIs" dxfId="8" priority="1" operator="greaterThan">
      <formula>10000</formula>
    </cfRule>
    <cfRule type="cellIs" dxfId="7" priority="2" operator="lessThan">
      <formula>10000</formula>
    </cfRule>
  </conditionalFormatting>
  <conditionalFormatting sqref="H26:H29 H32:H34">
    <cfRule type="cellIs" dxfId="6" priority="10" operator="equal">
      <formula>MIN($K$19:$K$29)</formula>
    </cfRule>
    <cfRule type="cellIs" dxfId="5" priority="11" operator="equal">
      <formula>MAX($K$19:$K$29)</formula>
    </cfRule>
  </conditionalFormatting>
  <conditionalFormatting sqref="M20:N20">
    <cfRule type="cellIs" dxfId="4" priority="3" operator="lessThan">
      <formula>1</formula>
    </cfRule>
    <cfRule type="cellIs" dxfId="3" priority="4" operator="equal">
      <formula>1</formula>
    </cfRule>
  </conditionalFormatting>
  <conditionalFormatting sqref="N10:N13">
    <cfRule type="cellIs" dxfId="2" priority="9" operator="equal">
      <formula>1</formula>
    </cfRule>
  </conditionalFormatting>
  <conditionalFormatting sqref="N10:N14">
    <cfRule type="cellIs" dxfId="1" priority="5" operator="lessThan">
      <formula>1</formula>
    </cfRule>
  </conditionalFormatting>
  <conditionalFormatting sqref="N14">
    <cfRule type="cellIs" dxfId="0" priority="6" operator="greaterThan">
      <formula>0</formula>
    </cfRule>
  </conditionalFormatting>
  <pageMargins left="0.7" right="0.7" top="0.75" bottom="0.75" header="0.3" footer="0.3"/>
  <pageSetup orientation="portrait" horizontalDpi="300" verticalDpi="300"/>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F8D92-275C-420D-BA3D-8CF1B919014C}">
  <dimension ref="A1:L29"/>
  <sheetViews>
    <sheetView zoomScale="80" zoomScaleNormal="80" zoomScaleSheetLayoutView="80" workbookViewId="0">
      <selection activeCell="L29" sqref="L29"/>
    </sheetView>
  </sheetViews>
  <sheetFormatPr defaultColWidth="9.81640625" defaultRowHeight="16"/>
  <cols>
    <col min="1" max="16384" width="9.81640625" style="205"/>
  </cols>
  <sheetData>
    <row r="1" spans="1:12">
      <c r="A1" s="205" t="s">
        <v>462</v>
      </c>
      <c r="L1" s="205" t="s">
        <v>463</v>
      </c>
    </row>
    <row r="28" spans="1:12">
      <c r="A28" s="205" t="s">
        <v>464</v>
      </c>
      <c r="L28" s="205" t="s">
        <v>465</v>
      </c>
    </row>
    <row r="29" spans="1:12">
      <c r="L29" s="205" t="s">
        <v>466</v>
      </c>
    </row>
  </sheetData>
  <pageMargins left="0.7" right="0.7" top="0.75" bottom="0.75" header="0.3" footer="0.3"/>
  <pageSetup orientation="portrait" horizontalDpi="300" verticalDpi="30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796AB-5351-4BCE-8FB2-EA37D3DA994F}">
  <dimension ref="A1"/>
  <sheetViews>
    <sheetView topLeftCell="A28" workbookViewId="0">
      <selection activeCell="K15" sqref="K15"/>
    </sheetView>
  </sheetViews>
  <sheetFormatPr defaultColWidth="11.6328125" defaultRowHeight="16"/>
  <cols>
    <col min="1" max="3" width="11.6328125" style="205"/>
    <col min="4" max="4" width="11.26953125" style="205" customWidth="1"/>
    <col min="5" max="16384" width="11.6328125" style="205"/>
  </cols>
  <sheetData/>
  <pageMargins left="0.7" right="0.7" top="0.75" bottom="0.75" header="0.3" footer="0.3"/>
  <pageSetup orientation="portrait" horizontalDpi="300" verticalDpi="30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B5799441280E4ABD4B6C025B86E692" ma:contentTypeVersion="10" ma:contentTypeDescription="Create a new document." ma:contentTypeScope="" ma:versionID="5eb19aa2910291cf61efc7857406a41f">
  <xsd:schema xmlns:xsd="http://www.w3.org/2001/XMLSchema" xmlns:xs="http://www.w3.org/2001/XMLSchema" xmlns:p="http://schemas.microsoft.com/office/2006/metadata/properties" xmlns:ns3="9d07e21b-04f9-4439-9432-e4808855e741" targetNamespace="http://schemas.microsoft.com/office/2006/metadata/properties" ma:root="true" ma:fieldsID="c3aa53fad3ddb6bc9cdeca20a814920d" ns3:_="">
    <xsd:import namespace="9d07e21b-04f9-4439-9432-e4808855e741"/>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07e21b-04f9-4439-9432-e4808855e74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d07e21b-04f9-4439-9432-e4808855e741" xsi:nil="true"/>
  </documentManagement>
</p:properties>
</file>

<file path=customXml/itemProps1.xml><?xml version="1.0" encoding="utf-8"?>
<ds:datastoreItem xmlns:ds="http://schemas.openxmlformats.org/officeDocument/2006/customXml" ds:itemID="{1CC776DE-4400-48F8-8EA6-AE0B95DA1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07e21b-04f9-4439-9432-e4808855e7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EF7063-DC37-4C17-A9C3-35E8EE76740A}">
  <ds:schemaRefs>
    <ds:schemaRef ds:uri="http://schemas.microsoft.com/sharepoint/v3/contenttype/forms"/>
  </ds:schemaRefs>
</ds:datastoreItem>
</file>

<file path=customXml/itemProps3.xml><?xml version="1.0" encoding="utf-8"?>
<ds:datastoreItem xmlns:ds="http://schemas.openxmlformats.org/officeDocument/2006/customXml" ds:itemID="{B417E512-431C-4E26-B037-E0C652D0C7BF}">
  <ds:schemaRefs>
    <ds:schemaRef ds:uri="http://schemas.microsoft.com/office/2006/documentManagement/types"/>
    <ds:schemaRef ds:uri="http://schemas.microsoft.com/office/2006/metadata/properties"/>
    <ds:schemaRef ds:uri="http://purl.org/dc/terms/"/>
    <ds:schemaRef ds:uri="9d07e21b-04f9-4439-9432-e4808855e741"/>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LP-INVESTMENT ALLOCATION</vt:lpstr>
      <vt:lpstr>NCAA-TSHIRT VENDOR</vt:lpstr>
      <vt:lpstr>WOODWORKS CO.</vt:lpstr>
      <vt:lpstr>QUALITY SWEATER CO</vt:lpstr>
      <vt:lpstr>B &amp; N BOOKSTORE</vt:lpstr>
      <vt:lpstr>19th HOLE</vt:lpstr>
      <vt:lpstr>Net Present Value-Gopher Drugs</vt:lpstr>
      <vt:lpstr>Sales analysis</vt:lpstr>
      <vt:lpstr>What-if (Toy Company)</vt:lpstr>
      <vt:lpstr>Linear Progamming-Ads</vt:lpstr>
      <vt:lpstr>Sheet1</vt:lpstr>
      <vt:lpstr>Linear Progamming-Net Proft </vt:lpstr>
      <vt:lpstr>LP-TECTONA fURNITURE MODEL</vt:lpstr>
      <vt:lpstr>LP-INVESTMENT ALLOCATION </vt:lpstr>
      <vt:lpstr>Sheet5</vt:lpstr>
      <vt:lpstr>LP-TRANSPORTATION</vt:lpstr>
      <vt:lpstr>LP-TRANPORT ASSIGNMENT PROBLEM</vt:lpstr>
      <vt:lpstr>LP-TRANPORT ASSIGNMENT PROB (2)</vt:lpstr>
      <vt:lpstr>LP-TRANPORT ASSIGNMENT PROB (3)</vt:lpstr>
      <vt:lpstr>INTEGER LINEAR PROGRAM (ADS) </vt:lpstr>
      <vt:lpstr>MIXED INTEGER LP (PROFIT MAX)</vt:lpstr>
      <vt:lpstr> INTEGER LP (ART POSTER)</vt:lpstr>
      <vt:lpstr>INTEGER LINEAR PROGRAM (BOOKS)</vt:lpstr>
      <vt:lpstr>BINARY INT LP (INVESTMENT)</vt:lpstr>
      <vt:lpstr>BINARY INT LP (AREA COVERA)</vt:lpstr>
      <vt:lpstr>NON LINEAR PROGRAM(PORTFOLIO)</vt:lpstr>
      <vt:lpstr>NON LINEAR PROGRAM (MOTORCROSS)</vt:lpstr>
      <vt:lpstr>NON LINEAR PROGRAM (HOT DOG)</vt:lpstr>
      <vt:lpstr>NON LINEAR PROGRAM (M&amp;T SALES)</vt:lpstr>
      <vt:lpstr>Project Model </vt:lpstr>
      <vt:lpstr>Solution Solver Summary</vt:lpstr>
      <vt:lpstr>Approved Line Charts</vt:lpstr>
      <vt:lpstr>'Solution Solver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abiola olanrewaju</dc:creator>
  <cp:lastModifiedBy>Abiola AJAO</cp:lastModifiedBy>
  <cp:lastPrinted>2025-01-12T22:23:51Z</cp:lastPrinted>
  <dcterms:created xsi:type="dcterms:W3CDTF">2025-01-04T08:35:07Z</dcterms:created>
  <dcterms:modified xsi:type="dcterms:W3CDTF">2025-03-09T14:00:27Z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0x010100D8B5799441280E4ABD4B6C025B86E692</vt:lpwstr>
  </property>
</Properties>
</file>