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autoCompressPictures="0" defaultThemeVersion="124226"/>
  <mc:AlternateContent xmlns:mc="http://schemas.openxmlformats.org/markup-compatibility/2006">
    <mc:Choice Requires="x15">
      <x15ac:absPath xmlns:x15ac="http://schemas.microsoft.com/office/spreadsheetml/2010/11/ac" url="/Users/jsc/Documents/aaJ Clark MACBOOK 2025 PUM/9991 SUBMITTED R3/"/>
    </mc:Choice>
  </mc:AlternateContent>
  <xr:revisionPtr revIDLastSave="0" documentId="13_ncr:1_{15B2501E-0034-D541-B502-976994EFC025}" xr6:coauthVersionLast="47" xr6:coauthVersionMax="47" xr10:uidLastSave="{00000000-0000-0000-0000-000000000000}"/>
  <bookViews>
    <workbookView xWindow="0" yWindow="500" windowWidth="28800" windowHeight="15880" tabRatio="137" xr2:uid="{00000000-000D-0000-FFFF-FFFF00000000}"/>
  </bookViews>
  <sheets>
    <sheet name="Arkusz1" sheetId="1" r:id="rId1"/>
  </sheets>
  <definedNames>
    <definedName name="baut0005" localSheetId="0">Arkusz1!#REF!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6" i="1" l="1"/>
  <c r="G76" i="1"/>
  <c r="H74" i="1"/>
  <c r="G74" i="1"/>
  <c r="J282" i="1"/>
  <c r="I282" i="1"/>
  <c r="H282" i="1"/>
  <c r="G282" i="1"/>
  <c r="I252" i="1"/>
  <c r="H252" i="1"/>
  <c r="G252" i="1"/>
  <c r="I226" i="1"/>
  <c r="H226" i="1"/>
  <c r="G226" i="1"/>
  <c r="I139" i="1"/>
  <c r="H139" i="1"/>
  <c r="G139" i="1"/>
  <c r="I90" i="1"/>
  <c r="H90" i="1"/>
  <c r="G90" i="1"/>
  <c r="J59" i="1"/>
  <c r="I59" i="1"/>
  <c r="H59" i="1"/>
  <c r="G59" i="1"/>
  <c r="M31" i="1"/>
  <c r="L31" i="1"/>
  <c r="K31" i="1"/>
  <c r="J31" i="1"/>
  <c r="I31" i="1"/>
  <c r="H31" i="1"/>
  <c r="G31" i="1"/>
  <c r="J268" i="1"/>
  <c r="J266" i="1"/>
  <c r="I268" i="1"/>
  <c r="H268" i="1"/>
  <c r="G268" i="1"/>
  <c r="I266" i="1"/>
  <c r="H266" i="1"/>
  <c r="G266" i="1"/>
  <c r="I239" i="1"/>
  <c r="H239" i="1"/>
  <c r="G239" i="1"/>
  <c r="H213" i="1"/>
  <c r="G213" i="1"/>
  <c r="G214" i="1" s="1"/>
  <c r="G216" i="1" s="1"/>
  <c r="G220" i="1" s="1"/>
  <c r="I213" i="1"/>
  <c r="H270" i="1" l="1"/>
  <c r="H272" i="1" s="1"/>
  <c r="H276" i="1" s="1"/>
  <c r="H277" i="1" s="1"/>
  <c r="I270" i="1"/>
  <c r="I272" i="1" s="1"/>
  <c r="I276" i="1" s="1"/>
  <c r="I277" i="1" s="1"/>
  <c r="G270" i="1"/>
  <c r="G272" i="1" s="1"/>
  <c r="G276" i="1" s="1"/>
  <c r="G277" i="1" s="1"/>
  <c r="J270" i="1"/>
  <c r="J272" i="1" s="1"/>
  <c r="J276" i="1" s="1"/>
  <c r="J277" i="1" s="1"/>
  <c r="I240" i="1"/>
  <c r="I242" i="1" s="1"/>
  <c r="I246" i="1" s="1"/>
  <c r="G240" i="1"/>
  <c r="G242" i="1" s="1"/>
  <c r="G246" i="1" s="1"/>
  <c r="H240" i="1"/>
  <c r="H242" i="1" s="1"/>
  <c r="H246" i="1" s="1"/>
  <c r="H247" i="1" s="1"/>
  <c r="H214" i="1"/>
  <c r="H216" i="1" s="1"/>
  <c r="H220" i="1" s="1"/>
  <c r="I214" i="1"/>
  <c r="I216" i="1" s="1"/>
  <c r="I220" i="1" s="1"/>
  <c r="G247" i="1" l="1"/>
  <c r="I247" i="1"/>
  <c r="H221" i="1"/>
  <c r="G221" i="1"/>
  <c r="I221" i="1"/>
  <c r="I126" i="1"/>
  <c r="H126" i="1"/>
  <c r="G126" i="1"/>
  <c r="I127" i="1" l="1"/>
  <c r="I129" i="1" s="1"/>
  <c r="I133" i="1" s="1"/>
  <c r="G127" i="1"/>
  <c r="G129" i="1" s="1"/>
  <c r="G133" i="1" s="1"/>
  <c r="H127" i="1"/>
  <c r="H129" i="1" s="1"/>
  <c r="H133" i="1" s="1"/>
  <c r="H134" i="1" s="1"/>
  <c r="G134" i="1" l="1"/>
  <c r="I134" i="1"/>
  <c r="M17" i="1"/>
  <c r="L17" i="1"/>
  <c r="K17" i="1"/>
  <c r="J17" i="1"/>
  <c r="I17" i="1"/>
  <c r="H17" i="1"/>
  <c r="G17" i="1"/>
  <c r="M15" i="1"/>
  <c r="L15" i="1"/>
  <c r="K15" i="1"/>
  <c r="J15" i="1"/>
  <c r="I76" i="1"/>
  <c r="I74" i="1"/>
  <c r="J46" i="1"/>
  <c r="I46" i="1"/>
  <c r="H46" i="1"/>
  <c r="G78" i="1" l="1"/>
  <c r="G80" i="1" s="1"/>
  <c r="G84" i="1" s="1"/>
  <c r="H78" i="1"/>
  <c r="I78" i="1"/>
  <c r="I80" i="1" s="1"/>
  <c r="I84" i="1" s="1"/>
  <c r="J47" i="1"/>
  <c r="J49" i="1" s="1"/>
  <c r="J53" i="1" s="1"/>
  <c r="G47" i="1"/>
  <c r="H47" i="1"/>
  <c r="H49" i="1" s="1"/>
  <c r="H53" i="1" s="1"/>
  <c r="H54" i="1" s="1"/>
  <c r="I47" i="1"/>
  <c r="I49" i="1" s="1"/>
  <c r="I53" i="1" s="1"/>
  <c r="I15" i="1"/>
  <c r="H15" i="1"/>
  <c r="G15" i="1"/>
  <c r="G19" i="1" s="1"/>
  <c r="G21" i="1" s="1"/>
  <c r="H80" i="1" l="1"/>
  <c r="H84" i="1" s="1"/>
  <c r="I54" i="1"/>
  <c r="J54" i="1"/>
  <c r="G49" i="1"/>
  <c r="G53" i="1" s="1"/>
  <c r="G54" i="1" s="1"/>
  <c r="M19" i="1"/>
  <c r="M21" i="1" s="1"/>
  <c r="L19" i="1"/>
  <c r="L21" i="1" s="1"/>
  <c r="K19" i="1"/>
  <c r="K21" i="1" s="1"/>
  <c r="J19" i="1"/>
  <c r="J21" i="1" s="1"/>
  <c r="I19" i="1"/>
  <c r="I21" i="1" s="1"/>
  <c r="H19" i="1"/>
  <c r="H21" i="1" s="1"/>
  <c r="H85" i="1" l="1"/>
  <c r="I85" i="1"/>
  <c r="G85" i="1"/>
  <c r="I25" i="1"/>
  <c r="J25" i="1"/>
  <c r="H25" i="1"/>
  <c r="K25" i="1"/>
  <c r="G25" i="1"/>
  <c r="L25" i="1"/>
  <c r="M25" i="1"/>
  <c r="M26" i="1" l="1"/>
  <c r="L26" i="1"/>
  <c r="G26" i="1"/>
  <c r="K26" i="1"/>
  <c r="H26" i="1"/>
  <c r="M54" i="1"/>
  <c r="L54" i="1"/>
  <c r="J26" i="1"/>
  <c r="I26" i="1"/>
</calcChain>
</file>

<file path=xl/sharedStrings.xml><?xml version="1.0" encoding="utf-8"?>
<sst xmlns="http://schemas.openxmlformats.org/spreadsheetml/2006/main" count="551" uniqueCount="283">
  <si>
    <t>No.</t>
  </si>
  <si>
    <t>PLANT PHYSIOLOGY</t>
  </si>
  <si>
    <t>JOURNAL OF EXPERIMENTAL BOTANY</t>
  </si>
  <si>
    <t>5.354</t>
  </si>
  <si>
    <t>5.949</t>
  </si>
  <si>
    <t>THEORETICAL AND APPLIED GENETICS</t>
  </si>
  <si>
    <t>3.930</t>
  </si>
  <si>
    <t>MOLECULAR PLANT PATHOLOGY</t>
  </si>
  <si>
    <t>4.188</t>
  </si>
  <si>
    <t>PLANT CELL</t>
  </si>
  <si>
    <t>8.228</t>
  </si>
  <si>
    <t>n = 20</t>
  </si>
  <si>
    <t>IF 2017</t>
  </si>
  <si>
    <t>ANNALS OF FOREST SCIENCE</t>
  </si>
  <si>
    <t>2.357</t>
  </si>
  <si>
    <t>PLANT DISEASE</t>
  </si>
  <si>
    <t>2.941</t>
  </si>
  <si>
    <t>IF 1 to 2</t>
  </si>
  <si>
    <t>JOURNAL OF APPLIED BOTANY AND FOOD QUALITY</t>
  </si>
  <si>
    <t>1.115</t>
  </si>
  <si>
    <t>PHYSIOLOGY AND MOLECULAR BIOLOGY OF PLANTS</t>
  </si>
  <si>
    <t>1.151</t>
  </si>
  <si>
    <t>PHYTOPATHOLOGIA MEDITERRANEA</t>
  </si>
  <si>
    <t>1.442</t>
  </si>
  <si>
    <t>AQUATIC BOTANY</t>
  </si>
  <si>
    <t>1.787</t>
  </si>
  <si>
    <t>TREES-STRUCTURE AND FUNCTION</t>
  </si>
  <si>
    <t>1.782</t>
  </si>
  <si>
    <t>Included</t>
  </si>
  <si>
    <t>ARTICLES (included and excluded)</t>
  </si>
  <si>
    <t>By exporting the selected data, you agree to the data usage policy set forth in the Terms of Use</t>
  </si>
  <si>
    <t>Copyright © 2018 Web of Science Group</t>
  </si>
  <si>
    <t xml:space="preserve">Carlucci A, Lops F, Mostert L, Halleen F, Raimondo ML. Occurrence fungi causing black foot on young grapevines and nursery rootstock plants in Italy. Phytopathologia Mediterranea. 2017;56: 10–39–39. </t>
  </si>
  <si>
    <t xml:space="preserve">Sotelo Montes C, Weber JC, Garcia RA, Silva DA, Muñiz GIB. Variation in growth, wood stiffness and density, and correlations between growth and wood stiffness and density in five tree and shrub species in the Sahelian and Sudanian ecozones of Mali. Trees. 2017;31: 833–849. </t>
  </si>
  <si>
    <t xml:space="preserve">Lawrence BA, Lishawa SC, Hurst N, Castillo BT, Tuchman NC. Wetland invasion by Typha×glauca increases soil methane emissions. Aquatic Botany. 2017;137: 80–87. </t>
  </si>
  <si>
    <t xml:space="preserve">Flores Fernández JL, Hartmann P, Schäffer J, Puhlmann H, Wilpert K von. Initial recovery of compacted soil—planting and technical treatments decrease CO2 concentrations in soil and promote root growth. Annals of Forest Science. 2017;74: 73. </t>
  </si>
  <si>
    <t xml:space="preserve">Koehler AM, Shew HD. Enhanced Overwintering Survival of Stevia by QoI Fungicides Used for Management of Sclerotium rolfsii. Plant Disease. 2017;101: 1417–1421. </t>
  </si>
  <si>
    <t xml:space="preserve">Brzostowski LF, Pruski TI, Specht JE, Diers BW. Impact of seed protein alleles from three soybean sources on seed composition and agronomic traits. Theoretical and Applied Genetics. 2017;130: 2315–2326. </t>
  </si>
  <si>
    <t xml:space="preserve">Zhang Y, Keller M. Discharge of surplus phloem water may be required for normal grape ripening. Journal of Experimental Botany. 2017;68: 585–595. </t>
  </si>
  <si>
    <t xml:space="preserve">Driver T, Trivedi DK, McIntosh OA, Dean AP, Goodacre R, Pittman JK. Two Glycerol-3-Phosphate Dehydrogenases from Chlamydomonas Have Distinct Roles in Lipid Metabolism. Plant Physiology. 2017;174: 2083–2097. </t>
  </si>
  <si>
    <t xml:space="preserve">Zhou S, Jiang W, Long F, Cheng S, Yang W, Zhao Y, et al. Rice Homeodomain Protein WOX11 Recruits a Histone Acetyltransferase Complex to Establish Programs of Cell Proliferation of Crown Root Meristem. The Plant Cell. 2017;29: 1088–1104. </t>
  </si>
  <si>
    <t>p-value or limit found in Abstract</t>
  </si>
  <si>
    <t>p-value or limit found in Figures or Tables</t>
  </si>
  <si>
    <t>p-value or limit found in text</t>
  </si>
  <si>
    <t>JOURNAL 2017</t>
  </si>
  <si>
    <t>Article included or excluded ?</t>
  </si>
  <si>
    <t>p &lt; 0.05</t>
  </si>
  <si>
    <t>p &lt; 0.0001</t>
  </si>
  <si>
    <t>p &lt; 0.0001</t>
  </si>
  <si>
    <t>p &lt; 0.01</t>
  </si>
  <si>
    <t>p &lt; 0.001</t>
  </si>
  <si>
    <t>"Factorial ANOVA"</t>
  </si>
  <si>
    <t>"Factorial ANOVA demonstrated that significant differences in pathogenicity were detected among the inoculated fungal species (F = 8.92, P=0.00071),"</t>
  </si>
  <si>
    <t>"two-way Analysis of Variance (ANOVA)" "We made post-hoc pair-wise comparisons among sites with Tukey HSD (_x0004_ &lt; 0.05), and used linear regressions to investigate correlative relationships between soil parameters and methane production potential"</t>
  </si>
  <si>
    <t>"Redox measurements did not differ significantly among sampling dates, so data were averaged across sampling dates. Soils subjected to high water levels had greater C (F1,16 = 5.9, p = 0.027), lower pH (F1,16 = 8.8, p = 0.009), and lower redox (F1,8 = 132.9, p &lt; 0.0001) compared to low water levels "</t>
  </si>
  <si>
    <t>"one-way ANOVA"</t>
  </si>
  <si>
    <t>"Mixed-model ANOVA" "LSmeans were separated using paired t tests"</t>
  </si>
  <si>
    <t>Student\s t-test</t>
  </si>
  <si>
    <t xml:space="preserve">                                 </t>
  </si>
  <si>
    <t>no</t>
  </si>
  <si>
    <t xml:space="preserve"> - </t>
  </si>
  <si>
    <t>Categorically distinct groups</t>
  </si>
  <si>
    <t>Factor replicated</t>
  </si>
  <si>
    <t>Year</t>
  </si>
  <si>
    <t xml:space="preserve">Kichigina NE, Puhalsky JV, Shaposhnikov AI, Azarova TS, Makarova NM, Loskutov SI, et al. Aluminum exclusion from root zone and maintenance of nutrient uptake are principal mechanisms of Al tolerance in Pisum sativum L. Physiol Mol Biol Plants. 2017 Oct;23(4):851–63. </t>
  </si>
  <si>
    <t>genotype</t>
  </si>
  <si>
    <t>Yes</t>
  </si>
  <si>
    <t>LSD test</t>
  </si>
  <si>
    <t>Figs 5 and 6</t>
  </si>
  <si>
    <t>Was evidence found for replication of results ?</t>
  </si>
  <si>
    <t>Species</t>
  </si>
  <si>
    <t>Isolate</t>
  </si>
  <si>
    <t>Yes - Table 5 has 3 isolates from each species</t>
  </si>
  <si>
    <t>Yes - Table 5 has statistically significant results from 3 isolates from each species</t>
  </si>
  <si>
    <t>"Four growth variables and five wood variables were analyzed:"</t>
  </si>
  <si>
    <t>Table 3. Parkland, Woodland</t>
  </si>
  <si>
    <t>Yes - Table 3. Land use type.</t>
  </si>
  <si>
    <t>Typha-invaded or native wet meadow</t>
  </si>
  <si>
    <t>Soil samples</t>
  </si>
  <si>
    <t>Yes - three sites</t>
  </si>
  <si>
    <t>Yes - Fig 1</t>
  </si>
  <si>
    <t xml:space="preserve">Tonk FA, Kaya E, İştipliler D, İlker E, Turanlı F, Tosun M, Yılmaz E, Ersin F, Takak ES, Çakır M. Identification of resistance to Eurygaster integriceps Put. on some bread wheat genotypes. Journal of Applied Botany and Food Quality. 2017 Feb 7;90:52–7. </t>
  </si>
  <si>
    <t>"Seven bread wheat landraces from Sunn pest prevalent areas of
Turkey and four wheat lines from ICARDA, which were identified
as resistant to Sunn pest"</t>
  </si>
  <si>
    <t>genotypes from ICARDA versus landraces from Turkey</t>
  </si>
  <si>
    <t>Race</t>
  </si>
  <si>
    <t>Yes - seven  landraces versus four ICARDA lines</t>
  </si>
  <si>
    <t>Fig 1 - differences shown at the top of each panel are statistically significant</t>
  </si>
  <si>
    <t>ANOVA and Least Significant Difference</t>
  </si>
  <si>
    <t>TGW, Thousand Grain Weight,</t>
  </si>
  <si>
    <t>Root aluminium content</t>
  </si>
  <si>
    <t>Mean lesion lengths</t>
  </si>
  <si>
    <t>Tree height</t>
  </si>
  <si>
    <t>Methane production</t>
  </si>
  <si>
    <t>Results shown for each of the two, three (or more) experimental replicates ?</t>
  </si>
  <si>
    <t>p = 0.00071</t>
  </si>
  <si>
    <t>Comparison of linear regression parameters among regions</t>
  </si>
  <si>
    <t>the significance level was a &lt; 0.05 for all tests</t>
  </si>
  <si>
    <t>SECTION A. ARTICLE</t>
  </si>
  <si>
    <t>SECTION C1. PROCESSING: MODEL</t>
  </si>
  <si>
    <t>SECTION C2. PROCESSING: REPLICATION AND P-VALUES</t>
  </si>
  <si>
    <t>Chosen relevant quantitative parameter</t>
  </si>
  <si>
    <t>Table 2. "Mean values of root growth ….  in the different treatments applied."</t>
  </si>
  <si>
    <t>Different treatments applied</t>
  </si>
  <si>
    <t>Root growth</t>
  </si>
  <si>
    <t>"linear mixed-effect model[s] [were] built using the function lmer of the package “lme4”"</t>
  </si>
  <si>
    <t>Table 2. "Lowercase superscripts (a–g) within the same
column indicate significant (p &lt; 0.05) differences among treatments"</t>
  </si>
  <si>
    <t>Yes: Table 2</t>
  </si>
  <si>
    <t>Was evidence found for method replication ?</t>
  </si>
  <si>
    <t>Chosen relevant aim/result with categorically distinct groups</t>
  </si>
  <si>
    <t>Introduction: "to determine whether there were any differences between the infested and the non-infested Sunn pest cages in terms of observed wheat traits,"</t>
  </si>
  <si>
    <t xml:space="preserve">Figs 5 and 6: Comparison of Aluminum sensitive and Al resistant genotypes </t>
  </si>
  <si>
    <t xml:space="preserve">Figs 5 and 6: "untreated control and Al-treated plants" </t>
  </si>
  <si>
    <t>Introduction: "to characterise a collection of fungal isolates that were obtained from diseased young grapevines and rooted rootstock in Apulia and Molise (southern and central Italy), using morphological and molecular studies. "</t>
  </si>
  <si>
    <t>Introduction: "Tree height and height/diameter ratio are greater in sites with higher tree density (Jiang et al. 2007; Warren et al. 2009) which in this study are woodlands (rather than parkland agroforests), sites with sandy and sandy/loam soils (rather than rocky soils), and sites with higher mean annual rainfall."</t>
  </si>
  <si>
    <t>Introduction: "we compared the methane production potential of soils collected from Typha- invaded and native wet meadow stands from three Midwestern wetlands (USA); we expected greater methane production from Typha-invaded soils and that production rates would be positively correlated with soil C and N."</t>
  </si>
  <si>
    <t>Results: "In 2016, when comparing emerged plants on 19 April and 24 May, significant treatment effects were again observed (P &lt; 0.0001). "</t>
  </si>
  <si>
    <t>Introduction: "determine whether fungicide applications consistently enhance overwintering survival of stevia."</t>
  </si>
  <si>
    <t>% Emergence after overwintering</t>
  </si>
  <si>
    <t>Fungicide treatments versus non-treated controls</t>
  </si>
  <si>
    <t>Trial</t>
  </si>
  <si>
    <t>Methods: "Overwintering …. In trial 1, emergence rates were counted on 14 April and 4 May 2015. In trial 2, emergence rates were collected on 19 April and 24 May 2016. In trial 3, emergence rates were collected on 19 April. " "In trial 4, emergence rates were counted on 30 April and 16 May 2016."</t>
  </si>
  <si>
    <t>Results: "In 2016, when comparing emerged plants on 19 April and 24 May, significant treatment effects were again observed (P &lt; 0.0001). " Results for trial 1, trial 2 (2016) and trial 3 are given in Table 4. Trial 4 did not have Sclerotium rolfsii (it used Stevia rebaudiana) but results are still given in Results.</t>
  </si>
  <si>
    <t xml:space="preserve">Table 1 The impact on seed yield, protein, and oil (130 g kg−1 moisture basis) when the protein-increasing allele of the chr 20 QTL from Danbaekkong (CHR20-D) was introgressed into the LD02-5025 and Dwight backgrounds </t>
  </si>
  <si>
    <t>donor allele and recurrent allele</t>
  </si>
  <si>
    <t>seed yield</t>
  </si>
  <si>
    <t>analysis of variance</t>
  </si>
  <si>
    <t>Four environments (location x year) were tested</t>
  </si>
  <si>
    <t>environment</t>
  </si>
  <si>
    <t>Yes: Table 1: four environments</t>
  </si>
  <si>
    <t>Table 1: p &lt; 0.0001</t>
  </si>
  <si>
    <t>Fig 8: "Effects of restricted xylem flow or berry transpiration on ripening of Merlot, Syrah, and Concord grapes."</t>
  </si>
  <si>
    <t>solute accumulation rate</t>
  </si>
  <si>
    <t>grape genotype</t>
  </si>
  <si>
    <t>control clusters, clusters with restricted xylem flow (-X), restricted transpiration (-T), and the combination of both treatments (-XT).</t>
  </si>
  <si>
    <t>Yes: Fig 8: three genotypes used</t>
  </si>
  <si>
    <t xml:space="preserve">Fig 8. "Values are means±SE.  Different letters indicate significant differences between means within genotypes at either early or late ripening (n=10, P&lt;0.05)." </t>
  </si>
  <si>
    <t>total PA = phosphatidic acids</t>
  </si>
  <si>
    <t>Fig 9: "Asterisks indicate significant difference (p &lt; 0.05</t>
  </si>
  <si>
    <t>lines versus control</t>
  </si>
  <si>
    <t>line</t>
  </si>
  <si>
    <t>GPD3 overexpression line</t>
  </si>
  <si>
    <t>Methods: "three independent GPD3 overexpression lines, GPD3-OE1, GPD3-OE2 and GPD2-OE3"</t>
  </si>
  <si>
    <t>relative trancription level</t>
  </si>
  <si>
    <t>RNAi line</t>
  </si>
  <si>
    <t>Fig 3: " Significant difference between transgenic lines and the wild type (Student’s t tests, P value &lt; 0.01) are marked by double asterisks."</t>
  </si>
  <si>
    <t>Wang J, Yin Z, Tang W et al. The thioredoxin MoTrx2 protein mediates reactive oxygen species (ROS) balance and controls pathogenicity as a target of the transcription factor MoAP1 in Magnaporthe oryzae. Molecular plant pathology. 2016;18 9:1199-1209.</t>
  </si>
  <si>
    <t>these fungi gmos are sufficiently bulked to allow triplication</t>
  </si>
  <si>
    <t>Fig 8: "Asterisks indicate significant differences and the results were repeated three times."</t>
  </si>
  <si>
    <t>Fig 8: "Disulfide bond formation in MoTrx2 is important for growth, conidiation and pathogenesis." "(C, D) Conidial
formation was observed under a light microscope after illumination for 24 h. "</t>
  </si>
  <si>
    <t>Fig 8: "The conidia were collected, counted and analysed by Duncan analysis (P &lt; 0.01)."</t>
  </si>
  <si>
    <t>strains</t>
  </si>
  <si>
    <t>Conidiation</t>
  </si>
  <si>
    <t>n.a. = not applicable,  - = data not given; PCA = principal component analysis; GLM = generalized linear model</t>
  </si>
  <si>
    <t>Note on study design</t>
  </si>
  <si>
    <t>One relevant p value, limit or result.</t>
  </si>
  <si>
    <t>Relevant statistical method(s).</t>
  </si>
  <si>
    <t>Methods: "Each experiment included five replicates per isolate. " Table 5 - three idolates from each fungal species.</t>
  </si>
  <si>
    <t>TR1</t>
  </si>
  <si>
    <t>TR2</t>
  </si>
  <si>
    <t>TR3</t>
  </si>
  <si>
    <t>TR4</t>
  </si>
  <si>
    <t>TR5</t>
  </si>
  <si>
    <t>TR6</t>
  </si>
  <si>
    <t>TR7</t>
  </si>
  <si>
    <t>mean</t>
  </si>
  <si>
    <t>sd final</t>
  </si>
  <si>
    <t>CI_width &lt;- 2 * crit * SE_total</t>
  </si>
  <si>
    <t xml:space="preserve">critvalue </t>
  </si>
  <si>
    <t xml:space="preserve">N </t>
  </si>
  <si>
    <t>pooled s.d.</t>
  </si>
  <si>
    <t>d.f.</t>
  </si>
  <si>
    <t>n - 1</t>
  </si>
  <si>
    <t>2n-2</t>
  </si>
  <si>
    <t>3n-3</t>
  </si>
  <si>
    <t>4n-4</t>
  </si>
  <si>
    <t>5n-5</t>
  </si>
  <si>
    <t>6n-6</t>
  </si>
  <si>
    <t>7n-7</t>
  </si>
  <si>
    <t>v1 = (n-1)*s^2</t>
  </si>
  <si>
    <t>sqrt(v1/d.f.)</t>
  </si>
  <si>
    <t>SE</t>
  </si>
  <si>
    <t>qt(1 - alpha/2, df = n - 1)</t>
  </si>
  <si>
    <t>sqrt((v1+v2)/d.f.)</t>
  </si>
  <si>
    <t>sqrt((v1+v2+v3)/d.f.)</t>
  </si>
  <si>
    <t>qt(1 - alpha/2, df = 2*n - 2)</t>
  </si>
  <si>
    <t>qt(1 - alpha/2, df = 3*n - 3)</t>
  </si>
  <si>
    <t>sqrt((v1+v2+v3+v4)/d.f.)</t>
  </si>
  <si>
    <t>qt(1 - alpha/2, df = 4*n - 4)</t>
  </si>
  <si>
    <t>sqrt((v1+v2+v3+v4+v5)/d.f.)</t>
  </si>
  <si>
    <t>qt(1 - alpha/2, df = 5*n - 5)</t>
  </si>
  <si>
    <t>sqrt((v1+v2+v3+v4+v5+v6)/d.f.)</t>
  </si>
  <si>
    <t>qt(1 - alpha/2, df = 6*n - 6)</t>
  </si>
  <si>
    <t>sqrt((v1+v2+v3+v4+v5+v6+v7)/d.f.)</t>
  </si>
  <si>
    <t>qt(1 - alpha/2, df = 7*n - 7)</t>
  </si>
  <si>
    <t>sp / sqrt(n)</t>
  </si>
  <si>
    <t>sp / sqrt(2*n)</t>
  </si>
  <si>
    <t>sp / sqrt(3*n)</t>
  </si>
  <si>
    <t>sp / sqrt(4*n)</t>
  </si>
  <si>
    <t>sp / sqrt(5*n)</t>
  </si>
  <si>
    <t>sp / sqrt(6*n)</t>
  </si>
  <si>
    <t>sp / sqrt(7*n)</t>
  </si>
  <si>
    <t>SE is sp / sqrt(n * k)</t>
  </si>
  <si>
    <t>which would be for analyzing differences</t>
  </si>
  <si>
    <t>SE is NOT sp / sqrt(n/k) = sp * sqrt(k/n)</t>
  </si>
  <si>
    <t>Figs 5 and 6. Four Al.-sensitive genotypes shown</t>
  </si>
  <si>
    <t>N</t>
  </si>
  <si>
    <t>SE final</t>
  </si>
  <si>
    <t>Here - SEs must be pooled, not s.d.'s</t>
  </si>
  <si>
    <t>pooled SE = 1/k * (sqrt(sum(SE^2))</t>
  </si>
  <si>
    <t>SE^2</t>
  </si>
  <si>
    <t>(sqrt(sum(SE^2))</t>
  </si>
  <si>
    <t>pooled SE</t>
  </si>
  <si>
    <t>CI_width</t>
  </si>
  <si>
    <t>Mean</t>
  </si>
  <si>
    <t>BF144</t>
  </si>
  <si>
    <t>BF47</t>
  </si>
  <si>
    <t>BF12</t>
  </si>
  <si>
    <t>s.d.</t>
  </si>
  <si>
    <r>
      <t xml:space="preserve">Ruxton GD. The unequal variance t-test is an underused alternative to Student’s t-test and the Mann–Whitney U test. </t>
    </r>
    <r>
      <rPr>
        <i/>
        <sz val="12"/>
        <color rgb="FF000000"/>
        <rFont val="Arial"/>
        <family val="2"/>
        <charset val="238"/>
      </rPr>
      <t>Behav Ecol</t>
    </r>
    <r>
      <rPr>
        <sz val="12"/>
        <color rgb="FF000000"/>
        <rFont val="Arial"/>
        <family val="2"/>
        <charset val="238"/>
      </rPr>
      <t>. 2006;17(4):688–90. doi:10.1093/beheco/ark016</t>
    </r>
  </si>
  <si>
    <t>Carlucci et al. 2017 Table 5 Ilyonectria liriodendri</t>
  </si>
  <si>
    <t>Kichigina et al. 2017 Fig 5(a) - Al sensitive genotypes</t>
  </si>
  <si>
    <t>Tonk et al. 2017 Fig 1. (a) top panel Landraces TR1, TR2, TR3, TR4, TR5, TR6, TR7</t>
  </si>
  <si>
    <t>B. aegyptiaca</t>
  </si>
  <si>
    <t>C. glutinosum</t>
  </si>
  <si>
    <t>P. reticulatum</t>
  </si>
  <si>
    <t>17 Sotelo Montes Table 2 Region 1 Sp_MOE-Tan</t>
  </si>
  <si>
    <t>0.00583</t>
  </si>
  <si>
    <t>0.006855</t>
  </si>
  <si>
    <t>0.007575</t>
  </si>
  <si>
    <t xml:space="preserve">not given </t>
  </si>
  <si>
    <t>not given</t>
  </si>
  <si>
    <t xml:space="preserve">GARDENER </t>
  </si>
  <si>
    <t>PHEASANT</t>
  </si>
  <si>
    <t>PRAIRIE</t>
  </si>
  <si>
    <t>MARSH</t>
  </si>
  <si>
    <t>BRANCH</t>
  </si>
  <si>
    <t>WOLF</t>
  </si>
  <si>
    <t>SLOUGH</t>
  </si>
  <si>
    <t>18 Lawrence2017 - FIG 1 NATIVE</t>
  </si>
  <si>
    <t>1/1 * (sqrt(sum(SE^2))</t>
  </si>
  <si>
    <t>1/2 * (sqrt(sum(SE^2))</t>
  </si>
  <si>
    <t>1/3 * (sqrt(sum(SE^2))</t>
  </si>
  <si>
    <t>1/4 * (sqrt(sum(SE^2))</t>
  </si>
  <si>
    <t>28 Flores_Fernandez Table 2 Undisturbed control plots - s.d. not given</t>
  </si>
  <si>
    <t>Statistically significant differences between means shown - but variances not given</t>
  </si>
  <si>
    <t>40 Koehler emergence rates Table 4</t>
  </si>
  <si>
    <t>Brzostowski et al. 2017 Table 1 Seed yield</t>
  </si>
  <si>
    <t>Wang et al. 2017 Fig 8 D</t>
  </si>
  <si>
    <t>Zhang et al. 2017 Fig 8 A Control</t>
  </si>
  <si>
    <t>Merlot</t>
  </si>
  <si>
    <t>Syrah</t>
  </si>
  <si>
    <t>Concord</t>
  </si>
  <si>
    <t>Yes: Fig 9B: Total PA - results for GPD3-OE1, GPD3-OE2 and GPD2-OE3</t>
  </si>
  <si>
    <t>Fig 9B: "Lipid composition of ... GPD3 overexpression lines" Total PA</t>
  </si>
  <si>
    <t>Driver et al. 2017 Fig 9B, Total PA, High P</t>
  </si>
  <si>
    <t>GPD3-OE1</t>
  </si>
  <si>
    <t>GPD3-OE2</t>
  </si>
  <si>
    <t>GPD3-OE3</t>
  </si>
  <si>
    <t>Yes: Fig 3A:  four lines each of GCN5 and ADA2 were characterized in Fig 3A and 3B.</t>
  </si>
  <si>
    <t>Although many results were only duplicated - four lines each of GCN5 and ADA2 were characterized in Fig 3A and 3B.</t>
  </si>
  <si>
    <t>Fig 3A and 3B. " Characterization of Rice GCN5 and ADA2 RNAi Lines."</t>
  </si>
  <si>
    <t>Zhou et al. 2017 Fig 3A Relative transcription level</t>
  </si>
  <si>
    <t>RG2</t>
  </si>
  <si>
    <t>RG6</t>
  </si>
  <si>
    <t>RG14</t>
  </si>
  <si>
    <t>RG20</t>
  </si>
  <si>
    <t>Results were repeated three times - but representative results shown</t>
  </si>
  <si>
    <t>CI_width relative to k=2</t>
  </si>
  <si>
    <t>Relative</t>
  </si>
  <si>
    <t>k</t>
  </si>
  <si>
    <t>qt((1-alpha/2), df = (k * (n-1))) / sqrt(k)</t>
  </si>
  <si>
    <t>(with no sys.)</t>
  </si>
  <si>
    <t>Expected C.I. width</t>
  </si>
  <si>
    <t xml:space="preserve">Expected ratio </t>
  </si>
  <si>
    <t>relative to k=2</t>
  </si>
  <si>
    <t xml:space="preserve">substantially from N=2 to N=10000 </t>
  </si>
  <si>
    <t>in terms of Actual being above Expected</t>
  </si>
  <si>
    <t xml:space="preserve">for k=1 (both are shifted upwards for N=2 </t>
  </si>
  <si>
    <t>of relative C.I. does not change</t>
  </si>
  <si>
    <t xml:space="preserve">N is a guess, but note the patterns </t>
  </si>
  <si>
    <t>or downwards slightly for N=10000)</t>
  </si>
  <si>
    <r>
      <rPr>
        <b/>
        <sz val="16"/>
        <color theme="1"/>
        <rFont val="Times New Roman"/>
        <family val="1"/>
      </rPr>
      <t xml:space="preserve">Title of article: </t>
    </r>
    <r>
      <rPr>
        <sz val="16"/>
        <color theme="1"/>
        <rFont val="Times New Roman"/>
        <family val="1"/>
        <charset val="238"/>
      </rPr>
      <t xml:space="preserve">Triplication: an important component of the modern scientific method.
</t>
    </r>
    <r>
      <rPr>
        <b/>
        <sz val="16"/>
        <color theme="1"/>
        <rFont val="Times New Roman"/>
        <family val="1"/>
      </rPr>
      <t>Authors:</t>
    </r>
    <r>
      <rPr>
        <sz val="16"/>
        <color theme="1"/>
        <rFont val="Times New Roman"/>
        <family val="1"/>
        <charset val="238"/>
      </rPr>
      <t xml:space="preserve">  Jeremy S.C. Clark, Karina Szczypiór-Piasecka, Kamila Rydzewska, Konrad Podsiadło.</t>
    </r>
  </si>
  <si>
    <t>Supplemental Table S8: CONFIDENCE INTERVAL ILLUSTRATIONS from PROTOCOL REPORT - PLANT (and related) SCIENCES 2017 (see Supplemental file 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</si>
</sst>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font>
      <sz val="11"/>
      <color rgb="FF000000"/>
      <name val="Arial"/>
      <family val="2"/>
      <charset val="238"/>
    </font>
    <font>
      <u/>
      <sz val="11"/>
      <color theme="11"/>
      <name val="Arial"/>
      <family val="2"/>
      <charset val="238"/>
    </font>
    <font>
      <sz val="10"/>
      <name val="Arial"/>
      <family val="2"/>
      <charset val="238"/>
    </font>
    <font>
      <u/>
      <sz val="11"/>
      <color theme="10"/>
      <name val="Arial"/>
      <family val="2"/>
      <charset val="238"/>
    </font>
    <font>
      <sz val="16"/>
      <color theme="1"/>
      <name val="Times New Roman"/>
      <family val="1"/>
      <charset val="238"/>
    </font>
    <font>
      <b/>
      <sz val="16"/>
      <color theme="1"/>
      <name val="Times New Roman"/>
      <family val="1"/>
      <charset val="238"/>
    </font>
    <font>
      <sz val="16"/>
      <color theme="1"/>
      <name val="Times New Roman"/>
      <family val="1"/>
    </font>
    <font>
      <b/>
      <sz val="16"/>
      <color theme="1"/>
      <name val="Times New Roman"/>
      <family val="1"/>
    </font>
    <font>
      <b/>
      <sz val="16"/>
      <color theme="9" tint="-0.249977111117893"/>
      <name val="Times New Roman"/>
      <family val="1"/>
    </font>
    <font>
      <b/>
      <sz val="16"/>
      <color rgb="FFFF0000"/>
      <name val="Times New Roman"/>
      <family val="1"/>
    </font>
    <font>
      <sz val="16"/>
      <color theme="1"/>
      <name val="Arial"/>
      <family val="2"/>
      <charset val="238"/>
    </font>
    <font>
      <b/>
      <sz val="16"/>
      <color rgb="FFFF0000"/>
      <name val="Times New Roman"/>
      <family val="1"/>
      <charset val="238"/>
    </font>
    <font>
      <sz val="16"/>
      <color theme="1"/>
      <name val="SansSerif"/>
      <family val="2"/>
    </font>
    <font>
      <b/>
      <sz val="16"/>
      <color theme="1"/>
      <name val="Arial"/>
      <family val="2"/>
      <charset val="238"/>
    </font>
    <font>
      <sz val="28"/>
      <color rgb="FF000000"/>
      <name val="Arial"/>
      <family val="2"/>
      <charset val="238"/>
    </font>
    <font>
      <sz val="28"/>
      <color rgb="FFFF0000"/>
      <name val="Arial"/>
      <family val="2"/>
      <charset val="238"/>
    </font>
    <font>
      <sz val="12"/>
      <color rgb="FF000000"/>
      <name val="Arial"/>
      <family val="2"/>
      <charset val="238"/>
    </font>
    <font>
      <i/>
      <sz val="12"/>
      <color rgb="FF000000"/>
      <name val="Arial"/>
      <family val="2"/>
      <charset val="238"/>
    </font>
    <font>
      <sz val="18"/>
      <color rgb="FFFF0000"/>
      <name val="Arial"/>
      <family val="2"/>
      <charset val="238"/>
    </font>
    <font>
      <sz val="20"/>
      <color theme="1"/>
      <name val="Times New Roman"/>
      <family val="1"/>
    </font>
    <font>
      <b/>
      <sz val="20"/>
      <color theme="1"/>
      <name val="Times New Roman"/>
      <family val="1"/>
    </font>
  </fonts>
  <fills count="2">
    <fill>
      <patternFill patternType="none"/>
    </fill>
    <fill>
      <patternFill patternType="gray125"/>
    </fill>
  </fills>
  <borders count="2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ck">
        <color auto="1"/>
      </bottom>
      <diagonal/>
    </border>
    <border>
      <left/>
      <right/>
      <top/>
      <bottom style="thick">
        <color auto="1"/>
      </bottom>
      <diagonal/>
    </border>
    <border>
      <left style="thin">
        <color auto="1"/>
      </left>
      <right style="thin">
        <color auto="1"/>
      </right>
      <top/>
      <bottom style="thick">
        <color auto="1"/>
      </bottom>
      <diagonal/>
    </border>
    <border>
      <left style="slantDashDot">
        <color auto="1"/>
      </left>
      <right/>
      <top/>
      <bottom style="thick">
        <color auto="1"/>
      </bottom>
      <diagonal/>
    </border>
    <border>
      <left/>
      <right style="slantDashDot">
        <color auto="1"/>
      </right>
      <top/>
      <bottom style="thick">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right style="slantDashDot">
        <color auto="1"/>
      </right>
      <top/>
      <bottom/>
      <diagonal/>
    </border>
    <border>
      <left style="thin">
        <color auto="1"/>
      </left>
      <right style="slantDashDot">
        <color auto="1"/>
      </right>
      <top style="thin">
        <color auto="1"/>
      </top>
      <bottom style="thin">
        <color auto="1"/>
      </bottom>
      <diagonal/>
    </border>
    <border>
      <left/>
      <right style="slantDashDot">
        <color auto="1"/>
      </right>
      <top style="thin">
        <color auto="1"/>
      </top>
      <bottom style="thin">
        <color auto="1"/>
      </bottom>
      <diagonal/>
    </border>
    <border>
      <left/>
      <right/>
      <top style="thick">
        <color auto="1"/>
      </top>
      <bottom/>
      <diagonal/>
    </border>
    <border>
      <left style="thin">
        <color auto="1"/>
      </left>
      <right style="slantDashDot">
        <color auto="1"/>
      </right>
      <top/>
      <bottom style="thick">
        <color auto="1"/>
      </bottom>
      <diagonal/>
    </border>
    <border>
      <left style="thin">
        <color auto="1"/>
      </left>
      <right/>
      <top/>
      <bottom style="thick">
        <color auto="1"/>
      </bottom>
      <diagonal/>
    </border>
  </borders>
  <cellStyleXfs count="5">
    <xf numFmtId="0" fontId="0" fillId="0" borderId="0"/>
    <xf numFmtId="0" fontId="1" fillId="0" borderId="0" applyNumberFormat="0" applyFill="0" applyBorder="0" applyAlignment="0" applyProtection="0"/>
    <xf numFmtId="0" fontId="2" fillId="0" borderId="0"/>
    <xf numFmtId="0" fontId="3" fillId="0" borderId="0" applyNumberFormat="0" applyFill="0" applyBorder="0" applyAlignment="0" applyProtection="0"/>
    <xf numFmtId="0" fontId="1" fillId="0" borderId="0" applyNumberFormat="0" applyFill="0" applyBorder="0" applyAlignment="0" applyProtection="0"/>
  </cellStyleXfs>
  <cellXfs count="67">
    <xf numFmtId="0" fontId="0" fillId="0" borderId="0" xfId="0"/>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xf>
    <xf numFmtId="0" fontId="5" fillId="0" borderId="9" xfId="0" applyFont="1" applyBorder="1" applyAlignment="1">
      <alignment vertical="center" wrapText="1"/>
    </xf>
    <xf numFmtId="0" fontId="7" fillId="0" borderId="9" xfId="0" applyFont="1" applyBorder="1" applyAlignment="1">
      <alignment vertical="center" wrapText="1"/>
    </xf>
    <xf numFmtId="0" fontId="7" fillId="0" borderId="0" xfId="0" applyFont="1" applyAlignment="1">
      <alignment vertical="center" wrapText="1"/>
    </xf>
    <xf numFmtId="164" fontId="5" fillId="0" borderId="9" xfId="0" applyNumberFormat="1" applyFont="1" applyBorder="1" applyAlignment="1">
      <alignment vertical="center" wrapText="1"/>
    </xf>
    <xf numFmtId="0" fontId="4" fillId="0" borderId="9"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10" fillId="0" borderId="0" xfId="0" applyFont="1" applyAlignment="1" applyProtection="1">
      <alignment horizontal="center" vertical="center" wrapText="1"/>
      <protection locked="0"/>
    </xf>
    <xf numFmtId="0" fontId="10" fillId="0" borderId="0" xfId="0" applyFont="1" applyAlignment="1" applyProtection="1">
      <alignment wrapText="1"/>
      <protection locked="0"/>
    </xf>
    <xf numFmtId="0" fontId="13" fillId="0" borderId="0" xfId="0" applyFont="1" applyAlignment="1" applyProtection="1">
      <alignment wrapText="1"/>
      <protection locked="0"/>
    </xf>
    <xf numFmtId="0" fontId="6" fillId="0" borderId="0" xfId="0" applyFont="1" applyAlignment="1">
      <alignment vertical="center"/>
    </xf>
    <xf numFmtId="0" fontId="9" fillId="0" borderId="0" xfId="0" applyFont="1" applyAlignment="1">
      <alignment vertical="center" wrapText="1"/>
    </xf>
    <xf numFmtId="0" fontId="9" fillId="0" borderId="2" xfId="0" applyFont="1" applyBorder="1" applyAlignment="1">
      <alignment vertical="center" wrapText="1"/>
    </xf>
    <xf numFmtId="0" fontId="9" fillId="0" borderId="5"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7" fillId="0" borderId="12" xfId="0" applyFont="1" applyBorder="1" applyAlignment="1">
      <alignment vertical="center" wrapText="1"/>
    </xf>
    <xf numFmtId="0" fontId="5" fillId="0" borderId="16" xfId="0" applyFont="1" applyBorder="1" applyAlignment="1">
      <alignment vertical="center" wrapText="1"/>
    </xf>
    <xf numFmtId="0" fontId="9" fillId="0" borderId="18" xfId="0" applyFont="1" applyBorder="1" applyAlignment="1">
      <alignment vertical="center" wrapText="1"/>
    </xf>
    <xf numFmtId="0" fontId="9" fillId="0" borderId="17" xfId="0" applyFont="1" applyBorder="1" applyAlignment="1">
      <alignment vertical="center" wrapText="1"/>
    </xf>
    <xf numFmtId="0" fontId="7" fillId="0" borderId="16" xfId="0" applyFont="1" applyBorder="1" applyAlignment="1">
      <alignment vertical="center" wrapText="1"/>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11" fillId="0" borderId="0" xfId="0" applyFont="1" applyAlignment="1">
      <alignment vertical="center"/>
    </xf>
    <xf numFmtId="0" fontId="4" fillId="0" borderId="19" xfId="0" applyFont="1" applyBorder="1" applyAlignment="1">
      <alignment vertical="center" wrapText="1"/>
    </xf>
    <xf numFmtId="0" fontId="5" fillId="0" borderId="19" xfId="0" applyFont="1" applyBorder="1" applyAlignment="1">
      <alignment vertical="center" wrapText="1"/>
    </xf>
    <xf numFmtId="0" fontId="6" fillId="0" borderId="19" xfId="0" applyFont="1" applyBorder="1" applyAlignment="1">
      <alignment vertical="center" wrapText="1"/>
    </xf>
    <xf numFmtId="0" fontId="7" fillId="0" borderId="10" xfId="0" applyFont="1" applyBorder="1" applyAlignment="1">
      <alignment vertical="center" wrapText="1"/>
    </xf>
    <xf numFmtId="0" fontId="5" fillId="0" borderId="20" xfId="0" applyFont="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4" fillId="0" borderId="0" xfId="0" applyFont="1"/>
    <xf numFmtId="0" fontId="15" fillId="0" borderId="0" xfId="0" applyFont="1"/>
    <xf numFmtId="0" fontId="5" fillId="0" borderId="21"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8" fillId="0" borderId="0" xfId="0" applyFont="1"/>
    <xf numFmtId="0" fontId="11" fillId="0" borderId="5" xfId="0" applyFont="1" applyBorder="1" applyAlignment="1">
      <alignment vertical="center" wrapText="1"/>
    </xf>
    <xf numFmtId="0" fontId="11" fillId="0" borderId="18" xfId="0" applyFont="1" applyBorder="1" applyAlignment="1">
      <alignment vertical="center" wrapText="1"/>
    </xf>
    <xf numFmtId="0" fontId="11" fillId="0" borderId="3" xfId="0" applyFont="1" applyBorder="1" applyAlignment="1">
      <alignment vertical="center" wrapText="1"/>
    </xf>
    <xf numFmtId="0" fontId="11" fillId="0" borderId="7" xfId="0" applyFont="1" applyBorder="1" applyAlignment="1">
      <alignment vertical="center" wrapText="1"/>
    </xf>
    <xf numFmtId="0" fontId="11" fillId="0" borderId="17" xfId="0" applyFont="1" applyBorder="1" applyAlignment="1">
      <alignment vertical="center" wrapText="1"/>
    </xf>
    <xf numFmtId="0" fontId="19" fillId="0" borderId="0" xfId="0" applyFont="1" applyAlignment="1">
      <alignment vertical="center" wrapText="1"/>
    </xf>
    <xf numFmtId="0" fontId="19" fillId="0" borderId="0" xfId="0" applyFont="1" applyAlignment="1">
      <alignment vertical="center"/>
    </xf>
    <xf numFmtId="0" fontId="20" fillId="0" borderId="0" xfId="0" applyFont="1" applyAlignment="1">
      <alignment horizontal="center" vertical="center" wrapText="1"/>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16" fillId="0" borderId="0" xfId="0" applyFont="1" applyAlignment="1">
      <alignment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left" vertical="top" wrapText="1"/>
    </xf>
    <xf numFmtId="0" fontId="12" fillId="0" borderId="0" xfId="0" applyFont="1" applyAlignment="1" applyProtection="1">
      <alignment horizontal="left" vertical="top" wrapText="1"/>
      <protection locked="0"/>
    </xf>
    <xf numFmtId="0" fontId="7" fillId="0" borderId="15" xfId="0" applyFont="1" applyBorder="1" applyAlignment="1">
      <alignment horizontal="center" vertical="center" wrapText="1"/>
    </xf>
  </cellXfs>
  <cellStyles count="5">
    <cellStyle name="Followed Hyperlink" xfId="1" builtinId="9" hidden="1"/>
    <cellStyle name="Followed Hyperlink" xfId="4" builtinId="9" hidden="1"/>
    <cellStyle name="Hyperlink" xfId="3" builtinId="8" hidden="1"/>
    <cellStyle name="Normal" xfId="0" builtinId="0"/>
    <cellStyle name="Normalny 2" xfId="2" xr:uid="{00000000-0005-0000-0000-000002000000}"/>
  </cellStyles>
  <dxfs count="0"/>
  <tableStyles count="0" defaultTableStyle="TableStyleMedium9" defaultPivotStyle="PivotStyleLight16"/>
  <colors>
    <mruColors>
      <color rgb="FF0066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3.emf"/><Relationship Id="rId7" Type="http://schemas.openxmlformats.org/officeDocument/2006/relationships/image" Target="../media/image6.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5.emf"/><Relationship Id="rId5" Type="http://schemas.openxmlformats.org/officeDocument/2006/relationships/image" Target="https://apsjournals.apsnet.org/cms/10.1094/PDIS-02-17-0277-RE/asset/images/medium/pdis-02-17-0277-re_t4-1498886569894.gif" TargetMode="External"/><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1879600</xdr:colOff>
      <xdr:row>68</xdr:row>
      <xdr:rowOff>118532</xdr:rowOff>
    </xdr:from>
    <xdr:to>
      <xdr:col>11</xdr:col>
      <xdr:colOff>3488267</xdr:colOff>
      <xdr:row>77</xdr:row>
      <xdr:rowOff>204949</xdr:rowOff>
    </xdr:to>
    <xdr:pic>
      <xdr:nvPicPr>
        <xdr:cNvPr id="2" name="Picture 1">
          <a:extLst>
            <a:ext uri="{FF2B5EF4-FFF2-40B4-BE49-F238E27FC236}">
              <a16:creationId xmlns:a16="http://schemas.microsoft.com/office/drawing/2014/main" id="{05CAA94C-AA55-B11D-2F40-3DFBC2D8E038}"/>
            </a:ext>
          </a:extLst>
        </xdr:cNvPr>
        <xdr:cNvPicPr>
          <a:picLocks noChangeAspect="1"/>
        </xdr:cNvPicPr>
      </xdr:nvPicPr>
      <xdr:blipFill>
        <a:blip xmlns:r="http://schemas.openxmlformats.org/officeDocument/2006/relationships" r:embed="rId1"/>
        <a:stretch>
          <a:fillRect/>
        </a:stretch>
      </xdr:blipFill>
      <xdr:spPr>
        <a:xfrm>
          <a:off x="28752800" y="40690799"/>
          <a:ext cx="7772400" cy="4658417"/>
        </a:xfrm>
        <a:prstGeom prst="rect">
          <a:avLst/>
        </a:prstGeom>
      </xdr:spPr>
    </xdr:pic>
    <xdr:clientData/>
  </xdr:twoCellAnchor>
  <xdr:twoCellAnchor editAs="oneCell">
    <xdr:from>
      <xdr:col>8</xdr:col>
      <xdr:colOff>1998133</xdr:colOff>
      <xdr:row>96</xdr:row>
      <xdr:rowOff>1115518</xdr:rowOff>
    </xdr:from>
    <xdr:to>
      <xdr:col>9</xdr:col>
      <xdr:colOff>2353732</xdr:colOff>
      <xdr:row>113</xdr:row>
      <xdr:rowOff>135465</xdr:rowOff>
    </xdr:to>
    <xdr:pic>
      <xdr:nvPicPr>
        <xdr:cNvPr id="3" name="Picture 2">
          <a:extLst>
            <a:ext uri="{FF2B5EF4-FFF2-40B4-BE49-F238E27FC236}">
              <a16:creationId xmlns:a16="http://schemas.microsoft.com/office/drawing/2014/main" id="{E441C638-D8E9-B44A-B8D7-775019D8DE57}"/>
            </a:ext>
          </a:extLst>
        </xdr:cNvPr>
        <xdr:cNvPicPr>
          <a:picLocks noChangeAspect="1"/>
        </xdr:cNvPicPr>
      </xdr:nvPicPr>
      <xdr:blipFill>
        <a:blip xmlns:r="http://schemas.openxmlformats.org/officeDocument/2006/relationships" r:embed="rId2"/>
        <a:stretch>
          <a:fillRect/>
        </a:stretch>
      </xdr:blipFill>
      <xdr:spPr>
        <a:xfrm>
          <a:off x="24163866" y="50323785"/>
          <a:ext cx="6519333" cy="9687947"/>
        </a:xfrm>
        <a:prstGeom prst="rect">
          <a:avLst/>
        </a:prstGeom>
      </xdr:spPr>
    </xdr:pic>
    <xdr:clientData/>
  </xdr:twoCellAnchor>
  <xdr:twoCellAnchor editAs="oneCell">
    <xdr:from>
      <xdr:col>3</xdr:col>
      <xdr:colOff>549270</xdr:colOff>
      <xdr:row>145</xdr:row>
      <xdr:rowOff>389467</xdr:rowOff>
    </xdr:from>
    <xdr:to>
      <xdr:col>7</xdr:col>
      <xdr:colOff>4013200</xdr:colOff>
      <xdr:row>162</xdr:row>
      <xdr:rowOff>423333</xdr:rowOff>
    </xdr:to>
    <xdr:pic>
      <xdr:nvPicPr>
        <xdr:cNvPr id="4" name="Picture 3">
          <a:extLst>
            <a:ext uri="{FF2B5EF4-FFF2-40B4-BE49-F238E27FC236}">
              <a16:creationId xmlns:a16="http://schemas.microsoft.com/office/drawing/2014/main" id="{BA4266D2-8E5A-1CA3-A302-E90E0A76F511}"/>
            </a:ext>
          </a:extLst>
        </xdr:cNvPr>
        <xdr:cNvPicPr>
          <a:picLocks noChangeAspect="1"/>
        </xdr:cNvPicPr>
      </xdr:nvPicPr>
      <xdr:blipFill>
        <a:blip xmlns:r="http://schemas.openxmlformats.org/officeDocument/2006/relationships" r:embed="rId3"/>
        <a:stretch>
          <a:fillRect/>
        </a:stretch>
      </xdr:blipFill>
      <xdr:spPr>
        <a:xfrm>
          <a:off x="4697937" y="78316667"/>
          <a:ext cx="16841263" cy="8669866"/>
        </a:xfrm>
        <a:prstGeom prst="rect">
          <a:avLst/>
        </a:prstGeom>
      </xdr:spPr>
    </xdr:pic>
    <xdr:clientData/>
  </xdr:twoCellAnchor>
  <xdr:twoCellAnchor>
    <xdr:from>
      <xdr:col>8</xdr:col>
      <xdr:colOff>457200</xdr:colOff>
      <xdr:row>168</xdr:row>
      <xdr:rowOff>338666</xdr:rowOff>
    </xdr:from>
    <xdr:to>
      <xdr:col>9</xdr:col>
      <xdr:colOff>440266</xdr:colOff>
      <xdr:row>181</xdr:row>
      <xdr:rowOff>0</xdr:rowOff>
    </xdr:to>
    <xdr:pic>
      <xdr:nvPicPr>
        <xdr:cNvPr id="6" name="Picture 4">
          <a:extLst>
            <a:ext uri="{FF2B5EF4-FFF2-40B4-BE49-F238E27FC236}">
              <a16:creationId xmlns:a16="http://schemas.microsoft.com/office/drawing/2014/main" id="{AE816BE7-8D80-916C-F2CD-33C6D6FAAC5A}"/>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22622933" y="94013866"/>
          <a:ext cx="538480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1913467</xdr:colOff>
      <xdr:row>185</xdr:row>
      <xdr:rowOff>237067</xdr:rowOff>
    </xdr:from>
    <xdr:to>
      <xdr:col>7</xdr:col>
      <xdr:colOff>406400</xdr:colOff>
      <xdr:row>191</xdr:row>
      <xdr:rowOff>485860</xdr:rowOff>
    </xdr:to>
    <xdr:pic>
      <xdr:nvPicPr>
        <xdr:cNvPr id="8" name="Picture 7">
          <a:extLst>
            <a:ext uri="{FF2B5EF4-FFF2-40B4-BE49-F238E27FC236}">
              <a16:creationId xmlns:a16="http://schemas.microsoft.com/office/drawing/2014/main" id="{6D413B00-5CC6-CECE-8949-90AB12846DEC}"/>
            </a:ext>
          </a:extLst>
        </xdr:cNvPr>
        <xdr:cNvPicPr>
          <a:picLocks noChangeAspect="1"/>
        </xdr:cNvPicPr>
      </xdr:nvPicPr>
      <xdr:blipFill>
        <a:blip xmlns:r="http://schemas.openxmlformats.org/officeDocument/2006/relationships" r:embed="rId6"/>
        <a:stretch>
          <a:fillRect/>
        </a:stretch>
      </xdr:blipFill>
      <xdr:spPr>
        <a:xfrm>
          <a:off x="10160000" y="105596267"/>
          <a:ext cx="7772400" cy="3296793"/>
        </a:xfrm>
        <a:prstGeom prst="rect">
          <a:avLst/>
        </a:prstGeom>
      </xdr:spPr>
    </xdr:pic>
    <xdr:clientData/>
  </xdr:twoCellAnchor>
  <xdr:twoCellAnchor editAs="oneCell">
    <xdr:from>
      <xdr:col>5</xdr:col>
      <xdr:colOff>1270001</xdr:colOff>
      <xdr:row>197</xdr:row>
      <xdr:rowOff>101600</xdr:rowOff>
    </xdr:from>
    <xdr:to>
      <xdr:col>6</xdr:col>
      <xdr:colOff>2599267</xdr:colOff>
      <xdr:row>202</xdr:row>
      <xdr:rowOff>12700</xdr:rowOff>
    </xdr:to>
    <xdr:pic>
      <xdr:nvPicPr>
        <xdr:cNvPr id="9" name="Picture 8">
          <a:extLst>
            <a:ext uri="{FF2B5EF4-FFF2-40B4-BE49-F238E27FC236}">
              <a16:creationId xmlns:a16="http://schemas.microsoft.com/office/drawing/2014/main" id="{3D0789BE-DAEA-1F99-C352-14FC02C2613C}"/>
            </a:ext>
          </a:extLst>
        </xdr:cNvPr>
        <xdr:cNvPicPr>
          <a:picLocks noChangeAspect="1"/>
        </xdr:cNvPicPr>
      </xdr:nvPicPr>
      <xdr:blipFill>
        <a:blip xmlns:r="http://schemas.openxmlformats.org/officeDocument/2006/relationships" r:embed="rId7"/>
        <a:stretch>
          <a:fillRect/>
        </a:stretch>
      </xdr:blipFill>
      <xdr:spPr>
        <a:xfrm>
          <a:off x="9516534" y="113588800"/>
          <a:ext cx="4445000" cy="2451100"/>
        </a:xfrm>
        <a:prstGeom prst="rect">
          <a:avLst/>
        </a:prstGeom>
      </xdr:spPr>
    </xdr:pic>
    <xdr:clientData/>
  </xdr:twoCellAnchor>
  <xdr:twoCellAnchor editAs="oneCell">
    <xdr:from>
      <xdr:col>10</xdr:col>
      <xdr:colOff>152399</xdr:colOff>
      <xdr:row>206</xdr:row>
      <xdr:rowOff>67731</xdr:rowOff>
    </xdr:from>
    <xdr:to>
      <xdr:col>11</xdr:col>
      <xdr:colOff>1269999</xdr:colOff>
      <xdr:row>228</xdr:row>
      <xdr:rowOff>77200</xdr:rowOff>
    </xdr:to>
    <xdr:pic>
      <xdr:nvPicPr>
        <xdr:cNvPr id="10" name="Picture 9">
          <a:extLst>
            <a:ext uri="{FF2B5EF4-FFF2-40B4-BE49-F238E27FC236}">
              <a16:creationId xmlns:a16="http://schemas.microsoft.com/office/drawing/2014/main" id="{9B6FB752-4864-281D-F94F-6AB66AFB8FF0}"/>
            </a:ext>
          </a:extLst>
        </xdr:cNvPr>
        <xdr:cNvPicPr>
          <a:picLocks noChangeAspect="1"/>
        </xdr:cNvPicPr>
      </xdr:nvPicPr>
      <xdr:blipFill>
        <a:blip xmlns:r="http://schemas.openxmlformats.org/officeDocument/2006/relationships" r:embed="rId8"/>
        <a:stretch>
          <a:fillRect/>
        </a:stretch>
      </xdr:blipFill>
      <xdr:spPr>
        <a:xfrm>
          <a:off x="33121599" y="120158931"/>
          <a:ext cx="7281333" cy="1118546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1"/>
  <sheetViews>
    <sheetView tabSelected="1" zoomScale="75" zoomScaleNormal="75" zoomScalePageLayoutView="180" workbookViewId="0">
      <selection activeCell="B2" sqref="B2:E2"/>
    </sheetView>
  </sheetViews>
  <sheetFormatPr baseColWidth="10" defaultColWidth="9.1640625" defaultRowHeight="20"/>
  <cols>
    <col min="1" max="1" width="5.83203125" style="1" customWidth="1"/>
    <col min="2" max="2" width="32.83203125" style="1" customWidth="1"/>
    <col min="3" max="3" width="15.83203125" style="1" customWidth="1"/>
    <col min="4" max="4" width="40.83203125" style="1" customWidth="1"/>
    <col min="5" max="5" width="12.83203125" style="2" customWidth="1"/>
    <col min="6" max="6" width="40.83203125" style="3" customWidth="1"/>
    <col min="7" max="10" width="80.83203125" style="3" customWidth="1"/>
    <col min="11" max="12" width="80.83203125" style="2" customWidth="1"/>
    <col min="13" max="13" width="80.83203125" style="3" customWidth="1"/>
    <col min="14" max="16" width="50.83203125" style="3" customWidth="1"/>
    <col min="17" max="19" width="50.83203125" style="1" customWidth="1"/>
    <col min="20" max="20" width="31.83203125" style="1" customWidth="1"/>
    <col min="21" max="29" width="35.83203125" style="4" customWidth="1"/>
    <col min="30" max="16384" width="9.1640625" style="4"/>
  </cols>
  <sheetData>
    <row r="1" spans="1:24" s="53" customFormat="1" ht="100" customHeight="1">
      <c r="A1" s="52"/>
      <c r="B1" s="54" t="s">
        <v>282</v>
      </c>
      <c r="C1" s="54"/>
      <c r="D1" s="54"/>
      <c r="E1" s="54"/>
      <c r="F1" s="52"/>
      <c r="G1" s="52"/>
      <c r="H1" s="52"/>
      <c r="I1" s="52"/>
      <c r="J1" s="52"/>
      <c r="K1" s="52"/>
      <c r="L1" s="52"/>
      <c r="M1" s="52"/>
      <c r="N1" s="52"/>
      <c r="O1" s="52"/>
      <c r="P1" s="52"/>
      <c r="Q1" s="52"/>
      <c r="R1" s="52"/>
      <c r="S1" s="52"/>
      <c r="T1" s="52"/>
    </row>
    <row r="2" spans="1:24" ht="120" customHeight="1">
      <c r="B2" s="62" t="s">
        <v>281</v>
      </c>
      <c r="C2" s="63"/>
      <c r="D2" s="63"/>
      <c r="E2" s="63"/>
      <c r="F2" s="3" t="s">
        <v>152</v>
      </c>
      <c r="K2" s="3"/>
      <c r="L2" s="3"/>
      <c r="Q2" s="3"/>
      <c r="R2" s="3"/>
    </row>
    <row r="3" spans="1:24" ht="20" customHeight="1" thickBot="1">
      <c r="B3" s="61" t="s">
        <v>58</v>
      </c>
      <c r="C3" s="61"/>
      <c r="D3" s="61"/>
      <c r="E3" s="61"/>
      <c r="F3" s="2"/>
      <c r="G3" s="2"/>
      <c r="H3" s="2"/>
      <c r="I3" s="2"/>
      <c r="J3" s="2"/>
      <c r="M3" s="2"/>
      <c r="N3" s="2"/>
      <c r="O3" s="2"/>
      <c r="P3" s="2"/>
      <c r="Q3" s="2"/>
      <c r="R3" s="2"/>
      <c r="S3" s="2"/>
    </row>
    <row r="4" spans="1:24" ht="250" customHeight="1">
      <c r="A4" s="55" t="s">
        <v>97</v>
      </c>
      <c r="B4" s="56"/>
      <c r="C4" s="56"/>
      <c r="D4" s="56"/>
      <c r="E4" s="57"/>
      <c r="F4" s="59" t="s">
        <v>98</v>
      </c>
      <c r="G4" s="60"/>
      <c r="H4" s="60"/>
      <c r="I4" s="60"/>
      <c r="J4" s="60"/>
      <c r="K4" s="60"/>
      <c r="L4" s="60"/>
      <c r="M4" s="66"/>
      <c r="N4" s="59" t="s">
        <v>99</v>
      </c>
      <c r="O4" s="60"/>
      <c r="P4" s="60"/>
      <c r="Q4" s="60"/>
      <c r="R4" s="60"/>
      <c r="S4" s="60"/>
      <c r="T4" s="60"/>
    </row>
    <row r="5" spans="1:24" ht="250" customHeight="1" thickBot="1">
      <c r="A5" s="21" t="s">
        <v>0</v>
      </c>
      <c r="B5" s="20" t="s">
        <v>44</v>
      </c>
      <c r="C5" s="20" t="s">
        <v>12</v>
      </c>
      <c r="D5" s="20" t="s">
        <v>29</v>
      </c>
      <c r="E5" s="36" t="s">
        <v>45</v>
      </c>
      <c r="F5" s="37" t="s">
        <v>108</v>
      </c>
      <c r="G5" s="35" t="s">
        <v>153</v>
      </c>
      <c r="H5" s="35" t="s">
        <v>61</v>
      </c>
      <c r="I5" s="35" t="s">
        <v>100</v>
      </c>
      <c r="J5" s="35" t="s">
        <v>155</v>
      </c>
      <c r="K5" s="20" t="s">
        <v>154</v>
      </c>
      <c r="L5" s="43"/>
      <c r="M5" s="38" t="s">
        <v>62</v>
      </c>
      <c r="N5" s="37" t="s">
        <v>107</v>
      </c>
      <c r="O5" s="35" t="s">
        <v>69</v>
      </c>
      <c r="P5" s="35" t="s">
        <v>93</v>
      </c>
      <c r="Q5" s="20" t="s">
        <v>41</v>
      </c>
      <c r="R5" s="20"/>
      <c r="S5" s="20" t="s">
        <v>42</v>
      </c>
      <c r="T5" s="20" t="s">
        <v>43</v>
      </c>
      <c r="U5" s="20"/>
      <c r="V5" s="20"/>
      <c r="W5" s="20"/>
      <c r="X5" s="38"/>
    </row>
    <row r="6" spans="1:24" ht="27" customHeight="1" thickTop="1">
      <c r="A6" s="2"/>
      <c r="B6" s="2"/>
      <c r="C6" s="2"/>
      <c r="E6" s="24"/>
      <c r="F6" s="7"/>
      <c r="G6" s="7"/>
      <c r="H6" s="7"/>
      <c r="I6" s="7"/>
      <c r="J6" s="7"/>
      <c r="M6" s="27"/>
      <c r="N6" s="7"/>
      <c r="O6" s="7"/>
      <c r="P6" s="7"/>
      <c r="Q6" s="2"/>
      <c r="R6" s="2"/>
    </row>
    <row r="7" spans="1:24" ht="24" customHeight="1" thickBot="1">
      <c r="A7" s="5"/>
      <c r="B7" s="5"/>
      <c r="C7" s="8" t="s">
        <v>17</v>
      </c>
      <c r="D7" s="6" t="s">
        <v>11</v>
      </c>
      <c r="E7" s="22"/>
      <c r="F7" s="6"/>
      <c r="G7" s="6"/>
      <c r="H7" s="6"/>
      <c r="I7" s="6"/>
      <c r="J7" s="6"/>
      <c r="K7" s="5"/>
      <c r="L7" s="5"/>
      <c r="M7" s="23"/>
      <c r="N7" s="6"/>
      <c r="O7" s="6"/>
      <c r="P7" s="6"/>
      <c r="Q7" s="5"/>
      <c r="R7" s="5"/>
      <c r="S7" s="9"/>
      <c r="T7" s="9"/>
    </row>
    <row r="8" spans="1:24" s="29" customFormat="1" ht="200" customHeight="1" thickTop="1">
      <c r="A8" s="11">
        <v>3</v>
      </c>
      <c r="B8" s="12" t="s">
        <v>18</v>
      </c>
      <c r="C8" s="12" t="s">
        <v>19</v>
      </c>
      <c r="D8" s="10" t="s">
        <v>81</v>
      </c>
      <c r="E8" s="25" t="s">
        <v>28</v>
      </c>
      <c r="F8" s="10" t="s">
        <v>109</v>
      </c>
      <c r="G8" s="10" t="s">
        <v>82</v>
      </c>
      <c r="H8" s="10" t="s">
        <v>83</v>
      </c>
      <c r="I8" s="10" t="s">
        <v>88</v>
      </c>
      <c r="J8" s="10" t="s">
        <v>87</v>
      </c>
      <c r="K8" s="10" t="s">
        <v>46</v>
      </c>
      <c r="L8" s="39"/>
      <c r="M8" s="25" t="s">
        <v>84</v>
      </c>
      <c r="N8" s="10" t="s">
        <v>85</v>
      </c>
      <c r="O8" s="10" t="s">
        <v>80</v>
      </c>
      <c r="P8" s="10" t="s">
        <v>80</v>
      </c>
      <c r="Q8" s="10" t="s">
        <v>60</v>
      </c>
      <c r="R8" s="10"/>
      <c r="S8" s="10" t="s">
        <v>86</v>
      </c>
      <c r="T8" s="10" t="s">
        <v>60</v>
      </c>
    </row>
    <row r="9" spans="1:24" s="41" customFormat="1" ht="40" customHeight="1">
      <c r="F9" s="41" t="s">
        <v>221</v>
      </c>
    </row>
    <row r="10" spans="1:24" s="41" customFormat="1" ht="40" customHeight="1"/>
    <row r="11" spans="1:24" s="41" customFormat="1" ht="40" customHeight="1">
      <c r="G11" s="41" t="s">
        <v>157</v>
      </c>
      <c r="H11" s="41" t="s">
        <v>158</v>
      </c>
      <c r="I11" s="41" t="s">
        <v>159</v>
      </c>
      <c r="J11" s="41" t="s">
        <v>160</v>
      </c>
      <c r="K11" s="41" t="s">
        <v>161</v>
      </c>
      <c r="L11" s="41" t="s">
        <v>162</v>
      </c>
      <c r="M11" s="41" t="s">
        <v>163</v>
      </c>
    </row>
    <row r="12" spans="1:24" s="41" customFormat="1" ht="40" customHeight="1">
      <c r="F12" s="41" t="s">
        <v>164</v>
      </c>
      <c r="G12" s="41">
        <v>34</v>
      </c>
      <c r="H12" s="41">
        <v>52</v>
      </c>
      <c r="I12" s="41">
        <v>46</v>
      </c>
      <c r="J12" s="41">
        <v>56</v>
      </c>
      <c r="K12" s="41">
        <v>39</v>
      </c>
      <c r="L12" s="41">
        <v>49</v>
      </c>
      <c r="M12" s="41">
        <v>23.5</v>
      </c>
    </row>
    <row r="13" spans="1:24" s="41" customFormat="1" ht="40" customHeight="1">
      <c r="F13" s="41" t="s">
        <v>165</v>
      </c>
      <c r="G13" s="41">
        <v>8.75</v>
      </c>
      <c r="H13" s="41">
        <v>15.25</v>
      </c>
      <c r="I13" s="41">
        <v>12.5</v>
      </c>
      <c r="J13" s="41">
        <v>25</v>
      </c>
      <c r="K13" s="41">
        <v>10.75</v>
      </c>
      <c r="L13" s="41">
        <v>15.25</v>
      </c>
      <c r="M13" s="41">
        <v>4.5</v>
      </c>
    </row>
    <row r="14" spans="1:24" s="41" customFormat="1" ht="40" customHeight="1">
      <c r="F14" s="41" t="s">
        <v>168</v>
      </c>
      <c r="G14" s="41">
        <v>100</v>
      </c>
      <c r="H14" s="41">
        <v>100</v>
      </c>
      <c r="I14" s="41">
        <v>100</v>
      </c>
      <c r="J14" s="41">
        <v>100</v>
      </c>
      <c r="K14" s="41">
        <v>100</v>
      </c>
      <c r="L14" s="41">
        <v>100</v>
      </c>
      <c r="M14" s="41">
        <v>100</v>
      </c>
    </row>
    <row r="15" spans="1:24" s="41" customFormat="1" ht="40" customHeight="1">
      <c r="F15" s="41" t="s">
        <v>178</v>
      </c>
      <c r="G15" s="41">
        <f>(G14-1)*G13^2</f>
        <v>7579.6875</v>
      </c>
      <c r="H15" s="41">
        <f>(H14-1)*H13^2</f>
        <v>23023.6875</v>
      </c>
      <c r="I15" s="41">
        <f>(I14-1)*I13^2</f>
        <v>15468.75</v>
      </c>
      <c r="J15" s="41">
        <f t="shared" ref="J15:M15" si="0">(J14-1)*J13^2</f>
        <v>61875</v>
      </c>
      <c r="K15" s="41">
        <f t="shared" si="0"/>
        <v>11440.6875</v>
      </c>
      <c r="L15" s="41">
        <f t="shared" si="0"/>
        <v>23023.6875</v>
      </c>
      <c r="M15" s="41">
        <f t="shared" si="0"/>
        <v>2004.75</v>
      </c>
    </row>
    <row r="16" spans="1:24" s="41" customFormat="1" ht="40" customHeight="1">
      <c r="F16" s="41" t="s">
        <v>170</v>
      </c>
      <c r="G16" s="41" t="s">
        <v>171</v>
      </c>
      <c r="H16" s="41" t="s">
        <v>172</v>
      </c>
      <c r="I16" s="41" t="s">
        <v>173</v>
      </c>
      <c r="J16" s="41" t="s">
        <v>174</v>
      </c>
      <c r="K16" s="41" t="s">
        <v>175</v>
      </c>
      <c r="L16" s="41" t="s">
        <v>176</v>
      </c>
      <c r="M16" s="41" t="s">
        <v>177</v>
      </c>
    </row>
    <row r="17" spans="2:13" s="41" customFormat="1" ht="40" customHeight="1">
      <c r="F17" s="41" t="s">
        <v>170</v>
      </c>
      <c r="G17" s="41">
        <f>G14-1</f>
        <v>99</v>
      </c>
      <c r="H17" s="41">
        <f>(2*H14)-2</f>
        <v>198</v>
      </c>
      <c r="I17" s="41">
        <f>(3*I14)-3</f>
        <v>297</v>
      </c>
      <c r="J17" s="41">
        <f>(4*J14)-4</f>
        <v>396</v>
      </c>
      <c r="K17" s="41">
        <f>(5*K14)-5</f>
        <v>495</v>
      </c>
      <c r="L17" s="41">
        <f>(6*L14)-6</f>
        <v>594</v>
      </c>
      <c r="M17" s="41">
        <f>(7*M14)-7</f>
        <v>693</v>
      </c>
    </row>
    <row r="18" spans="2:13" s="41" customFormat="1" ht="40" customHeight="1">
      <c r="F18" s="41" t="s">
        <v>169</v>
      </c>
      <c r="G18" s="41" t="s">
        <v>179</v>
      </c>
      <c r="H18" s="41" t="s">
        <v>182</v>
      </c>
      <c r="I18" s="41" t="s">
        <v>183</v>
      </c>
      <c r="J18" s="41" t="s">
        <v>186</v>
      </c>
      <c r="K18" s="41" t="s">
        <v>188</v>
      </c>
      <c r="L18" s="41" t="s">
        <v>190</v>
      </c>
      <c r="M18" s="41" t="s">
        <v>192</v>
      </c>
    </row>
    <row r="19" spans="2:13" s="41" customFormat="1" ht="40" customHeight="1">
      <c r="B19" s="58" t="s">
        <v>218</v>
      </c>
      <c r="F19" s="41" t="s">
        <v>169</v>
      </c>
      <c r="G19" s="41">
        <f>SQRT(G15/G17)</f>
        <v>8.75</v>
      </c>
      <c r="H19" s="41">
        <f>SQRT((G15+H15)/H17)</f>
        <v>12.432316759156356</v>
      </c>
      <c r="I19" s="41">
        <f>SQRT((G15+H15+I15)/I17)</f>
        <v>12.45491870708115</v>
      </c>
      <c r="J19" s="41">
        <f>SQRT((G15+H15+I15+J15)/J17)</f>
        <v>16.510413380651617</v>
      </c>
      <c r="K19" s="41">
        <f>SQRT((G15+H15+I15+J15+K15)/K17)</f>
        <v>15.530212490497354</v>
      </c>
      <c r="L19" s="41">
        <f>SQRT((G15+H15+I15+J15+K15+L15)/L17)</f>
        <v>15.483862567202022</v>
      </c>
      <c r="M19" s="41">
        <f>SQRT((G15+H15+I15+J15+K15+L15+M15)/M17)</f>
        <v>14.435818547725555</v>
      </c>
    </row>
    <row r="20" spans="2:13" s="41" customFormat="1" ht="40" customHeight="1">
      <c r="B20" s="58"/>
      <c r="F20" s="41" t="s">
        <v>180</v>
      </c>
      <c r="G20" s="41" t="s">
        <v>194</v>
      </c>
      <c r="H20" s="41" t="s">
        <v>195</v>
      </c>
      <c r="I20" s="41" t="s">
        <v>196</v>
      </c>
      <c r="J20" s="41" t="s">
        <v>197</v>
      </c>
      <c r="K20" s="41" t="s">
        <v>198</v>
      </c>
      <c r="L20" s="41" t="s">
        <v>199</v>
      </c>
      <c r="M20" s="41" t="s">
        <v>200</v>
      </c>
    </row>
    <row r="21" spans="2:13" s="41" customFormat="1" ht="40" customHeight="1">
      <c r="B21" s="58"/>
      <c r="D21" s="46" t="s">
        <v>201</v>
      </c>
      <c r="F21" s="41" t="s">
        <v>180</v>
      </c>
      <c r="G21" s="41">
        <f>G19 / SQRT((G14))</f>
        <v>0.875</v>
      </c>
      <c r="H21" s="41">
        <f>H19 / SQRT((2*H14))</f>
        <v>0.87909754862586209</v>
      </c>
      <c r="I21" s="41">
        <f>I19 / SQRT((3*I14))</f>
        <v>0.71908506682682072</v>
      </c>
      <c r="J21" s="41">
        <f>J19 / SQRT((4*J14))</f>
        <v>0.82552066903258081</v>
      </c>
      <c r="K21" s="41">
        <f>K19 / SQRT((5*K14))</f>
        <v>0.6945322166753678</v>
      </c>
      <c r="L21" s="41">
        <f>L19 / SQRT((6*L14))</f>
        <v>0.63212604228376268</v>
      </c>
      <c r="M21" s="41">
        <f>M19 / SQRT((7*M14))</f>
        <v>0.54562265498479179</v>
      </c>
    </row>
    <row r="22" spans="2:13" s="41" customFormat="1" ht="40" customHeight="1">
      <c r="B22" s="46" t="s">
        <v>203</v>
      </c>
      <c r="C22" s="46"/>
      <c r="D22" s="46" t="s">
        <v>202</v>
      </c>
      <c r="F22" s="41" t="s">
        <v>167</v>
      </c>
      <c r="G22" s="41" t="s">
        <v>181</v>
      </c>
      <c r="H22" s="41" t="s">
        <v>184</v>
      </c>
      <c r="I22" s="41" t="s">
        <v>185</v>
      </c>
      <c r="J22" s="41" t="s">
        <v>187</v>
      </c>
      <c r="K22" s="41" t="s">
        <v>189</v>
      </c>
      <c r="L22" s="41" t="s">
        <v>191</v>
      </c>
      <c r="M22" s="41" t="s">
        <v>193</v>
      </c>
    </row>
    <row r="23" spans="2:13" s="41" customFormat="1" ht="40" customHeight="1">
      <c r="F23" s="41" t="s">
        <v>167</v>
      </c>
      <c r="G23" s="41">
        <v>1.9842169999999999</v>
      </c>
      <c r="H23" s="41">
        <v>1.9720169999999999</v>
      </c>
      <c r="I23" s="41">
        <v>1.967984</v>
      </c>
      <c r="J23" s="41">
        <v>1.965973</v>
      </c>
      <c r="K23" s="41">
        <v>1.9647680000000001</v>
      </c>
      <c r="L23" s="41">
        <v>1.9639660000000001</v>
      </c>
      <c r="M23" s="41">
        <v>1.9633929999999999</v>
      </c>
    </row>
    <row r="24" spans="2:13" s="41" customFormat="1" ht="40" customHeight="1">
      <c r="F24" s="42" t="s">
        <v>212</v>
      </c>
      <c r="G24" s="42" t="s">
        <v>166</v>
      </c>
      <c r="H24" s="42" t="s">
        <v>166</v>
      </c>
      <c r="I24" s="42" t="s">
        <v>166</v>
      </c>
      <c r="J24" s="42" t="s">
        <v>166</v>
      </c>
      <c r="K24" s="42" t="s">
        <v>166</v>
      </c>
      <c r="L24" s="42" t="s">
        <v>166</v>
      </c>
      <c r="M24" s="42" t="s">
        <v>166</v>
      </c>
    </row>
    <row r="25" spans="2:13" s="41" customFormat="1" ht="40" customHeight="1">
      <c r="D25" s="42" t="s">
        <v>166</v>
      </c>
      <c r="F25" s="42" t="s">
        <v>212</v>
      </c>
      <c r="G25" s="41">
        <f t="shared" ref="G25:M25" si="1">2*G23*G21</f>
        <v>3.47237975</v>
      </c>
      <c r="H25" s="41">
        <f t="shared" si="1"/>
        <v>3.4671906210970533</v>
      </c>
      <c r="I25" s="41">
        <f t="shared" si="1"/>
        <v>2.8302958123082278</v>
      </c>
      <c r="J25" s="41">
        <f t="shared" si="1"/>
        <v>3.2459026925199801</v>
      </c>
      <c r="K25" s="41">
        <f t="shared" si="1"/>
        <v>2.729189348585658</v>
      </c>
      <c r="L25" s="41">
        <f t="shared" si="1"/>
        <v>2.4829481095197448</v>
      </c>
      <c r="M25" s="41">
        <f t="shared" si="1"/>
        <v>2.1425434028771106</v>
      </c>
    </row>
    <row r="26" spans="2:13" s="41" customFormat="1" ht="40" customHeight="1">
      <c r="D26" s="41" t="s">
        <v>267</v>
      </c>
      <c r="F26" s="41" t="s">
        <v>268</v>
      </c>
      <c r="G26" s="41">
        <f>100 * G25/$H$25</f>
        <v>100.14966379037172</v>
      </c>
      <c r="H26" s="41">
        <f t="shared" ref="H26:M26" si="2">100 * H25/$H$25</f>
        <v>99.999999999999986</v>
      </c>
      <c r="I26" s="41">
        <f t="shared" si="2"/>
        <v>81.630810694010648</v>
      </c>
      <c r="J26" s="41">
        <f t="shared" si="2"/>
        <v>93.61765899946235</v>
      </c>
      <c r="K26" s="41">
        <f t="shared" si="2"/>
        <v>78.714718826798048</v>
      </c>
      <c r="L26" s="41">
        <f t="shared" si="2"/>
        <v>71.612679568627684</v>
      </c>
      <c r="M26" s="41">
        <f t="shared" si="2"/>
        <v>61.79479691252709</v>
      </c>
    </row>
    <row r="27" spans="2:13" s="41" customFormat="1" ht="40" customHeight="1"/>
    <row r="28" spans="2:13" s="41" customFormat="1" ht="40" customHeight="1">
      <c r="F28" s="41" t="s">
        <v>269</v>
      </c>
      <c r="G28" s="41">
        <v>1</v>
      </c>
      <c r="H28" s="41">
        <v>2</v>
      </c>
      <c r="I28" s="41">
        <v>3</v>
      </c>
      <c r="J28" s="41">
        <v>4</v>
      </c>
      <c r="K28" s="41">
        <v>5</v>
      </c>
      <c r="L28" s="41">
        <v>6</v>
      </c>
      <c r="M28" s="41">
        <v>7</v>
      </c>
    </row>
    <row r="29" spans="2:13" s="41" customFormat="1" ht="40" customHeight="1">
      <c r="B29" s="41" t="s">
        <v>272</v>
      </c>
      <c r="D29" s="41" t="s">
        <v>270</v>
      </c>
      <c r="G29" s="41">
        <v>1.9842169999999999</v>
      </c>
      <c r="H29" s="41">
        <v>1.3944270000000001</v>
      </c>
      <c r="I29" s="41">
        <v>1.1362159999999999</v>
      </c>
      <c r="J29" s="41">
        <v>0.98298629999999998</v>
      </c>
      <c r="K29" s="41">
        <v>0.87867099999999998</v>
      </c>
      <c r="L29" s="41">
        <v>0.80178559999999999</v>
      </c>
      <c r="M29" s="41">
        <v>0.74209199999999997</v>
      </c>
    </row>
    <row r="30" spans="2:13" s="41" customFormat="1" ht="40" customHeight="1">
      <c r="B30" s="41" t="s">
        <v>271</v>
      </c>
    </row>
    <row r="31" spans="2:13" s="41" customFormat="1" ht="40" customHeight="1">
      <c r="F31" s="41" t="s">
        <v>273</v>
      </c>
      <c r="G31" s="41">
        <f>100*G29/$H$29</f>
        <v>142.29622633526171</v>
      </c>
      <c r="H31" s="41">
        <f t="shared" ref="H31:M31" si="3">100*H29/$H$29</f>
        <v>100</v>
      </c>
      <c r="I31" s="41">
        <f t="shared" si="3"/>
        <v>81.482644842648611</v>
      </c>
      <c r="J31" s="41">
        <f t="shared" si="3"/>
        <v>70.493923310435036</v>
      </c>
      <c r="K31" s="41">
        <f t="shared" si="3"/>
        <v>63.013051238967684</v>
      </c>
      <c r="L31" s="41">
        <f t="shared" si="3"/>
        <v>57.499288238107837</v>
      </c>
      <c r="M31" s="41">
        <f t="shared" si="3"/>
        <v>53.218418748346089</v>
      </c>
    </row>
    <row r="32" spans="2:13" s="41" customFormat="1" ht="40" customHeight="1">
      <c r="F32" s="41" t="s">
        <v>274</v>
      </c>
    </row>
    <row r="33" spans="1:20" s="41" customFormat="1" ht="40" customHeight="1"/>
    <row r="34" spans="1:20" s="41" customFormat="1" ht="40" customHeight="1"/>
    <row r="35" spans="1:20" s="41" customFormat="1" ht="40" customHeight="1"/>
    <row r="36" spans="1:20" s="41" customFormat="1" ht="40" customHeight="1"/>
    <row r="37" spans="1:20" s="41" customFormat="1" ht="40" customHeight="1"/>
    <row r="38" spans="1:20" s="30" customFormat="1" ht="200" customHeight="1">
      <c r="A38" s="11">
        <v>4</v>
      </c>
      <c r="B38" s="12" t="s">
        <v>20</v>
      </c>
      <c r="C38" s="12" t="s">
        <v>21</v>
      </c>
      <c r="D38" s="12" t="s">
        <v>64</v>
      </c>
      <c r="E38" s="26" t="s">
        <v>28</v>
      </c>
      <c r="F38" s="10" t="s">
        <v>110</v>
      </c>
      <c r="G38" s="12" t="s">
        <v>60</v>
      </c>
      <c r="H38" s="12" t="s">
        <v>111</v>
      </c>
      <c r="I38" s="12" t="s">
        <v>89</v>
      </c>
      <c r="J38" s="12" t="s">
        <v>67</v>
      </c>
      <c r="K38" s="12" t="s">
        <v>46</v>
      </c>
      <c r="L38" s="40"/>
      <c r="M38" s="26" t="s">
        <v>65</v>
      </c>
      <c r="N38" s="10" t="s">
        <v>204</v>
      </c>
      <c r="O38" s="12" t="s">
        <v>204</v>
      </c>
      <c r="P38" s="12" t="s">
        <v>66</v>
      </c>
      <c r="Q38" s="12" t="s">
        <v>60</v>
      </c>
      <c r="R38" s="12"/>
      <c r="S38" s="12" t="s">
        <v>68</v>
      </c>
      <c r="T38" s="12" t="s">
        <v>60</v>
      </c>
    </row>
    <row r="39" spans="1:20" s="41" customFormat="1" ht="40" customHeight="1">
      <c r="F39" s="41" t="s">
        <v>220</v>
      </c>
    </row>
    <row r="40" spans="1:20" s="41" customFormat="1" ht="40" customHeight="1"/>
    <row r="41" spans="1:20" s="41" customFormat="1" ht="40" customHeight="1"/>
    <row r="42" spans="1:20" s="41" customFormat="1" ht="40" customHeight="1">
      <c r="G42" s="41">
        <v>8473</v>
      </c>
      <c r="H42" s="41">
        <v>3654</v>
      </c>
      <c r="I42" s="41">
        <v>2759</v>
      </c>
      <c r="J42" s="41">
        <v>1903</v>
      </c>
    </row>
    <row r="43" spans="1:20" s="41" customFormat="1" ht="40" customHeight="1">
      <c r="F43" s="41" t="s">
        <v>164</v>
      </c>
      <c r="G43" s="41">
        <v>3.9</v>
      </c>
      <c r="H43" s="41">
        <v>2.4</v>
      </c>
      <c r="I43" s="41">
        <v>1.4</v>
      </c>
      <c r="J43" s="41">
        <v>7</v>
      </c>
    </row>
    <row r="44" spans="1:20" s="41" customFormat="1" ht="40" customHeight="1">
      <c r="B44" s="41" t="s">
        <v>207</v>
      </c>
      <c r="F44" s="41" t="s">
        <v>206</v>
      </c>
      <c r="G44" s="41">
        <v>1.1000000000000001</v>
      </c>
      <c r="H44" s="41">
        <v>0.35000000000000009</v>
      </c>
      <c r="I44" s="41">
        <v>0.15000000000000002</v>
      </c>
      <c r="J44" s="41">
        <v>1.1000000000000001</v>
      </c>
    </row>
    <row r="45" spans="1:20" s="41" customFormat="1" ht="40" customHeight="1">
      <c r="F45" s="41" t="s">
        <v>205</v>
      </c>
      <c r="G45" s="41">
        <v>5</v>
      </c>
      <c r="H45" s="41">
        <v>5</v>
      </c>
      <c r="I45" s="41">
        <v>5</v>
      </c>
      <c r="J45" s="41">
        <v>5</v>
      </c>
    </row>
    <row r="46" spans="1:20" s="41" customFormat="1" ht="40" customHeight="1">
      <c r="F46" s="41" t="s">
        <v>209</v>
      </c>
      <c r="G46" s="41">
        <f>G44*G44</f>
        <v>1.2100000000000002</v>
      </c>
      <c r="H46" s="41">
        <f>H44*H44</f>
        <v>0.12250000000000007</v>
      </c>
      <c r="I46" s="41">
        <f>I44*I44</f>
        <v>2.2500000000000006E-2</v>
      </c>
      <c r="J46" s="41">
        <f>J44*J44</f>
        <v>1.2100000000000002</v>
      </c>
    </row>
    <row r="47" spans="1:20" s="41" customFormat="1" ht="40" customHeight="1">
      <c r="F47" s="41" t="s">
        <v>210</v>
      </c>
      <c r="G47" s="41">
        <f>SQRT(G46)</f>
        <v>1.1000000000000001</v>
      </c>
      <c r="H47" s="41">
        <f>SQRT(G46+H46)</f>
        <v>1.1543396380615196</v>
      </c>
      <c r="I47" s="41">
        <f>SQRT(G46+H46+I46)</f>
        <v>1.1640446726822817</v>
      </c>
      <c r="J47" s="41">
        <f>SQRT(G46+H46+I46+J46)</f>
        <v>1.6015617378046969</v>
      </c>
    </row>
    <row r="48" spans="1:20" s="41" customFormat="1" ht="40" customHeight="1">
      <c r="B48" s="41" t="s">
        <v>208</v>
      </c>
      <c r="F48" s="41" t="s">
        <v>211</v>
      </c>
      <c r="G48" s="41" t="s">
        <v>239</v>
      </c>
      <c r="H48" s="41" t="s">
        <v>240</v>
      </c>
      <c r="I48" s="41" t="s">
        <v>241</v>
      </c>
      <c r="J48" s="41" t="s">
        <v>242</v>
      </c>
    </row>
    <row r="49" spans="2:13" s="41" customFormat="1" ht="40" customHeight="1">
      <c r="F49" s="41" t="s">
        <v>211</v>
      </c>
      <c r="G49" s="41">
        <f>(1/1) * G47</f>
        <v>1.1000000000000001</v>
      </c>
      <c r="H49" s="41">
        <f>(1/2) * H47</f>
        <v>0.57716981903075981</v>
      </c>
      <c r="I49" s="41">
        <f>(1/3) * I47</f>
        <v>0.38801489089409391</v>
      </c>
      <c r="J49" s="41">
        <f>(1/4) * J47</f>
        <v>0.40039043445117423</v>
      </c>
    </row>
    <row r="50" spans="2:13" s="41" customFormat="1" ht="40" customHeight="1">
      <c r="F50" s="41" t="s">
        <v>167</v>
      </c>
      <c r="G50" s="41" t="s">
        <v>181</v>
      </c>
      <c r="H50" s="41" t="s">
        <v>184</v>
      </c>
      <c r="I50" s="41" t="s">
        <v>185</v>
      </c>
      <c r="J50" s="41" t="s">
        <v>187</v>
      </c>
    </row>
    <row r="51" spans="2:13" s="41" customFormat="1" ht="40" customHeight="1">
      <c r="F51" s="41" t="s">
        <v>167</v>
      </c>
      <c r="G51" s="41">
        <v>2.7764449999999998</v>
      </c>
      <c r="H51" s="41">
        <v>2.3060040000000002</v>
      </c>
      <c r="I51" s="41">
        <v>2.1788129999999999</v>
      </c>
      <c r="J51" s="41">
        <v>2.1199050000000002</v>
      </c>
    </row>
    <row r="52" spans="2:13" s="41" customFormat="1" ht="40" customHeight="1">
      <c r="F52" s="42" t="s">
        <v>212</v>
      </c>
      <c r="G52" s="42" t="s">
        <v>166</v>
      </c>
      <c r="H52" s="42" t="s">
        <v>166</v>
      </c>
      <c r="I52" s="42" t="s">
        <v>166</v>
      </c>
      <c r="J52" s="42" t="s">
        <v>166</v>
      </c>
    </row>
    <row r="53" spans="2:13" s="41" customFormat="1" ht="40" customHeight="1">
      <c r="F53" s="42" t="s">
        <v>212</v>
      </c>
      <c r="G53" s="41">
        <f>2*G51*G49</f>
        <v>6.1081789999999998</v>
      </c>
      <c r="H53" s="41">
        <f>2*H51*H49</f>
        <v>2.6619118227284169</v>
      </c>
      <c r="I53" s="41">
        <f>2*I51*I49</f>
        <v>1.6908237769472667</v>
      </c>
      <c r="J53" s="41">
        <f>2*J51*J49</f>
        <v>1.6975793678904332</v>
      </c>
    </row>
    <row r="54" spans="2:13" s="41" customFormat="1" ht="40" customHeight="1">
      <c r="D54" s="41" t="s">
        <v>267</v>
      </c>
      <c r="F54" s="41" t="s">
        <v>268</v>
      </c>
      <c r="G54" s="41">
        <f>100 * G53/$H$53</f>
        <v>229.46586539216068</v>
      </c>
      <c r="H54" s="41">
        <f t="shared" ref="H54:I54" si="4">100 * H53/$H$53</f>
        <v>100</v>
      </c>
      <c r="I54" s="41">
        <f t="shared" si="4"/>
        <v>63.519150503422736</v>
      </c>
      <c r="J54" s="41">
        <f>100 * J53/$H$53</f>
        <v>63.772937683204013</v>
      </c>
      <c r="L54" s="41">
        <f t="shared" ref="L54" si="5">100 * L53/$H$25</f>
        <v>0</v>
      </c>
      <c r="M54" s="41">
        <f t="shared" ref="M54" si="6">100 * M53/$H$25</f>
        <v>0</v>
      </c>
    </row>
    <row r="55" spans="2:13" s="41" customFormat="1" ht="40" customHeight="1">
      <c r="F55" s="42"/>
    </row>
    <row r="56" spans="2:13" s="41" customFormat="1" ht="40" customHeight="1">
      <c r="F56" s="41" t="s">
        <v>269</v>
      </c>
      <c r="G56" s="41">
        <v>1</v>
      </c>
      <c r="H56" s="41">
        <v>2</v>
      </c>
      <c r="I56" s="41">
        <v>3</v>
      </c>
      <c r="J56" s="41">
        <v>4</v>
      </c>
    </row>
    <row r="57" spans="2:13" s="41" customFormat="1" ht="40" customHeight="1">
      <c r="B57" s="41" t="s">
        <v>272</v>
      </c>
      <c r="D57" s="41" t="s">
        <v>270</v>
      </c>
      <c r="G57" s="41">
        <v>2.7764449999999998</v>
      </c>
      <c r="H57" s="41">
        <v>1.6305909999999999</v>
      </c>
      <c r="I57" s="41">
        <v>1.257938</v>
      </c>
      <c r="J57" s="41">
        <v>1.0599529999999999</v>
      </c>
    </row>
    <row r="58" spans="2:13" s="41" customFormat="1" ht="40" customHeight="1">
      <c r="B58" s="41" t="s">
        <v>271</v>
      </c>
    </row>
    <row r="59" spans="2:13" s="41" customFormat="1" ht="40" customHeight="1">
      <c r="F59" s="41" t="s">
        <v>273</v>
      </c>
      <c r="G59" s="41">
        <f>100*G57/$H$57</f>
        <v>170.27231230884999</v>
      </c>
      <c r="H59" s="41">
        <f t="shared" ref="H59:J59" si="7">100*H57/$H$57</f>
        <v>100</v>
      </c>
      <c r="I59" s="41">
        <f t="shared" si="7"/>
        <v>77.146139037931647</v>
      </c>
      <c r="J59" s="41">
        <f t="shared" si="7"/>
        <v>65.004222395438219</v>
      </c>
    </row>
    <row r="60" spans="2:13" s="41" customFormat="1" ht="40" customHeight="1">
      <c r="F60" s="41" t="s">
        <v>274</v>
      </c>
    </row>
    <row r="61" spans="2:13" s="41" customFormat="1" ht="40" customHeight="1">
      <c r="F61" s="42"/>
    </row>
    <row r="62" spans="2:13" s="41" customFormat="1" ht="40" customHeight="1">
      <c r="F62" s="42"/>
    </row>
    <row r="63" spans="2:13" s="41" customFormat="1" ht="40" customHeight="1">
      <c r="F63" s="42"/>
    </row>
    <row r="64" spans="2:13" s="41" customFormat="1" ht="40" customHeight="1">
      <c r="F64" s="42"/>
    </row>
    <row r="65" spans="1:20" s="41" customFormat="1" ht="40" customHeight="1">
      <c r="F65" s="42"/>
    </row>
    <row r="66" spans="1:20" s="29" customFormat="1" ht="200" customHeight="1">
      <c r="A66" s="44">
        <v>10</v>
      </c>
      <c r="B66" s="45" t="s">
        <v>22</v>
      </c>
      <c r="C66" s="45" t="s">
        <v>23</v>
      </c>
      <c r="D66" s="12" t="s">
        <v>32</v>
      </c>
      <c r="E66" s="26" t="s">
        <v>28</v>
      </c>
      <c r="F66" s="10" t="s">
        <v>112</v>
      </c>
      <c r="G66" s="12" t="s">
        <v>156</v>
      </c>
      <c r="H66" s="12" t="s">
        <v>70</v>
      </c>
      <c r="I66" s="12" t="s">
        <v>90</v>
      </c>
      <c r="J66" s="12" t="s">
        <v>51</v>
      </c>
      <c r="K66" s="12" t="s">
        <v>94</v>
      </c>
      <c r="L66" s="40"/>
      <c r="M66" s="26" t="s">
        <v>71</v>
      </c>
      <c r="N66" s="10" t="s">
        <v>72</v>
      </c>
      <c r="O66" s="12" t="s">
        <v>73</v>
      </c>
      <c r="P66" s="12" t="s">
        <v>66</v>
      </c>
      <c r="Q66" s="12" t="s">
        <v>60</v>
      </c>
      <c r="R66" s="12"/>
      <c r="S66" s="12" t="s">
        <v>60</v>
      </c>
      <c r="T66" s="12" t="s">
        <v>52</v>
      </c>
    </row>
    <row r="67" spans="1:20" s="41" customFormat="1" ht="40" customHeight="1">
      <c r="F67" s="41" t="s">
        <v>219</v>
      </c>
    </row>
    <row r="68" spans="1:20" s="41" customFormat="1" ht="40" customHeight="1"/>
    <row r="69" spans="1:20" s="41" customFormat="1" ht="40" customHeight="1"/>
    <row r="70" spans="1:20" s="41" customFormat="1" ht="40" customHeight="1">
      <c r="G70" s="41" t="s">
        <v>215</v>
      </c>
      <c r="H70" s="41" t="s">
        <v>214</v>
      </c>
      <c r="I70" s="41" t="s">
        <v>216</v>
      </c>
    </row>
    <row r="71" spans="1:20" s="41" customFormat="1" ht="40" customHeight="1">
      <c r="F71" s="41" t="s">
        <v>213</v>
      </c>
      <c r="G71" s="41">
        <v>10.8</v>
      </c>
      <c r="H71" s="41">
        <v>8.1999999999999993</v>
      </c>
      <c r="I71" s="41">
        <v>11.8</v>
      </c>
    </row>
    <row r="72" spans="1:20" s="41" customFormat="1" ht="40" customHeight="1">
      <c r="F72" s="41" t="s">
        <v>217</v>
      </c>
      <c r="G72" s="41">
        <v>1.1000000000000001</v>
      </c>
      <c r="H72" s="41">
        <v>3.1</v>
      </c>
      <c r="I72" s="41">
        <v>1.9</v>
      </c>
    </row>
    <row r="73" spans="1:20" s="41" customFormat="1" ht="40" customHeight="1">
      <c r="B73" s="41" t="s">
        <v>279</v>
      </c>
      <c r="F73" s="41" t="s">
        <v>205</v>
      </c>
      <c r="G73" s="41">
        <v>10</v>
      </c>
      <c r="H73" s="41">
        <v>10</v>
      </c>
      <c r="I73" s="41">
        <v>10</v>
      </c>
    </row>
    <row r="74" spans="1:20" s="41" customFormat="1" ht="40" customHeight="1">
      <c r="B74" s="41" t="s">
        <v>278</v>
      </c>
      <c r="F74" s="41" t="s">
        <v>178</v>
      </c>
      <c r="G74" s="41">
        <f>(G73-1)*G72^2</f>
        <v>10.890000000000002</v>
      </c>
      <c r="H74" s="41">
        <f>(H73-1)*H72^2</f>
        <v>86.490000000000009</v>
      </c>
      <c r="I74" s="41">
        <f>(I73-1)*I72^2</f>
        <v>32.49</v>
      </c>
    </row>
    <row r="75" spans="1:20" s="41" customFormat="1" ht="40" customHeight="1">
      <c r="B75" s="41" t="s">
        <v>275</v>
      </c>
      <c r="F75" s="41" t="s">
        <v>170</v>
      </c>
      <c r="G75" s="41" t="s">
        <v>171</v>
      </c>
      <c r="H75" s="41" t="s">
        <v>172</v>
      </c>
      <c r="I75" s="41" t="s">
        <v>173</v>
      </c>
    </row>
    <row r="76" spans="1:20" s="41" customFormat="1" ht="40" customHeight="1">
      <c r="B76" s="41" t="s">
        <v>276</v>
      </c>
      <c r="F76" s="41" t="s">
        <v>170</v>
      </c>
      <c r="G76" s="41">
        <f>G73-1</f>
        <v>9</v>
      </c>
      <c r="H76" s="41">
        <v>10.89</v>
      </c>
      <c r="I76" s="41">
        <f>(3*I73)-3</f>
        <v>27</v>
      </c>
    </row>
    <row r="77" spans="1:20" s="41" customFormat="1" ht="40" customHeight="1">
      <c r="B77" s="41" t="s">
        <v>277</v>
      </c>
      <c r="F77" s="41" t="s">
        <v>169</v>
      </c>
      <c r="G77" s="41" t="s">
        <v>179</v>
      </c>
      <c r="H77" s="41" t="s">
        <v>182</v>
      </c>
      <c r="I77" s="41" t="s">
        <v>183</v>
      </c>
    </row>
    <row r="78" spans="1:20" s="41" customFormat="1" ht="40" customHeight="1">
      <c r="B78" s="41" t="s">
        <v>280</v>
      </c>
      <c r="F78" s="41" t="s">
        <v>169</v>
      </c>
      <c r="G78" s="41">
        <f>SQRT(G74/G76)</f>
        <v>1.1000000000000001</v>
      </c>
      <c r="H78" s="41">
        <f>SQRT((G74+H74)/H76)</f>
        <v>2.9903425824360959</v>
      </c>
      <c r="I78" s="41">
        <f>SQRT((G74+H74+I74)/I76)</f>
        <v>2.1931712199461311</v>
      </c>
    </row>
    <row r="79" spans="1:20" s="41" customFormat="1" ht="40" customHeight="1">
      <c r="F79" s="41" t="s">
        <v>180</v>
      </c>
      <c r="G79" s="41" t="s">
        <v>194</v>
      </c>
      <c r="H79" s="41" t="s">
        <v>195</v>
      </c>
      <c r="I79" s="41" t="s">
        <v>196</v>
      </c>
    </row>
    <row r="80" spans="1:20" s="41" customFormat="1" ht="40" customHeight="1">
      <c r="F80" s="41" t="s">
        <v>180</v>
      </c>
      <c r="G80" s="41">
        <f>G78 / SQRT((G73))</f>
        <v>0.34785054261852172</v>
      </c>
      <c r="H80" s="41">
        <f>H78 / SQRT((3*H73))</f>
        <v>0.54595936235616715</v>
      </c>
      <c r="I80" s="41">
        <f>I78 / SQRT((3*I73))</f>
        <v>0.40041644987854003</v>
      </c>
    </row>
    <row r="81" spans="2:9" s="41" customFormat="1" ht="40" customHeight="1">
      <c r="F81" s="41" t="s">
        <v>167</v>
      </c>
      <c r="G81" s="41" t="s">
        <v>181</v>
      </c>
      <c r="H81" s="41" t="s">
        <v>184</v>
      </c>
      <c r="I81" s="41" t="s">
        <v>185</v>
      </c>
    </row>
    <row r="82" spans="2:9" s="41" customFormat="1" ht="40" customHeight="1">
      <c r="F82" s="41" t="s">
        <v>167</v>
      </c>
      <c r="G82" s="41">
        <v>2.2621570000000002</v>
      </c>
      <c r="H82" s="41">
        <v>2.1009220000000002</v>
      </c>
      <c r="I82" s="41">
        <v>2.051831</v>
      </c>
    </row>
    <row r="83" spans="2:9" s="41" customFormat="1" ht="40" customHeight="1">
      <c r="F83" s="42" t="s">
        <v>212</v>
      </c>
      <c r="G83" s="42" t="s">
        <v>166</v>
      </c>
      <c r="H83" s="42" t="s">
        <v>166</v>
      </c>
      <c r="I83" s="42" t="s">
        <v>166</v>
      </c>
    </row>
    <row r="84" spans="2:9" s="41" customFormat="1" ht="40" customHeight="1">
      <c r="F84" s="42" t="s">
        <v>212</v>
      </c>
      <c r="G84" s="41">
        <f>2*G82*G80</f>
        <v>1.5737850798765747</v>
      </c>
      <c r="H84" s="41">
        <f>2*H82*H80</f>
        <v>2.2940360709600869</v>
      </c>
      <c r="I84" s="41">
        <f>2*I82*I80</f>
        <v>1.6431737695414692</v>
      </c>
    </row>
    <row r="85" spans="2:9" s="41" customFormat="1" ht="40" customHeight="1">
      <c r="F85" s="41" t="s">
        <v>268</v>
      </c>
      <c r="G85" s="41">
        <f>100 * G84/$H$84</f>
        <v>68.603327550029462</v>
      </c>
      <c r="H85" s="41">
        <f>100 * H84/$H$84</f>
        <v>100</v>
      </c>
      <c r="I85" s="41">
        <f>100 * I84/$H$84</f>
        <v>71.628070296809994</v>
      </c>
    </row>
    <row r="86" spans="2:9" s="41" customFormat="1" ht="40" customHeight="1">
      <c r="D86" s="41" t="s">
        <v>267</v>
      </c>
      <c r="F86" s="42"/>
    </row>
    <row r="87" spans="2:9" s="41" customFormat="1" ht="40" customHeight="1">
      <c r="F87" s="41" t="s">
        <v>269</v>
      </c>
      <c r="G87" s="41">
        <v>1</v>
      </c>
      <c r="H87" s="41">
        <v>2</v>
      </c>
      <c r="I87" s="41">
        <v>3</v>
      </c>
    </row>
    <row r="88" spans="2:9" s="41" customFormat="1" ht="40" customHeight="1">
      <c r="G88" s="41">
        <v>2.2621570000000002</v>
      </c>
      <c r="H88" s="41">
        <v>1.485576</v>
      </c>
      <c r="I88" s="41">
        <v>1.184625</v>
      </c>
    </row>
    <row r="89" spans="2:9" s="41" customFormat="1" ht="40" customHeight="1">
      <c r="B89" s="41" t="s">
        <v>272</v>
      </c>
      <c r="D89" s="41" t="s">
        <v>270</v>
      </c>
    </row>
    <row r="90" spans="2:9" s="41" customFormat="1" ht="40" customHeight="1">
      <c r="B90" s="41" t="s">
        <v>271</v>
      </c>
      <c r="F90" s="41" t="s">
        <v>273</v>
      </c>
      <c r="G90" s="41">
        <f>100*G88/$H$88</f>
        <v>152.27474057200709</v>
      </c>
      <c r="H90" s="41">
        <f t="shared" ref="H90:I90" si="8">100*H88/$H$88</f>
        <v>100</v>
      </c>
      <c r="I90" s="41">
        <f t="shared" si="8"/>
        <v>79.741797121116662</v>
      </c>
    </row>
    <row r="91" spans="2:9" s="41" customFormat="1" ht="40" customHeight="1">
      <c r="F91" s="41" t="s">
        <v>274</v>
      </c>
    </row>
    <row r="92" spans="2:9" s="41" customFormat="1" ht="40" customHeight="1">
      <c r="F92" s="42"/>
    </row>
    <row r="93" spans="2:9" s="41" customFormat="1" ht="40" customHeight="1">
      <c r="F93" s="42"/>
    </row>
    <row r="94" spans="2:9" s="41" customFormat="1" ht="40" customHeight="1">
      <c r="F94" s="42"/>
    </row>
    <row r="95" spans="2:9" s="41" customFormat="1" ht="40" customHeight="1">
      <c r="F95" s="42"/>
    </row>
    <row r="96" spans="2:9" s="41" customFormat="1" ht="40" customHeight="1"/>
    <row r="97" spans="1:20" s="30" customFormat="1" ht="200" customHeight="1">
      <c r="A97" s="11">
        <v>17</v>
      </c>
      <c r="B97" s="12" t="s">
        <v>26</v>
      </c>
      <c r="C97" s="12" t="s">
        <v>27</v>
      </c>
      <c r="D97" s="12" t="s">
        <v>33</v>
      </c>
      <c r="E97" s="26" t="s">
        <v>28</v>
      </c>
      <c r="F97" s="10" t="s">
        <v>113</v>
      </c>
      <c r="G97" s="12" t="s">
        <v>74</v>
      </c>
      <c r="H97" s="12" t="s">
        <v>75</v>
      </c>
      <c r="I97" s="12" t="s">
        <v>91</v>
      </c>
      <c r="J97" s="12" t="s">
        <v>95</v>
      </c>
      <c r="K97" s="12" t="s">
        <v>50</v>
      </c>
      <c r="L97" s="40"/>
      <c r="M97" s="26" t="s">
        <v>70</v>
      </c>
      <c r="N97" s="10" t="s">
        <v>76</v>
      </c>
      <c r="O97" s="12" t="s">
        <v>76</v>
      </c>
      <c r="P97" s="12" t="s">
        <v>76</v>
      </c>
      <c r="Q97" s="12" t="s">
        <v>60</v>
      </c>
      <c r="R97" s="12"/>
      <c r="S97" s="12" t="s">
        <v>60</v>
      </c>
      <c r="T97" s="12" t="s">
        <v>96</v>
      </c>
    </row>
    <row r="98" spans="1:20" s="41" customFormat="1" ht="40" customHeight="1">
      <c r="F98" s="41" t="s">
        <v>225</v>
      </c>
    </row>
    <row r="99" spans="1:20" s="41" customFormat="1" ht="40" customHeight="1">
      <c r="F99" s="41" t="s">
        <v>244</v>
      </c>
    </row>
    <row r="100" spans="1:20" s="41" customFormat="1" ht="40" customHeight="1"/>
    <row r="101" spans="1:20" s="41" customFormat="1" ht="40" customHeight="1">
      <c r="G101" s="41" t="s">
        <v>222</v>
      </c>
      <c r="H101" s="41" t="s">
        <v>223</v>
      </c>
      <c r="I101" s="41" t="s">
        <v>224</v>
      </c>
    </row>
    <row r="102" spans="1:20" s="41" customFormat="1" ht="40" customHeight="1">
      <c r="F102" s="41" t="s">
        <v>213</v>
      </c>
      <c r="G102" s="41" t="s">
        <v>226</v>
      </c>
      <c r="H102" s="41" t="s">
        <v>227</v>
      </c>
      <c r="I102" s="41" t="s">
        <v>228</v>
      </c>
    </row>
    <row r="103" spans="1:20" s="41" customFormat="1" ht="40" customHeight="1">
      <c r="F103" s="41" t="s">
        <v>217</v>
      </c>
      <c r="G103" s="41" t="s">
        <v>229</v>
      </c>
      <c r="H103" s="41" t="s">
        <v>230</v>
      </c>
      <c r="I103" s="41" t="s">
        <v>230</v>
      </c>
    </row>
    <row r="104" spans="1:20" s="41" customFormat="1" ht="40" customHeight="1"/>
    <row r="105" spans="1:20" s="41" customFormat="1" ht="40" customHeight="1"/>
    <row r="106" spans="1:20" s="41" customFormat="1" ht="40" customHeight="1"/>
    <row r="107" spans="1:20" s="41" customFormat="1" ht="40" customHeight="1"/>
    <row r="108" spans="1:20" s="41" customFormat="1" ht="40" customHeight="1"/>
    <row r="109" spans="1:20" s="41" customFormat="1" ht="40" customHeight="1"/>
    <row r="110" spans="1:20" s="41" customFormat="1" ht="40" customHeight="1"/>
    <row r="111" spans="1:20" s="41" customFormat="1" ht="40" customHeight="1"/>
    <row r="112" spans="1:20" s="41" customFormat="1" ht="40" customHeight="1"/>
    <row r="113" spans="1:20" s="41" customFormat="1" ht="40" customHeight="1"/>
    <row r="114" spans="1:20" s="41" customFormat="1" ht="40" customHeight="1">
      <c r="F114" s="42"/>
    </row>
    <row r="115" spans="1:20" s="41" customFormat="1" ht="40" customHeight="1">
      <c r="F115" s="42"/>
    </row>
    <row r="116" spans="1:20" s="30" customFormat="1" ht="250" customHeight="1">
      <c r="A116" s="44">
        <v>18</v>
      </c>
      <c r="B116" s="45" t="s">
        <v>24</v>
      </c>
      <c r="C116" s="45" t="s">
        <v>25</v>
      </c>
      <c r="D116" s="12" t="s">
        <v>34</v>
      </c>
      <c r="E116" s="26" t="s">
        <v>28</v>
      </c>
      <c r="F116" s="10" t="s">
        <v>114</v>
      </c>
      <c r="G116" s="12" t="s">
        <v>60</v>
      </c>
      <c r="H116" s="12" t="s">
        <v>77</v>
      </c>
      <c r="I116" s="12" t="s">
        <v>92</v>
      </c>
      <c r="J116" s="12" t="s">
        <v>53</v>
      </c>
      <c r="K116" s="12" t="s">
        <v>48</v>
      </c>
      <c r="L116" s="40"/>
      <c r="M116" s="26" t="s">
        <v>78</v>
      </c>
      <c r="N116" s="10" t="s">
        <v>79</v>
      </c>
      <c r="O116" s="12" t="s">
        <v>80</v>
      </c>
      <c r="P116" s="12" t="s">
        <v>80</v>
      </c>
      <c r="Q116" s="12" t="s">
        <v>60</v>
      </c>
      <c r="R116" s="12"/>
      <c r="S116" s="12" t="s">
        <v>60</v>
      </c>
      <c r="T116" s="12" t="s">
        <v>54</v>
      </c>
    </row>
    <row r="117" spans="1:20" s="41" customFormat="1" ht="40" customHeight="1">
      <c r="F117" s="41" t="s">
        <v>238</v>
      </c>
    </row>
    <row r="118" spans="1:20" s="41" customFormat="1" ht="40" customHeight="1"/>
    <row r="119" spans="1:20" s="41" customFormat="1" ht="40" customHeight="1"/>
    <row r="120" spans="1:20" s="41" customFormat="1" ht="40" customHeight="1">
      <c r="G120" s="41" t="s">
        <v>231</v>
      </c>
      <c r="H120" s="41" t="s">
        <v>232</v>
      </c>
      <c r="I120" s="41" t="s">
        <v>233</v>
      </c>
    </row>
    <row r="121" spans="1:20" s="41" customFormat="1" ht="40" customHeight="1">
      <c r="G121" s="41" t="s">
        <v>234</v>
      </c>
      <c r="H121" s="41" t="s">
        <v>235</v>
      </c>
      <c r="I121" s="41" t="s">
        <v>236</v>
      </c>
    </row>
    <row r="122" spans="1:20" s="41" customFormat="1" ht="40" customHeight="1">
      <c r="I122" s="41" t="s">
        <v>237</v>
      </c>
    </row>
    <row r="123" spans="1:20" s="41" customFormat="1" ht="40" customHeight="1">
      <c r="F123" s="41" t="s">
        <v>213</v>
      </c>
      <c r="G123" s="41">
        <v>6.2</v>
      </c>
      <c r="H123" s="41">
        <v>5.3</v>
      </c>
      <c r="I123" s="41">
        <v>14.2</v>
      </c>
    </row>
    <row r="124" spans="1:20" s="41" customFormat="1" ht="40" customHeight="1">
      <c r="F124" s="41" t="s">
        <v>180</v>
      </c>
      <c r="G124" s="41">
        <v>2.1000000000000005</v>
      </c>
      <c r="H124" s="41">
        <v>3.0000000000000009</v>
      </c>
      <c r="I124" s="41">
        <v>3.9000000000000021</v>
      </c>
    </row>
    <row r="125" spans="1:20" s="41" customFormat="1" ht="40" customHeight="1">
      <c r="F125" s="41" t="s">
        <v>205</v>
      </c>
      <c r="G125" s="41">
        <v>5</v>
      </c>
      <c r="H125" s="41">
        <v>5</v>
      </c>
      <c r="I125" s="41">
        <v>5</v>
      </c>
    </row>
    <row r="126" spans="1:20" s="41" customFormat="1" ht="40" customHeight="1">
      <c r="F126" s="41" t="s">
        <v>209</v>
      </c>
      <c r="G126" s="41">
        <f>G124*G124</f>
        <v>4.4100000000000019</v>
      </c>
      <c r="H126" s="41">
        <f>H124*H124</f>
        <v>9.0000000000000053</v>
      </c>
      <c r="I126" s="41">
        <f>I124*I124</f>
        <v>15.210000000000017</v>
      </c>
    </row>
    <row r="127" spans="1:20" s="41" customFormat="1" ht="40" customHeight="1">
      <c r="F127" s="41" t="s">
        <v>210</v>
      </c>
      <c r="G127" s="41">
        <f>SQRT(G126)</f>
        <v>2.1000000000000005</v>
      </c>
      <c r="H127" s="41">
        <f>SQRT(G126+H126)</f>
        <v>3.6619666847201118</v>
      </c>
      <c r="I127" s="41">
        <f>SQRT(G126+H126+I126)</f>
        <v>5.349766350038105</v>
      </c>
    </row>
    <row r="128" spans="1:20" s="41" customFormat="1" ht="40" customHeight="1">
      <c r="F128" s="41" t="s">
        <v>211</v>
      </c>
      <c r="G128" s="41" t="s">
        <v>239</v>
      </c>
      <c r="H128" s="41" t="s">
        <v>240</v>
      </c>
      <c r="I128" s="41" t="s">
        <v>241</v>
      </c>
    </row>
    <row r="129" spans="1:20" s="41" customFormat="1" ht="40" customHeight="1">
      <c r="F129" s="41" t="s">
        <v>211</v>
      </c>
      <c r="G129" s="41">
        <f>(1/1) * G127</f>
        <v>2.1000000000000005</v>
      </c>
      <c r="H129" s="41">
        <f>(1/2) * H127</f>
        <v>1.8309833423600559</v>
      </c>
      <c r="I129" s="41">
        <f>(1/3) * I127</f>
        <v>1.7832554500127016</v>
      </c>
    </row>
    <row r="130" spans="1:20" s="41" customFormat="1" ht="40" customHeight="1">
      <c r="F130" s="41" t="s">
        <v>167</v>
      </c>
      <c r="G130" s="41" t="s">
        <v>181</v>
      </c>
      <c r="H130" s="41" t="s">
        <v>184</v>
      </c>
      <c r="I130" s="41" t="s">
        <v>185</v>
      </c>
    </row>
    <row r="131" spans="1:20" s="41" customFormat="1" ht="40" customHeight="1">
      <c r="F131" s="41" t="s">
        <v>167</v>
      </c>
      <c r="G131" s="41">
        <v>2.7764449999999998</v>
      </c>
      <c r="H131" s="41">
        <v>2.3060040000000002</v>
      </c>
      <c r="I131" s="41">
        <v>2.1788129999999999</v>
      </c>
    </row>
    <row r="132" spans="1:20" s="41" customFormat="1" ht="40" customHeight="1">
      <c r="F132" s="42" t="s">
        <v>212</v>
      </c>
      <c r="G132" s="42" t="s">
        <v>166</v>
      </c>
      <c r="H132" s="42" t="s">
        <v>166</v>
      </c>
      <c r="I132" s="42" t="s">
        <v>166</v>
      </c>
    </row>
    <row r="133" spans="1:20" s="41" customFormat="1" ht="40" customHeight="1">
      <c r="F133" s="42" t="s">
        <v>212</v>
      </c>
      <c r="G133" s="41">
        <f>2*G131*G129</f>
        <v>11.661069000000003</v>
      </c>
      <c r="H133" s="41">
        <f>2*H131*H129</f>
        <v>8.4445098228313178</v>
      </c>
      <c r="I133" s="41">
        <f>2*I131*I129</f>
        <v>7.770760313617048</v>
      </c>
    </row>
    <row r="134" spans="1:20" s="41" customFormat="1" ht="40" customHeight="1">
      <c r="D134" s="41" t="s">
        <v>267</v>
      </c>
      <c r="F134" s="41" t="s">
        <v>268</v>
      </c>
      <c r="G134" s="41">
        <f>100 * G133/$H$133</f>
        <v>138.09053745751012</v>
      </c>
      <c r="H134" s="41">
        <f>100 * H133/$H$133</f>
        <v>100</v>
      </c>
      <c r="I134" s="41">
        <f>100 * I133/$H$133</f>
        <v>92.021449162239577</v>
      </c>
    </row>
    <row r="135" spans="1:20" s="41" customFormat="1" ht="40" customHeight="1"/>
    <row r="136" spans="1:20" s="41" customFormat="1" ht="40" customHeight="1">
      <c r="F136" s="41" t="s">
        <v>269</v>
      </c>
      <c r="G136" s="41">
        <v>1</v>
      </c>
      <c r="H136" s="41">
        <v>2</v>
      </c>
      <c r="I136" s="41">
        <v>3</v>
      </c>
    </row>
    <row r="137" spans="1:20" s="41" customFormat="1" ht="40" customHeight="1">
      <c r="B137" s="41" t="s">
        <v>272</v>
      </c>
      <c r="D137" s="41" t="s">
        <v>270</v>
      </c>
      <c r="G137" s="41">
        <v>2.7764449999999998</v>
      </c>
      <c r="H137" s="41">
        <v>1.6305909999999999</v>
      </c>
      <c r="I137" s="41">
        <v>1.257938</v>
      </c>
    </row>
    <row r="138" spans="1:20" s="41" customFormat="1" ht="40" customHeight="1">
      <c r="B138" s="41" t="s">
        <v>271</v>
      </c>
    </row>
    <row r="139" spans="1:20" s="41" customFormat="1" ht="40" customHeight="1">
      <c r="F139" s="41" t="s">
        <v>273</v>
      </c>
      <c r="G139" s="41">
        <f>100*G137/$H$137</f>
        <v>170.27231230884999</v>
      </c>
      <c r="H139" s="41">
        <f t="shared" ref="H139:I139" si="9">100*H137/$H$137</f>
        <v>100</v>
      </c>
      <c r="I139" s="41">
        <f t="shared" si="9"/>
        <v>77.146139037931647</v>
      </c>
    </row>
    <row r="140" spans="1:20" s="41" customFormat="1" ht="40" customHeight="1">
      <c r="F140" s="41" t="s">
        <v>274</v>
      </c>
    </row>
    <row r="141" spans="1:20" s="41" customFormat="1" ht="40" customHeight="1"/>
    <row r="142" spans="1:20" s="41" customFormat="1" ht="40" customHeight="1"/>
    <row r="143" spans="1:20" s="41" customFormat="1" ht="40" customHeight="1"/>
    <row r="144" spans="1:20" s="30" customFormat="1" ht="250" customHeight="1">
      <c r="A144" s="11">
        <v>28</v>
      </c>
      <c r="B144" s="12" t="s">
        <v>13</v>
      </c>
      <c r="C144" s="12" t="s">
        <v>14</v>
      </c>
      <c r="D144" s="12" t="s">
        <v>35</v>
      </c>
      <c r="E144" s="26" t="s">
        <v>28</v>
      </c>
      <c r="F144" s="10" t="s">
        <v>101</v>
      </c>
      <c r="G144" s="12" t="s">
        <v>60</v>
      </c>
      <c r="H144" s="12" t="s">
        <v>102</v>
      </c>
      <c r="I144" s="12" t="s">
        <v>103</v>
      </c>
      <c r="J144" s="12" t="s">
        <v>104</v>
      </c>
      <c r="K144" s="12" t="s">
        <v>46</v>
      </c>
      <c r="L144" s="40"/>
      <c r="M144" s="26" t="s">
        <v>63</v>
      </c>
      <c r="N144" s="10" t="s">
        <v>106</v>
      </c>
      <c r="O144" s="12" t="s">
        <v>106</v>
      </c>
      <c r="P144" s="12" t="s">
        <v>66</v>
      </c>
      <c r="Q144" s="12" t="s">
        <v>60</v>
      </c>
      <c r="R144" s="12"/>
      <c r="S144" s="12" t="s">
        <v>105</v>
      </c>
      <c r="T144" s="12" t="s">
        <v>60</v>
      </c>
    </row>
    <row r="145" spans="6:10" s="41" customFormat="1" ht="40" customHeight="1">
      <c r="F145" s="17"/>
      <c r="G145" s="17"/>
      <c r="H145" s="17"/>
      <c r="I145" s="17"/>
      <c r="J145" s="17"/>
    </row>
    <row r="146" spans="6:10" s="41" customFormat="1" ht="40" customHeight="1">
      <c r="F146" s="17"/>
      <c r="G146" s="17"/>
      <c r="H146" s="17"/>
      <c r="I146" s="17"/>
      <c r="J146" s="17"/>
    </row>
    <row r="147" spans="6:10" s="41" customFormat="1" ht="40" customHeight="1">
      <c r="F147" s="41" t="s">
        <v>243</v>
      </c>
    </row>
    <row r="148" spans="6:10" s="41" customFormat="1" ht="40" customHeight="1"/>
    <row r="149" spans="6:10" s="41" customFormat="1" ht="40" customHeight="1"/>
    <row r="150" spans="6:10" s="41" customFormat="1" ht="40" customHeight="1"/>
    <row r="151" spans="6:10" s="41" customFormat="1" ht="40" customHeight="1"/>
    <row r="152" spans="6:10" s="41" customFormat="1" ht="40" customHeight="1"/>
    <row r="153" spans="6:10" s="41" customFormat="1" ht="40" customHeight="1"/>
    <row r="154" spans="6:10" s="41" customFormat="1" ht="40" customHeight="1"/>
    <row r="155" spans="6:10" s="41" customFormat="1" ht="40" customHeight="1"/>
    <row r="156" spans="6:10" s="41" customFormat="1" ht="40" customHeight="1"/>
    <row r="157" spans="6:10" s="41" customFormat="1" ht="40" customHeight="1"/>
    <row r="158" spans="6:10" s="41" customFormat="1" ht="40" customHeight="1"/>
    <row r="159" spans="6:10" s="41" customFormat="1" ht="40" customHeight="1"/>
    <row r="160" spans="6:10" s="41" customFormat="1" ht="40" customHeight="1"/>
    <row r="161" spans="1:20" s="41" customFormat="1" ht="40" customHeight="1"/>
    <row r="162" spans="1:20" s="41" customFormat="1" ht="40" customHeight="1"/>
    <row r="163" spans="1:20" s="41" customFormat="1" ht="40" customHeight="1"/>
    <row r="164" spans="1:20" s="41" customFormat="1" ht="40" customHeight="1"/>
    <row r="165" spans="1:20" s="41" customFormat="1" ht="40" customHeight="1"/>
    <row r="166" spans="1:20" s="31" customFormat="1" ht="400" customHeight="1">
      <c r="A166" s="47">
        <v>40</v>
      </c>
      <c r="B166" s="45" t="s">
        <v>15</v>
      </c>
      <c r="C166" s="45" t="s">
        <v>16</v>
      </c>
      <c r="D166" s="45" t="s">
        <v>36</v>
      </c>
      <c r="E166" s="48" t="s">
        <v>28</v>
      </c>
      <c r="F166" s="41"/>
      <c r="G166" s="41"/>
      <c r="H166" s="41"/>
      <c r="I166" s="41"/>
      <c r="J166" s="41"/>
      <c r="K166" s="45" t="s">
        <v>47</v>
      </c>
      <c r="L166" s="50"/>
      <c r="M166" s="51" t="s">
        <v>119</v>
      </c>
      <c r="N166" s="49" t="s">
        <v>120</v>
      </c>
      <c r="O166" s="45" t="s">
        <v>115</v>
      </c>
      <c r="P166" s="45"/>
      <c r="Q166" s="45" t="s">
        <v>60</v>
      </c>
      <c r="R166" s="45"/>
      <c r="S166" s="45" t="s">
        <v>60</v>
      </c>
      <c r="T166" s="45" t="s">
        <v>121</v>
      </c>
    </row>
    <row r="167" spans="1:20" s="41" customFormat="1" ht="40" customHeight="1"/>
    <row r="168" spans="1:20" s="41" customFormat="1" ht="40" customHeight="1">
      <c r="F168" s="49" t="s">
        <v>116</v>
      </c>
      <c r="G168" s="45" t="s">
        <v>60</v>
      </c>
      <c r="H168" s="45" t="s">
        <v>118</v>
      </c>
      <c r="I168" s="45" t="s">
        <v>117</v>
      </c>
      <c r="J168" s="45" t="s">
        <v>56</v>
      </c>
    </row>
    <row r="169" spans="1:20" s="41" customFormat="1" ht="40" customHeight="1">
      <c r="F169" s="41" t="s">
        <v>245</v>
      </c>
    </row>
    <row r="170" spans="1:20" s="41" customFormat="1" ht="40" customHeight="1">
      <c r="F170" s="41" t="s">
        <v>244</v>
      </c>
    </row>
    <row r="171" spans="1:20" s="41" customFormat="1" ht="40" customHeight="1"/>
    <row r="172" spans="1:20" s="41" customFormat="1" ht="40" customHeight="1"/>
    <row r="173" spans="1:20" s="41" customFormat="1" ht="40" customHeight="1"/>
    <row r="174" spans="1:20" s="41" customFormat="1" ht="40" customHeight="1"/>
    <row r="175" spans="1:20" s="41" customFormat="1" ht="40" customHeight="1">
      <c r="G175"/>
    </row>
    <row r="176" spans="1:20" s="41" customFormat="1" ht="40" customHeight="1"/>
    <row r="177" spans="1:20" s="41" customFormat="1" ht="40" customHeight="1"/>
    <row r="178" spans="1:20" s="41" customFormat="1" ht="40" customHeight="1"/>
    <row r="179" spans="1:20" s="41" customFormat="1" ht="40" customHeight="1"/>
    <row r="180" spans="1:20" s="41" customFormat="1" ht="40" customHeight="1"/>
    <row r="181" spans="1:20" s="41" customFormat="1" ht="40" customHeight="1"/>
    <row r="182" spans="1:20" s="30" customFormat="1" ht="200" customHeight="1">
      <c r="A182" s="11">
        <v>57</v>
      </c>
      <c r="B182" s="12" t="s">
        <v>5</v>
      </c>
      <c r="C182" s="12" t="s">
        <v>6</v>
      </c>
      <c r="D182" s="12" t="s">
        <v>37</v>
      </c>
      <c r="E182" s="26" t="s">
        <v>28</v>
      </c>
      <c r="F182" s="10" t="s">
        <v>122</v>
      </c>
      <c r="G182" s="12" t="s">
        <v>126</v>
      </c>
      <c r="H182" s="12" t="s">
        <v>123</v>
      </c>
      <c r="I182" s="12" t="s">
        <v>124</v>
      </c>
      <c r="J182" s="12" t="s">
        <v>125</v>
      </c>
      <c r="K182" s="12" t="s">
        <v>47</v>
      </c>
      <c r="L182" s="40"/>
      <c r="M182" s="26" t="s">
        <v>127</v>
      </c>
      <c r="N182" s="10" t="s">
        <v>128</v>
      </c>
      <c r="O182" s="12" t="s">
        <v>128</v>
      </c>
      <c r="P182" s="12" t="s">
        <v>128</v>
      </c>
      <c r="Q182" s="12" t="s">
        <v>60</v>
      </c>
      <c r="R182" s="12"/>
      <c r="S182" s="12" t="s">
        <v>129</v>
      </c>
      <c r="T182" s="12" t="s">
        <v>60</v>
      </c>
    </row>
    <row r="183" spans="1:20" s="41" customFormat="1" ht="40" customHeight="1">
      <c r="F183" s="41" t="s">
        <v>246</v>
      </c>
    </row>
    <row r="184" spans="1:20" s="41" customFormat="1" ht="40" customHeight="1">
      <c r="F184" s="41" t="s">
        <v>244</v>
      </c>
    </row>
    <row r="185" spans="1:20" s="41" customFormat="1" ht="40" customHeight="1"/>
    <row r="186" spans="1:20" s="41" customFormat="1" ht="40" customHeight="1"/>
    <row r="187" spans="1:20" s="41" customFormat="1" ht="40" customHeight="1"/>
    <row r="188" spans="1:20" s="41" customFormat="1" ht="40" customHeight="1"/>
    <row r="189" spans="1:20" s="41" customFormat="1" ht="40" customHeight="1"/>
    <row r="190" spans="1:20" s="41" customFormat="1" ht="40" customHeight="1"/>
    <row r="191" spans="1:20" s="41" customFormat="1" ht="40" customHeight="1"/>
    <row r="192" spans="1:20" s="41" customFormat="1" ht="40" customHeight="1"/>
    <row r="193" spans="1:20" s="41" customFormat="1" ht="40" customHeight="1"/>
    <row r="194" spans="1:20" s="16" customFormat="1" ht="200" customHeight="1">
      <c r="A194" s="11">
        <v>64</v>
      </c>
      <c r="B194" s="12" t="s">
        <v>7</v>
      </c>
      <c r="C194" s="12" t="s">
        <v>8</v>
      </c>
      <c r="D194" s="12" t="s">
        <v>145</v>
      </c>
      <c r="E194" s="26" t="s">
        <v>28</v>
      </c>
      <c r="F194" s="10" t="s">
        <v>148</v>
      </c>
      <c r="G194" s="12" t="s">
        <v>146</v>
      </c>
      <c r="H194" s="12" t="s">
        <v>150</v>
      </c>
      <c r="I194" s="12" t="s">
        <v>151</v>
      </c>
      <c r="J194" s="12" t="s">
        <v>149</v>
      </c>
      <c r="K194" s="12" t="s">
        <v>49</v>
      </c>
      <c r="L194" s="40"/>
      <c r="M194" s="26" t="s">
        <v>147</v>
      </c>
      <c r="N194" s="10" t="s">
        <v>147</v>
      </c>
      <c r="O194" s="12" t="s">
        <v>147</v>
      </c>
      <c r="P194" s="12" t="s">
        <v>59</v>
      </c>
      <c r="Q194" s="12" t="s">
        <v>60</v>
      </c>
      <c r="R194" s="12"/>
      <c r="S194" s="12" t="s">
        <v>149</v>
      </c>
      <c r="T194" s="12" t="s">
        <v>60</v>
      </c>
    </row>
    <row r="195" spans="1:20" s="41" customFormat="1" ht="40" customHeight="1">
      <c r="F195" s="41" t="s">
        <v>247</v>
      </c>
    </row>
    <row r="196" spans="1:20" s="41" customFormat="1" ht="40" customHeight="1">
      <c r="F196" s="41" t="s">
        <v>266</v>
      </c>
    </row>
    <row r="197" spans="1:20" s="41" customFormat="1" ht="40" customHeight="1"/>
    <row r="198" spans="1:20" s="41" customFormat="1" ht="40" customHeight="1"/>
    <row r="199" spans="1:20" s="41" customFormat="1" ht="40" customHeight="1"/>
    <row r="200" spans="1:20" s="41" customFormat="1" ht="40" customHeight="1"/>
    <row r="201" spans="1:20" s="41" customFormat="1" ht="40" customHeight="1"/>
    <row r="202" spans="1:20" s="41" customFormat="1" ht="40" customHeight="1"/>
    <row r="203" spans="1:20" s="41" customFormat="1" ht="40" customHeight="1"/>
    <row r="204" spans="1:20" s="41" customFormat="1" ht="40" customHeight="1"/>
    <row r="205" spans="1:20" s="30" customFormat="1" ht="200" customHeight="1">
      <c r="A205" s="11">
        <v>66</v>
      </c>
      <c r="B205" s="12" t="s">
        <v>2</v>
      </c>
      <c r="C205" s="12" t="s">
        <v>3</v>
      </c>
      <c r="D205" s="12" t="s">
        <v>38</v>
      </c>
      <c r="E205" s="25" t="s">
        <v>28</v>
      </c>
      <c r="F205" s="10" t="s">
        <v>130</v>
      </c>
      <c r="G205" s="12" t="s">
        <v>60</v>
      </c>
      <c r="H205" s="12" t="s">
        <v>133</v>
      </c>
      <c r="I205" s="12" t="s">
        <v>131</v>
      </c>
      <c r="J205" s="12" t="s">
        <v>55</v>
      </c>
      <c r="K205" s="12" t="s">
        <v>46</v>
      </c>
      <c r="L205" s="40"/>
      <c r="M205" s="26" t="s">
        <v>132</v>
      </c>
      <c r="N205" s="10" t="s">
        <v>134</v>
      </c>
      <c r="O205" s="12" t="s">
        <v>134</v>
      </c>
      <c r="P205" s="12" t="s">
        <v>134</v>
      </c>
      <c r="Q205" s="12" t="s">
        <v>60</v>
      </c>
      <c r="R205" s="12"/>
      <c r="S205" s="12" t="s">
        <v>135</v>
      </c>
      <c r="T205" s="12" t="s">
        <v>60</v>
      </c>
    </row>
    <row r="206" spans="1:20" s="41" customFormat="1" ht="40" customHeight="1">
      <c r="F206" s="41" t="s">
        <v>248</v>
      </c>
    </row>
    <row r="207" spans="1:20" s="41" customFormat="1" ht="40" customHeight="1"/>
    <row r="208" spans="1:20" s="41" customFormat="1" ht="40" customHeight="1"/>
    <row r="209" spans="2:9" s="41" customFormat="1" ht="40" customHeight="1">
      <c r="G209" s="41" t="s">
        <v>249</v>
      </c>
      <c r="H209" s="41" t="s">
        <v>250</v>
      </c>
      <c r="I209" s="41" t="s">
        <v>251</v>
      </c>
    </row>
    <row r="210" spans="2:9" s="41" customFormat="1" ht="40" customHeight="1">
      <c r="F210" s="41" t="s">
        <v>213</v>
      </c>
      <c r="G210" s="41">
        <v>20</v>
      </c>
      <c r="H210" s="41">
        <v>23.5</v>
      </c>
      <c r="I210" s="41">
        <v>27.2</v>
      </c>
    </row>
    <row r="211" spans="2:9" s="41" customFormat="1" ht="40" customHeight="1">
      <c r="F211" s="41" t="s">
        <v>180</v>
      </c>
      <c r="G211" s="41">
        <v>1</v>
      </c>
      <c r="H211" s="41">
        <v>1</v>
      </c>
      <c r="I211" s="41">
        <v>1.4000000000000021</v>
      </c>
    </row>
    <row r="212" spans="2:9" s="41" customFormat="1" ht="40" customHeight="1">
      <c r="F212" s="41" t="s">
        <v>205</v>
      </c>
      <c r="G212" s="41">
        <v>10</v>
      </c>
      <c r="H212" s="41">
        <v>10</v>
      </c>
      <c r="I212" s="41">
        <v>10</v>
      </c>
    </row>
    <row r="213" spans="2:9" s="41" customFormat="1" ht="40" customHeight="1">
      <c r="F213" s="41" t="s">
        <v>209</v>
      </c>
      <c r="G213" s="41">
        <f>G211*G211</f>
        <v>1</v>
      </c>
      <c r="H213" s="41">
        <f>H211*H211</f>
        <v>1</v>
      </c>
      <c r="I213" s="41">
        <f>I211*I211</f>
        <v>1.960000000000006</v>
      </c>
    </row>
    <row r="214" spans="2:9" s="41" customFormat="1" ht="40" customHeight="1">
      <c r="F214" s="41" t="s">
        <v>210</v>
      </c>
      <c r="G214" s="41">
        <f>SQRT(G213)</f>
        <v>1</v>
      </c>
      <c r="H214" s="41">
        <f>SQRT(G213+H213)</f>
        <v>1.4142135623730951</v>
      </c>
      <c r="I214" s="41">
        <f>SQRT(G213+H213+I213)</f>
        <v>1.9899748742132415</v>
      </c>
    </row>
    <row r="215" spans="2:9" s="41" customFormat="1" ht="40" customHeight="1">
      <c r="F215" s="41" t="s">
        <v>211</v>
      </c>
      <c r="G215" s="41" t="s">
        <v>239</v>
      </c>
      <c r="H215" s="41" t="s">
        <v>240</v>
      </c>
      <c r="I215" s="41" t="s">
        <v>241</v>
      </c>
    </row>
    <row r="216" spans="2:9" s="41" customFormat="1" ht="40" customHeight="1">
      <c r="F216" s="41" t="s">
        <v>211</v>
      </c>
      <c r="G216" s="41">
        <f>(1/1) * G214</f>
        <v>1</v>
      </c>
      <c r="H216" s="41">
        <f>(1/2) * H214</f>
        <v>0.70710678118654757</v>
      </c>
      <c r="I216" s="41">
        <f>(1/3) * I214</f>
        <v>0.66332495807108049</v>
      </c>
    </row>
    <row r="217" spans="2:9" s="41" customFormat="1" ht="40" customHeight="1">
      <c r="F217" s="41" t="s">
        <v>167</v>
      </c>
      <c r="G217" s="41" t="s">
        <v>181</v>
      </c>
      <c r="H217" s="41" t="s">
        <v>184</v>
      </c>
      <c r="I217" s="41" t="s">
        <v>185</v>
      </c>
    </row>
    <row r="218" spans="2:9" s="41" customFormat="1" ht="40" customHeight="1">
      <c r="F218" s="41" t="s">
        <v>167</v>
      </c>
      <c r="G218" s="41">
        <v>2.2621570000000002</v>
      </c>
      <c r="H218" s="41">
        <v>2.1009220000000002</v>
      </c>
      <c r="I218" s="41">
        <v>2.051831</v>
      </c>
    </row>
    <row r="219" spans="2:9" s="41" customFormat="1" ht="40" customHeight="1">
      <c r="F219" s="42" t="s">
        <v>212</v>
      </c>
      <c r="G219" s="42" t="s">
        <v>166</v>
      </c>
      <c r="H219" s="42" t="s">
        <v>166</v>
      </c>
      <c r="I219" s="42" t="s">
        <v>166</v>
      </c>
    </row>
    <row r="220" spans="2:9" s="41" customFormat="1" ht="40" customHeight="1">
      <c r="F220" s="42" t="s">
        <v>212</v>
      </c>
      <c r="G220" s="41">
        <f>2*G218*G216</f>
        <v>4.5243140000000004</v>
      </c>
      <c r="H220" s="41">
        <f>2*H218*H216</f>
        <v>2.9711523858880082</v>
      </c>
      <c r="I220" s="41">
        <f>2*I218*I216</f>
        <v>2.7220614240878862</v>
      </c>
    </row>
    <row r="221" spans="2:9" s="41" customFormat="1" ht="40" customHeight="1">
      <c r="D221" s="41" t="s">
        <v>267</v>
      </c>
      <c r="F221" s="41" t="s">
        <v>268</v>
      </c>
      <c r="G221" s="41">
        <f>100 * G220/$H$220</f>
        <v>152.27472079483357</v>
      </c>
      <c r="H221" s="41">
        <f>100 * H220/$H$220</f>
        <v>100</v>
      </c>
      <c r="I221" s="41">
        <f>100 * I220/$H$220</f>
        <v>91.616351857844052</v>
      </c>
    </row>
    <row r="222" spans="2:9" s="41" customFormat="1" ht="40" customHeight="1"/>
    <row r="223" spans="2:9" s="41" customFormat="1" ht="40" customHeight="1">
      <c r="F223" s="41" t="s">
        <v>269</v>
      </c>
      <c r="G223" s="41">
        <v>1</v>
      </c>
      <c r="H223" s="41">
        <v>2</v>
      </c>
      <c r="I223" s="41">
        <v>3</v>
      </c>
    </row>
    <row r="224" spans="2:9" s="41" customFormat="1" ht="40" customHeight="1">
      <c r="B224" s="41" t="s">
        <v>272</v>
      </c>
      <c r="D224" s="41" t="s">
        <v>270</v>
      </c>
      <c r="G224" s="41">
        <v>2.2621570000000002</v>
      </c>
      <c r="H224" s="41">
        <v>1.485576</v>
      </c>
      <c r="I224" s="41">
        <v>1.184625</v>
      </c>
    </row>
    <row r="225" spans="1:20" s="41" customFormat="1" ht="40" customHeight="1">
      <c r="B225" s="41" t="s">
        <v>271</v>
      </c>
    </row>
    <row r="226" spans="1:20" s="41" customFormat="1" ht="40" customHeight="1">
      <c r="F226" s="41" t="s">
        <v>273</v>
      </c>
      <c r="G226" s="41">
        <f>100*G224/$H$224</f>
        <v>152.27474057200709</v>
      </c>
      <c r="H226" s="41">
        <f t="shared" ref="H226:I226" si="10">100*H224/$H$224</f>
        <v>100</v>
      </c>
      <c r="I226" s="41">
        <f t="shared" si="10"/>
        <v>79.741797121116662</v>
      </c>
    </row>
    <row r="227" spans="1:20" s="41" customFormat="1" ht="40" customHeight="1">
      <c r="F227" s="41" t="s">
        <v>274</v>
      </c>
    </row>
    <row r="228" spans="1:20" s="41" customFormat="1" ht="40" customHeight="1"/>
    <row r="229" spans="1:20" s="41" customFormat="1" ht="40" customHeight="1"/>
    <row r="230" spans="1:20" s="41" customFormat="1" ht="40" customHeight="1"/>
    <row r="231" spans="1:20" s="28" customFormat="1" ht="200" customHeight="1">
      <c r="A231" s="17">
        <v>71</v>
      </c>
      <c r="B231" s="18" t="s">
        <v>1</v>
      </c>
      <c r="C231" s="19" t="s">
        <v>4</v>
      </c>
      <c r="D231" s="12" t="s">
        <v>39</v>
      </c>
      <c r="E231" s="25" t="s">
        <v>28</v>
      </c>
      <c r="F231" s="10" t="s">
        <v>253</v>
      </c>
      <c r="G231" s="12" t="s">
        <v>60</v>
      </c>
      <c r="H231" s="12" t="s">
        <v>138</v>
      </c>
      <c r="I231" s="12" t="s">
        <v>136</v>
      </c>
      <c r="J231" s="12" t="s">
        <v>55</v>
      </c>
      <c r="K231" s="12" t="s">
        <v>46</v>
      </c>
      <c r="L231" s="40"/>
      <c r="M231" s="26" t="s">
        <v>140</v>
      </c>
      <c r="N231" s="10" t="s">
        <v>141</v>
      </c>
      <c r="O231" s="12" t="s">
        <v>252</v>
      </c>
      <c r="P231" s="12" t="s">
        <v>252</v>
      </c>
      <c r="Q231" s="12" t="s">
        <v>60</v>
      </c>
      <c r="R231" s="12"/>
      <c r="S231" s="12" t="s">
        <v>137</v>
      </c>
      <c r="T231" s="12" t="s">
        <v>60</v>
      </c>
    </row>
    <row r="232" spans="1:20" s="41" customFormat="1" ht="40" customHeight="1">
      <c r="F232" s="41" t="s">
        <v>254</v>
      </c>
    </row>
    <row r="233" spans="1:20" s="41" customFormat="1" ht="40" customHeight="1"/>
    <row r="234" spans="1:20" s="41" customFormat="1" ht="40" customHeight="1"/>
    <row r="235" spans="1:20" s="41" customFormat="1" ht="40" customHeight="1">
      <c r="G235" s="41" t="s">
        <v>255</v>
      </c>
      <c r="H235" s="41" t="s">
        <v>256</v>
      </c>
      <c r="I235" s="41" t="s">
        <v>257</v>
      </c>
    </row>
    <row r="236" spans="1:20" s="41" customFormat="1" ht="40" customHeight="1">
      <c r="F236" s="41" t="s">
        <v>213</v>
      </c>
      <c r="G236" s="41">
        <v>1.8</v>
      </c>
      <c r="H236" s="41">
        <v>2.6</v>
      </c>
      <c r="I236" s="41">
        <v>3</v>
      </c>
    </row>
    <row r="237" spans="1:20" s="41" customFormat="1" ht="40" customHeight="1">
      <c r="F237" s="41" t="s">
        <v>180</v>
      </c>
      <c r="G237" s="41">
        <v>0.40000000000000013</v>
      </c>
      <c r="H237" s="41">
        <v>0.60000000000000009</v>
      </c>
      <c r="I237" s="41">
        <v>1.2999999999999998</v>
      </c>
    </row>
    <row r="238" spans="1:20" s="41" customFormat="1" ht="40" customHeight="1">
      <c r="F238" s="41" t="s">
        <v>205</v>
      </c>
      <c r="G238" s="41">
        <v>3</v>
      </c>
      <c r="H238" s="41">
        <v>3</v>
      </c>
      <c r="I238" s="41">
        <v>3</v>
      </c>
    </row>
    <row r="239" spans="1:20" s="41" customFormat="1" ht="40" customHeight="1">
      <c r="F239" s="41" t="s">
        <v>209</v>
      </c>
      <c r="G239" s="41">
        <f>G237*G237</f>
        <v>0.16000000000000011</v>
      </c>
      <c r="H239" s="41">
        <f>H237*H237</f>
        <v>0.3600000000000001</v>
      </c>
      <c r="I239" s="41">
        <f>I237*I237</f>
        <v>1.6899999999999995</v>
      </c>
    </row>
    <row r="240" spans="1:20" s="41" customFormat="1" ht="40" customHeight="1">
      <c r="F240" s="41" t="s">
        <v>210</v>
      </c>
      <c r="G240" s="41">
        <f>SQRT(G239)</f>
        <v>0.40000000000000013</v>
      </c>
      <c r="H240" s="41">
        <f>SQRT(G239+H239)</f>
        <v>0.72111025509279802</v>
      </c>
      <c r="I240" s="41">
        <f>SQRT(G239+H239+I239)</f>
        <v>1.4866068747318506</v>
      </c>
    </row>
    <row r="241" spans="2:9" s="41" customFormat="1" ht="40" customHeight="1">
      <c r="F241" s="41" t="s">
        <v>211</v>
      </c>
      <c r="G241" s="41" t="s">
        <v>239</v>
      </c>
      <c r="H241" s="41" t="s">
        <v>240</v>
      </c>
      <c r="I241" s="41" t="s">
        <v>241</v>
      </c>
    </row>
    <row r="242" spans="2:9" s="41" customFormat="1" ht="40" customHeight="1">
      <c r="F242" s="41" t="s">
        <v>211</v>
      </c>
      <c r="G242" s="41">
        <f>(1/1) * G240</f>
        <v>0.40000000000000013</v>
      </c>
      <c r="H242" s="41">
        <f>(1/2) * H240</f>
        <v>0.36055512754639901</v>
      </c>
      <c r="I242" s="41">
        <f>(1/3) * I240</f>
        <v>0.49553562491061687</v>
      </c>
    </row>
    <row r="243" spans="2:9" s="41" customFormat="1" ht="40" customHeight="1">
      <c r="F243" s="41" t="s">
        <v>167</v>
      </c>
      <c r="G243" s="41" t="s">
        <v>181</v>
      </c>
      <c r="H243" s="41" t="s">
        <v>184</v>
      </c>
      <c r="I243" s="41" t="s">
        <v>185</v>
      </c>
    </row>
    <row r="244" spans="2:9" s="41" customFormat="1" ht="40" customHeight="1">
      <c r="F244" s="41" t="s">
        <v>167</v>
      </c>
      <c r="G244" s="41">
        <v>4.3026530000000003</v>
      </c>
      <c r="H244" s="41">
        <v>2.7764449999999998</v>
      </c>
      <c r="I244" s="41">
        <v>2.4469120000000002</v>
      </c>
    </row>
    <row r="245" spans="2:9" s="41" customFormat="1" ht="40" customHeight="1">
      <c r="F245" s="42" t="s">
        <v>212</v>
      </c>
      <c r="G245" s="42" t="s">
        <v>166</v>
      </c>
      <c r="H245" s="42" t="s">
        <v>166</v>
      </c>
      <c r="I245" s="42" t="s">
        <v>166</v>
      </c>
    </row>
    <row r="246" spans="2:9" s="41" customFormat="1" ht="40" customHeight="1">
      <c r="F246" s="42" t="s">
        <v>212</v>
      </c>
      <c r="G246" s="41">
        <f>2*G244*G242</f>
        <v>3.4421224000000015</v>
      </c>
      <c r="H246" s="41">
        <f>2*H244*H242</f>
        <v>2.0021229622011236</v>
      </c>
      <c r="I246" s="41">
        <f>2*I244*I242</f>
        <v>2.4250641340425747</v>
      </c>
    </row>
    <row r="247" spans="2:9" s="41" customFormat="1" ht="40" customHeight="1">
      <c r="D247" s="41" t="s">
        <v>267</v>
      </c>
      <c r="F247" s="41" t="s">
        <v>268</v>
      </c>
      <c r="G247" s="41">
        <f>100 * G246/$H$246</f>
        <v>171.92362631992142</v>
      </c>
      <c r="H247" s="41">
        <f>100 * H246/$H$246</f>
        <v>100</v>
      </c>
      <c r="I247" s="41">
        <f>100 * I246/$H$246</f>
        <v>121.12463519106097</v>
      </c>
    </row>
    <row r="248" spans="2:9" s="41" customFormat="1" ht="40" customHeight="1">
      <c r="F248" s="42"/>
    </row>
    <row r="249" spans="2:9" s="41" customFormat="1" ht="40" customHeight="1">
      <c r="F249" s="41" t="s">
        <v>269</v>
      </c>
      <c r="G249" s="41">
        <v>1</v>
      </c>
      <c r="H249" s="41">
        <v>2</v>
      </c>
      <c r="I249" s="41">
        <v>3</v>
      </c>
    </row>
    <row r="250" spans="2:9" s="41" customFormat="1" ht="40" customHeight="1">
      <c r="B250" s="41" t="s">
        <v>272</v>
      </c>
      <c r="D250" s="41" t="s">
        <v>270</v>
      </c>
      <c r="G250" s="41">
        <v>4.3026530000000003</v>
      </c>
      <c r="H250" s="41">
        <v>1.9632430000000001</v>
      </c>
      <c r="I250" s="41">
        <v>1.412725</v>
      </c>
    </row>
    <row r="251" spans="2:9" s="41" customFormat="1" ht="40" customHeight="1">
      <c r="B251" s="41" t="s">
        <v>271</v>
      </c>
    </row>
    <row r="252" spans="2:9" s="41" customFormat="1" ht="40" customHeight="1">
      <c r="F252" s="41" t="s">
        <v>273</v>
      </c>
      <c r="G252" s="41">
        <f>100*G250/$H$250</f>
        <v>219.16049108541327</v>
      </c>
      <c r="H252" s="41">
        <f>100*H250/$H$250</f>
        <v>100</v>
      </c>
      <c r="I252" s="41">
        <f>100*I250/$H$250</f>
        <v>71.958743772421442</v>
      </c>
    </row>
    <row r="253" spans="2:9" s="41" customFormat="1" ht="40" customHeight="1">
      <c r="F253" s="41" t="s">
        <v>274</v>
      </c>
    </row>
    <row r="254" spans="2:9" s="41" customFormat="1" ht="40" customHeight="1">
      <c r="F254" s="42"/>
    </row>
    <row r="255" spans="2:9" s="41" customFormat="1" ht="40" customHeight="1">
      <c r="F255" s="42"/>
    </row>
    <row r="256" spans="2:9" s="41" customFormat="1" ht="40" customHeight="1">
      <c r="F256" s="42"/>
    </row>
    <row r="257" spans="1:20" s="41" customFormat="1" ht="40" customHeight="1"/>
    <row r="258" spans="1:20" s="41" customFormat="1" ht="40" customHeight="1"/>
    <row r="259" spans="1:20" s="28" customFormat="1" ht="200" customHeight="1">
      <c r="A259" s="11">
        <v>77</v>
      </c>
      <c r="B259" s="12" t="s">
        <v>9</v>
      </c>
      <c r="C259" s="12" t="s">
        <v>10</v>
      </c>
      <c r="D259" s="12" t="s">
        <v>40</v>
      </c>
      <c r="E259" s="25" t="s">
        <v>28</v>
      </c>
      <c r="F259" s="10" t="s">
        <v>260</v>
      </c>
      <c r="G259" s="12" t="s">
        <v>259</v>
      </c>
      <c r="H259" s="12" t="s">
        <v>139</v>
      </c>
      <c r="I259" s="12" t="s">
        <v>142</v>
      </c>
      <c r="J259" s="12" t="s">
        <v>57</v>
      </c>
      <c r="K259" s="12" t="s">
        <v>49</v>
      </c>
      <c r="L259" s="40"/>
      <c r="M259" s="26" t="s">
        <v>143</v>
      </c>
      <c r="N259" s="10" t="s">
        <v>258</v>
      </c>
      <c r="O259" s="12" t="s">
        <v>258</v>
      </c>
      <c r="P259" s="12" t="s">
        <v>258</v>
      </c>
      <c r="Q259" s="12" t="s">
        <v>60</v>
      </c>
      <c r="R259" s="12"/>
      <c r="S259" s="12" t="s">
        <v>144</v>
      </c>
      <c r="T259" s="12" t="s">
        <v>60</v>
      </c>
    </row>
    <row r="260" spans="1:20" s="41" customFormat="1" ht="40" customHeight="1">
      <c r="F260" s="41" t="s">
        <v>261</v>
      </c>
    </row>
    <row r="261" spans="1:20" s="41" customFormat="1" ht="40" customHeight="1"/>
    <row r="262" spans="1:20" s="41" customFormat="1" ht="40" customHeight="1">
      <c r="G262" s="41" t="s">
        <v>262</v>
      </c>
      <c r="H262" s="41" t="s">
        <v>263</v>
      </c>
      <c r="I262" s="41" t="s">
        <v>264</v>
      </c>
      <c r="J262" s="41" t="s">
        <v>265</v>
      </c>
    </row>
    <row r="263" spans="1:20" s="41" customFormat="1" ht="40" customHeight="1">
      <c r="F263" s="41" t="s">
        <v>213</v>
      </c>
      <c r="G263" s="41">
        <v>0.8</v>
      </c>
      <c r="H263" s="41">
        <v>0.9</v>
      </c>
      <c r="I263" s="41">
        <v>0.8</v>
      </c>
      <c r="J263" s="41">
        <v>2.1</v>
      </c>
    </row>
    <row r="264" spans="1:20" s="41" customFormat="1" ht="40" customHeight="1">
      <c r="F264" s="41" t="s">
        <v>217</v>
      </c>
      <c r="G264" s="41">
        <v>0.3</v>
      </c>
      <c r="H264" s="41">
        <v>0.35</v>
      </c>
      <c r="I264" s="41">
        <v>0.5</v>
      </c>
      <c r="J264" s="41">
        <v>0.5</v>
      </c>
    </row>
    <row r="265" spans="1:20" s="41" customFormat="1" ht="40" customHeight="1">
      <c r="F265" s="41" t="s">
        <v>205</v>
      </c>
      <c r="G265" s="41">
        <v>3</v>
      </c>
      <c r="H265" s="41">
        <v>3</v>
      </c>
      <c r="I265" s="41">
        <v>3</v>
      </c>
      <c r="J265" s="41">
        <v>3</v>
      </c>
    </row>
    <row r="266" spans="1:20" s="41" customFormat="1" ht="40" customHeight="1">
      <c r="F266" s="41" t="s">
        <v>178</v>
      </c>
      <c r="G266" s="41">
        <f>(G265-1)*G264^2</f>
        <v>0.18</v>
      </c>
      <c r="H266" s="41">
        <f>(H265-1)*H264^2</f>
        <v>0.24499999999999997</v>
      </c>
      <c r="I266" s="41">
        <f>(I265-1)*I264^2</f>
        <v>0.5</v>
      </c>
      <c r="J266" s="41">
        <f t="shared" ref="J266" si="11">(J265-1)*J264^2</f>
        <v>0.5</v>
      </c>
    </row>
    <row r="267" spans="1:20" s="41" customFormat="1" ht="40" customHeight="1">
      <c r="F267" s="41" t="s">
        <v>170</v>
      </c>
      <c r="G267" s="41" t="s">
        <v>171</v>
      </c>
      <c r="H267" s="41" t="s">
        <v>172</v>
      </c>
      <c r="I267" s="41" t="s">
        <v>173</v>
      </c>
      <c r="J267" s="41" t="s">
        <v>174</v>
      </c>
    </row>
    <row r="268" spans="1:20" s="41" customFormat="1" ht="40" customHeight="1">
      <c r="F268" s="41" t="s">
        <v>170</v>
      </c>
      <c r="G268" s="41">
        <f>G265-1</f>
        <v>2</v>
      </c>
      <c r="H268" s="41">
        <f>(2*H265)-2</f>
        <v>4</v>
      </c>
      <c r="I268" s="41">
        <f>(3*I265)-3</f>
        <v>6</v>
      </c>
      <c r="J268" s="41">
        <f>(4*J265)-4</f>
        <v>8</v>
      </c>
    </row>
    <row r="269" spans="1:20" s="41" customFormat="1" ht="40" customHeight="1">
      <c r="F269" s="41" t="s">
        <v>169</v>
      </c>
      <c r="G269" s="41" t="s">
        <v>179</v>
      </c>
      <c r="H269" s="41" t="s">
        <v>182</v>
      </c>
      <c r="I269" s="41" t="s">
        <v>183</v>
      </c>
      <c r="J269" s="41" t="s">
        <v>186</v>
      </c>
    </row>
    <row r="270" spans="1:20" s="41" customFormat="1" ht="40" customHeight="1">
      <c r="F270" s="41" t="s">
        <v>169</v>
      </c>
      <c r="G270" s="41">
        <f>SQRT(G266/G268)</f>
        <v>0.3</v>
      </c>
      <c r="H270" s="41">
        <f>SQRT((G266+H266)/H268)</f>
        <v>0.32596012026013244</v>
      </c>
      <c r="I270" s="41">
        <f>SQRT((G266+H266+I266)/I268)</f>
        <v>0.39264063297965818</v>
      </c>
      <c r="J270" s="41">
        <f>SQRT((G266+H266+I266+J266)/J268)</f>
        <v>0.42204857540335328</v>
      </c>
    </row>
    <row r="271" spans="1:20" s="41" customFormat="1" ht="40" customHeight="1">
      <c r="F271" s="41" t="s">
        <v>180</v>
      </c>
      <c r="G271" s="41" t="s">
        <v>194</v>
      </c>
      <c r="H271" s="41" t="s">
        <v>195</v>
      </c>
      <c r="I271" s="41" t="s">
        <v>196</v>
      </c>
      <c r="J271" s="41" t="s">
        <v>197</v>
      </c>
    </row>
    <row r="272" spans="1:20" s="41" customFormat="1" ht="40" customHeight="1">
      <c r="F272" s="41" t="s">
        <v>180</v>
      </c>
      <c r="G272" s="41">
        <f>G270 / SQRT((G265))</f>
        <v>0.17320508075688773</v>
      </c>
      <c r="H272" s="41">
        <f>H270 / SQRT((2*H265))</f>
        <v>0.13307266185559427</v>
      </c>
      <c r="I272" s="41">
        <f>I270 / SQRT((3*I265))</f>
        <v>0.13088021099321939</v>
      </c>
      <c r="J272" s="41">
        <f>J270 / SQRT((4*J265))</f>
        <v>0.12183492931011204</v>
      </c>
    </row>
    <row r="273" spans="1:20" s="41" customFormat="1" ht="40" customHeight="1">
      <c r="F273" s="41" t="s">
        <v>167</v>
      </c>
      <c r="G273" s="41" t="s">
        <v>181</v>
      </c>
      <c r="H273" s="41" t="s">
        <v>184</v>
      </c>
      <c r="I273" s="41" t="s">
        <v>185</v>
      </c>
      <c r="J273" s="41" t="s">
        <v>187</v>
      </c>
    </row>
    <row r="274" spans="1:20" s="41" customFormat="1" ht="40" customHeight="1">
      <c r="F274" s="41" t="s">
        <v>167</v>
      </c>
      <c r="G274" s="41">
        <v>4.3026530000000003</v>
      </c>
      <c r="H274" s="41">
        <v>2.7764449999999998</v>
      </c>
      <c r="I274" s="41">
        <v>2.4469120000000002</v>
      </c>
      <c r="J274" s="41">
        <v>2.3060040000000002</v>
      </c>
    </row>
    <row r="275" spans="1:20" s="41" customFormat="1" ht="40" customHeight="1">
      <c r="F275" s="42" t="s">
        <v>212</v>
      </c>
      <c r="G275" s="42" t="s">
        <v>166</v>
      </c>
      <c r="H275" s="42" t="s">
        <v>166</v>
      </c>
      <c r="I275" s="42" t="s">
        <v>166</v>
      </c>
      <c r="J275" s="42" t="s">
        <v>166</v>
      </c>
    </row>
    <row r="276" spans="1:20" s="41" customFormat="1" ht="40" customHeight="1">
      <c r="F276" s="42" t="s">
        <v>212</v>
      </c>
      <c r="G276" s="41">
        <f>2*G274*G272</f>
        <v>1.4904827206677307</v>
      </c>
      <c r="H276" s="41">
        <f>2*H274*H272</f>
        <v>0.73893785329131079</v>
      </c>
      <c r="I276" s="41">
        <f>2*I274*I272</f>
        <v>0.640504717683681</v>
      </c>
      <c r="J276" s="41">
        <f>2*J274*J272</f>
        <v>0.56190366865767127</v>
      </c>
    </row>
    <row r="277" spans="1:20" s="41" customFormat="1" ht="40" customHeight="1">
      <c r="D277" s="41" t="s">
        <v>267</v>
      </c>
      <c r="F277" s="41" t="s">
        <v>268</v>
      </c>
      <c r="G277" s="41">
        <f>100 * G276/$H$276</f>
        <v>201.70609937343934</v>
      </c>
      <c r="H277" s="41">
        <f>100 * H276/$H$276</f>
        <v>100</v>
      </c>
      <c r="I277" s="41">
        <f>100 * I276/$H$276</f>
        <v>86.679104992497301</v>
      </c>
      <c r="J277" s="41">
        <f>100 * J276/$H$276</f>
        <v>76.042073924740791</v>
      </c>
    </row>
    <row r="278" spans="1:20" s="41" customFormat="1" ht="40" customHeight="1"/>
    <row r="279" spans="1:20" s="41" customFormat="1" ht="40" customHeight="1">
      <c r="F279" s="41" t="s">
        <v>269</v>
      </c>
      <c r="G279" s="41">
        <v>1</v>
      </c>
      <c r="H279" s="41">
        <v>2</v>
      </c>
      <c r="I279" s="41">
        <v>3</v>
      </c>
      <c r="J279" s="41">
        <v>4</v>
      </c>
    </row>
    <row r="280" spans="1:20" s="41" customFormat="1" ht="40" customHeight="1">
      <c r="B280" s="41" t="s">
        <v>272</v>
      </c>
      <c r="D280" s="41" t="s">
        <v>270</v>
      </c>
      <c r="G280" s="41">
        <v>4.3026530000000003</v>
      </c>
      <c r="H280" s="41">
        <v>1.9632430000000001</v>
      </c>
      <c r="I280" s="41">
        <v>1.412725</v>
      </c>
      <c r="J280" s="41">
        <v>1.1530020000000001</v>
      </c>
    </row>
    <row r="281" spans="1:20" s="41" customFormat="1" ht="40" customHeight="1">
      <c r="B281" s="41" t="s">
        <v>271</v>
      </c>
    </row>
    <row r="282" spans="1:20" s="41" customFormat="1" ht="40" customHeight="1">
      <c r="F282" s="41" t="s">
        <v>273</v>
      </c>
      <c r="G282" s="41">
        <f>100*G280/$H$250</f>
        <v>219.16049108541327</v>
      </c>
      <c r="H282" s="41">
        <f>100*H280/$H$250</f>
        <v>100</v>
      </c>
      <c r="I282" s="41">
        <f>100*I280/$H$250</f>
        <v>71.958743772421442</v>
      </c>
      <c r="J282" s="41">
        <f>100*J280/$H$250</f>
        <v>58.729459369013412</v>
      </c>
    </row>
    <row r="283" spans="1:20" s="41" customFormat="1" ht="40" customHeight="1">
      <c r="F283" s="41" t="s">
        <v>274</v>
      </c>
    </row>
    <row r="284" spans="1:20" s="41" customFormat="1" ht="40" customHeight="1">
      <c r="F284" s="42"/>
    </row>
    <row r="285" spans="1:20" s="41" customFormat="1" ht="40" customHeight="1"/>
    <row r="286" spans="1:20" s="41" customFormat="1" ht="40" customHeight="1"/>
    <row r="287" spans="1:20" s="41" customFormat="1" ht="40" customHeight="1" thickBot="1"/>
    <row r="288" spans="1:20" ht="22" thickTop="1">
      <c r="A288" s="32"/>
      <c r="B288" s="32" t="s">
        <v>11</v>
      </c>
      <c r="C288" s="32"/>
      <c r="D288" s="32"/>
      <c r="E288" s="33"/>
      <c r="F288" s="34"/>
      <c r="G288" s="34"/>
      <c r="H288" s="34"/>
      <c r="I288" s="34"/>
      <c r="J288" s="34"/>
      <c r="K288" s="33"/>
      <c r="L288" s="33"/>
      <c r="M288" s="34"/>
      <c r="N288" s="34"/>
      <c r="O288" s="34"/>
      <c r="P288" s="34"/>
      <c r="Q288" s="32"/>
      <c r="R288" s="32"/>
      <c r="S288" s="32"/>
      <c r="T288" s="32"/>
    </row>
    <row r="290" spans="1:12" ht="20" customHeight="1">
      <c r="A290" s="64" t="s">
        <v>31</v>
      </c>
      <c r="B290" s="65"/>
      <c r="C290" s="65"/>
      <c r="D290" s="13"/>
      <c r="E290" s="14"/>
      <c r="K290" s="15"/>
      <c r="L290" s="15"/>
    </row>
    <row r="291" spans="1:12" ht="20" customHeight="1">
      <c r="A291" s="64" t="s">
        <v>30</v>
      </c>
      <c r="B291" s="64"/>
      <c r="C291" s="64"/>
      <c r="D291" s="64"/>
      <c r="E291" s="64"/>
      <c r="K291" s="3"/>
      <c r="L291" s="3"/>
    </row>
  </sheetData>
  <mergeCells count="9">
    <mergeCell ref="A291:E291"/>
    <mergeCell ref="A290:C290"/>
    <mergeCell ref="F4:M4"/>
    <mergeCell ref="B1:E1"/>
    <mergeCell ref="A4:E4"/>
    <mergeCell ref="B19:B21"/>
    <mergeCell ref="N4:T4"/>
    <mergeCell ref="B3:E3"/>
    <mergeCell ref="B2:E2"/>
  </mergeCells>
  <pageMargins left="0.7" right="0.7" top="0.75" bottom="0.75" header="0.51180555555555496" footer="0.51180555555555496"/>
  <pageSetup paperSize="9" firstPageNumber="0" orientation="landscape" horizontalDpi="300" verticalDpi="300"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213</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Arkusz1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Clark</dc:creator>
  <cp:lastModifiedBy>Clark Jeremy</cp:lastModifiedBy>
  <cp:revision>9</cp:revision>
  <cp:lastPrinted>2019-01-09T09:49:19Z</cp:lastPrinted>
  <dcterms:created xsi:type="dcterms:W3CDTF">2017-06-01T12:19:31Z</dcterms:created>
  <dcterms:modified xsi:type="dcterms:W3CDTF">2025-09-12T07:58:59Z</dcterms:modified>
  <dc:language>pl-PL</dc:language>
</cp:coreProperties>
</file>