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G:\Unidades compartidas\MyCFO\01. Controles ISR\2024\Jonatan Benítez\10.-Tuxpas\"/>
    </mc:Choice>
  </mc:AlternateContent>
  <xr:revisionPtr revIDLastSave="0" documentId="13_ncr:1_{D53802D7-B231-47B3-8747-5D4A00FCAE28}" xr6:coauthVersionLast="47" xr6:coauthVersionMax="47" xr10:uidLastSave="{00000000-0000-0000-0000-000000000000}"/>
  <bookViews>
    <workbookView xWindow="-120" yWindow="-120" windowWidth="20730" windowHeight="11040" firstSheet="4" activeTab="14" xr2:uid="{7ACA7B2E-A8CF-442A-B13F-A4B1F3168C05}"/>
    <workbookView xWindow="20370" yWindow="-120" windowWidth="29040" windowHeight="15720" activeTab="3" xr2:uid="{95027E4E-D528-43AD-84E0-B80E62CB58E7}"/>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1" sheetId="35" r:id="rId19"/>
  </sheets>
  <externalReferences>
    <externalReference r:id="rId20"/>
    <externalReference r:id="rId21"/>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BZ!$B$18:$L$96</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6" i="12" l="1"/>
  <c r="C59" i="13"/>
  <c r="F100" i="13"/>
  <c r="G100" i="13"/>
  <c r="C156" i="13"/>
  <c r="C104" i="13"/>
  <c r="Q38" i="28"/>
  <c r="N30" i="28"/>
  <c r="Q30" i="28"/>
  <c r="I43" i="5"/>
  <c r="K43" i="5" s="1"/>
  <c r="M44" i="5" s="1"/>
  <c r="H34" i="5"/>
  <c r="K34" i="5" s="1"/>
  <c r="J46" i="9" s="1"/>
  <c r="K28" i="5"/>
  <c r="K27" i="5"/>
  <c r="K29" i="5"/>
  <c r="K31" i="5"/>
  <c r="K32" i="5"/>
  <c r="M46" i="5"/>
  <c r="K35" i="5"/>
  <c r="K46" i="5"/>
  <c r="K37" i="5"/>
  <c r="K38" i="5"/>
  <c r="K39" i="5"/>
  <c r="K40" i="5"/>
  <c r="K41" i="5"/>
  <c r="K42" i="5"/>
  <c r="K44" i="5"/>
  <c r="K45" i="5"/>
  <c r="K36" i="5"/>
  <c r="K30" i="5"/>
  <c r="K33" i="5"/>
  <c r="K26" i="5"/>
  <c r="K21" i="5"/>
  <c r="K22" i="5"/>
  <c r="K23" i="5"/>
  <c r="K24" i="5"/>
  <c r="K25" i="5"/>
  <c r="K20" i="5"/>
  <c r="K19" i="5"/>
  <c r="F17" i="24"/>
  <c r="F22" i="24"/>
  <c r="F23" i="24"/>
  <c r="F24" i="24"/>
  <c r="M45" i="5" l="1"/>
  <c r="M47" i="5" s="1"/>
  <c r="L47" i="5"/>
  <c r="L39" i="5"/>
  <c r="L37" i="5"/>
  <c r="L36" i="5"/>
  <c r="L40" i="5"/>
  <c r="L38" i="5"/>
  <c r="L35" i="5"/>
  <c r="L34" i="5"/>
  <c r="L33" i="5"/>
  <c r="L32" i="5"/>
  <c r="L31" i="5"/>
  <c r="L30" i="5"/>
  <c r="L29" i="5"/>
  <c r="L28" i="5"/>
  <c r="L27" i="5"/>
  <c r="L26" i="5"/>
  <c r="L25" i="5"/>
  <c r="L24" i="5"/>
  <c r="L23" i="5"/>
  <c r="L22" i="5"/>
  <c r="L21" i="5"/>
  <c r="L20" i="5"/>
  <c r="L19"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6" i="5"/>
  <c r="L45" i="5"/>
  <c r="L44" i="5"/>
  <c r="L43" i="5"/>
  <c r="L42" i="5"/>
  <c r="L41" i="5"/>
  <c r="C10" i="13" l="1"/>
  <c r="D7" i="35"/>
  <c r="D6" i="35"/>
  <c r="D5" i="35"/>
  <c r="B11" i="15"/>
  <c r="D9" i="30"/>
  <c r="D8" i="30"/>
  <c r="D7" i="30"/>
  <c r="D6" i="30"/>
  <c r="E19" i="30" s="1"/>
  <c r="F19" i="30" s="1"/>
  <c r="H19" i="30" s="1"/>
  <c r="J19" i="30" s="1"/>
  <c r="D10" i="30"/>
  <c r="D9" i="35"/>
  <c r="B10" i="24"/>
  <c r="D39" i="7" l="1"/>
  <c r="D23" i="7"/>
  <c r="D29" i="7"/>
  <c r="D40" i="7" l="1"/>
  <c r="E21" i="3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6"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47" i="13"/>
  <c r="C48" i="13"/>
  <c r="C50" i="13"/>
  <c r="C52" i="13"/>
  <c r="C53" i="13"/>
  <c r="D14" i="30"/>
  <c r="D13" i="30"/>
  <c r="D12" i="30"/>
  <c r="D11" i="30"/>
  <c r="G19" i="30" s="1"/>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H20" i="32"/>
  <c r="J20" i="32" s="1"/>
  <c r="D21" i="32" s="1"/>
  <c r="H21" i="32" s="1"/>
  <c r="J21" i="32" s="1"/>
  <c r="D37" i="32"/>
  <c r="H37" i="32" s="1"/>
  <c r="J37" i="32" s="1"/>
  <c r="D38" i="32"/>
  <c r="H38" i="32" s="1"/>
  <c r="J38" i="32" s="1"/>
  <c r="E24" i="24" l="1"/>
  <c r="E23" i="24"/>
  <c r="E22"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K46" i="9" s="1"/>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E23" i="7" s="1"/>
  <c r="C38" i="7"/>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M38" i="28"/>
  <c r="L38" i="28"/>
  <c r="K38" i="28"/>
  <c r="J38" i="28"/>
  <c r="O30" i="28"/>
  <c r="M30" i="28"/>
  <c r="L30" i="28"/>
  <c r="K30" i="28"/>
  <c r="J30" i="28"/>
  <c r="I30" i="28"/>
  <c r="I38" i="28"/>
  <c r="H38" i="28"/>
  <c r="G38" i="28"/>
  <c r="F38" i="28"/>
  <c r="E38" i="28"/>
  <c r="D38" i="28"/>
  <c r="H30" i="28"/>
  <c r="G30" i="28"/>
  <c r="F30" i="28"/>
  <c r="E30" i="28"/>
  <c r="B1" i="25"/>
  <c r="L10" i="26"/>
  <c r="K10" i="26"/>
  <c r="J10" i="26"/>
  <c r="I10" i="26"/>
  <c r="H10" i="26"/>
  <c r="F10" i="26"/>
  <c r="C10" i="26"/>
  <c r="G10" i="26"/>
  <c r="L8" i="26"/>
  <c r="K8" i="26"/>
  <c r="J8" i="26"/>
  <c r="I8" i="26"/>
  <c r="H8" i="26"/>
  <c r="F8" i="26"/>
  <c r="E8" i="26"/>
  <c r="D8" i="26"/>
  <c r="C8" i="26"/>
  <c r="M7" i="26"/>
  <c r="J69" i="25" a="1"/>
  <c r="K69" i="25" s="1"/>
  <c r="D57" i="7" l="1"/>
  <c r="E38" i="7"/>
  <c r="D12" i="28"/>
  <c r="D13" i="28"/>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F37" i="9"/>
  <c r="K38" i="9"/>
  <c r="F40" i="9"/>
  <c r="C36" i="7"/>
  <c r="E67" i="7"/>
  <c r="D36" i="7"/>
  <c r="F24" i="9"/>
  <c r="F20" i="9"/>
  <c r="E28" i="7"/>
  <c r="D32" i="7"/>
  <c r="E69" i="7"/>
  <c r="E68" i="7"/>
  <c r="E43" i="7"/>
  <c r="E31" i="7"/>
  <c r="E71" i="7"/>
  <c r="E51" i="7"/>
  <c r="J41" i="25"/>
  <c r="J61" i="25"/>
  <c r="D7" i="28"/>
  <c r="C7" i="20" s="1"/>
  <c r="M11" i="26"/>
  <c r="M9" i="26"/>
  <c r="G8" i="26"/>
  <c r="E10" i="26"/>
  <c r="J69" i="25"/>
  <c r="D37" i="7" l="1"/>
  <c r="E27" i="7"/>
  <c r="C154" i="13"/>
  <c r="C37" i="7"/>
  <c r="C41" i="7" s="1"/>
  <c r="E57" i="7"/>
  <c r="J14" i="24"/>
  <c r="F44" i="9"/>
  <c r="K40" i="9"/>
  <c r="E36" i="7"/>
  <c r="E32" i="7"/>
  <c r="D8" i="28"/>
  <c r="D14" i="28"/>
  <c r="C32" i="12"/>
  <c r="D41" i="7" l="1"/>
  <c r="D66" i="7" s="1"/>
  <c r="D73" i="7" s="1"/>
  <c r="J47" i="9" s="1"/>
  <c r="J52" i="9" s="1"/>
  <c r="J16" i="24"/>
  <c r="J17" i="24" s="1"/>
  <c r="J19" i="24" s="1"/>
  <c r="E37" i="7"/>
  <c r="C66" i="7"/>
  <c r="D15" i="28"/>
  <c r="C148" i="13" s="1"/>
  <c r="E41" i="7" l="1"/>
  <c r="J54" i="9"/>
  <c r="C73" i="7"/>
  <c r="E66" i="7"/>
  <c r="C37" i="13"/>
  <c r="C158" i="13"/>
  <c r="G13" i="12"/>
  <c r="D16" i="28"/>
  <c r="C16" i="12" l="1"/>
  <c r="C15" i="12" s="1"/>
  <c r="I47" i="9"/>
  <c r="K47" i="9" s="1"/>
  <c r="E73" i="7"/>
  <c r="J10" i="25" s="1"/>
  <c r="J31" i="25" s="1"/>
  <c r="J63" i="25" s="1"/>
  <c r="J71" i="25" s="1"/>
  <c r="I52" i="9" l="1"/>
  <c r="K52" i="9" l="1"/>
  <c r="I54" i="9"/>
  <c r="K54" i="9" s="1"/>
  <c r="K56" i="9" s="1"/>
  <c r="C17" i="13" l="1"/>
  <c r="C107" i="13" l="1"/>
  <c r="C109" i="13" l="1"/>
  <c r="C141" i="13"/>
  <c r="C76" i="13" l="1"/>
  <c r="C130" i="13"/>
  <c r="C131" i="13"/>
  <c r="C49" i="13"/>
  <c r="C108" i="13" l="1"/>
  <c r="C105" i="13"/>
  <c r="C115" i="13"/>
  <c r="C106" i="13"/>
  <c r="C114" i="13"/>
  <c r="C120" i="13"/>
  <c r="C134" i="13"/>
  <c r="C110" i="13"/>
  <c r="C46" i="13" l="1"/>
  <c r="C91" i="13"/>
  <c r="C119" i="13"/>
  <c r="C51" i="13"/>
  <c r="C89" i="13"/>
  <c r="B19" i="7"/>
  <c r="C11" i="9"/>
  <c r="C58" i="13" l="1"/>
  <c r="C90" i="13"/>
  <c r="C67" i="13"/>
  <c r="C70" i="13"/>
  <c r="C18" i="13" l="1"/>
  <c r="C8" i="13" s="1"/>
  <c r="C150" i="13"/>
  <c r="C27" i="12"/>
  <c r="C44" i="13"/>
  <c r="G14" i="12" l="1"/>
  <c r="G12" i="12" s="1"/>
  <c r="C24" i="12"/>
  <c r="B3" i="15" l="1"/>
  <c r="C23" i="12"/>
  <c r="C112" i="13" l="1"/>
  <c r="C123" i="13"/>
  <c r="E14" i="24"/>
  <c r="F14" i="24" s="1"/>
  <c r="C153" i="13" l="1"/>
  <c r="B4" i="15" s="1"/>
  <c r="B5" i="15" s="1"/>
  <c r="C13" i="12"/>
  <c r="C14" i="12" s="1"/>
  <c r="G32" i="12" s="1"/>
  <c r="G33" i="12" l="1"/>
  <c r="G34" i="12" s="1"/>
  <c r="B7" i="15"/>
  <c r="B6" i="15"/>
  <c r="C155" i="13"/>
  <c r="C161" i="13" s="1"/>
  <c r="E15" i="24"/>
  <c r="E16" i="24" l="1"/>
  <c r="F15" i="24"/>
  <c r="F16" i="24" s="1"/>
  <c r="F18" i="24" s="1"/>
  <c r="B8" i="15"/>
  <c r="F20" i="24" l="1"/>
  <c r="F25" i="24" s="1"/>
  <c r="F27" i="24"/>
  <c r="F29" i="24" s="1"/>
  <c r="F31" i="24" s="1"/>
  <c r="E17" i="24"/>
  <c r="E18" i="24" s="1"/>
  <c r="E20" i="24" s="1"/>
  <c r="E25" i="24" s="1"/>
  <c r="B9" i="15"/>
  <c r="B10" i="15" l="1"/>
  <c r="C5" i="20"/>
  <c r="E27" i="24" s="1"/>
  <c r="B15" i="15" l="1"/>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<sst xmlns="http://schemas.openxmlformats.org/spreadsheetml/2006/main" count="1130" uniqueCount="589">
  <si>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</si>
  <si>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</si>
  <si>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</si>
  <si>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</si>
  <si>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</si>
  <si>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</si>
  <si>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</si>
  <si>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</si>
  <si>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</si>
  <si>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</si>
  <si>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</si>
  <si>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</si>
  <si>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</si>
  <si>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</si>
  <si>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</si>
  <si>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</si>
  <si>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</si>
  <si>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</si>
  <si>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</si>
  <si>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</si>
  <si>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</si>
  <si>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</si>
  <si>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</si>
  <si>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</si>
  <si>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</si>
  <si>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</si>
  <si>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</si>
  <si>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</si>
  <si>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</si>
  <si>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</si>
  <si>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</si>
  <si>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</si>
  <si>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</si>
  <si>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</si>
  <si>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</si>
  <si>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</si>
  <si>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</si>
  <si>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</si>
  <si>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</si>
  <si>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</si>
  <si>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</si>
  <si>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</si>
  <si>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</si>
  <si>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</si>
  <si>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</si>
  <si>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</si>
  <si>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</si>
  <si>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</si>
  <si>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</si>
  <si>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</si>
  <si>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</si>
  <si>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</si>
  <si>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</si>
  <si>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</si>
  <si>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</si>
  <si>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</si>
  <si>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</si>
  <si>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</si>
  <si>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</si>
  <si>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</si>
  <si>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</si>
  <si>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</si>
  <si>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</si>
  <si>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</si>
  <si>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</si>
  <si>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</si>
  <si>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</si>
  <si>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</si>
  <si>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</si>
  <si>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</si>
  <si>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</si>
  <si>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</si>
  <si>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</si>
  <si>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</si>
  <si>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</si>
  <si>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</si>
  <si>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</si>
  <si>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</si>
  <si>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</si>
  <si>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</si>
  <si>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</si>
  <si>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</si>
  <si>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</si>
  <si>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</si>
  <si>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</si>
  <si>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</si>
  <si>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</si>
  <si>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</si>
  <si>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</si>
  <si>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</si>
  <si>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</si>
  <si>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</si>
  <si>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</si>
  <si>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</si>
  <si>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</si>
  <si>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</si>
  <si>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</si>
  <si>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</si>
  <si>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</si>
  <si>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</si>
  <si>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</si>
  <si>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</si>
  <si>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</si>
  <si>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</si>
  <si>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</si>
  <si>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</si>
  <si>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</si>
  <si>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</si>
  <si>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</si>
  <si>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</si>
  <si>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</si>
  <si>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</si>
  <si>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</si>
  <si>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</si>
  <si>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</si>
  <si>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</si>
  <si>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</si>
  <si>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</si>
  <si>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</si>
  <si>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</si>
  <si>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</si>
  <si>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</si>
  <si>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</si>
  <si>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</si>
  <si>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</si>
  <si>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</si>
  <si>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</si>
  <si>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</si>
  <si>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</si>
  <si>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</si>
  <si>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</si>
  <si>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</si>
  <si>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</si>
  <si>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</si>
  <si>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</si>
  <si>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</si>
  <si>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</si>
  <si>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</si>
  <si>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</si>
  <si>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</si>
  <si>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</si>
  <si>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</si>
  <si>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</si>
  <si>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</si>
  <si>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</si>
  <si>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</si>
  <si>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</si>
  <si>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</si>
  <si>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</si>
  <si>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</si>
  <si>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</si>
  <si>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</si>
  <si>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</si>
  <si>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</si>
  <si>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</si>
  <si>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</si>
  <si>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</si>
  <si>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</si>
  <si>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</si>
  <si>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</si>
  <si>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</si>
  <si>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</si>
  <si>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</si>
  <si>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</si>
  <si>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</si>
  <si>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</si>
  <si>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</si>
  <si>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</si>
  <si>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</si>
  <si>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</si>
  <si>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</si>
  <si>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</si>
  <si>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</si>
  <si>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</si>
  <si>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</si>
  <si>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</si>
  <si>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</si>
  <si>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</si>
  <si>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</si>
  <si>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</si>
  <si>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</si>
  <si>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</si>
  <si>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</si>
  <si>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</si>
  <si>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</si>
  <si>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</si>
  <si>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</si>
  <si>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</si>
  <si>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</si>
  <si>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</si>
  <si>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</si>
  <si>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</si>
  <si>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</si>
  <si>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</si>
  <si>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</si>
  <si>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</si>
  <si>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</si>
  <si>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</si>
  <si>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</si>
  <si>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</si>
  <si>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</si>
  <si>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</si>
  <si>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</si>
  <si>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</si>
  <si>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</si>
  <si>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</si>
  <si>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</si>
  <si>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</si>
  <si>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</si>
  <si>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</si>
  <si>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</si>
  <si>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</si>
  <si>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</si>
  <si>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</si>
  <si>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</si>
  <si>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</si>
  <si>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</si>
  <si>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</si>
  <si>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</si>
  <si>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</si>
  <si>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</si>
  <si>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</si>
  <si>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</si>
  <si>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</si>
  <si>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</si>
  <si>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</si>
  <si>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</si>
  <si>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</si>
  <si>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</si>
  <si>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</si>
  <si>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</si>
  <si>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</si>
  <si>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</si>
  <si>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</si>
  <si>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</si>
  <si>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</si>
  <si>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</si>
  <si>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</si>
  <si>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</si>
  <si>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</si>
  <si>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</si>
  <si>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</si>
  <si>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</si>
  <si>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</si>
  <si>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</si>
  <si>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</si>
  <si>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</si>
  <si>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</si>
  <si>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</si>
  <si>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</si>
  <si>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</si>
  <si>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</si>
  <si>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</si>
  <si>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</si>
  <si>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</si>
  <si>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</si>
  <si>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</si>
  <si>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</si>
  <si>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</si>
  <si>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</si>
  <si>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</si>
  <si>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</si>
  <si>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</si>
  <si>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</si>
  <si>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</si>
  <si>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</si>
  <si>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</si>
  <si>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</si>
  <si>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</si>
  <si>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</si>
  <si>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</si>
  <si>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</si>
  <si>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</si>
  <si>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</si>
  <si>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</si>
  <si>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</si>
  <si>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</si>
  <si>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</si>
  <si>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</si>
  <si>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</si>
  <si>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</si>
  <si>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</si>
  <si>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</si>
  <si>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</si>
  <si>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</si>
  <si>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</si>
  <si>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</si>
  <si>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</si>
  <si>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</si>
  <si>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</si>
  <si>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</si>
  <si>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</si>
  <si>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</si>
  <si>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</si>
  <si>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</si>
  <si>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</si>
  <si>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</si>
  <si>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</si>
  <si>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</si>
  <si>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</si>
  <si>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</si>
  <si>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</si>
  <si>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</si>
  <si>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</si>
  <si>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</si>
  <si>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</si>
  <si>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</si>
  <si>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</si>
  <si>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</si>
  <si>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</si>
  <si>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</si>
  <si>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</si>
  <si>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</si>
  <si>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</si>
  <si>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</si>
  <si>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</si>
  <si>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</si>
  <si>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</si>
  <si>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</si>
  <si>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</si>
  <si>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</si>
  <si>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</si>
  <si>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</si>
  <si>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</si>
  <si>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</si>
  <si>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</si>
  <si>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</si>
  <si>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</si>
  <si>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</si>
  <si>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</si>
  <si>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</si>
  <si>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</si>
  <si>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</si>
  <si>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</si>
  <si>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</si>
  <si>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</si>
  <si>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</si>
  <si>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</si>
  <si>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</si>
  <si>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</si>
  <si>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</si>
  <si>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</si>
  <si>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</si>
  <si>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</si>
  <si>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</si>
  <si>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</si>
  <si>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</si>
  <si>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</si>
  <si>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</si>
  <si>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</si>
  <si>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</si>
  <si>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</si>
  <si>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</si>
  <si>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</si>
  <si>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</si>
  <si>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</si>
  <si>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</si>
  <si>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</si>
  <si>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</si>
  <si>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</si>
  <si>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</si>
  <si>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</si>
  <si>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</si>
  <si>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</si>
  <si>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</si>
  <si>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</si>
  <si>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</si>
  <si>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</si>
  <si>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</si>
  <si>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</si>
  <si>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</si>
  <si>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</si>
  <si>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</si>
  <si>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</si>
  <si>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</si>
  <si>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</si>
  <si>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</si>
  <si>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</si>
  <si>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</si>
  <si>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</si>
  <si>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</si>
  <si>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</si>
  <si>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</si>
  <si>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</si>
  <si>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</si>
  <si>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</si>
  <si>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</si>
  <si>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</si>
  <si>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</si>
  <si>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</si>
  <si>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</si>
  <si>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</si>
  <si>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</si>
  <si>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</si>
  <si>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</si>
  <si>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</si>
  <si>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</si>
  <si>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</si>
  <si>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</si>
  <si>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</si>
  <si>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</si>
  <si>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</si>
  <si>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</si>
  <si>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</si>
  <si>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</si>
  <si>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</si>
  <si>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</si>
  <si>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</si>
  <si>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</si>
  <si>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</si>
  <si>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</si>
  <si>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</si>
  <si>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</si>
  <si>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</si>
  <si>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</si>
  <si>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</si>
  <si>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</si>
  <si>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</si>
  <si>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</si>
  <si>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</si>
  <si>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</si>
  <si>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</si>
  <si>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</si>
  <si>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</si>
  <si>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</si>
  <si>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</si>
  <si>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</si>
  <si>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</si>
  <si>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</si>
  <si>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</si>
  <si>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</si>
  <si>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</si>
  <si>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</si>
  <si>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</si>
  <si>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</si>
  <si>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</si>
  <si>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</si>
  <si>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</si>
  <si>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</si>
  <si>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</si>
  <si>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</si>
  <si>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</si>
  <si>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</si>
  <si>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</si>
  <si>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</si>
  <si>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</si>
  <si>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</si>
  <si>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</si>
  <si>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</si>
  <si>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</si>
  <si>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</si>
  <si>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</si>
  <si>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</si>
  <si>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</si>
  <si>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</si>
  <si>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</si>
  <si>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</si>
  <si>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</si>
  <si>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</si>
  <si>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</si>
  <si>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</si>
  <si>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</si>
  <si>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</si>
  <si>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</si>
  <si>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</si>
  <si>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</si>
  <si>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</si>
  <si>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</si>
  <si>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</si>
  <si>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</si>
  <si>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</si>
  <si>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</si>
  <si>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</si>
  <si>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</si>
  <si>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</si>
  <si>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</si>
  <si>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</si>
  <si>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</si>
  <si>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</si>
  <si>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</si>
  <si>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</si>
  <si>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</si>
  <si>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</si>
  <si>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</si>
  <si>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</si>
  <si>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</si>
  <si>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</si>
  <si>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</si>
  <si>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</si>
  <si>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</si>
  <si>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</si>
  <si>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</si>
  <si>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</si>
  <si>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</si>
  <si>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</si>
  <si>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</si>
  <si>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</si>
  <si>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</si>
  <si>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</si>
  <si>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</si>
  <si>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</si>
  <si>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</si>
  <si>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</si>
  <si>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</si>
  <si>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</si>
  <si>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</si>
  <si>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</si>
  <si>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</si>
  <si>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</si>
  <si>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</si>
  <si>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</si>
  <si>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</si>
  <si>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</si>
  <si>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</si>
  <si>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</si>
  <si>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</si>
  <si>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</si>
  <si>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</si>
  <si>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</si>
  <si>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</si>
  <si>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</si>
  <si>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</si>
  <si>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</si>
  <si>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</si>
  <si>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</si>
  <si>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</si>
  <si>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</si>
  <si>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</si>
  <si>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</si>
  <si>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</si>
  <si>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</si>
  <si>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</si>
  <si>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</si>
  <si>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</si>
  <si>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</si>
  <si>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</si>
  <si>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</si>
  <si>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</si>
  <si>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</si>
  <si>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</si>
  <si>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</si>
  <si>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</si>
  <si>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</si>
  <si>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</si>
  <si>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</si>
  <si>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</si>
  <si>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</si>
  <si>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</si>
  <si>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Cálculo Fiscal Anticipado - Ejercicio 2024</t>
  </si>
  <si>
    <t>E</t>
  </si>
  <si>
    <t>Coeficiente 2023</t>
  </si>
  <si>
    <t>ISR A PAGAR</t>
  </si>
  <si>
    <t>SALDO A FAVOR DE ISR</t>
  </si>
  <si>
    <t>COEF x Ingresos</t>
  </si>
  <si>
    <t>Ingresos a Junio</t>
  </si>
  <si>
    <t>Fecha Corte: 31 de Octubre del 2024</t>
  </si>
  <si>
    <t>105 Clientes</t>
  </si>
  <si>
    <t>113 Impuestos a favor</t>
  </si>
  <si>
    <t>114 Pagos provisionales</t>
  </si>
  <si>
    <t>118 Impuestos acreditables pagados</t>
  </si>
  <si>
    <t>119 Impuestos acreditables por pagar</t>
  </si>
  <si>
    <t>201 Proveedores</t>
  </si>
  <si>
    <t>205 Acreedores diversos a corto plazo</t>
  </si>
  <si>
    <t>208 Impuestos trasladados cobrados</t>
  </si>
  <si>
    <t>209 Impuestos trasladados no cobrados</t>
  </si>
  <si>
    <t>213 Impuestos y derechos por pagar</t>
  </si>
  <si>
    <t>216 Impuestos retenidos</t>
  </si>
  <si>
    <t>301 Capital social</t>
  </si>
  <si>
    <t>305 Resultado del ejercicio</t>
  </si>
  <si>
    <t>401 Ingresos</t>
  </si>
  <si>
    <t>601 Gastos generales</t>
  </si>
  <si>
    <t>701 Gastos financieros</t>
  </si>
  <si>
    <t>702 Utilidad cambiaria</t>
  </si>
  <si>
    <t>TUXPAS</t>
  </si>
  <si>
    <t>TUX1907038C0</t>
  </si>
  <si>
    <t xml:space="preserve">Proyección a Octubre  </t>
  </si>
  <si>
    <t xml:space="preserve">Proyección a Diciembre   </t>
  </si>
  <si>
    <t>Estado de Situación Financiera 2024</t>
  </si>
  <si>
    <t>101 Caja</t>
  </si>
  <si>
    <t>102 Banco</t>
  </si>
  <si>
    <t>210 Provisión de sueldos y salarios por pagar</t>
  </si>
  <si>
    <t>603.01 Sueldos y Salarios</t>
  </si>
  <si>
    <t>603.32 Servicios administrativos</t>
  </si>
  <si>
    <t>603.34 Honorarios a personas físicas residentes nacionales</t>
  </si>
  <si>
    <t>603.38 Honorarios a personas morales residentes nacionales</t>
  </si>
  <si>
    <t>603.49 Viáticos y gastos de viaje</t>
  </si>
  <si>
    <t>603.59 Recargos fiscales</t>
  </si>
  <si>
    <t>603.81 Gastos no deducibles (sin requisitos fiscales)</t>
  </si>
  <si>
    <t>603.82 Otros gastos de administración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</si>
</sst>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3">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
      <sz val="10"/>
      <color rgb="FF374151"/>
      <name val="Segoe UI"/>
      <family val="2"/>
    </font>
    <font>
      <sz val="10"/>
      <color rgb="FF017E84"/>
      <name val="Segoe UI"/>
      <family val="2"/>
    </font>
  </fonts>
  <fills count="9">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87">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3" fontId="22" fillId="0" borderId="0" xfId="0" applyNumberFormat="1" applyFont="1" applyAlignment="1">
      <alignment horizontal="left" vertical="center" wrapText="1"/>
    </xf>
    <xf numFmtId="49" fontId="14" fillId="3" borderId="8" xfId="0" applyNumberFormat="1" applyFont="1" applyFill="1" applyBorder="1" applyAlignment="1">
      <alignment horizontal="center" vertical="center"/>
    </xf>
    <xf numFmtId="165" fontId="12" fillId="0" borderId="8" xfId="2" applyFont="1" applyBorder="1" applyAlignment="1">
      <alignment horizontal="center" vertical="center"/>
    </xf>
    <xf numFmtId="49" fontId="14" fillId="3" borderId="0" xfId="0" applyNumberFormat="1" applyFont="1" applyFill="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0" fontId="32" fillId="7" borderId="0" xfId="12" applyFont="1" applyFill="1" applyAlignment="1">
      <alignment horizontal="center"/>
    </xf>
    <xf numFmtId="0" fontId="32" fillId="4" borderId="8" xfId="4" applyFont="1" applyFill="1" applyBorder="1" applyAlignment="1">
      <alignment horizontal="center" wrapText="1"/>
    </xf>
    <xf numFmtId="0" fontId="32" fillId="0" borderId="0" xfId="4" applyFont="1" applyAlignment="1">
      <alignment horizontal="center"/>
    </xf>
    <xf numFmtId="0" fontId="32" fillId="4" borderId="8" xfId="4" applyFont="1" applyFill="1" applyBorder="1" applyAlignment="1">
      <alignment horizontal="center" vertical="center" wrapText="1"/>
    </xf>
    <xf numFmtId="0" fontId="32" fillId="4" borderId="8" xfId="4" applyFont="1" applyFill="1" applyBorder="1" applyAlignment="1">
      <alignment horizontal="center" vertical="center"/>
    </xf>
    <xf numFmtId="17" fontId="32" fillId="4" borderId="8" xfId="4" applyNumberFormat="1"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7" borderId="0" xfId="4" applyFont="1" applyFill="1" applyAlignment="1">
      <alignment horizont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44" fontId="12" fillId="0" borderId="0" xfId="4" applyNumberFormat="1" applyFont="1"/>
    <xf numFmtId="165" fontId="15" fillId="0" borderId="0" xfId="2" applyFont="1" applyFill="1" applyAlignment="1">
      <alignment wrapText="1"/>
    </xf>
    <xf numFmtId="4" fontId="41" fillId="0" borderId="0" xfId="0" applyNumberFormat="1" applyFont="1"/>
    <xf numFmtId="4" fontId="12" fillId="0" borderId="0" xfId="4" applyNumberFormat="1" applyFont="1"/>
    <xf numFmtId="4" fontId="42" fillId="0" borderId="0" xfId="0" applyNumberFormat="1" applyFont="1" applyAlignment="1">
      <alignment horizontal="right" vertical="center"/>
    </xf>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opLeftCell="A7" workbookViewId="0">
      <selection activeCell="O13" sqref="O13"/>
    </sheetView>
    <sheetView workbookViewId="1"/>
  </sheetViews>
  <sheetFormatPr baseColWidth="10" defaultColWidth="11" defaultRowHeight="15"/>
  <cols>
    <col min="1" max="10" width="11" style="1"/>
  </cols>
  <sheetData>
    <row r="12" spans="2:8" ht="27.75">
      <c r="B12" s="251" t="s">
        <v>573</v>
      </c>
      <c r="C12" s="251"/>
      <c r="D12" s="251"/>
      <c r="E12" s="251"/>
      <c r="F12" s="251"/>
      <c r="G12" s="251"/>
      <c r="H12" s="251"/>
    </row>
    <row r="13" spans="2:8" ht="27">
      <c r="B13" s="252" t="s">
        <v>548</v>
      </c>
      <c r="C13" s="252"/>
      <c r="D13" s="252"/>
      <c r="E13" s="252"/>
      <c r="F13" s="252"/>
      <c r="G13" s="252"/>
      <c r="H13" s="252"/>
    </row>
    <row r="14" spans="2:8" ht="27">
      <c r="B14" s="252" t="s">
        <v>574</v>
      </c>
      <c r="C14" s="252"/>
      <c r="D14" s="252"/>
      <c r="E14" s="252"/>
      <c r="F14" s="252"/>
      <c r="G14" s="252"/>
      <c r="H14" s="252"/>
    </row>
    <row r="15" spans="2:8" ht="15.75">
      <c r="B15" s="253" t="s">
        <v>555</v>
      </c>
      <c r="C15" s="253"/>
      <c r="D15" s="253" t="s">
        <v>367</v>
      </c>
      <c r="E15" s="253"/>
      <c r="F15" s="253"/>
      <c r="G15" s="253"/>
      <c r="H15" s="253"/>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1048574"/>
  <sheetViews>
    <sheetView topLeftCell="A27" zoomScale="85" zoomScaleNormal="85" workbookViewId="0">
      <selection activeCell="G52" sqref="G52"/>
    </sheetView>
    <sheetView topLeftCell="A10" workbookViewId="1">
      <selection activeCell="K40" sqref="K40:K41"/>
    </sheetView>
  </sheetViews>
  <sheetFormatPr baseColWidth="10" defaultColWidth="11" defaultRowHeight="12.75"/>
  <cols>
    <col min="1" max="1" width="3" style="2" customWidth="1"/>
    <col min="2" max="2" width="29.85546875" style="2" customWidth="1"/>
    <col min="3" max="3" width="8.5703125" style="6" bestFit="1" customWidth="1"/>
    <col min="4" max="4" width="13.7109375" style="6" bestFit="1" customWidth="1"/>
    <col min="5" max="5" width="42.5703125" style="6" bestFit="1" customWidth="1"/>
    <col min="6" max="6" width="22.42578125" style="6" bestFit="1" customWidth="1"/>
    <col min="7" max="7" width="52.5703125" style="2" bestFit="1"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449</v>
      </c>
    </row>
    <row r="3" spans="2:12">
      <c r="B3" s="3" t="s">
        <v>249</v>
      </c>
      <c r="F3" s="2"/>
      <c r="I3" s="3"/>
    </row>
    <row r="4" spans="2:12">
      <c r="B4" s="3" t="s">
        <v>244</v>
      </c>
      <c r="F4" s="2"/>
    </row>
    <row r="5" spans="2:12">
      <c r="B5" s="3" t="s">
        <v>251</v>
      </c>
      <c r="F5" s="2"/>
    </row>
    <row r="6" spans="2:12">
      <c r="B6" s="3" t="s">
        <v>536</v>
      </c>
      <c r="F6" s="2"/>
    </row>
    <row r="7" spans="2:12">
      <c r="B7" s="3" t="s">
        <v>250</v>
      </c>
      <c r="F7" s="2"/>
    </row>
    <row r="8" spans="2:12">
      <c r="B8" s="7" t="s">
        <v>537</v>
      </c>
      <c r="F8" s="2"/>
    </row>
    <row r="9" spans="2:12">
      <c r="B9" s="7" t="s">
        <v>364</v>
      </c>
      <c r="F9" s="2"/>
    </row>
    <row r="10" spans="2:12">
      <c r="B10" s="7" t="s">
        <v>252</v>
      </c>
      <c r="F10" s="2"/>
    </row>
    <row r="11" spans="2:12">
      <c r="B11" s="7" t="s">
        <v>253</v>
      </c>
      <c r="F11" s="2"/>
    </row>
    <row r="12" spans="2:12">
      <c r="B12" s="7" t="s">
        <v>535</v>
      </c>
      <c r="F12" s="2"/>
    </row>
    <row r="13" spans="2:12">
      <c r="F13" s="2"/>
    </row>
    <row r="14" spans="2:12">
      <c r="B14" s="3"/>
      <c r="F14" s="2"/>
    </row>
    <row r="15" spans="2:12">
      <c r="B15" s="7"/>
      <c r="F15" s="2"/>
    </row>
    <row r="16" spans="2:12" ht="16.5" customHeight="1">
      <c r="B16" s="254" t="str">
        <f>Portada!B12</f>
        <v>TUXPAS</v>
      </c>
      <c r="C16" s="254"/>
      <c r="D16" s="254"/>
      <c r="E16" s="254"/>
      <c r="F16" s="254"/>
      <c r="G16" s="254"/>
      <c r="H16" s="254"/>
      <c r="I16" s="254"/>
      <c r="J16" s="254"/>
      <c r="K16" s="254"/>
      <c r="L16" s="254"/>
    </row>
    <row r="17" spans="2:15" ht="16.5" customHeight="1">
      <c r="B17" s="8"/>
      <c r="C17" s="8"/>
      <c r="D17" s="8"/>
      <c r="E17" s="8"/>
      <c r="F17" s="8"/>
      <c r="G17" s="8"/>
      <c r="H17" s="8"/>
      <c r="I17" s="8"/>
      <c r="J17" s="8"/>
      <c r="K17" s="8"/>
    </row>
    <row r="18" spans="2:15" s="6" customFormat="1">
      <c r="B18" s="9" t="s">
        <v>248</v>
      </c>
      <c r="C18" s="9" t="s">
        <v>9</v>
      </c>
      <c r="D18" s="9" t="s">
        <v>176</v>
      </c>
      <c r="E18" s="9" t="s">
        <v>516</v>
      </c>
      <c r="F18" s="9" t="s">
        <v>2</v>
      </c>
      <c r="G18" s="9" t="s">
        <v>10</v>
      </c>
      <c r="H18" s="10" t="s">
        <v>245</v>
      </c>
      <c r="I18" s="10" t="s">
        <v>3</v>
      </c>
      <c r="J18" s="10" t="s">
        <v>4</v>
      </c>
      <c r="K18" s="10" t="s">
        <v>246</v>
      </c>
      <c r="L18" s="10" t="s">
        <v>247</v>
      </c>
    </row>
    <row r="19" spans="2:15">
      <c r="B19" s="14" t="s">
        <v>254</v>
      </c>
      <c r="C19" s="16" t="s">
        <v>545</v>
      </c>
      <c r="D19" s="16" t="s">
        <v>450</v>
      </c>
      <c r="E19" s="16"/>
      <c r="F19" s="11"/>
      <c r="G19" s="14" t="s">
        <v>578</v>
      </c>
      <c r="H19" s="15">
        <v>10000</v>
      </c>
      <c r="I19" s="15"/>
      <c r="J19" s="15"/>
      <c r="K19" s="17">
        <f>+H19</f>
        <v>10000</v>
      </c>
      <c r="L19" s="12">
        <f>+K19-H19</f>
        <v>0</v>
      </c>
    </row>
    <row r="20" spans="2:15">
      <c r="B20" s="14" t="s">
        <v>254</v>
      </c>
      <c r="C20" s="16" t="s">
        <v>545</v>
      </c>
      <c r="D20" s="16" t="s">
        <v>450</v>
      </c>
      <c r="E20" s="16"/>
      <c r="F20" s="11"/>
      <c r="G20" s="14" t="s">
        <v>579</v>
      </c>
      <c r="H20" s="15">
        <v>630936.21</v>
      </c>
      <c r="I20" s="15">
        <v>10679708</v>
      </c>
      <c r="J20" s="15">
        <v>10920249.17</v>
      </c>
      <c r="K20" s="17">
        <f>+H20+I20-J20</f>
        <v>390395.04000000097</v>
      </c>
      <c r="L20" s="12">
        <f t="shared" ref="L20:L40" si="0">+K20-H20</f>
        <v>-240541.16999999899</v>
      </c>
    </row>
    <row r="21" spans="2:15">
      <c r="B21" s="14" t="s">
        <v>7</v>
      </c>
      <c r="C21" s="16" t="s">
        <v>545</v>
      </c>
      <c r="D21" s="16" t="s">
        <v>450</v>
      </c>
      <c r="E21" s="16"/>
      <c r="F21" s="11"/>
      <c r="G21" s="14" t="s">
        <v>556</v>
      </c>
      <c r="H21" s="15">
        <v>130816.87</v>
      </c>
      <c r="I21" s="15">
        <v>7426934.4299999997</v>
      </c>
      <c r="J21" s="15">
        <v>6222637.0099999998</v>
      </c>
      <c r="K21" s="17">
        <f t="shared" ref="K21:K25" si="1">+H21+I21-J21</f>
        <v>1335114.29</v>
      </c>
      <c r="L21" s="12">
        <f t="shared" si="0"/>
        <v>1204297.42</v>
      </c>
    </row>
    <row r="22" spans="2:15">
      <c r="B22" s="14" t="s">
        <v>258</v>
      </c>
      <c r="C22" s="16" t="s">
        <v>545</v>
      </c>
      <c r="D22" s="16" t="s">
        <v>450</v>
      </c>
      <c r="E22" s="16"/>
      <c r="F22" s="11"/>
      <c r="G22" s="14" t="s">
        <v>557</v>
      </c>
      <c r="H22" s="15"/>
      <c r="I22" s="15">
        <v>77090.89</v>
      </c>
      <c r="J22" s="15">
        <v>136752.89000000001</v>
      </c>
      <c r="K22" s="17">
        <f t="shared" si="1"/>
        <v>-59662.000000000015</v>
      </c>
      <c r="L22" s="12">
        <f t="shared" si="0"/>
        <v>-59662.000000000015</v>
      </c>
    </row>
    <row r="23" spans="2:15">
      <c r="B23" s="14" t="s">
        <v>258</v>
      </c>
      <c r="C23" s="16" t="s">
        <v>545</v>
      </c>
      <c r="D23" s="16" t="s">
        <v>450</v>
      </c>
      <c r="E23" s="16"/>
      <c r="F23" s="11"/>
      <c r="G23" s="14" t="s">
        <v>558</v>
      </c>
      <c r="H23" s="15"/>
      <c r="I23" s="15">
        <v>18791</v>
      </c>
      <c r="J23" s="15">
        <v>906</v>
      </c>
      <c r="K23" s="17">
        <f t="shared" si="1"/>
        <v>17885</v>
      </c>
      <c r="L23" s="12">
        <f t="shared" si="0"/>
        <v>17885</v>
      </c>
    </row>
    <row r="24" spans="2:15">
      <c r="B24" s="14" t="s">
        <v>258</v>
      </c>
      <c r="C24" s="16" t="s">
        <v>545</v>
      </c>
      <c r="D24" s="16" t="s">
        <v>450</v>
      </c>
      <c r="E24" s="16"/>
      <c r="F24" s="11"/>
      <c r="G24" s="14" t="s">
        <v>559</v>
      </c>
      <c r="H24" s="15"/>
      <c r="I24" s="15">
        <v>166126.71</v>
      </c>
      <c r="J24" s="15">
        <v>165533.62</v>
      </c>
      <c r="K24" s="17">
        <f t="shared" si="1"/>
        <v>593.08999999999651</v>
      </c>
      <c r="L24" s="12">
        <f t="shared" si="0"/>
        <v>593.08999999999651</v>
      </c>
    </row>
    <row r="25" spans="2:15">
      <c r="B25" s="14" t="s">
        <v>258</v>
      </c>
      <c r="C25" s="16" t="s">
        <v>545</v>
      </c>
      <c r="D25" s="16" t="s">
        <v>450</v>
      </c>
      <c r="E25" s="16"/>
      <c r="F25" s="11"/>
      <c r="G25" s="14" t="s">
        <v>560</v>
      </c>
      <c r="H25" s="15">
        <v>6583.75</v>
      </c>
      <c r="I25" s="15">
        <v>224259.22</v>
      </c>
      <c r="J25" s="15">
        <v>166126.71</v>
      </c>
      <c r="K25" s="17">
        <f t="shared" si="1"/>
        <v>64716.260000000009</v>
      </c>
      <c r="L25" s="12">
        <f t="shared" si="0"/>
        <v>58132.510000000009</v>
      </c>
    </row>
    <row r="26" spans="2:15">
      <c r="B26" s="14" t="s">
        <v>202</v>
      </c>
      <c r="C26" s="16" t="s">
        <v>545</v>
      </c>
      <c r="D26" s="16" t="s">
        <v>450</v>
      </c>
      <c r="E26" s="16"/>
      <c r="F26" s="11"/>
      <c r="G26" s="14" t="s">
        <v>561</v>
      </c>
      <c r="H26" s="15">
        <v>47916.99</v>
      </c>
      <c r="I26" s="15">
        <v>4990281.49</v>
      </c>
      <c r="J26" s="15">
        <v>6868291.4000000004</v>
      </c>
      <c r="K26" s="17">
        <f>+H26-I26+J26</f>
        <v>1925926.9000000004</v>
      </c>
      <c r="L26" s="12">
        <f t="shared" si="0"/>
        <v>1878009.9100000004</v>
      </c>
    </row>
    <row r="27" spans="2:15">
      <c r="B27" s="14" t="s">
        <v>16</v>
      </c>
      <c r="C27" s="16" t="s">
        <v>545</v>
      </c>
      <c r="D27" s="16" t="s">
        <v>450</v>
      </c>
      <c r="E27" s="16"/>
      <c r="F27" s="11"/>
      <c r="G27" s="14" t="s">
        <v>562</v>
      </c>
      <c r="H27" s="15">
        <v>512690.05</v>
      </c>
      <c r="I27" s="15"/>
      <c r="J27" s="15"/>
      <c r="K27" s="17">
        <f>+H27-I27+J27</f>
        <v>512690.05</v>
      </c>
      <c r="L27" s="12">
        <f t="shared" si="0"/>
        <v>0</v>
      </c>
    </row>
    <row r="28" spans="2:15">
      <c r="B28" s="14" t="s">
        <v>272</v>
      </c>
      <c r="C28" s="16" t="s">
        <v>545</v>
      </c>
      <c r="D28" s="16" t="s">
        <v>450</v>
      </c>
      <c r="E28" s="16"/>
      <c r="F28" s="11"/>
      <c r="G28" s="14" t="s">
        <v>563</v>
      </c>
      <c r="H28" s="17"/>
      <c r="I28" s="17">
        <v>1587989.9</v>
      </c>
      <c r="J28" s="15">
        <v>1584455.13</v>
      </c>
      <c r="K28" s="17">
        <f>+H28-I28+J28</f>
        <v>-3534.7700000000186</v>
      </c>
      <c r="L28" s="12">
        <f t="shared" si="0"/>
        <v>-3534.7700000000186</v>
      </c>
    </row>
    <row r="29" spans="2:15">
      <c r="B29" s="14" t="s">
        <v>272</v>
      </c>
      <c r="C29" s="16" t="s">
        <v>545</v>
      </c>
      <c r="D29" s="16" t="s">
        <v>450</v>
      </c>
      <c r="E29" s="16"/>
      <c r="F29" s="11"/>
      <c r="G29" s="14" t="s">
        <v>564</v>
      </c>
      <c r="H29" s="17">
        <v>18043.759999999998</v>
      </c>
      <c r="I29" s="17">
        <v>1582913.69</v>
      </c>
      <c r="J29" s="15">
        <v>1753000.96</v>
      </c>
      <c r="K29" s="17">
        <f>+H29-I29+J29</f>
        <v>188131.03000000003</v>
      </c>
      <c r="L29" s="12">
        <f t="shared" si="0"/>
        <v>170087.27000000002</v>
      </c>
    </row>
    <row r="30" spans="2:15">
      <c r="B30" s="14" t="s">
        <v>271</v>
      </c>
      <c r="C30" s="16" t="s">
        <v>545</v>
      </c>
      <c r="D30" s="16" t="s">
        <v>450</v>
      </c>
      <c r="E30" s="16"/>
      <c r="F30" s="11"/>
      <c r="G30" s="14" t="s">
        <v>580</v>
      </c>
      <c r="H30" s="15"/>
      <c r="I30" s="15">
        <v>149227.71</v>
      </c>
      <c r="J30" s="15">
        <v>149227.71</v>
      </c>
      <c r="K30" s="17">
        <f t="shared" ref="K27:K34" si="2">+H30-I30+J30</f>
        <v>0</v>
      </c>
      <c r="L30" s="12">
        <f t="shared" si="0"/>
        <v>0</v>
      </c>
    </row>
    <row r="31" spans="2:15" ht="14.25">
      <c r="B31" s="14" t="s">
        <v>272</v>
      </c>
      <c r="C31" s="16" t="s">
        <v>545</v>
      </c>
      <c r="D31" s="16" t="s">
        <v>450</v>
      </c>
      <c r="E31" s="16"/>
      <c r="F31" s="11"/>
      <c r="G31" s="14" t="s">
        <v>565</v>
      </c>
      <c r="H31" s="15">
        <v>185481.17</v>
      </c>
      <c r="I31" s="15">
        <v>906393</v>
      </c>
      <c r="J31" s="15">
        <v>769338.72</v>
      </c>
      <c r="K31" s="17">
        <f>+H31-I31+J31</f>
        <v>48426.890000000014</v>
      </c>
      <c r="L31" s="12">
        <f t="shared" si="0"/>
        <v>-137054.28</v>
      </c>
      <c r="N31" s="284"/>
    </row>
    <row r="32" spans="2:15" ht="14.25">
      <c r="B32" s="14" t="s">
        <v>272</v>
      </c>
      <c r="C32" s="16" t="s">
        <v>545</v>
      </c>
      <c r="D32" s="16" t="s">
        <v>450</v>
      </c>
      <c r="E32" s="16"/>
      <c r="F32" s="11"/>
      <c r="G32" s="14" t="s">
        <v>566</v>
      </c>
      <c r="H32" s="15">
        <v>4273.29</v>
      </c>
      <c r="I32" s="15">
        <v>28727.16</v>
      </c>
      <c r="J32" s="15">
        <v>22079.7</v>
      </c>
      <c r="K32" s="17">
        <f>+H32-I32+J32</f>
        <v>-2374.1699999999983</v>
      </c>
      <c r="L32" s="12">
        <f t="shared" si="0"/>
        <v>-6647.4599999999982</v>
      </c>
      <c r="N32" s="284"/>
      <c r="O32" s="285"/>
    </row>
    <row r="33" spans="2:13">
      <c r="B33" s="14" t="s">
        <v>209</v>
      </c>
      <c r="C33" s="16" t="s">
        <v>545</v>
      </c>
      <c r="D33" s="16" t="s">
        <v>450</v>
      </c>
      <c r="E33" s="16"/>
      <c r="F33" s="11"/>
      <c r="G33" s="14" t="s">
        <v>567</v>
      </c>
      <c r="H33" s="15">
        <v>10000</v>
      </c>
      <c r="I33" s="15"/>
      <c r="J33" s="15"/>
      <c r="K33" s="17">
        <f t="shared" si="2"/>
        <v>10000</v>
      </c>
      <c r="L33" s="12">
        <f t="shared" si="0"/>
        <v>0</v>
      </c>
    </row>
    <row r="34" spans="2:13">
      <c r="B34" s="14" t="s">
        <v>139</v>
      </c>
      <c r="C34" s="16" t="s">
        <v>545</v>
      </c>
      <c r="D34" s="16" t="s">
        <v>450</v>
      </c>
      <c r="E34" s="16"/>
      <c r="F34" s="11"/>
      <c r="G34" s="14" t="s">
        <v>568</v>
      </c>
      <c r="H34" s="15">
        <f>20040.75</f>
        <v>20040.75</v>
      </c>
      <c r="I34" s="15"/>
      <c r="J34" s="15"/>
      <c r="K34" s="17">
        <f t="shared" si="2"/>
        <v>20040.75</v>
      </c>
      <c r="L34" s="12">
        <f t="shared" si="0"/>
        <v>0</v>
      </c>
    </row>
    <row r="35" spans="2:13">
      <c r="B35" s="14" t="s">
        <v>91</v>
      </c>
      <c r="C35" s="16" t="s">
        <v>549</v>
      </c>
      <c r="D35" s="16" t="s">
        <v>450</v>
      </c>
      <c r="E35" s="16" t="s">
        <v>91</v>
      </c>
      <c r="F35" s="11"/>
      <c r="G35" s="14" t="s">
        <v>569</v>
      </c>
      <c r="H35" s="15"/>
      <c r="I35" s="15">
        <v>14568230.609999999</v>
      </c>
      <c r="J35" s="15">
        <v>20830938.440000001</v>
      </c>
      <c r="K35" s="17">
        <f>+J35-I35</f>
        <v>6262707.8300000019</v>
      </c>
      <c r="L35" s="12">
        <f t="shared" si="0"/>
        <v>6262707.8300000019</v>
      </c>
    </row>
    <row r="36" spans="2:13">
      <c r="B36" s="14" t="s">
        <v>302</v>
      </c>
      <c r="C36" s="16" t="s">
        <v>549</v>
      </c>
      <c r="D36" s="16" t="s">
        <v>450</v>
      </c>
      <c r="E36" s="16" t="s">
        <v>57</v>
      </c>
      <c r="F36" s="11"/>
      <c r="G36" s="14" t="s">
        <v>570</v>
      </c>
      <c r="H36" s="15"/>
      <c r="I36" s="15">
        <v>109466.29</v>
      </c>
      <c r="J36" s="15">
        <v>98880.67</v>
      </c>
      <c r="K36" s="17">
        <f>+I36-J36</f>
        <v>10585.619999999995</v>
      </c>
      <c r="L36" s="12">
        <f t="shared" si="0"/>
        <v>10585.619999999995</v>
      </c>
    </row>
    <row r="37" spans="2:13">
      <c r="B37" s="14" t="s">
        <v>302</v>
      </c>
      <c r="C37" s="16" t="s">
        <v>549</v>
      </c>
      <c r="D37" s="16" t="s">
        <v>450</v>
      </c>
      <c r="E37" s="16" t="s">
        <v>12</v>
      </c>
      <c r="F37" s="11"/>
      <c r="G37" s="14" t="s">
        <v>581</v>
      </c>
      <c r="H37" s="15"/>
      <c r="I37" s="15">
        <v>149227.71</v>
      </c>
      <c r="J37" s="15"/>
      <c r="K37" s="17">
        <f t="shared" ref="K37:K45" si="3">+I37-J37</f>
        <v>149227.71</v>
      </c>
      <c r="L37" s="12">
        <f t="shared" si="0"/>
        <v>149227.71</v>
      </c>
    </row>
    <row r="38" spans="2:13">
      <c r="B38" s="14" t="s">
        <v>302</v>
      </c>
      <c r="C38" s="16" t="s">
        <v>549</v>
      </c>
      <c r="D38" s="16" t="s">
        <v>450</v>
      </c>
      <c r="E38" s="16" t="s">
        <v>57</v>
      </c>
      <c r="F38" s="11"/>
      <c r="G38" s="14" t="s">
        <v>582</v>
      </c>
      <c r="H38" s="15"/>
      <c r="I38" s="15">
        <v>160929.68</v>
      </c>
      <c r="J38" s="15">
        <v>80197.259999999995</v>
      </c>
      <c r="K38" s="17">
        <f t="shared" si="3"/>
        <v>80732.42</v>
      </c>
      <c r="L38" s="12">
        <f t="shared" si="0"/>
        <v>80732.42</v>
      </c>
    </row>
    <row r="39" spans="2:13">
      <c r="B39" s="14" t="s">
        <v>302</v>
      </c>
      <c r="C39" s="16" t="s">
        <v>549</v>
      </c>
      <c r="D39" s="16" t="s">
        <v>450</v>
      </c>
      <c r="E39" s="16" t="s">
        <v>515</v>
      </c>
      <c r="F39" s="11"/>
      <c r="G39" s="14" t="s">
        <v>583</v>
      </c>
      <c r="H39" s="15"/>
      <c r="I39" s="15">
        <v>9280</v>
      </c>
      <c r="J39" s="15">
        <v>4640</v>
      </c>
      <c r="K39" s="17">
        <f t="shared" si="3"/>
        <v>4640</v>
      </c>
      <c r="L39" s="12">
        <f>+K39-H39</f>
        <v>4640</v>
      </c>
    </row>
    <row r="40" spans="2:13">
      <c r="B40" s="14" t="s">
        <v>302</v>
      </c>
      <c r="C40" s="16" t="s">
        <v>549</v>
      </c>
      <c r="D40" s="16" t="s">
        <v>450</v>
      </c>
      <c r="E40" s="16" t="s">
        <v>57</v>
      </c>
      <c r="F40" s="11"/>
      <c r="G40" s="14" t="s">
        <v>584</v>
      </c>
      <c r="H40" s="15"/>
      <c r="I40" s="15">
        <v>12587.68</v>
      </c>
      <c r="J40" s="15">
        <v>9440.58</v>
      </c>
      <c r="K40" s="17">
        <f t="shared" si="3"/>
        <v>3147.1000000000004</v>
      </c>
      <c r="L40" s="12">
        <f t="shared" si="0"/>
        <v>3147.1000000000004</v>
      </c>
    </row>
    <row r="41" spans="2:13">
      <c r="B41" s="14" t="s">
        <v>302</v>
      </c>
      <c r="C41" s="16" t="s">
        <v>549</v>
      </c>
      <c r="D41" s="16" t="s">
        <v>450</v>
      </c>
      <c r="E41" s="16" t="s">
        <v>5</v>
      </c>
      <c r="F41" s="11"/>
      <c r="G41" s="14" t="s">
        <v>585</v>
      </c>
      <c r="H41" s="15"/>
      <c r="I41" s="15">
        <v>9723.61</v>
      </c>
      <c r="J41" s="15"/>
      <c r="K41" s="17">
        <f t="shared" si="3"/>
        <v>9723.61</v>
      </c>
      <c r="L41" s="12">
        <f>+K41-H41</f>
        <v>9723.61</v>
      </c>
    </row>
    <row r="42" spans="2:13">
      <c r="B42" s="14" t="s">
        <v>302</v>
      </c>
      <c r="C42" s="16" t="s">
        <v>549</v>
      </c>
      <c r="D42" s="16" t="s">
        <v>450</v>
      </c>
      <c r="E42" s="16" t="s">
        <v>57</v>
      </c>
      <c r="F42" s="11"/>
      <c r="G42" s="14" t="s">
        <v>586</v>
      </c>
      <c r="H42" s="15"/>
      <c r="I42" s="15">
        <v>76596</v>
      </c>
      <c r="J42" s="15"/>
      <c r="K42" s="17">
        <f t="shared" si="3"/>
        <v>76596</v>
      </c>
      <c r="L42" s="12">
        <f>+K42-H42</f>
        <v>76596</v>
      </c>
    </row>
    <row r="43" spans="2:13">
      <c r="B43" s="14" t="s">
        <v>302</v>
      </c>
      <c r="C43" s="16" t="s">
        <v>549</v>
      </c>
      <c r="D43" s="16" t="s">
        <v>450</v>
      </c>
      <c r="E43" s="16" t="s">
        <v>539</v>
      </c>
      <c r="F43" s="11"/>
      <c r="G43" s="14" t="s">
        <v>587</v>
      </c>
      <c r="H43" s="15"/>
      <c r="I43" s="15">
        <f>330709.97-19972.32</f>
        <v>310737.64999999997</v>
      </c>
      <c r="J43" s="15">
        <v>0.02</v>
      </c>
      <c r="K43" s="17">
        <f t="shared" si="3"/>
        <v>310737.62999999995</v>
      </c>
      <c r="L43" s="12">
        <f t="shared" ref="L43:L83" si="4">+K43-H43</f>
        <v>310737.62999999995</v>
      </c>
    </row>
    <row r="44" spans="2:13">
      <c r="B44" s="14" t="s">
        <v>302</v>
      </c>
      <c r="C44" s="16" t="s">
        <v>549</v>
      </c>
      <c r="D44" s="16" t="s">
        <v>450</v>
      </c>
      <c r="E44" s="16" t="s">
        <v>57</v>
      </c>
      <c r="F44" s="11"/>
      <c r="G44" s="14" t="s">
        <v>588</v>
      </c>
      <c r="H44" s="15"/>
      <c r="I44" s="15">
        <v>7973541.5899999999</v>
      </c>
      <c r="J44" s="15">
        <v>1379284.81</v>
      </c>
      <c r="K44" s="17">
        <f t="shared" si="3"/>
        <v>6594256.7799999993</v>
      </c>
      <c r="L44" s="12">
        <f t="shared" si="4"/>
        <v>6594256.7799999993</v>
      </c>
      <c r="M44" s="13">
        <f>SUM(K36:K44)</f>
        <v>7239646.8699999992</v>
      </c>
    </row>
    <row r="45" spans="2:13">
      <c r="B45" s="14" t="s">
        <v>75</v>
      </c>
      <c r="C45" s="16" t="s">
        <v>549</v>
      </c>
      <c r="D45" s="16" t="s">
        <v>450</v>
      </c>
      <c r="E45" s="16" t="s">
        <v>75</v>
      </c>
      <c r="F45" s="11"/>
      <c r="G45" s="14" t="s">
        <v>571</v>
      </c>
      <c r="H45" s="15"/>
      <c r="I45" s="15">
        <v>309942.34999999998</v>
      </c>
      <c r="J45" s="15">
        <v>1137.1600000000001</v>
      </c>
      <c r="K45" s="17">
        <f t="shared" si="3"/>
        <v>308805.19</v>
      </c>
      <c r="L45" s="12">
        <f t="shared" si="4"/>
        <v>308805.19</v>
      </c>
      <c r="M45" s="282">
        <f>+K35-M44</f>
        <v>-976939.03999999724</v>
      </c>
    </row>
    <row r="46" spans="2:13">
      <c r="B46" s="14" t="s">
        <v>110</v>
      </c>
      <c r="C46" s="16" t="s">
        <v>549</v>
      </c>
      <c r="D46" s="16" t="s">
        <v>450</v>
      </c>
      <c r="E46" s="16" t="s">
        <v>110</v>
      </c>
      <c r="F46" s="11"/>
      <c r="G46" s="14" t="s">
        <v>572</v>
      </c>
      <c r="H46" s="15"/>
      <c r="I46" s="15">
        <v>77331.41</v>
      </c>
      <c r="J46" s="15">
        <v>462892.14</v>
      </c>
      <c r="K46" s="17">
        <f>+J46-I46</f>
        <v>385560.73</v>
      </c>
      <c r="L46" s="12">
        <f t="shared" si="4"/>
        <v>385560.73</v>
      </c>
      <c r="M46" s="282">
        <f>+K46-K45</f>
        <v>76755.539999999979</v>
      </c>
    </row>
    <row r="47" spans="2:13">
      <c r="B47" s="14"/>
      <c r="C47" s="16"/>
      <c r="D47" s="16"/>
      <c r="E47" s="16"/>
      <c r="F47" s="11"/>
      <c r="G47" s="14"/>
      <c r="H47" s="15"/>
      <c r="I47" s="15"/>
      <c r="J47" s="15"/>
      <c r="K47" s="17"/>
      <c r="L47" s="12">
        <f t="shared" si="4"/>
        <v>0</v>
      </c>
      <c r="M47" s="282">
        <f>+M45+M46</f>
        <v>-900183.49999999721</v>
      </c>
    </row>
    <row r="48" spans="2:13">
      <c r="B48" s="14"/>
      <c r="C48" s="16"/>
      <c r="D48" s="16"/>
      <c r="E48" s="16"/>
      <c r="F48" s="11"/>
      <c r="G48" s="14"/>
      <c r="H48" s="15"/>
      <c r="I48" s="15"/>
      <c r="J48" s="15"/>
      <c r="K48" s="17"/>
      <c r="L48" s="12">
        <f t="shared" si="4"/>
        <v>0</v>
      </c>
    </row>
    <row r="49" spans="2:12">
      <c r="B49" s="14"/>
      <c r="C49" s="16"/>
      <c r="D49" s="16"/>
      <c r="E49" s="16"/>
      <c r="F49" s="11"/>
      <c r="G49" s="14"/>
      <c r="H49" s="15"/>
      <c r="I49" s="15"/>
      <c r="J49" s="15"/>
      <c r="K49" s="17"/>
      <c r="L49" s="12">
        <f t="shared" si="4"/>
        <v>0</v>
      </c>
    </row>
    <row r="50" spans="2:12">
      <c r="B50" s="14"/>
      <c r="C50" s="16"/>
      <c r="D50" s="16"/>
      <c r="E50" s="16"/>
      <c r="F50" s="11"/>
      <c r="G50" s="14"/>
      <c r="H50" s="15"/>
      <c r="I50" s="15"/>
      <c r="J50" s="15"/>
      <c r="K50" s="17"/>
      <c r="L50" s="12">
        <f t="shared" si="4"/>
        <v>0</v>
      </c>
    </row>
    <row r="51" spans="2:12">
      <c r="B51" s="14"/>
      <c r="C51" s="16"/>
      <c r="D51" s="16"/>
      <c r="E51" s="16"/>
      <c r="F51" s="11"/>
      <c r="G51" s="14"/>
      <c r="H51" s="15"/>
      <c r="I51" s="15"/>
      <c r="J51" s="15"/>
      <c r="K51" s="17"/>
      <c r="L51" s="12">
        <f>+K51-H51</f>
        <v>0</v>
      </c>
    </row>
    <row r="52" spans="2:12">
      <c r="B52" s="14"/>
      <c r="C52" s="16"/>
      <c r="D52" s="16"/>
      <c r="E52" s="16"/>
      <c r="F52" s="11"/>
      <c r="G52" s="14"/>
      <c r="H52" s="15"/>
      <c r="I52" s="15"/>
      <c r="J52" s="15"/>
      <c r="K52" s="17"/>
      <c r="L52" s="12">
        <f t="shared" si="4"/>
        <v>0</v>
      </c>
    </row>
    <row r="53" spans="2:12">
      <c r="B53" s="14"/>
      <c r="C53" s="16"/>
      <c r="D53" s="16"/>
      <c r="E53" s="16"/>
      <c r="F53" s="11"/>
      <c r="G53" s="14"/>
      <c r="H53" s="15"/>
      <c r="I53" s="15"/>
      <c r="J53" s="15"/>
      <c r="K53" s="17"/>
      <c r="L53" s="12">
        <f t="shared" si="4"/>
        <v>0</v>
      </c>
    </row>
    <row r="54" spans="2:12">
      <c r="B54" s="14"/>
      <c r="C54" s="16"/>
      <c r="D54" s="16"/>
      <c r="E54" s="16"/>
      <c r="F54" s="11"/>
      <c r="G54" s="14"/>
      <c r="H54" s="15"/>
      <c r="I54" s="15"/>
      <c r="J54" s="15"/>
      <c r="K54" s="17"/>
      <c r="L54" s="12">
        <f t="shared" si="4"/>
        <v>0</v>
      </c>
    </row>
    <row r="55" spans="2:12">
      <c r="B55" s="14"/>
      <c r="C55" s="16"/>
      <c r="D55" s="16"/>
      <c r="E55" s="16"/>
      <c r="F55" s="11"/>
      <c r="G55" s="14"/>
      <c r="H55" s="15"/>
      <c r="I55" s="15"/>
      <c r="J55" s="15"/>
      <c r="K55" s="17"/>
      <c r="L55" s="12">
        <f t="shared" si="4"/>
        <v>0</v>
      </c>
    </row>
    <row r="56" spans="2:12">
      <c r="B56" s="14"/>
      <c r="C56" s="16"/>
      <c r="D56" s="16"/>
      <c r="E56" s="16"/>
      <c r="F56" s="11"/>
      <c r="G56" s="14"/>
      <c r="H56" s="15"/>
      <c r="I56" s="15"/>
      <c r="J56" s="15"/>
      <c r="K56" s="17"/>
      <c r="L56" s="12">
        <f t="shared" si="4"/>
        <v>0</v>
      </c>
    </row>
    <row r="57" spans="2:12">
      <c r="B57" s="14"/>
      <c r="C57" s="16"/>
      <c r="D57" s="16"/>
      <c r="E57" s="16"/>
      <c r="F57" s="11"/>
      <c r="G57" s="14"/>
      <c r="H57" s="15"/>
      <c r="I57" s="15"/>
      <c r="J57" s="15"/>
      <c r="K57" s="17"/>
      <c r="L57" s="12">
        <f t="shared" si="4"/>
        <v>0</v>
      </c>
    </row>
    <row r="58" spans="2:12">
      <c r="B58" s="14"/>
      <c r="C58" s="16"/>
      <c r="D58" s="16"/>
      <c r="E58" s="16"/>
      <c r="F58" s="11"/>
      <c r="G58" s="14"/>
      <c r="H58" s="15"/>
      <c r="I58" s="15"/>
      <c r="J58" s="15"/>
      <c r="K58" s="17"/>
      <c r="L58" s="12">
        <f t="shared" si="4"/>
        <v>0</v>
      </c>
    </row>
    <row r="59" spans="2:12">
      <c r="B59" s="14"/>
      <c r="C59" s="16"/>
      <c r="D59" s="16"/>
      <c r="E59" s="16"/>
      <c r="F59" s="11"/>
      <c r="G59" s="14"/>
      <c r="H59" s="15"/>
      <c r="I59" s="15"/>
      <c r="J59" s="15"/>
      <c r="K59" s="17"/>
      <c r="L59" s="12">
        <f t="shared" si="4"/>
        <v>0</v>
      </c>
    </row>
    <row r="60" spans="2:12">
      <c r="B60" s="14"/>
      <c r="C60" s="16"/>
      <c r="D60" s="16"/>
      <c r="E60" s="16"/>
      <c r="F60" s="11"/>
      <c r="G60" s="14"/>
      <c r="H60" s="15"/>
      <c r="I60" s="15"/>
      <c r="J60" s="15"/>
      <c r="K60" s="17"/>
      <c r="L60" s="12">
        <f t="shared" si="4"/>
        <v>0</v>
      </c>
    </row>
    <row r="61" spans="2:12">
      <c r="B61" s="14"/>
      <c r="C61" s="16"/>
      <c r="D61" s="16"/>
      <c r="E61" s="16"/>
      <c r="F61" s="11"/>
      <c r="G61" s="14"/>
      <c r="H61" s="15"/>
      <c r="I61" s="15"/>
      <c r="J61" s="15"/>
      <c r="K61" s="17"/>
      <c r="L61" s="12">
        <f t="shared" si="4"/>
        <v>0</v>
      </c>
    </row>
    <row r="62" spans="2:12">
      <c r="B62" s="14"/>
      <c r="C62" s="16"/>
      <c r="D62" s="16"/>
      <c r="E62" s="16"/>
      <c r="F62" s="11"/>
      <c r="G62" s="14"/>
      <c r="H62" s="15"/>
      <c r="I62" s="15"/>
      <c r="J62" s="15"/>
      <c r="K62" s="17"/>
      <c r="L62" s="12">
        <f t="shared" si="4"/>
        <v>0</v>
      </c>
    </row>
    <row r="63" spans="2:12">
      <c r="B63" s="14"/>
      <c r="C63" s="16"/>
      <c r="D63" s="16"/>
      <c r="E63" s="16"/>
      <c r="F63" s="11"/>
      <c r="G63" s="14"/>
      <c r="H63" s="17"/>
      <c r="I63" s="17"/>
      <c r="J63" s="17"/>
      <c r="K63" s="17"/>
      <c r="L63" s="12">
        <f t="shared" si="4"/>
        <v>0</v>
      </c>
    </row>
    <row r="64" spans="2:12">
      <c r="B64" s="14"/>
      <c r="C64" s="16"/>
      <c r="D64" s="16"/>
      <c r="E64" s="16"/>
      <c r="F64" s="11"/>
      <c r="G64" s="14"/>
      <c r="H64" s="15"/>
      <c r="I64" s="15"/>
      <c r="J64" s="15"/>
      <c r="K64" s="17"/>
      <c r="L64" s="12">
        <f t="shared" si="4"/>
        <v>0</v>
      </c>
    </row>
    <row r="65" spans="2:12">
      <c r="B65" s="14"/>
      <c r="C65" s="16"/>
      <c r="D65" s="16"/>
      <c r="E65" s="16"/>
      <c r="F65" s="11"/>
      <c r="G65" s="14"/>
      <c r="H65" s="15"/>
      <c r="I65" s="15"/>
      <c r="J65" s="15"/>
      <c r="K65" s="17"/>
      <c r="L65" s="12">
        <f t="shared" si="4"/>
        <v>0</v>
      </c>
    </row>
    <row r="66" spans="2:12">
      <c r="B66" s="14"/>
      <c r="C66" s="16"/>
      <c r="D66" s="16"/>
      <c r="E66" s="16"/>
      <c r="F66" s="11"/>
      <c r="G66" s="14"/>
      <c r="H66" s="15"/>
      <c r="I66" s="15"/>
      <c r="J66" s="15"/>
      <c r="K66" s="17"/>
      <c r="L66" s="12">
        <f t="shared" si="4"/>
        <v>0</v>
      </c>
    </row>
    <row r="67" spans="2:12">
      <c r="B67" s="14"/>
      <c r="C67" s="16"/>
      <c r="D67" s="16"/>
      <c r="E67" s="16"/>
      <c r="F67" s="11"/>
      <c r="G67" s="14"/>
      <c r="H67" s="15"/>
      <c r="I67" s="15"/>
      <c r="J67" s="15"/>
      <c r="K67" s="17"/>
      <c r="L67" s="12">
        <f t="shared" si="4"/>
        <v>0</v>
      </c>
    </row>
    <row r="68" spans="2:12">
      <c r="B68" s="14"/>
      <c r="C68" s="16"/>
      <c r="D68" s="16"/>
      <c r="E68" s="16"/>
      <c r="F68" s="11"/>
      <c r="G68" s="14"/>
      <c r="H68" s="15"/>
      <c r="I68" s="15"/>
      <c r="J68" s="15"/>
      <c r="K68" s="17"/>
      <c r="L68" s="12">
        <f t="shared" si="4"/>
        <v>0</v>
      </c>
    </row>
    <row r="69" spans="2:12">
      <c r="B69" s="14"/>
      <c r="C69" s="16"/>
      <c r="D69" s="16"/>
      <c r="E69" s="16"/>
      <c r="F69" s="11"/>
      <c r="G69" s="14"/>
      <c r="H69" s="15"/>
      <c r="I69" s="15"/>
      <c r="J69" s="15"/>
      <c r="K69" s="17"/>
      <c r="L69" s="12">
        <f t="shared" si="4"/>
        <v>0</v>
      </c>
    </row>
    <row r="70" spans="2:12">
      <c r="B70" s="14"/>
      <c r="C70" s="16"/>
      <c r="D70" s="16"/>
      <c r="E70" s="16"/>
      <c r="F70" s="11"/>
      <c r="G70" s="14"/>
      <c r="H70" s="15"/>
      <c r="I70" s="15"/>
      <c r="J70" s="15"/>
      <c r="K70" s="17"/>
      <c r="L70" s="12">
        <f t="shared" si="4"/>
        <v>0</v>
      </c>
    </row>
    <row r="71" spans="2:12">
      <c r="B71" s="14"/>
      <c r="C71" s="16"/>
      <c r="D71" s="16"/>
      <c r="E71" s="16"/>
      <c r="F71" s="11"/>
      <c r="G71" s="14"/>
      <c r="H71" s="15"/>
      <c r="I71" s="15"/>
      <c r="J71" s="15"/>
      <c r="K71" s="17"/>
      <c r="L71" s="12">
        <f t="shared" si="4"/>
        <v>0</v>
      </c>
    </row>
    <row r="72" spans="2:12">
      <c r="B72" s="14"/>
      <c r="C72" s="16"/>
      <c r="D72" s="16"/>
      <c r="E72" s="16"/>
      <c r="F72" s="11"/>
      <c r="G72" s="14"/>
      <c r="H72" s="15"/>
      <c r="I72" s="15"/>
      <c r="J72" s="15"/>
      <c r="K72" s="17"/>
      <c r="L72" s="12">
        <f t="shared" si="4"/>
        <v>0</v>
      </c>
    </row>
    <row r="73" spans="2:12">
      <c r="B73" s="14"/>
      <c r="C73" s="16"/>
      <c r="D73" s="16"/>
      <c r="E73" s="16"/>
      <c r="F73" s="11"/>
      <c r="G73" s="14"/>
      <c r="H73" s="15"/>
      <c r="I73" s="15"/>
      <c r="J73" s="15"/>
      <c r="K73" s="17"/>
      <c r="L73" s="12">
        <f t="shared" si="4"/>
        <v>0</v>
      </c>
    </row>
    <row r="74" spans="2:12">
      <c r="B74" s="14"/>
      <c r="C74" s="16"/>
      <c r="D74" s="16"/>
      <c r="E74" s="16"/>
      <c r="F74" s="11"/>
      <c r="G74" s="14"/>
      <c r="H74" s="15"/>
      <c r="I74" s="15"/>
      <c r="J74" s="15"/>
      <c r="K74" s="17"/>
      <c r="L74" s="12">
        <f t="shared" si="4"/>
        <v>0</v>
      </c>
    </row>
    <row r="75" spans="2:12">
      <c r="B75" s="14"/>
      <c r="C75" s="16"/>
      <c r="D75" s="16"/>
      <c r="E75" s="16"/>
      <c r="F75" s="11"/>
      <c r="G75" s="14"/>
      <c r="H75" s="15"/>
      <c r="I75" s="15"/>
      <c r="J75" s="15"/>
      <c r="K75" s="17"/>
      <c r="L75" s="12">
        <f t="shared" si="4"/>
        <v>0</v>
      </c>
    </row>
    <row r="76" spans="2:12">
      <c r="B76" s="14"/>
      <c r="C76" s="16"/>
      <c r="D76" s="16"/>
      <c r="E76" s="16"/>
      <c r="F76" s="11"/>
      <c r="G76" s="14"/>
      <c r="H76" s="15"/>
      <c r="I76" s="15"/>
      <c r="J76" s="15"/>
      <c r="K76" s="17"/>
      <c r="L76" s="12">
        <f t="shared" si="4"/>
        <v>0</v>
      </c>
    </row>
    <row r="77" spans="2:12">
      <c r="B77" s="14"/>
      <c r="C77" s="16"/>
      <c r="D77" s="16"/>
      <c r="E77" s="16"/>
      <c r="F77" s="11"/>
      <c r="G77" s="14"/>
      <c r="H77" s="15"/>
      <c r="I77" s="15"/>
      <c r="J77" s="15"/>
      <c r="K77" s="17"/>
      <c r="L77" s="12">
        <f t="shared" si="4"/>
        <v>0</v>
      </c>
    </row>
    <row r="78" spans="2:12">
      <c r="B78" s="14"/>
      <c r="C78" s="16"/>
      <c r="D78" s="16"/>
      <c r="E78" s="16"/>
      <c r="F78" s="11"/>
      <c r="G78" s="14"/>
      <c r="H78" s="15"/>
      <c r="I78" s="15"/>
      <c r="J78" s="15"/>
      <c r="K78" s="17"/>
      <c r="L78" s="12">
        <f t="shared" si="4"/>
        <v>0</v>
      </c>
    </row>
    <row r="79" spans="2:12">
      <c r="B79" s="14"/>
      <c r="C79" s="16"/>
      <c r="D79" s="16"/>
      <c r="E79" s="16"/>
      <c r="F79" s="11"/>
      <c r="G79" s="14"/>
      <c r="H79" s="15"/>
      <c r="I79" s="15"/>
      <c r="J79" s="15"/>
      <c r="K79" s="17"/>
      <c r="L79" s="12">
        <f t="shared" si="4"/>
        <v>0</v>
      </c>
    </row>
    <row r="80" spans="2:12">
      <c r="B80" s="14"/>
      <c r="C80" s="16"/>
      <c r="D80" s="16"/>
      <c r="E80" s="16"/>
      <c r="F80" s="11"/>
      <c r="G80" s="14"/>
      <c r="H80" s="15"/>
      <c r="I80" s="15"/>
      <c r="J80" s="15"/>
      <c r="K80" s="17"/>
      <c r="L80" s="12">
        <f t="shared" si="4"/>
        <v>0</v>
      </c>
    </row>
    <row r="81" spans="2:13">
      <c r="B81" s="14"/>
      <c r="C81" s="16"/>
      <c r="D81" s="16"/>
      <c r="E81" s="16"/>
      <c r="F81" s="11"/>
      <c r="G81" s="14"/>
      <c r="H81" s="15"/>
      <c r="I81" s="15"/>
      <c r="J81" s="15"/>
      <c r="K81" s="17"/>
      <c r="L81" s="12">
        <f t="shared" si="4"/>
        <v>0</v>
      </c>
    </row>
    <row r="82" spans="2:13">
      <c r="B82" s="14"/>
      <c r="C82" s="16"/>
      <c r="D82" s="16"/>
      <c r="E82" s="16"/>
      <c r="F82" s="11"/>
      <c r="G82" s="14"/>
      <c r="H82" s="15"/>
      <c r="I82" s="15"/>
      <c r="J82" s="15"/>
      <c r="K82" s="17"/>
      <c r="L82" s="12">
        <f t="shared" si="4"/>
        <v>0</v>
      </c>
    </row>
    <row r="83" spans="2:13">
      <c r="B83" s="14"/>
      <c r="C83" s="16"/>
      <c r="D83" s="16"/>
      <c r="E83" s="16"/>
      <c r="F83" s="11"/>
      <c r="G83" s="14"/>
      <c r="H83" s="15"/>
      <c r="I83" s="15"/>
      <c r="J83" s="15"/>
      <c r="K83" s="17"/>
      <c r="L83" s="12">
        <f t="shared" si="4"/>
        <v>0</v>
      </c>
    </row>
    <row r="84" spans="2:13">
      <c r="B84" s="14"/>
      <c r="C84" s="16"/>
      <c r="D84" s="16"/>
      <c r="E84" s="16"/>
      <c r="F84" s="11"/>
      <c r="G84" s="14"/>
      <c r="H84" s="15"/>
      <c r="I84" s="15"/>
      <c r="J84" s="15"/>
      <c r="K84" s="17"/>
      <c r="L84" s="12">
        <f t="shared" ref="L84:L147" si="5">+K84-H84</f>
        <v>0</v>
      </c>
    </row>
    <row r="85" spans="2:13">
      <c r="B85" s="14"/>
      <c r="C85" s="16"/>
      <c r="D85" s="16"/>
      <c r="E85" s="16"/>
      <c r="F85" s="11"/>
      <c r="G85" s="14"/>
      <c r="H85" s="15"/>
      <c r="I85" s="15"/>
      <c r="J85" s="15"/>
      <c r="K85" s="17"/>
      <c r="L85" s="12">
        <f t="shared" si="5"/>
        <v>0</v>
      </c>
    </row>
    <row r="86" spans="2:13">
      <c r="B86" s="14"/>
      <c r="C86" s="16"/>
      <c r="D86" s="16"/>
      <c r="E86" s="16"/>
      <c r="F86" s="11"/>
      <c r="G86" s="14"/>
      <c r="H86" s="15"/>
      <c r="I86" s="15"/>
      <c r="J86" s="15"/>
      <c r="K86" s="17"/>
      <c r="L86" s="12">
        <f t="shared" si="5"/>
        <v>0</v>
      </c>
    </row>
    <row r="87" spans="2:13">
      <c r="B87" s="14"/>
      <c r="C87" s="16"/>
      <c r="D87" s="16"/>
      <c r="E87" s="16"/>
      <c r="F87" s="11"/>
      <c r="G87" s="14"/>
      <c r="H87" s="15"/>
      <c r="I87" s="15"/>
      <c r="J87" s="15"/>
      <c r="K87" s="17"/>
      <c r="L87" s="12">
        <f t="shared" si="5"/>
        <v>0</v>
      </c>
    </row>
    <row r="88" spans="2:13">
      <c r="B88" s="14"/>
      <c r="C88" s="16"/>
      <c r="D88" s="16"/>
      <c r="E88" s="16"/>
      <c r="F88" s="11"/>
      <c r="G88" s="14"/>
      <c r="H88" s="15"/>
      <c r="I88" s="15"/>
      <c r="J88" s="15"/>
      <c r="K88" s="17"/>
      <c r="L88" s="12">
        <f t="shared" si="5"/>
        <v>0</v>
      </c>
    </row>
    <row r="89" spans="2:13">
      <c r="B89" s="14"/>
      <c r="C89" s="16"/>
      <c r="D89" s="16"/>
      <c r="E89" s="16"/>
      <c r="F89" s="11"/>
      <c r="G89" s="14"/>
      <c r="H89" s="15"/>
      <c r="I89" s="15"/>
      <c r="J89" s="15"/>
      <c r="K89" s="17"/>
      <c r="L89" s="12">
        <f t="shared" si="5"/>
        <v>0</v>
      </c>
    </row>
    <row r="90" spans="2:13">
      <c r="B90" s="14"/>
      <c r="C90" s="16"/>
      <c r="D90" s="16"/>
      <c r="E90" s="16"/>
      <c r="F90" s="11"/>
      <c r="G90" s="14"/>
      <c r="H90" s="15"/>
      <c r="I90" s="15"/>
      <c r="J90" s="15"/>
      <c r="K90" s="17"/>
      <c r="L90" s="12">
        <f t="shared" si="5"/>
        <v>0</v>
      </c>
    </row>
    <row r="91" spans="2:13">
      <c r="B91" s="14"/>
      <c r="C91" s="16"/>
      <c r="D91" s="16"/>
      <c r="E91" s="16"/>
      <c r="F91" s="11"/>
      <c r="G91" s="14"/>
      <c r="H91" s="15"/>
      <c r="I91" s="15"/>
      <c r="J91" s="15"/>
      <c r="K91" s="17"/>
      <c r="L91" s="12">
        <f t="shared" si="5"/>
        <v>0</v>
      </c>
    </row>
    <row r="92" spans="2:13">
      <c r="B92" s="14"/>
      <c r="C92" s="16"/>
      <c r="D92" s="16"/>
      <c r="E92" s="16"/>
      <c r="F92" s="11"/>
      <c r="G92" s="14"/>
      <c r="H92" s="15"/>
      <c r="I92" s="15"/>
      <c r="J92" s="15"/>
      <c r="K92" s="17"/>
      <c r="L92" s="12">
        <f t="shared" si="5"/>
        <v>0</v>
      </c>
    </row>
    <row r="93" spans="2:13">
      <c r="B93" s="14"/>
      <c r="C93" s="16"/>
      <c r="D93" s="16"/>
      <c r="E93" s="16"/>
      <c r="F93" s="11"/>
      <c r="G93" s="14"/>
      <c r="H93" s="15"/>
      <c r="I93" s="15"/>
      <c r="J93" s="15"/>
      <c r="K93" s="17"/>
      <c r="L93" s="12">
        <f t="shared" si="5"/>
        <v>0</v>
      </c>
    </row>
    <row r="94" spans="2:13">
      <c r="B94" s="14"/>
      <c r="C94" s="16"/>
      <c r="D94" s="16"/>
      <c r="E94" s="16"/>
      <c r="F94" s="11"/>
      <c r="G94" s="14"/>
      <c r="H94" s="15"/>
      <c r="I94" s="15"/>
      <c r="J94" s="15"/>
      <c r="K94" s="17"/>
      <c r="L94" s="12">
        <f t="shared" si="5"/>
        <v>0</v>
      </c>
    </row>
    <row r="95" spans="2:13">
      <c r="B95" s="14"/>
      <c r="C95" s="16"/>
      <c r="D95" s="16"/>
      <c r="E95" s="16"/>
      <c r="F95" s="11"/>
      <c r="G95" s="14"/>
      <c r="H95" s="15"/>
      <c r="I95" s="15"/>
      <c r="J95" s="15"/>
      <c r="K95" s="17"/>
      <c r="L95" s="12">
        <f t="shared" si="5"/>
        <v>0</v>
      </c>
      <c r="M95" s="13"/>
    </row>
    <row r="96" spans="2:13">
      <c r="B96" s="14"/>
      <c r="C96" s="16"/>
      <c r="D96" s="16"/>
      <c r="E96" s="16"/>
      <c r="F96" s="11"/>
      <c r="G96" s="14"/>
      <c r="H96" s="15"/>
      <c r="I96" s="15"/>
      <c r="J96" s="15"/>
      <c r="K96" s="17"/>
      <c r="L96" s="12">
        <f t="shared" si="5"/>
        <v>0</v>
      </c>
    </row>
    <row r="97" spans="2:12">
      <c r="B97" s="14"/>
      <c r="C97" s="16"/>
      <c r="D97" s="16"/>
      <c r="E97" s="16"/>
      <c r="F97" s="11"/>
      <c r="G97" s="14"/>
      <c r="H97" s="15"/>
      <c r="I97" s="15"/>
      <c r="J97" s="15"/>
      <c r="K97" s="17"/>
      <c r="L97" s="12">
        <f t="shared" si="5"/>
        <v>0</v>
      </c>
    </row>
    <row r="98" spans="2:12">
      <c r="B98" s="14"/>
      <c r="C98" s="16"/>
      <c r="D98" s="16"/>
      <c r="E98" s="16"/>
      <c r="F98" s="11"/>
      <c r="G98" s="14"/>
      <c r="H98" s="15"/>
      <c r="I98" s="15"/>
      <c r="J98" s="15"/>
      <c r="K98" s="17"/>
      <c r="L98" s="12">
        <f t="shared" si="5"/>
        <v>0</v>
      </c>
    </row>
    <row r="99" spans="2:12">
      <c r="B99" s="14"/>
      <c r="C99" s="16"/>
      <c r="D99" s="16"/>
      <c r="E99" s="16"/>
      <c r="F99" s="11"/>
      <c r="G99" s="14"/>
      <c r="H99" s="15"/>
      <c r="I99" s="15"/>
      <c r="J99" s="15"/>
      <c r="K99" s="17"/>
      <c r="L99" s="12">
        <f t="shared" si="5"/>
        <v>0</v>
      </c>
    </row>
    <row r="100" spans="2:12">
      <c r="B100" s="14"/>
      <c r="C100" s="16"/>
      <c r="D100" s="16"/>
      <c r="E100" s="16"/>
      <c r="F100" s="11"/>
      <c r="G100" s="14"/>
      <c r="H100" s="15"/>
      <c r="I100" s="15"/>
      <c r="J100" s="15"/>
      <c r="K100" s="17"/>
      <c r="L100" s="12">
        <f t="shared" si="5"/>
        <v>0</v>
      </c>
    </row>
    <row r="101" spans="2:12">
      <c r="B101" s="14"/>
      <c r="C101" s="16"/>
      <c r="D101" s="16"/>
      <c r="E101" s="16"/>
      <c r="F101" s="11"/>
      <c r="G101" s="14"/>
      <c r="H101" s="15"/>
      <c r="I101" s="15"/>
      <c r="J101" s="15"/>
      <c r="K101" s="17"/>
      <c r="L101" s="12">
        <f t="shared" si="5"/>
        <v>0</v>
      </c>
    </row>
    <row r="102" spans="2:12">
      <c r="B102" s="14"/>
      <c r="C102" s="16"/>
      <c r="D102" s="16"/>
      <c r="E102" s="16"/>
      <c r="F102" s="11"/>
      <c r="G102" s="14"/>
      <c r="H102" s="15"/>
      <c r="I102" s="15"/>
      <c r="J102" s="15"/>
      <c r="K102" s="17"/>
      <c r="L102" s="12">
        <f t="shared" si="5"/>
        <v>0</v>
      </c>
    </row>
    <row r="103" spans="2:12">
      <c r="B103" s="14"/>
      <c r="C103" s="16"/>
      <c r="D103" s="16"/>
      <c r="E103" s="16"/>
      <c r="F103" s="11"/>
      <c r="G103" s="14"/>
      <c r="H103" s="15"/>
      <c r="I103" s="15"/>
      <c r="J103" s="15"/>
      <c r="K103" s="17"/>
      <c r="L103" s="12">
        <f t="shared" si="5"/>
        <v>0</v>
      </c>
    </row>
    <row r="104" spans="2:12">
      <c r="B104" s="14"/>
      <c r="C104" s="16"/>
      <c r="D104" s="16"/>
      <c r="E104" s="16"/>
      <c r="F104" s="11"/>
      <c r="G104" s="14"/>
      <c r="H104" s="15"/>
      <c r="I104" s="15"/>
      <c r="J104" s="15"/>
      <c r="K104" s="17"/>
      <c r="L104" s="12">
        <f t="shared" si="5"/>
        <v>0</v>
      </c>
    </row>
    <row r="105" spans="2:12">
      <c r="B105" s="14"/>
      <c r="C105" s="16"/>
      <c r="D105" s="16"/>
      <c r="E105" s="16"/>
      <c r="F105" s="11"/>
      <c r="G105" s="14"/>
      <c r="H105" s="15"/>
      <c r="I105" s="15"/>
      <c r="J105" s="15"/>
      <c r="K105" s="17"/>
      <c r="L105" s="12">
        <f t="shared" si="5"/>
        <v>0</v>
      </c>
    </row>
    <row r="106" spans="2:12">
      <c r="B106" s="14"/>
      <c r="C106" s="16"/>
      <c r="D106" s="16"/>
      <c r="E106" s="16"/>
      <c r="F106" s="11"/>
      <c r="G106" s="14"/>
      <c r="H106" s="15"/>
      <c r="I106" s="15"/>
      <c r="J106" s="15"/>
      <c r="K106" s="17"/>
      <c r="L106" s="12">
        <f t="shared" si="5"/>
        <v>0</v>
      </c>
    </row>
    <row r="107" spans="2:12">
      <c r="B107" s="14"/>
      <c r="C107" s="16"/>
      <c r="D107" s="16"/>
      <c r="E107" s="16"/>
      <c r="F107" s="11"/>
      <c r="G107" s="14"/>
      <c r="H107" s="15"/>
      <c r="I107" s="15"/>
      <c r="J107" s="15"/>
      <c r="K107" s="17"/>
      <c r="L107" s="12">
        <f t="shared" si="5"/>
        <v>0</v>
      </c>
    </row>
    <row r="108" spans="2:12">
      <c r="B108" s="14"/>
      <c r="C108" s="16"/>
      <c r="D108" s="16"/>
      <c r="E108" s="16"/>
      <c r="F108" s="11"/>
      <c r="G108" s="14"/>
      <c r="H108" s="15"/>
      <c r="I108" s="15"/>
      <c r="J108" s="15"/>
      <c r="K108" s="17"/>
      <c r="L108" s="12">
        <f t="shared" si="5"/>
        <v>0</v>
      </c>
    </row>
    <row r="109" spans="2:12">
      <c r="B109" s="14"/>
      <c r="C109" s="16"/>
      <c r="D109" s="16"/>
      <c r="E109" s="16"/>
      <c r="F109" s="11"/>
      <c r="G109" s="14"/>
      <c r="H109" s="15"/>
      <c r="I109" s="15"/>
      <c r="J109" s="15"/>
      <c r="K109" s="17"/>
      <c r="L109" s="12">
        <f t="shared" si="5"/>
        <v>0</v>
      </c>
    </row>
    <row r="110" spans="2:12">
      <c r="B110" s="14"/>
      <c r="C110" s="16"/>
      <c r="D110" s="16"/>
      <c r="E110" s="16"/>
      <c r="F110" s="11"/>
      <c r="G110" s="14"/>
      <c r="H110" s="15"/>
      <c r="I110" s="15"/>
      <c r="J110" s="15"/>
      <c r="K110" s="17"/>
      <c r="L110" s="12">
        <f t="shared" si="5"/>
        <v>0</v>
      </c>
    </row>
    <row r="111" spans="2:12">
      <c r="B111" s="14"/>
      <c r="C111" s="16"/>
      <c r="D111" s="16"/>
      <c r="E111" s="16"/>
      <c r="F111" s="11"/>
      <c r="G111" s="14"/>
      <c r="H111" s="15"/>
      <c r="I111" s="15"/>
      <c r="J111" s="15"/>
      <c r="K111" s="17"/>
      <c r="L111" s="12">
        <f t="shared" si="5"/>
        <v>0</v>
      </c>
    </row>
    <row r="112" spans="2:12">
      <c r="B112" s="14"/>
      <c r="C112" s="16"/>
      <c r="D112" s="16"/>
      <c r="E112" s="16"/>
      <c r="F112" s="11"/>
      <c r="G112" s="14"/>
      <c r="H112" s="15"/>
      <c r="I112" s="15"/>
      <c r="J112" s="15"/>
      <c r="K112" s="17"/>
      <c r="L112" s="12">
        <f t="shared" si="5"/>
        <v>0</v>
      </c>
    </row>
    <row r="113" spans="2:12">
      <c r="B113" s="14"/>
      <c r="C113" s="16"/>
      <c r="D113" s="16"/>
      <c r="E113" s="16"/>
      <c r="F113" s="11"/>
      <c r="G113" s="14"/>
      <c r="H113" s="15"/>
      <c r="I113" s="15"/>
      <c r="J113" s="15"/>
      <c r="K113" s="17"/>
      <c r="L113" s="12">
        <f t="shared" si="5"/>
        <v>0</v>
      </c>
    </row>
    <row r="114" spans="2:12">
      <c r="B114" s="14"/>
      <c r="C114" s="16"/>
      <c r="D114" s="16"/>
      <c r="E114" s="16"/>
      <c r="F114" s="11"/>
      <c r="G114" s="14"/>
      <c r="H114" s="15"/>
      <c r="I114" s="15"/>
      <c r="J114" s="15"/>
      <c r="K114" s="17"/>
      <c r="L114" s="12">
        <f t="shared" si="5"/>
        <v>0</v>
      </c>
    </row>
    <row r="115" spans="2:12">
      <c r="B115" s="14"/>
      <c r="C115" s="16"/>
      <c r="D115" s="16"/>
      <c r="E115" s="16"/>
      <c r="F115" s="11"/>
      <c r="G115" s="14"/>
      <c r="H115" s="15"/>
      <c r="I115" s="15"/>
      <c r="J115" s="15"/>
      <c r="K115" s="17"/>
      <c r="L115" s="12">
        <f t="shared" si="5"/>
        <v>0</v>
      </c>
    </row>
    <row r="116" spans="2:12">
      <c r="B116" s="14"/>
      <c r="C116" s="16"/>
      <c r="D116" s="16"/>
      <c r="E116" s="16"/>
      <c r="F116" s="11"/>
      <c r="G116" s="14"/>
      <c r="H116" s="15"/>
      <c r="I116" s="15"/>
      <c r="J116" s="15"/>
      <c r="K116" s="17"/>
      <c r="L116" s="12">
        <f t="shared" si="5"/>
        <v>0</v>
      </c>
    </row>
    <row r="117" spans="2:12">
      <c r="B117" s="14"/>
      <c r="C117" s="16"/>
      <c r="D117" s="16"/>
      <c r="E117" s="16"/>
      <c r="F117" s="11"/>
      <c r="G117" s="14"/>
      <c r="H117" s="15"/>
      <c r="I117" s="15"/>
      <c r="J117" s="15"/>
      <c r="K117" s="17"/>
      <c r="L117" s="12">
        <f t="shared" si="5"/>
        <v>0</v>
      </c>
    </row>
    <row r="118" spans="2:12">
      <c r="B118" s="14"/>
      <c r="C118" s="16"/>
      <c r="D118" s="16"/>
      <c r="E118" s="16"/>
      <c r="F118" s="11"/>
      <c r="G118" s="14"/>
      <c r="H118" s="15"/>
      <c r="I118" s="15"/>
      <c r="J118" s="15"/>
      <c r="K118" s="17"/>
      <c r="L118" s="12">
        <f t="shared" si="5"/>
        <v>0</v>
      </c>
    </row>
    <row r="119" spans="2:12">
      <c r="B119" s="14"/>
      <c r="C119" s="16"/>
      <c r="D119" s="16"/>
      <c r="E119" s="16"/>
      <c r="F119" s="11"/>
      <c r="G119" s="14"/>
      <c r="H119" s="15"/>
      <c r="I119" s="15"/>
      <c r="J119" s="15"/>
      <c r="K119" s="17"/>
      <c r="L119" s="12">
        <f t="shared" si="5"/>
        <v>0</v>
      </c>
    </row>
    <row r="120" spans="2:12">
      <c r="B120" s="14"/>
      <c r="C120" s="16"/>
      <c r="D120" s="16"/>
      <c r="E120" s="16"/>
      <c r="F120" s="11"/>
      <c r="G120" s="14"/>
      <c r="H120" s="15"/>
      <c r="I120" s="15"/>
      <c r="J120" s="15"/>
      <c r="K120" s="17"/>
      <c r="L120" s="12">
        <f t="shared" si="5"/>
        <v>0</v>
      </c>
    </row>
    <row r="121" spans="2:12">
      <c r="B121" s="14"/>
      <c r="C121" s="16"/>
      <c r="D121" s="16"/>
      <c r="E121" s="16"/>
      <c r="F121" s="11"/>
      <c r="G121" s="14"/>
      <c r="H121" s="15"/>
      <c r="I121" s="15"/>
      <c r="J121" s="15"/>
      <c r="K121" s="17"/>
      <c r="L121" s="12">
        <f t="shared" si="5"/>
        <v>0</v>
      </c>
    </row>
    <row r="122" spans="2:12">
      <c r="B122" s="14"/>
      <c r="C122" s="16"/>
      <c r="D122" s="16"/>
      <c r="E122" s="16"/>
      <c r="F122" s="11"/>
      <c r="G122" s="14"/>
      <c r="H122" s="15"/>
      <c r="I122" s="15"/>
      <c r="J122" s="15"/>
      <c r="K122" s="17"/>
      <c r="L122" s="12">
        <f t="shared" si="5"/>
        <v>0</v>
      </c>
    </row>
    <row r="123" spans="2:12">
      <c r="B123" s="14"/>
      <c r="C123" s="16"/>
      <c r="D123" s="16"/>
      <c r="E123" s="16"/>
      <c r="F123" s="11"/>
      <c r="G123" s="14"/>
      <c r="H123" s="15"/>
      <c r="I123" s="15"/>
      <c r="J123" s="15"/>
      <c r="K123" s="17"/>
      <c r="L123" s="12">
        <f t="shared" si="5"/>
        <v>0</v>
      </c>
    </row>
    <row r="124" spans="2:12">
      <c r="B124" s="14"/>
      <c r="C124" s="16"/>
      <c r="D124" s="16"/>
      <c r="E124" s="16"/>
      <c r="F124" s="11"/>
      <c r="G124" s="14"/>
      <c r="H124" s="15"/>
      <c r="I124" s="15"/>
      <c r="J124" s="15"/>
      <c r="K124" s="17"/>
      <c r="L124" s="12">
        <f t="shared" si="5"/>
        <v>0</v>
      </c>
    </row>
    <row r="125" spans="2:12">
      <c r="B125" s="14"/>
      <c r="C125" s="16"/>
      <c r="D125" s="16"/>
      <c r="E125" s="16"/>
      <c r="F125" s="11"/>
      <c r="G125" s="14"/>
      <c r="H125" s="15"/>
      <c r="I125" s="15"/>
      <c r="J125" s="15"/>
      <c r="K125" s="17"/>
      <c r="L125" s="12">
        <f t="shared" si="5"/>
        <v>0</v>
      </c>
    </row>
    <row r="126" spans="2:12">
      <c r="B126" s="14"/>
      <c r="C126" s="16"/>
      <c r="D126" s="16"/>
      <c r="E126" s="16"/>
      <c r="F126" s="11"/>
      <c r="G126" s="14"/>
      <c r="H126" s="15"/>
      <c r="I126" s="15"/>
      <c r="J126" s="15"/>
      <c r="K126" s="17"/>
      <c r="L126" s="12">
        <f t="shared" si="5"/>
        <v>0</v>
      </c>
    </row>
    <row r="127" spans="2:12">
      <c r="B127" s="14"/>
      <c r="C127" s="16"/>
      <c r="D127" s="16"/>
      <c r="E127" s="16"/>
      <c r="F127" s="11"/>
      <c r="G127" s="14"/>
      <c r="H127" s="15"/>
      <c r="I127" s="15"/>
      <c r="J127" s="15"/>
      <c r="K127" s="17"/>
      <c r="L127" s="12">
        <f t="shared" si="5"/>
        <v>0</v>
      </c>
    </row>
    <row r="128" spans="2:12">
      <c r="B128" s="14"/>
      <c r="C128" s="16"/>
      <c r="D128" s="16"/>
      <c r="E128" s="16"/>
      <c r="F128" s="11"/>
      <c r="G128" s="14"/>
      <c r="H128" s="15"/>
      <c r="I128" s="15"/>
      <c r="J128" s="15"/>
      <c r="K128" s="17"/>
      <c r="L128" s="12">
        <f t="shared" si="5"/>
        <v>0</v>
      </c>
    </row>
    <row r="129" spans="2:12">
      <c r="B129" s="14"/>
      <c r="C129" s="16"/>
      <c r="D129" s="16"/>
      <c r="E129" s="16"/>
      <c r="F129" s="11"/>
      <c r="G129" s="14"/>
      <c r="H129" s="15"/>
      <c r="I129" s="15"/>
      <c r="J129" s="15"/>
      <c r="K129" s="17"/>
      <c r="L129" s="12">
        <f t="shared" si="5"/>
        <v>0</v>
      </c>
    </row>
    <row r="130" spans="2:12">
      <c r="B130" s="14"/>
      <c r="C130" s="16"/>
      <c r="D130" s="16"/>
      <c r="E130" s="16"/>
      <c r="F130" s="11"/>
      <c r="G130" s="14"/>
      <c r="H130" s="15"/>
      <c r="I130" s="15"/>
      <c r="J130" s="15"/>
      <c r="K130" s="17"/>
      <c r="L130" s="12">
        <f t="shared" si="5"/>
        <v>0</v>
      </c>
    </row>
    <row r="131" spans="2:12">
      <c r="B131" s="14"/>
      <c r="C131" s="16"/>
      <c r="D131" s="16"/>
      <c r="E131" s="16"/>
      <c r="F131" s="11"/>
      <c r="G131" s="14"/>
      <c r="H131" s="15"/>
      <c r="I131" s="15"/>
      <c r="J131" s="15"/>
      <c r="K131" s="17"/>
      <c r="L131" s="12">
        <f t="shared" si="5"/>
        <v>0</v>
      </c>
    </row>
    <row r="132" spans="2:12">
      <c r="B132" s="14"/>
      <c r="C132" s="16"/>
      <c r="D132" s="16"/>
      <c r="E132" s="16"/>
      <c r="F132" s="11"/>
      <c r="G132" s="14"/>
      <c r="H132" s="15"/>
      <c r="I132" s="15"/>
      <c r="J132" s="15"/>
      <c r="K132" s="17"/>
      <c r="L132" s="12">
        <f t="shared" si="5"/>
        <v>0</v>
      </c>
    </row>
    <row r="133" spans="2:12">
      <c r="B133" s="14"/>
      <c r="C133" s="16"/>
      <c r="D133" s="16"/>
      <c r="E133" s="16"/>
      <c r="F133" s="11"/>
      <c r="G133" s="14"/>
      <c r="H133" s="15"/>
      <c r="I133" s="15"/>
      <c r="J133" s="15"/>
      <c r="K133" s="17"/>
      <c r="L133" s="12">
        <f t="shared" si="5"/>
        <v>0</v>
      </c>
    </row>
    <row r="134" spans="2:12">
      <c r="B134" s="14"/>
      <c r="C134" s="16"/>
      <c r="D134" s="16"/>
      <c r="E134" s="16"/>
      <c r="F134" s="11"/>
      <c r="G134" s="14"/>
      <c r="H134" s="15"/>
      <c r="I134" s="15"/>
      <c r="J134" s="15"/>
      <c r="K134" s="17"/>
      <c r="L134" s="12">
        <f t="shared" si="5"/>
        <v>0</v>
      </c>
    </row>
    <row r="135" spans="2:12">
      <c r="B135" s="14"/>
      <c r="C135" s="16"/>
      <c r="D135" s="16"/>
      <c r="E135" s="16"/>
      <c r="F135" s="11"/>
      <c r="G135" s="14"/>
      <c r="H135" s="15"/>
      <c r="I135" s="15"/>
      <c r="J135" s="15"/>
      <c r="K135" s="17"/>
      <c r="L135" s="12">
        <f t="shared" si="5"/>
        <v>0</v>
      </c>
    </row>
    <row r="136" spans="2:12">
      <c r="B136" s="14"/>
      <c r="C136" s="16"/>
      <c r="D136" s="16"/>
      <c r="E136" s="16"/>
      <c r="F136" s="11"/>
      <c r="G136" s="14"/>
      <c r="H136" s="15"/>
      <c r="I136" s="15"/>
      <c r="J136" s="15"/>
      <c r="K136" s="17"/>
      <c r="L136" s="12">
        <f t="shared" si="5"/>
        <v>0</v>
      </c>
    </row>
    <row r="137" spans="2:12">
      <c r="B137" s="14"/>
      <c r="C137" s="16"/>
      <c r="D137" s="16"/>
      <c r="E137" s="16"/>
      <c r="F137" s="11"/>
      <c r="G137" s="14"/>
      <c r="H137" s="15"/>
      <c r="I137" s="15"/>
      <c r="J137" s="15"/>
      <c r="K137" s="17"/>
      <c r="L137" s="12">
        <f t="shared" si="5"/>
        <v>0</v>
      </c>
    </row>
    <row r="138" spans="2:12">
      <c r="B138" s="14"/>
      <c r="C138" s="16"/>
      <c r="D138" s="16"/>
      <c r="E138" s="16"/>
      <c r="F138" s="11"/>
      <c r="G138" s="14"/>
      <c r="H138" s="15"/>
      <c r="I138" s="15"/>
      <c r="J138" s="15"/>
      <c r="K138" s="17"/>
      <c r="L138" s="12">
        <f t="shared" si="5"/>
        <v>0</v>
      </c>
    </row>
    <row r="139" spans="2:12">
      <c r="B139" s="14"/>
      <c r="C139" s="16"/>
      <c r="D139" s="16"/>
      <c r="E139" s="16"/>
      <c r="F139" s="11"/>
      <c r="G139" s="14"/>
      <c r="H139" s="15"/>
      <c r="I139" s="15"/>
      <c r="J139" s="15"/>
      <c r="K139" s="17"/>
      <c r="L139" s="12">
        <f t="shared" si="5"/>
        <v>0</v>
      </c>
    </row>
    <row r="140" spans="2:12">
      <c r="B140" s="14"/>
      <c r="C140" s="16"/>
      <c r="D140" s="16"/>
      <c r="E140" s="16"/>
      <c r="F140" s="11"/>
      <c r="G140" s="14"/>
      <c r="H140" s="15"/>
      <c r="I140" s="15"/>
      <c r="J140" s="15"/>
      <c r="K140" s="15"/>
      <c r="L140" s="12">
        <f t="shared" si="5"/>
        <v>0</v>
      </c>
    </row>
    <row r="141" spans="2:12">
      <c r="B141" s="14"/>
      <c r="C141" s="16"/>
      <c r="D141" s="16"/>
      <c r="E141" s="16"/>
      <c r="F141" s="11"/>
      <c r="G141" s="14"/>
      <c r="H141" s="15"/>
      <c r="I141" s="15"/>
      <c r="J141" s="15"/>
      <c r="K141" s="15"/>
      <c r="L141" s="12">
        <f t="shared" si="5"/>
        <v>0</v>
      </c>
    </row>
    <row r="142" spans="2:12">
      <c r="B142" s="14"/>
      <c r="C142" s="16"/>
      <c r="D142" s="16"/>
      <c r="E142" s="16"/>
      <c r="F142" s="11"/>
      <c r="G142" s="14"/>
      <c r="H142" s="15"/>
      <c r="I142" s="15"/>
      <c r="J142" s="15"/>
      <c r="K142" s="15"/>
      <c r="L142" s="12">
        <f t="shared" si="5"/>
        <v>0</v>
      </c>
    </row>
    <row r="143" spans="2:12">
      <c r="B143" s="14"/>
      <c r="C143" s="16"/>
      <c r="D143" s="16"/>
      <c r="E143" s="16"/>
      <c r="F143" s="11"/>
      <c r="G143" s="14"/>
      <c r="H143" s="15"/>
      <c r="I143" s="15"/>
      <c r="J143" s="15"/>
      <c r="K143" s="15"/>
      <c r="L143" s="12">
        <f t="shared" si="5"/>
        <v>0</v>
      </c>
    </row>
    <row r="144" spans="2:12">
      <c r="B144" s="14"/>
      <c r="C144" s="16"/>
      <c r="D144" s="16"/>
      <c r="E144" s="16"/>
      <c r="F144" s="11"/>
      <c r="G144" s="14"/>
      <c r="H144" s="15"/>
      <c r="I144" s="15"/>
      <c r="J144" s="15"/>
      <c r="K144" s="15"/>
      <c r="L144" s="12">
        <f t="shared" si="5"/>
        <v>0</v>
      </c>
    </row>
    <row r="145" spans="2:12">
      <c r="B145" s="14"/>
      <c r="C145" s="16"/>
      <c r="D145" s="16"/>
      <c r="E145" s="16"/>
      <c r="F145" s="11"/>
      <c r="G145" s="14"/>
      <c r="H145" s="15"/>
      <c r="I145" s="15"/>
      <c r="J145" s="15"/>
      <c r="K145" s="15"/>
      <c r="L145" s="12">
        <f t="shared" si="5"/>
        <v>0</v>
      </c>
    </row>
    <row r="146" spans="2:12">
      <c r="B146" s="14"/>
      <c r="C146" s="16"/>
      <c r="D146" s="16"/>
      <c r="E146" s="16"/>
      <c r="F146" s="11"/>
      <c r="G146" s="14"/>
      <c r="H146" s="15"/>
      <c r="I146" s="15"/>
      <c r="J146" s="15"/>
      <c r="K146" s="15"/>
      <c r="L146" s="12">
        <f t="shared" si="5"/>
        <v>0</v>
      </c>
    </row>
    <row r="147" spans="2:12">
      <c r="B147" s="14"/>
      <c r="C147" s="16"/>
      <c r="D147" s="16"/>
      <c r="E147" s="16"/>
      <c r="F147" s="11"/>
      <c r="G147" s="14"/>
      <c r="H147" s="15"/>
      <c r="I147" s="15"/>
      <c r="J147" s="15"/>
      <c r="K147" s="15"/>
      <c r="L147" s="12">
        <f t="shared" si="5"/>
        <v>0</v>
      </c>
    </row>
    <row r="148" spans="2:12">
      <c r="B148" s="14"/>
      <c r="C148" s="16"/>
      <c r="D148" s="16"/>
      <c r="E148" s="16"/>
      <c r="F148" s="11"/>
      <c r="G148" s="14"/>
      <c r="H148" s="15"/>
      <c r="I148" s="15"/>
      <c r="J148" s="15"/>
      <c r="K148" s="15"/>
      <c r="L148" s="12">
        <f t="shared" ref="L148:L211" si="6">+K148-H148</f>
        <v>0</v>
      </c>
    </row>
    <row r="149" spans="2:12">
      <c r="B149" s="14"/>
      <c r="C149" s="16"/>
      <c r="D149" s="16"/>
      <c r="E149" s="16"/>
      <c r="F149" s="11"/>
      <c r="G149" s="14"/>
      <c r="H149" s="15"/>
      <c r="I149" s="15"/>
      <c r="J149" s="15"/>
      <c r="K149" s="15"/>
      <c r="L149" s="12">
        <f t="shared" si="6"/>
        <v>0</v>
      </c>
    </row>
    <row r="150" spans="2:12">
      <c r="B150" s="14"/>
      <c r="C150" s="16"/>
      <c r="D150" s="16"/>
      <c r="E150" s="16"/>
      <c r="F150" s="11"/>
      <c r="G150" s="14"/>
      <c r="H150" s="15"/>
      <c r="I150" s="15"/>
      <c r="J150" s="15"/>
      <c r="K150" s="15"/>
      <c r="L150" s="12">
        <f t="shared" si="6"/>
        <v>0</v>
      </c>
    </row>
    <row r="151" spans="2:12">
      <c r="B151" s="14"/>
      <c r="C151" s="16"/>
      <c r="D151" s="16"/>
      <c r="E151" s="16"/>
      <c r="F151" s="11"/>
      <c r="G151" s="14"/>
      <c r="H151" s="15"/>
      <c r="I151" s="15"/>
      <c r="J151" s="15"/>
      <c r="K151" s="15"/>
      <c r="L151" s="12">
        <f t="shared" si="6"/>
        <v>0</v>
      </c>
    </row>
    <row r="152" spans="2:12">
      <c r="B152" s="14"/>
      <c r="C152" s="16"/>
      <c r="D152" s="16"/>
      <c r="E152" s="16"/>
      <c r="F152" s="11"/>
      <c r="G152" s="14"/>
      <c r="H152" s="15"/>
      <c r="I152" s="15"/>
      <c r="J152" s="15"/>
      <c r="K152" s="15"/>
      <c r="L152" s="12">
        <f t="shared" si="6"/>
        <v>0</v>
      </c>
    </row>
    <row r="153" spans="2:12">
      <c r="B153" s="14"/>
      <c r="C153" s="16"/>
      <c r="D153" s="16"/>
      <c r="E153" s="16"/>
      <c r="F153" s="11"/>
      <c r="G153" s="14"/>
      <c r="H153" s="15"/>
      <c r="I153" s="15"/>
      <c r="J153" s="15"/>
      <c r="K153" s="15"/>
      <c r="L153" s="12">
        <f t="shared" si="6"/>
        <v>0</v>
      </c>
    </row>
    <row r="154" spans="2:12">
      <c r="B154" s="14"/>
      <c r="C154" s="16"/>
      <c r="D154" s="16"/>
      <c r="E154" s="16"/>
      <c r="F154" s="11"/>
      <c r="G154" s="14"/>
      <c r="H154" s="15"/>
      <c r="I154" s="15"/>
      <c r="J154" s="15"/>
      <c r="K154" s="15"/>
      <c r="L154" s="12">
        <f t="shared" si="6"/>
        <v>0</v>
      </c>
    </row>
    <row r="155" spans="2:12">
      <c r="B155" s="14"/>
      <c r="C155" s="16"/>
      <c r="D155" s="16"/>
      <c r="E155" s="16"/>
      <c r="F155" s="11"/>
      <c r="G155" s="14"/>
      <c r="H155" s="15"/>
      <c r="I155" s="15"/>
      <c r="J155" s="15"/>
      <c r="K155" s="15"/>
      <c r="L155" s="12">
        <f t="shared" si="6"/>
        <v>0</v>
      </c>
    </row>
    <row r="156" spans="2:12">
      <c r="B156" s="14"/>
      <c r="C156" s="16"/>
      <c r="D156" s="16"/>
      <c r="E156" s="16"/>
      <c r="F156" s="11"/>
      <c r="G156" s="14"/>
      <c r="H156" s="15"/>
      <c r="I156" s="15"/>
      <c r="J156" s="15"/>
      <c r="K156" s="15"/>
      <c r="L156" s="12">
        <f t="shared" si="6"/>
        <v>0</v>
      </c>
    </row>
    <row r="157" spans="2:12">
      <c r="B157" s="14"/>
      <c r="C157" s="16"/>
      <c r="D157" s="16"/>
      <c r="E157" s="16"/>
      <c r="F157" s="11"/>
      <c r="G157" s="14"/>
      <c r="H157" s="15"/>
      <c r="I157" s="15"/>
      <c r="J157" s="15"/>
      <c r="K157" s="15"/>
      <c r="L157" s="12">
        <f t="shared" si="6"/>
        <v>0</v>
      </c>
    </row>
    <row r="158" spans="2:12">
      <c r="B158" s="14"/>
      <c r="C158" s="16"/>
      <c r="D158" s="16"/>
      <c r="E158" s="16"/>
      <c r="F158" s="11"/>
      <c r="G158" s="14"/>
      <c r="H158" s="15"/>
      <c r="I158" s="15"/>
      <c r="J158" s="15"/>
      <c r="K158" s="15"/>
      <c r="L158" s="12">
        <f t="shared" si="6"/>
        <v>0</v>
      </c>
    </row>
    <row r="159" spans="2:12">
      <c r="B159" s="14"/>
      <c r="C159" s="16"/>
      <c r="D159" s="16"/>
      <c r="E159" s="16"/>
      <c r="F159" s="11"/>
      <c r="G159" s="14"/>
      <c r="H159" s="15"/>
      <c r="I159" s="15"/>
      <c r="J159" s="15"/>
      <c r="K159" s="15"/>
      <c r="L159" s="12">
        <f t="shared" si="6"/>
        <v>0</v>
      </c>
    </row>
    <row r="160" spans="2:12">
      <c r="B160" s="14"/>
      <c r="C160" s="16"/>
      <c r="D160" s="16"/>
      <c r="E160" s="16"/>
      <c r="F160" s="11"/>
      <c r="G160" s="14"/>
      <c r="H160" s="15"/>
      <c r="I160" s="15"/>
      <c r="J160" s="15"/>
      <c r="K160" s="15"/>
      <c r="L160" s="12">
        <f t="shared" si="6"/>
        <v>0</v>
      </c>
    </row>
    <row r="161" spans="2:12">
      <c r="B161" s="14"/>
      <c r="C161" s="16"/>
      <c r="D161" s="16"/>
      <c r="E161" s="16"/>
      <c r="F161" s="11"/>
      <c r="G161" s="14"/>
      <c r="H161" s="15"/>
      <c r="I161" s="15"/>
      <c r="J161" s="15"/>
      <c r="K161" s="15"/>
      <c r="L161" s="12">
        <f t="shared" si="6"/>
        <v>0</v>
      </c>
    </row>
    <row r="162" spans="2:12">
      <c r="B162" s="14"/>
      <c r="C162" s="16"/>
      <c r="D162" s="16"/>
      <c r="E162" s="16"/>
      <c r="F162" s="11"/>
      <c r="G162" s="14"/>
      <c r="H162" s="15"/>
      <c r="I162" s="15"/>
      <c r="J162" s="15"/>
      <c r="K162" s="15"/>
      <c r="L162" s="12">
        <f t="shared" si="6"/>
        <v>0</v>
      </c>
    </row>
    <row r="163" spans="2:12">
      <c r="B163" s="14"/>
      <c r="C163" s="16"/>
      <c r="D163" s="16"/>
      <c r="E163" s="16"/>
      <c r="F163" s="11"/>
      <c r="G163" s="14"/>
      <c r="H163" s="15"/>
      <c r="I163" s="15"/>
      <c r="J163" s="15"/>
      <c r="K163" s="15"/>
      <c r="L163" s="12">
        <f t="shared" si="6"/>
        <v>0</v>
      </c>
    </row>
    <row r="164" spans="2:12">
      <c r="B164" s="14"/>
      <c r="C164" s="16"/>
      <c r="D164" s="16"/>
      <c r="E164" s="16"/>
      <c r="F164" s="11"/>
      <c r="G164" s="14"/>
      <c r="H164" s="15"/>
      <c r="I164" s="15"/>
      <c r="J164" s="15"/>
      <c r="K164" s="15"/>
      <c r="L164" s="12">
        <f t="shared" si="6"/>
        <v>0</v>
      </c>
    </row>
    <row r="165" spans="2:12">
      <c r="B165" s="14"/>
      <c r="C165" s="16"/>
      <c r="D165" s="16"/>
      <c r="E165" s="16"/>
      <c r="F165" s="11"/>
      <c r="G165" s="14"/>
      <c r="H165" s="15"/>
      <c r="I165" s="15"/>
      <c r="J165" s="15"/>
      <c r="K165" s="15"/>
      <c r="L165" s="12">
        <f t="shared" si="6"/>
        <v>0</v>
      </c>
    </row>
    <row r="166" spans="2:12">
      <c r="B166" s="14"/>
      <c r="C166" s="16"/>
      <c r="D166" s="16"/>
      <c r="E166" s="16"/>
      <c r="F166" s="11"/>
      <c r="G166" s="14"/>
      <c r="H166" s="15"/>
      <c r="I166" s="15"/>
      <c r="J166" s="15"/>
      <c r="K166" s="15"/>
      <c r="L166" s="12">
        <f t="shared" si="6"/>
        <v>0</v>
      </c>
    </row>
    <row r="167" spans="2:12">
      <c r="B167" s="14"/>
      <c r="C167" s="16"/>
      <c r="D167" s="16"/>
      <c r="E167" s="16"/>
      <c r="F167" s="11"/>
      <c r="G167" s="14"/>
      <c r="H167" s="15"/>
      <c r="I167" s="15"/>
      <c r="J167" s="15"/>
      <c r="K167" s="15"/>
      <c r="L167" s="12">
        <f t="shared" si="6"/>
        <v>0</v>
      </c>
    </row>
    <row r="168" spans="2:12">
      <c r="B168" s="14"/>
      <c r="C168" s="16"/>
      <c r="D168" s="16"/>
      <c r="E168" s="16"/>
      <c r="F168" s="11"/>
      <c r="G168" s="14"/>
      <c r="H168" s="15"/>
      <c r="I168" s="15"/>
      <c r="J168" s="15"/>
      <c r="K168" s="15"/>
      <c r="L168" s="12">
        <f t="shared" si="6"/>
        <v>0</v>
      </c>
    </row>
    <row r="169" spans="2:12">
      <c r="B169" s="14"/>
      <c r="C169" s="16"/>
      <c r="D169" s="16"/>
      <c r="E169" s="16"/>
      <c r="F169" s="11"/>
      <c r="G169" s="14"/>
      <c r="H169" s="15"/>
      <c r="I169" s="15"/>
      <c r="J169" s="15"/>
      <c r="K169" s="15"/>
      <c r="L169" s="12">
        <f t="shared" si="6"/>
        <v>0</v>
      </c>
    </row>
    <row r="170" spans="2:12">
      <c r="B170" s="14"/>
      <c r="C170" s="16"/>
      <c r="D170" s="16"/>
      <c r="E170" s="16"/>
      <c r="F170" s="11"/>
      <c r="G170" s="14"/>
      <c r="H170" s="15"/>
      <c r="I170" s="15"/>
      <c r="J170" s="15"/>
      <c r="K170" s="15"/>
      <c r="L170" s="12">
        <f t="shared" si="6"/>
        <v>0</v>
      </c>
    </row>
    <row r="171" spans="2:12">
      <c r="B171" s="14"/>
      <c r="C171" s="16"/>
      <c r="D171" s="16"/>
      <c r="E171" s="16"/>
      <c r="F171" s="11"/>
      <c r="G171" s="14"/>
      <c r="H171" s="15"/>
      <c r="I171" s="15"/>
      <c r="J171" s="15"/>
      <c r="K171" s="15"/>
      <c r="L171" s="12">
        <f t="shared" si="6"/>
        <v>0</v>
      </c>
    </row>
    <row r="172" spans="2:12">
      <c r="B172" s="14"/>
      <c r="C172" s="16"/>
      <c r="D172" s="16"/>
      <c r="E172" s="16"/>
      <c r="F172" s="11"/>
      <c r="G172" s="14"/>
      <c r="H172" s="15"/>
      <c r="I172" s="15"/>
      <c r="J172" s="15"/>
      <c r="K172" s="15"/>
      <c r="L172" s="12">
        <f t="shared" si="6"/>
        <v>0</v>
      </c>
    </row>
    <row r="173" spans="2:12">
      <c r="B173" s="14"/>
      <c r="C173" s="16"/>
      <c r="D173" s="16"/>
      <c r="E173" s="16"/>
      <c r="F173" s="11"/>
      <c r="G173" s="14"/>
      <c r="H173" s="15"/>
      <c r="I173" s="15"/>
      <c r="J173" s="15"/>
      <c r="K173" s="15"/>
      <c r="L173" s="12">
        <f t="shared" si="6"/>
        <v>0</v>
      </c>
    </row>
    <row r="174" spans="2:12">
      <c r="B174" s="14"/>
      <c r="C174" s="16"/>
      <c r="D174" s="16"/>
      <c r="E174" s="16"/>
      <c r="F174" s="11"/>
      <c r="G174" s="14"/>
      <c r="H174" s="15"/>
      <c r="I174" s="15"/>
      <c r="J174" s="15"/>
      <c r="K174" s="15"/>
      <c r="L174" s="12">
        <f t="shared" si="6"/>
        <v>0</v>
      </c>
    </row>
    <row r="175" spans="2:12">
      <c r="B175" s="14"/>
      <c r="C175" s="16"/>
      <c r="D175" s="16"/>
      <c r="E175" s="16"/>
      <c r="F175" s="11"/>
      <c r="G175" s="14"/>
      <c r="H175" s="15"/>
      <c r="I175" s="15"/>
      <c r="J175" s="15"/>
      <c r="K175" s="15"/>
      <c r="L175" s="12">
        <f t="shared" si="6"/>
        <v>0</v>
      </c>
    </row>
    <row r="176" spans="2:12">
      <c r="B176" s="14"/>
      <c r="C176" s="16"/>
      <c r="D176" s="16"/>
      <c r="E176" s="16"/>
      <c r="F176" s="11"/>
      <c r="G176" s="14"/>
      <c r="H176" s="15"/>
      <c r="I176" s="15"/>
      <c r="J176" s="15"/>
      <c r="K176" s="15"/>
      <c r="L176" s="12">
        <f t="shared" si="6"/>
        <v>0</v>
      </c>
    </row>
    <row r="177" spans="2:12">
      <c r="B177" s="14"/>
      <c r="C177" s="16"/>
      <c r="D177" s="16"/>
      <c r="E177" s="16"/>
      <c r="F177" s="11"/>
      <c r="G177" s="14"/>
      <c r="H177" s="15"/>
      <c r="I177" s="15"/>
      <c r="J177" s="15"/>
      <c r="K177" s="15"/>
      <c r="L177" s="12">
        <f t="shared" si="6"/>
        <v>0</v>
      </c>
    </row>
    <row r="178" spans="2:12">
      <c r="B178" s="14"/>
      <c r="C178" s="16"/>
      <c r="D178" s="16"/>
      <c r="E178" s="16"/>
      <c r="F178" s="11"/>
      <c r="G178" s="14"/>
      <c r="H178" s="15"/>
      <c r="I178" s="15"/>
      <c r="J178" s="15"/>
      <c r="K178" s="15"/>
      <c r="L178" s="12">
        <f t="shared" si="6"/>
        <v>0</v>
      </c>
    </row>
    <row r="179" spans="2:12">
      <c r="B179" s="14"/>
      <c r="C179" s="16"/>
      <c r="D179" s="16"/>
      <c r="E179" s="16"/>
      <c r="F179" s="11"/>
      <c r="G179" s="14"/>
      <c r="H179" s="15"/>
      <c r="I179" s="15"/>
      <c r="J179" s="15"/>
      <c r="K179" s="15"/>
      <c r="L179" s="12">
        <f t="shared" si="6"/>
        <v>0</v>
      </c>
    </row>
    <row r="180" spans="2:12">
      <c r="B180" s="14"/>
      <c r="C180" s="16"/>
      <c r="D180" s="16"/>
      <c r="E180" s="16"/>
      <c r="F180" s="11"/>
      <c r="G180" s="14"/>
      <c r="H180" s="15"/>
      <c r="I180" s="15"/>
      <c r="J180" s="15"/>
      <c r="K180" s="15"/>
      <c r="L180" s="12">
        <f t="shared" si="6"/>
        <v>0</v>
      </c>
    </row>
    <row r="181" spans="2:12">
      <c r="B181" s="14"/>
      <c r="C181" s="16"/>
      <c r="D181" s="16"/>
      <c r="E181" s="16"/>
      <c r="F181" s="11"/>
      <c r="G181" s="14"/>
      <c r="H181" s="15"/>
      <c r="I181" s="15"/>
      <c r="J181" s="15"/>
      <c r="K181" s="15"/>
      <c r="L181" s="12">
        <f t="shared" si="6"/>
        <v>0</v>
      </c>
    </row>
    <row r="182" spans="2:12">
      <c r="B182" s="14"/>
      <c r="C182" s="16"/>
      <c r="D182" s="16"/>
      <c r="E182" s="16"/>
      <c r="F182" s="11"/>
      <c r="G182" s="14"/>
      <c r="H182" s="15"/>
      <c r="I182" s="15"/>
      <c r="J182" s="15"/>
      <c r="K182" s="15"/>
      <c r="L182" s="12">
        <f t="shared" si="6"/>
        <v>0</v>
      </c>
    </row>
    <row r="183" spans="2:12">
      <c r="B183" s="14"/>
      <c r="C183" s="16"/>
      <c r="D183" s="16"/>
      <c r="E183" s="16"/>
      <c r="F183" s="11"/>
      <c r="G183" s="14"/>
      <c r="H183" s="15"/>
      <c r="I183" s="15"/>
      <c r="J183" s="15"/>
      <c r="K183" s="15"/>
      <c r="L183" s="12">
        <f t="shared" si="6"/>
        <v>0</v>
      </c>
    </row>
    <row r="184" spans="2:12">
      <c r="B184" s="14"/>
      <c r="C184" s="16"/>
      <c r="D184" s="16"/>
      <c r="E184" s="16"/>
      <c r="F184" s="11"/>
      <c r="G184" s="14"/>
      <c r="H184" s="15"/>
      <c r="I184" s="15"/>
      <c r="J184" s="15"/>
      <c r="K184" s="15"/>
      <c r="L184" s="12">
        <f t="shared" si="6"/>
        <v>0</v>
      </c>
    </row>
    <row r="185" spans="2:12">
      <c r="B185" s="14"/>
      <c r="C185" s="16"/>
      <c r="D185" s="16"/>
      <c r="E185" s="16"/>
      <c r="F185" s="11"/>
      <c r="G185" s="14"/>
      <c r="H185" s="15"/>
      <c r="I185" s="15"/>
      <c r="J185" s="15"/>
      <c r="K185" s="15"/>
      <c r="L185" s="12">
        <f t="shared" si="6"/>
        <v>0</v>
      </c>
    </row>
    <row r="186" spans="2:12">
      <c r="B186" s="14"/>
      <c r="C186" s="16"/>
      <c r="D186" s="16"/>
      <c r="E186" s="16"/>
      <c r="F186" s="11"/>
      <c r="G186" s="14"/>
      <c r="H186" s="15"/>
      <c r="I186" s="15"/>
      <c r="J186" s="15"/>
      <c r="K186" s="15"/>
      <c r="L186" s="12">
        <f t="shared" si="6"/>
        <v>0</v>
      </c>
    </row>
    <row r="187" spans="2:12">
      <c r="B187" s="14"/>
      <c r="C187" s="16"/>
      <c r="D187" s="16"/>
      <c r="E187" s="16"/>
      <c r="F187" s="11"/>
      <c r="G187" s="14"/>
      <c r="H187" s="15"/>
      <c r="I187" s="15"/>
      <c r="J187" s="15"/>
      <c r="K187" s="15"/>
      <c r="L187" s="12">
        <f t="shared" si="6"/>
        <v>0</v>
      </c>
    </row>
    <row r="188" spans="2:12">
      <c r="B188" s="14"/>
      <c r="C188" s="16"/>
      <c r="D188" s="16"/>
      <c r="E188" s="16"/>
      <c r="F188" s="11"/>
      <c r="G188" s="14"/>
      <c r="H188" s="15"/>
      <c r="I188" s="15"/>
      <c r="J188" s="15"/>
      <c r="K188" s="15"/>
      <c r="L188" s="12">
        <f t="shared" si="6"/>
        <v>0</v>
      </c>
    </row>
    <row r="189" spans="2:12">
      <c r="B189" s="14"/>
      <c r="C189" s="16"/>
      <c r="D189" s="16"/>
      <c r="E189" s="16"/>
      <c r="F189" s="11"/>
      <c r="G189" s="14"/>
      <c r="H189" s="15"/>
      <c r="I189" s="15"/>
      <c r="J189" s="15"/>
      <c r="K189" s="15"/>
      <c r="L189" s="12">
        <f t="shared" si="6"/>
        <v>0</v>
      </c>
    </row>
    <row r="190" spans="2:12">
      <c r="B190" s="14"/>
      <c r="C190" s="16"/>
      <c r="D190" s="16"/>
      <c r="E190" s="16"/>
      <c r="F190" s="11"/>
      <c r="G190" s="14"/>
      <c r="H190" s="15"/>
      <c r="I190" s="15"/>
      <c r="J190" s="15"/>
      <c r="K190" s="15"/>
      <c r="L190" s="12">
        <f t="shared" si="6"/>
        <v>0</v>
      </c>
    </row>
    <row r="191" spans="2:12">
      <c r="B191" s="14"/>
      <c r="C191" s="16"/>
      <c r="D191" s="16"/>
      <c r="E191" s="16"/>
      <c r="F191" s="11"/>
      <c r="G191" s="14"/>
      <c r="H191" s="15"/>
      <c r="I191" s="15"/>
      <c r="J191" s="15"/>
      <c r="K191" s="15"/>
      <c r="L191" s="12">
        <f t="shared" si="6"/>
        <v>0</v>
      </c>
    </row>
    <row r="192" spans="2:12">
      <c r="B192" s="14"/>
      <c r="C192" s="16"/>
      <c r="D192" s="16"/>
      <c r="E192" s="16"/>
      <c r="F192" s="11"/>
      <c r="G192" s="14"/>
      <c r="H192" s="15"/>
      <c r="I192" s="15"/>
      <c r="J192" s="15"/>
      <c r="K192" s="15"/>
      <c r="L192" s="12">
        <f t="shared" si="6"/>
        <v>0</v>
      </c>
    </row>
    <row r="193" spans="2:12">
      <c r="B193" s="14"/>
      <c r="C193" s="16"/>
      <c r="D193" s="16"/>
      <c r="E193" s="16"/>
      <c r="F193" s="11"/>
      <c r="G193" s="14"/>
      <c r="H193" s="15"/>
      <c r="I193" s="15"/>
      <c r="J193" s="15"/>
      <c r="K193" s="15"/>
      <c r="L193" s="12">
        <f t="shared" si="6"/>
        <v>0</v>
      </c>
    </row>
    <row r="194" spans="2:12">
      <c r="B194" s="14"/>
      <c r="C194" s="16"/>
      <c r="D194" s="16"/>
      <c r="E194" s="16"/>
      <c r="F194" s="11"/>
      <c r="G194" s="14"/>
      <c r="H194" s="15"/>
      <c r="I194" s="15"/>
      <c r="J194" s="15"/>
      <c r="K194" s="15"/>
      <c r="L194" s="12">
        <f t="shared" si="6"/>
        <v>0</v>
      </c>
    </row>
    <row r="195" spans="2:12">
      <c r="B195" s="14"/>
      <c r="C195" s="16"/>
      <c r="D195" s="16"/>
      <c r="E195" s="16"/>
      <c r="F195" s="11"/>
      <c r="G195" s="14"/>
      <c r="H195" s="15"/>
      <c r="I195" s="15"/>
      <c r="J195" s="15"/>
      <c r="K195" s="15"/>
      <c r="L195" s="12">
        <f t="shared" si="6"/>
        <v>0</v>
      </c>
    </row>
    <row r="196" spans="2:12">
      <c r="B196" s="14"/>
      <c r="C196" s="16"/>
      <c r="D196" s="16"/>
      <c r="E196" s="16"/>
      <c r="F196" s="11"/>
      <c r="G196" s="14"/>
      <c r="H196" s="15"/>
      <c r="I196" s="15"/>
      <c r="J196" s="15"/>
      <c r="K196" s="15"/>
      <c r="L196" s="12">
        <f t="shared" si="6"/>
        <v>0</v>
      </c>
    </row>
    <row r="197" spans="2:12">
      <c r="B197" s="14"/>
      <c r="C197" s="16"/>
      <c r="D197" s="16"/>
      <c r="E197" s="16"/>
      <c r="F197" s="11"/>
      <c r="G197" s="14"/>
      <c r="H197" s="15"/>
      <c r="I197" s="15"/>
      <c r="J197" s="15"/>
      <c r="K197" s="15"/>
      <c r="L197" s="12">
        <f t="shared" si="6"/>
        <v>0</v>
      </c>
    </row>
    <row r="198" spans="2:12">
      <c r="B198" s="14"/>
      <c r="C198" s="16"/>
      <c r="D198" s="16"/>
      <c r="E198" s="16"/>
      <c r="F198" s="11"/>
      <c r="G198" s="14"/>
      <c r="H198" s="15"/>
      <c r="I198" s="15"/>
      <c r="J198" s="15"/>
      <c r="K198" s="15"/>
      <c r="L198" s="12">
        <f t="shared" si="6"/>
        <v>0</v>
      </c>
    </row>
    <row r="199" spans="2:12">
      <c r="B199" s="14"/>
      <c r="C199" s="16"/>
      <c r="D199" s="16"/>
      <c r="E199" s="16"/>
      <c r="F199" s="11"/>
      <c r="G199" s="14"/>
      <c r="H199" s="15"/>
      <c r="I199" s="15"/>
      <c r="J199" s="15"/>
      <c r="K199" s="15"/>
      <c r="L199" s="12">
        <f t="shared" si="6"/>
        <v>0</v>
      </c>
    </row>
    <row r="200" spans="2:12">
      <c r="B200" s="14"/>
      <c r="C200" s="16"/>
      <c r="D200" s="16"/>
      <c r="E200" s="16"/>
      <c r="F200" s="11"/>
      <c r="G200" s="14"/>
      <c r="H200" s="15"/>
      <c r="I200" s="15"/>
      <c r="J200" s="15"/>
      <c r="K200" s="15"/>
      <c r="L200" s="12">
        <f t="shared" si="6"/>
        <v>0</v>
      </c>
    </row>
    <row r="201" spans="2:12">
      <c r="B201" s="14"/>
      <c r="C201" s="16"/>
      <c r="D201" s="16"/>
      <c r="E201" s="16"/>
      <c r="F201" s="11"/>
      <c r="G201" s="14"/>
      <c r="H201" s="15"/>
      <c r="I201" s="15"/>
      <c r="J201" s="15"/>
      <c r="K201" s="15"/>
      <c r="L201" s="12">
        <f t="shared" si="6"/>
        <v>0</v>
      </c>
    </row>
    <row r="202" spans="2:12">
      <c r="B202" s="14"/>
      <c r="C202" s="16"/>
      <c r="D202" s="16"/>
      <c r="E202" s="16"/>
      <c r="F202" s="11"/>
      <c r="G202" s="14"/>
      <c r="H202" s="15"/>
      <c r="I202" s="15"/>
      <c r="J202" s="15"/>
      <c r="K202" s="15"/>
      <c r="L202" s="12">
        <f t="shared" si="6"/>
        <v>0</v>
      </c>
    </row>
    <row r="203" spans="2:12">
      <c r="B203" s="14"/>
      <c r="C203" s="16"/>
      <c r="D203" s="16"/>
      <c r="E203" s="16"/>
      <c r="F203" s="11"/>
      <c r="G203" s="14"/>
      <c r="H203" s="15"/>
      <c r="I203" s="15"/>
      <c r="J203" s="15"/>
      <c r="K203" s="15"/>
      <c r="L203" s="12">
        <f t="shared" si="6"/>
        <v>0</v>
      </c>
    </row>
    <row r="204" spans="2:12">
      <c r="B204" s="14"/>
      <c r="C204" s="16"/>
      <c r="D204" s="16"/>
      <c r="E204" s="16"/>
      <c r="F204" s="11"/>
      <c r="G204" s="14"/>
      <c r="H204" s="15"/>
      <c r="I204" s="15"/>
      <c r="J204" s="15"/>
      <c r="K204" s="15"/>
      <c r="L204" s="12">
        <f t="shared" si="6"/>
        <v>0</v>
      </c>
    </row>
    <row r="205" spans="2:12">
      <c r="B205" s="14"/>
      <c r="C205" s="16"/>
      <c r="D205" s="16"/>
      <c r="E205" s="16"/>
      <c r="F205" s="11"/>
      <c r="G205" s="14"/>
      <c r="H205" s="15"/>
      <c r="I205" s="15"/>
      <c r="J205" s="15"/>
      <c r="K205" s="15"/>
      <c r="L205" s="12">
        <f t="shared" si="6"/>
        <v>0</v>
      </c>
    </row>
    <row r="206" spans="2:12">
      <c r="B206" s="14"/>
      <c r="C206" s="16"/>
      <c r="D206" s="16"/>
      <c r="E206" s="16"/>
      <c r="F206" s="11"/>
      <c r="G206" s="14"/>
      <c r="H206" s="15"/>
      <c r="I206" s="15"/>
      <c r="J206" s="15"/>
      <c r="K206" s="15"/>
      <c r="L206" s="12">
        <f t="shared" si="6"/>
        <v>0</v>
      </c>
    </row>
    <row r="207" spans="2:12">
      <c r="B207" s="14"/>
      <c r="C207" s="16"/>
      <c r="D207" s="16"/>
      <c r="E207" s="16"/>
      <c r="F207" s="11"/>
      <c r="G207" s="14"/>
      <c r="H207" s="15"/>
      <c r="I207" s="15"/>
      <c r="J207" s="15"/>
      <c r="K207" s="15"/>
      <c r="L207" s="12">
        <f t="shared" si="6"/>
        <v>0</v>
      </c>
    </row>
    <row r="208" spans="2:12">
      <c r="B208" s="14"/>
      <c r="C208" s="16"/>
      <c r="D208" s="16"/>
      <c r="E208" s="16"/>
      <c r="F208" s="11"/>
      <c r="G208" s="14"/>
      <c r="H208" s="15"/>
      <c r="I208" s="15"/>
      <c r="J208" s="15"/>
      <c r="K208" s="15"/>
      <c r="L208" s="12">
        <f t="shared" si="6"/>
        <v>0</v>
      </c>
    </row>
    <row r="209" spans="2:12">
      <c r="B209" s="14"/>
      <c r="C209" s="16"/>
      <c r="D209" s="16"/>
      <c r="E209" s="16"/>
      <c r="F209" s="11"/>
      <c r="G209" s="14"/>
      <c r="H209" s="15"/>
      <c r="I209" s="15"/>
      <c r="J209" s="15"/>
      <c r="K209" s="15"/>
      <c r="L209" s="12">
        <f t="shared" si="6"/>
        <v>0</v>
      </c>
    </row>
    <row r="210" spans="2:12">
      <c r="B210" s="14"/>
      <c r="C210" s="16"/>
      <c r="D210" s="16"/>
      <c r="E210" s="16"/>
      <c r="F210" s="11"/>
      <c r="G210" s="14"/>
      <c r="H210" s="15"/>
      <c r="I210" s="15"/>
      <c r="J210" s="15"/>
      <c r="K210" s="15"/>
      <c r="L210" s="12">
        <f t="shared" si="6"/>
        <v>0</v>
      </c>
    </row>
    <row r="211" spans="2:12">
      <c r="B211" s="14"/>
      <c r="C211" s="16"/>
      <c r="D211" s="16"/>
      <c r="E211" s="16"/>
      <c r="F211" s="11"/>
      <c r="G211" s="14"/>
      <c r="H211" s="15"/>
      <c r="I211" s="15"/>
      <c r="J211" s="15"/>
      <c r="K211" s="15"/>
      <c r="L211" s="12">
        <f t="shared" si="6"/>
        <v>0</v>
      </c>
    </row>
    <row r="212" spans="2:12">
      <c r="B212" s="14"/>
      <c r="C212" s="16"/>
      <c r="D212" s="16"/>
      <c r="E212" s="16"/>
      <c r="F212" s="11"/>
      <c r="G212" s="14"/>
      <c r="H212" s="15"/>
      <c r="I212" s="15"/>
      <c r="J212" s="15"/>
      <c r="K212" s="15"/>
      <c r="L212" s="12">
        <f t="shared" ref="L212:L275" si="7">+K212-H212</f>
        <v>0</v>
      </c>
    </row>
    <row r="213" spans="2:12">
      <c r="B213" s="14"/>
      <c r="C213" s="16"/>
      <c r="D213" s="16"/>
      <c r="E213" s="16"/>
      <c r="F213" s="11"/>
      <c r="G213" s="14"/>
      <c r="H213" s="15"/>
      <c r="I213" s="15"/>
      <c r="J213" s="15"/>
      <c r="K213" s="15"/>
      <c r="L213" s="12">
        <f t="shared" si="7"/>
        <v>0</v>
      </c>
    </row>
    <row r="214" spans="2:12">
      <c r="B214" s="14"/>
      <c r="C214" s="16"/>
      <c r="D214" s="16"/>
      <c r="E214" s="16"/>
      <c r="F214" s="11"/>
      <c r="G214" s="14"/>
      <c r="H214" s="15"/>
      <c r="I214" s="15"/>
      <c r="J214" s="15"/>
      <c r="K214" s="15"/>
      <c r="L214" s="12">
        <f t="shared" si="7"/>
        <v>0</v>
      </c>
    </row>
    <row r="215" spans="2:12">
      <c r="B215" s="14"/>
      <c r="C215" s="16"/>
      <c r="D215" s="16"/>
      <c r="E215" s="16"/>
      <c r="F215" s="11"/>
      <c r="G215" s="14"/>
      <c r="H215" s="15"/>
      <c r="I215" s="15"/>
      <c r="J215" s="15"/>
      <c r="K215" s="15"/>
      <c r="L215" s="12">
        <f t="shared" si="7"/>
        <v>0</v>
      </c>
    </row>
    <row r="216" spans="2:12">
      <c r="B216" s="14"/>
      <c r="C216" s="16"/>
      <c r="D216" s="16"/>
      <c r="E216" s="16"/>
      <c r="F216" s="11"/>
      <c r="G216" s="14"/>
      <c r="H216" s="15"/>
      <c r="I216" s="15"/>
      <c r="J216" s="15"/>
      <c r="K216" s="15"/>
      <c r="L216" s="12">
        <f t="shared" si="7"/>
        <v>0</v>
      </c>
    </row>
    <row r="217" spans="2:12">
      <c r="B217" s="14"/>
      <c r="C217" s="16"/>
      <c r="D217" s="16"/>
      <c r="E217" s="16"/>
      <c r="F217" s="11"/>
      <c r="G217" s="14"/>
      <c r="H217" s="15"/>
      <c r="I217" s="15"/>
      <c r="J217" s="15"/>
      <c r="K217" s="15"/>
      <c r="L217" s="12">
        <f t="shared" si="7"/>
        <v>0</v>
      </c>
    </row>
    <row r="218" spans="2:12">
      <c r="B218" s="14"/>
      <c r="C218" s="16"/>
      <c r="D218" s="16"/>
      <c r="E218" s="16"/>
      <c r="F218" s="11"/>
      <c r="G218" s="14"/>
      <c r="H218" s="15"/>
      <c r="I218" s="15"/>
      <c r="J218" s="15"/>
      <c r="K218" s="15"/>
      <c r="L218" s="12">
        <f t="shared" si="7"/>
        <v>0</v>
      </c>
    </row>
    <row r="219" spans="2:12">
      <c r="B219" s="14"/>
      <c r="C219" s="16"/>
      <c r="D219" s="16"/>
      <c r="E219" s="16"/>
      <c r="F219" s="11"/>
      <c r="G219" s="14"/>
      <c r="H219" s="15"/>
      <c r="I219" s="15"/>
      <c r="J219" s="15"/>
      <c r="K219" s="15"/>
      <c r="L219" s="12">
        <f t="shared" si="7"/>
        <v>0</v>
      </c>
    </row>
    <row r="220" spans="2:12">
      <c r="B220" s="14"/>
      <c r="C220" s="16"/>
      <c r="D220" s="16"/>
      <c r="E220" s="16"/>
      <c r="F220" s="11"/>
      <c r="G220" s="14"/>
      <c r="H220" s="15"/>
      <c r="I220" s="15"/>
      <c r="J220" s="15"/>
      <c r="K220" s="15"/>
      <c r="L220" s="12">
        <f t="shared" si="7"/>
        <v>0</v>
      </c>
    </row>
    <row r="221" spans="2:12">
      <c r="B221" s="14"/>
      <c r="C221" s="16"/>
      <c r="D221" s="16"/>
      <c r="E221" s="16"/>
      <c r="F221" s="11"/>
      <c r="G221" s="14"/>
      <c r="H221" s="15"/>
      <c r="I221" s="15"/>
      <c r="J221" s="15"/>
      <c r="K221" s="15"/>
      <c r="L221" s="12">
        <f t="shared" si="7"/>
        <v>0</v>
      </c>
    </row>
    <row r="222" spans="2:12">
      <c r="B222" s="14"/>
      <c r="C222" s="16"/>
      <c r="D222" s="16"/>
      <c r="E222" s="16"/>
      <c r="F222" s="11"/>
      <c r="G222" s="14"/>
      <c r="H222" s="15"/>
      <c r="I222" s="15"/>
      <c r="J222" s="15"/>
      <c r="K222" s="15"/>
      <c r="L222" s="12">
        <f t="shared" si="7"/>
        <v>0</v>
      </c>
    </row>
    <row r="223" spans="2:12">
      <c r="B223" s="14"/>
      <c r="C223" s="16"/>
      <c r="D223" s="16"/>
      <c r="E223" s="16"/>
      <c r="F223" s="11"/>
      <c r="G223" s="14"/>
      <c r="H223" s="15"/>
      <c r="I223" s="15"/>
      <c r="J223" s="15"/>
      <c r="K223" s="15"/>
      <c r="L223" s="12">
        <f t="shared" si="7"/>
        <v>0</v>
      </c>
    </row>
    <row r="224" spans="2:12">
      <c r="B224" s="14"/>
      <c r="C224" s="16"/>
      <c r="D224" s="16"/>
      <c r="E224" s="16"/>
      <c r="F224" s="11"/>
      <c r="G224" s="14"/>
      <c r="H224" s="15"/>
      <c r="I224" s="15"/>
      <c r="J224" s="15"/>
      <c r="K224" s="15"/>
      <c r="L224" s="12">
        <f t="shared" si="7"/>
        <v>0</v>
      </c>
    </row>
    <row r="225" spans="2:12">
      <c r="B225" s="14"/>
      <c r="C225" s="16"/>
      <c r="D225" s="16"/>
      <c r="E225" s="16"/>
      <c r="F225" s="11"/>
      <c r="G225" s="14"/>
      <c r="H225" s="15"/>
      <c r="I225" s="15"/>
      <c r="J225" s="15"/>
      <c r="K225" s="15"/>
      <c r="L225" s="12">
        <f t="shared" si="7"/>
        <v>0</v>
      </c>
    </row>
    <row r="226" spans="2:12">
      <c r="B226" s="14"/>
      <c r="C226" s="16"/>
      <c r="D226" s="16"/>
      <c r="E226" s="16"/>
      <c r="F226" s="11"/>
      <c r="G226" s="14"/>
      <c r="H226" s="15"/>
      <c r="I226" s="15"/>
      <c r="J226" s="15"/>
      <c r="K226" s="15"/>
      <c r="L226" s="12">
        <f t="shared" si="7"/>
        <v>0</v>
      </c>
    </row>
    <row r="227" spans="2:12">
      <c r="B227" s="14"/>
      <c r="C227" s="16"/>
      <c r="D227" s="16"/>
      <c r="E227" s="16"/>
      <c r="F227" s="11"/>
      <c r="G227" s="14"/>
      <c r="H227" s="15"/>
      <c r="I227" s="15"/>
      <c r="J227" s="15"/>
      <c r="K227" s="15"/>
      <c r="L227" s="12">
        <f t="shared" si="7"/>
        <v>0</v>
      </c>
    </row>
    <row r="228" spans="2:12">
      <c r="B228" s="14"/>
      <c r="C228" s="16"/>
      <c r="D228" s="16"/>
      <c r="E228" s="16"/>
      <c r="F228" s="11"/>
      <c r="G228" s="14"/>
      <c r="H228" s="15"/>
      <c r="I228" s="15"/>
      <c r="J228" s="15"/>
      <c r="K228" s="15"/>
      <c r="L228" s="12">
        <f t="shared" si="7"/>
        <v>0</v>
      </c>
    </row>
    <row r="229" spans="2:12">
      <c r="B229" s="14"/>
      <c r="C229" s="16"/>
      <c r="D229" s="16"/>
      <c r="E229" s="16"/>
      <c r="F229" s="11"/>
      <c r="G229" s="14"/>
      <c r="H229" s="15"/>
      <c r="I229" s="15"/>
      <c r="J229" s="15"/>
      <c r="K229" s="15"/>
      <c r="L229" s="12">
        <f t="shared" si="7"/>
        <v>0</v>
      </c>
    </row>
    <row r="230" spans="2:12">
      <c r="B230" s="14"/>
      <c r="C230" s="16"/>
      <c r="D230" s="16"/>
      <c r="E230" s="16"/>
      <c r="F230" s="11"/>
      <c r="G230" s="14"/>
      <c r="H230" s="15"/>
      <c r="I230" s="15"/>
      <c r="J230" s="15"/>
      <c r="K230" s="15"/>
      <c r="L230" s="12">
        <f t="shared" si="7"/>
        <v>0</v>
      </c>
    </row>
    <row r="231" spans="2:12">
      <c r="B231" s="14"/>
      <c r="C231" s="16"/>
      <c r="D231" s="16"/>
      <c r="E231" s="16"/>
      <c r="F231" s="11"/>
      <c r="G231" s="14"/>
      <c r="H231" s="15"/>
      <c r="I231" s="15"/>
      <c r="J231" s="15"/>
      <c r="K231" s="15"/>
      <c r="L231" s="12">
        <f t="shared" si="7"/>
        <v>0</v>
      </c>
    </row>
    <row r="232" spans="2:12">
      <c r="B232" s="14"/>
      <c r="C232" s="16"/>
      <c r="D232" s="16"/>
      <c r="E232" s="16"/>
      <c r="F232" s="11"/>
      <c r="G232" s="14"/>
      <c r="H232" s="15"/>
      <c r="I232" s="15"/>
      <c r="J232" s="15"/>
      <c r="K232" s="15"/>
      <c r="L232" s="12">
        <f t="shared" si="7"/>
        <v>0</v>
      </c>
    </row>
    <row r="233" spans="2:12">
      <c r="B233" s="14"/>
      <c r="C233" s="16"/>
      <c r="D233" s="16"/>
      <c r="E233" s="16"/>
      <c r="F233" s="11"/>
      <c r="G233" s="14"/>
      <c r="H233" s="15"/>
      <c r="I233" s="15"/>
      <c r="J233" s="15"/>
      <c r="K233" s="15"/>
      <c r="L233" s="12">
        <f t="shared" si="7"/>
        <v>0</v>
      </c>
    </row>
    <row r="234" spans="2:12">
      <c r="B234" s="14"/>
      <c r="C234" s="16"/>
      <c r="D234" s="16"/>
      <c r="E234" s="16"/>
      <c r="F234" s="11"/>
      <c r="G234" s="14"/>
      <c r="H234" s="15"/>
      <c r="I234" s="15"/>
      <c r="J234" s="15"/>
      <c r="K234" s="15"/>
      <c r="L234" s="12">
        <f t="shared" si="7"/>
        <v>0</v>
      </c>
    </row>
    <row r="235" spans="2:12">
      <c r="B235" s="14"/>
      <c r="C235" s="16"/>
      <c r="D235" s="16"/>
      <c r="E235" s="16"/>
      <c r="F235" s="11"/>
      <c r="G235" s="14"/>
      <c r="H235" s="15"/>
      <c r="I235" s="15"/>
      <c r="J235" s="15"/>
      <c r="K235" s="15"/>
      <c r="L235" s="12">
        <f t="shared" si="7"/>
        <v>0</v>
      </c>
    </row>
    <row r="236" spans="2:12">
      <c r="B236" s="14"/>
      <c r="C236" s="16"/>
      <c r="D236" s="16"/>
      <c r="E236" s="16"/>
      <c r="F236" s="11"/>
      <c r="G236" s="14"/>
      <c r="H236" s="15"/>
      <c r="I236" s="15"/>
      <c r="J236" s="15"/>
      <c r="K236" s="15"/>
      <c r="L236" s="12">
        <f t="shared" si="7"/>
        <v>0</v>
      </c>
    </row>
    <row r="237" spans="2:12">
      <c r="B237" s="14"/>
      <c r="C237" s="16"/>
      <c r="D237" s="16"/>
      <c r="E237" s="16"/>
      <c r="F237" s="11"/>
      <c r="G237" s="14"/>
      <c r="H237" s="15"/>
      <c r="I237" s="15"/>
      <c r="J237" s="15"/>
      <c r="K237" s="15"/>
      <c r="L237" s="12">
        <f t="shared" si="7"/>
        <v>0</v>
      </c>
    </row>
    <row r="238" spans="2:12">
      <c r="B238" s="14"/>
      <c r="C238" s="16"/>
      <c r="D238" s="16"/>
      <c r="E238" s="16"/>
      <c r="F238" s="11"/>
      <c r="G238" s="14"/>
      <c r="H238" s="15"/>
      <c r="I238" s="15"/>
      <c r="J238" s="15"/>
      <c r="K238" s="15"/>
      <c r="L238" s="12">
        <f t="shared" si="7"/>
        <v>0</v>
      </c>
    </row>
    <row r="239" spans="2:12">
      <c r="B239" s="14"/>
      <c r="C239" s="16"/>
      <c r="D239" s="16"/>
      <c r="E239" s="16"/>
      <c r="F239" s="11"/>
      <c r="G239" s="14"/>
      <c r="H239" s="15"/>
      <c r="I239" s="15"/>
      <c r="J239" s="15"/>
      <c r="K239" s="15"/>
      <c r="L239" s="12">
        <f t="shared" si="7"/>
        <v>0</v>
      </c>
    </row>
    <row r="240" spans="2:12">
      <c r="B240" s="14"/>
      <c r="C240" s="16"/>
      <c r="D240" s="16"/>
      <c r="E240" s="16"/>
      <c r="F240" s="11"/>
      <c r="G240" s="14"/>
      <c r="H240" s="15"/>
      <c r="I240" s="15"/>
      <c r="J240" s="15"/>
      <c r="K240" s="15"/>
      <c r="L240" s="12">
        <f t="shared" si="7"/>
        <v>0</v>
      </c>
    </row>
    <row r="241" spans="2:12">
      <c r="B241" s="14"/>
      <c r="C241" s="16"/>
      <c r="D241" s="16"/>
      <c r="E241" s="16"/>
      <c r="F241" s="11"/>
      <c r="G241" s="14"/>
      <c r="H241" s="15"/>
      <c r="I241" s="15"/>
      <c r="J241" s="15"/>
      <c r="K241" s="15"/>
      <c r="L241" s="12">
        <f t="shared" si="7"/>
        <v>0</v>
      </c>
    </row>
    <row r="242" spans="2:12">
      <c r="B242" s="14"/>
      <c r="C242" s="16"/>
      <c r="D242" s="16"/>
      <c r="E242" s="16"/>
      <c r="F242" s="11"/>
      <c r="G242" s="14"/>
      <c r="H242" s="15"/>
      <c r="I242" s="15"/>
      <c r="J242" s="15"/>
      <c r="K242" s="15"/>
      <c r="L242" s="12">
        <f t="shared" si="7"/>
        <v>0</v>
      </c>
    </row>
    <row r="243" spans="2:12">
      <c r="B243" s="14"/>
      <c r="C243" s="16"/>
      <c r="D243" s="16"/>
      <c r="E243" s="16"/>
      <c r="F243" s="11"/>
      <c r="G243" s="14"/>
      <c r="H243" s="15"/>
      <c r="I243" s="15"/>
      <c r="J243" s="15"/>
      <c r="K243" s="15"/>
      <c r="L243" s="12">
        <f t="shared" si="7"/>
        <v>0</v>
      </c>
    </row>
    <row r="244" spans="2:12">
      <c r="B244" s="14"/>
      <c r="C244" s="16"/>
      <c r="D244" s="16"/>
      <c r="E244" s="16"/>
      <c r="F244" s="11"/>
      <c r="G244" s="14"/>
      <c r="H244" s="15"/>
      <c r="I244" s="15"/>
      <c r="J244" s="15"/>
      <c r="K244" s="15"/>
      <c r="L244" s="12">
        <f t="shared" si="7"/>
        <v>0</v>
      </c>
    </row>
    <row r="245" spans="2:12">
      <c r="B245" s="14"/>
      <c r="C245" s="16"/>
      <c r="D245" s="16"/>
      <c r="E245" s="16"/>
      <c r="F245" s="11"/>
      <c r="G245" s="14"/>
      <c r="H245" s="15"/>
      <c r="I245" s="15"/>
      <c r="J245" s="15"/>
      <c r="K245" s="15"/>
      <c r="L245" s="12">
        <f t="shared" si="7"/>
        <v>0</v>
      </c>
    </row>
    <row r="246" spans="2:12">
      <c r="B246" s="14"/>
      <c r="C246" s="16"/>
      <c r="D246" s="16"/>
      <c r="E246" s="16"/>
      <c r="F246" s="11"/>
      <c r="G246" s="14"/>
      <c r="H246" s="15"/>
      <c r="I246" s="15"/>
      <c r="J246" s="15"/>
      <c r="K246" s="15"/>
      <c r="L246" s="12">
        <f t="shared" si="7"/>
        <v>0</v>
      </c>
    </row>
    <row r="247" spans="2:12">
      <c r="B247" s="14"/>
      <c r="C247" s="16"/>
      <c r="D247" s="16"/>
      <c r="E247" s="16"/>
      <c r="F247" s="11"/>
      <c r="G247" s="14"/>
      <c r="H247" s="15"/>
      <c r="I247" s="15"/>
      <c r="J247" s="15"/>
      <c r="K247" s="15"/>
      <c r="L247" s="12">
        <f t="shared" si="7"/>
        <v>0</v>
      </c>
    </row>
    <row r="248" spans="2:12">
      <c r="B248" s="14"/>
      <c r="C248" s="16"/>
      <c r="D248" s="16"/>
      <c r="E248" s="16"/>
      <c r="F248" s="11"/>
      <c r="G248" s="14"/>
      <c r="H248" s="15"/>
      <c r="I248" s="15"/>
      <c r="J248" s="15"/>
      <c r="K248" s="15"/>
      <c r="L248" s="12">
        <f t="shared" si="7"/>
        <v>0</v>
      </c>
    </row>
    <row r="249" spans="2:12">
      <c r="B249" s="14"/>
      <c r="C249" s="16"/>
      <c r="D249" s="16"/>
      <c r="E249" s="16"/>
      <c r="F249" s="11"/>
      <c r="G249" s="14"/>
      <c r="H249" s="15"/>
      <c r="I249" s="15"/>
      <c r="J249" s="15"/>
      <c r="K249" s="15"/>
      <c r="L249" s="12">
        <f t="shared" si="7"/>
        <v>0</v>
      </c>
    </row>
    <row r="250" spans="2:12">
      <c r="B250" s="14"/>
      <c r="C250" s="16"/>
      <c r="D250" s="16"/>
      <c r="E250" s="16"/>
      <c r="F250" s="11"/>
      <c r="G250" s="14"/>
      <c r="H250" s="15"/>
      <c r="I250" s="15"/>
      <c r="J250" s="15"/>
      <c r="K250" s="15"/>
      <c r="L250" s="12">
        <f t="shared" si="7"/>
        <v>0</v>
      </c>
    </row>
    <row r="251" spans="2:12">
      <c r="B251" s="14"/>
      <c r="C251" s="16"/>
      <c r="D251" s="16"/>
      <c r="E251" s="16"/>
      <c r="F251" s="11"/>
      <c r="G251" s="14"/>
      <c r="H251" s="15"/>
      <c r="I251" s="15"/>
      <c r="J251" s="15"/>
      <c r="K251" s="15"/>
      <c r="L251" s="12">
        <f t="shared" si="7"/>
        <v>0</v>
      </c>
    </row>
    <row r="252" spans="2:12">
      <c r="B252" s="14"/>
      <c r="C252" s="16"/>
      <c r="D252" s="16"/>
      <c r="E252" s="16"/>
      <c r="F252" s="11"/>
      <c r="G252" s="14"/>
      <c r="H252" s="15"/>
      <c r="I252" s="15"/>
      <c r="J252" s="15"/>
      <c r="K252" s="15"/>
      <c r="L252" s="12">
        <f t="shared" si="7"/>
        <v>0</v>
      </c>
    </row>
    <row r="253" spans="2:12">
      <c r="B253" s="14"/>
      <c r="C253" s="16"/>
      <c r="D253" s="16"/>
      <c r="E253" s="16"/>
      <c r="F253" s="11"/>
      <c r="G253" s="14"/>
      <c r="H253" s="15"/>
      <c r="I253" s="15"/>
      <c r="J253" s="15"/>
      <c r="K253" s="15"/>
      <c r="L253" s="12">
        <f t="shared" si="7"/>
        <v>0</v>
      </c>
    </row>
    <row r="254" spans="2:12">
      <c r="B254" s="14"/>
      <c r="C254" s="16"/>
      <c r="D254" s="16"/>
      <c r="E254" s="16"/>
      <c r="F254" s="11"/>
      <c r="G254" s="14"/>
      <c r="H254" s="15"/>
      <c r="I254" s="15"/>
      <c r="J254" s="15"/>
      <c r="K254" s="15"/>
      <c r="L254" s="12">
        <f t="shared" si="7"/>
        <v>0</v>
      </c>
    </row>
    <row r="255" spans="2:12">
      <c r="B255" s="14"/>
      <c r="C255" s="16"/>
      <c r="D255" s="16"/>
      <c r="E255" s="16"/>
      <c r="F255" s="11"/>
      <c r="G255" s="14"/>
      <c r="H255" s="15"/>
      <c r="I255" s="15"/>
      <c r="J255" s="15"/>
      <c r="K255" s="15"/>
      <c r="L255" s="12">
        <f t="shared" si="7"/>
        <v>0</v>
      </c>
    </row>
    <row r="256" spans="2:12">
      <c r="B256" s="14"/>
      <c r="C256" s="16"/>
      <c r="D256" s="16"/>
      <c r="E256" s="16"/>
      <c r="F256" s="11"/>
      <c r="G256" s="14"/>
      <c r="H256" s="15"/>
      <c r="I256" s="15"/>
      <c r="J256" s="15"/>
      <c r="K256" s="15"/>
      <c r="L256" s="12">
        <f t="shared" si="7"/>
        <v>0</v>
      </c>
    </row>
    <row r="257" spans="2:12">
      <c r="B257" s="14"/>
      <c r="C257" s="16"/>
      <c r="D257" s="16"/>
      <c r="E257" s="16"/>
      <c r="F257" s="11"/>
      <c r="G257" s="14"/>
      <c r="H257" s="15"/>
      <c r="I257" s="15"/>
      <c r="J257" s="15"/>
      <c r="K257" s="15"/>
      <c r="L257" s="12">
        <f t="shared" si="7"/>
        <v>0</v>
      </c>
    </row>
    <row r="258" spans="2:12">
      <c r="B258" s="14"/>
      <c r="C258" s="16"/>
      <c r="D258" s="16"/>
      <c r="E258" s="16"/>
      <c r="F258" s="11"/>
      <c r="G258" s="14"/>
      <c r="H258" s="15"/>
      <c r="I258" s="15"/>
      <c r="J258" s="15"/>
      <c r="K258" s="15"/>
      <c r="L258" s="12">
        <f t="shared" si="7"/>
        <v>0</v>
      </c>
    </row>
    <row r="259" spans="2:12">
      <c r="B259" s="14"/>
      <c r="C259" s="16"/>
      <c r="D259" s="16"/>
      <c r="E259" s="16"/>
      <c r="F259" s="11"/>
      <c r="G259" s="14"/>
      <c r="H259" s="15"/>
      <c r="I259" s="15"/>
      <c r="J259" s="15"/>
      <c r="K259" s="15"/>
      <c r="L259" s="12">
        <f t="shared" si="7"/>
        <v>0</v>
      </c>
    </row>
    <row r="260" spans="2:12">
      <c r="B260" s="14"/>
      <c r="C260" s="16"/>
      <c r="D260" s="16"/>
      <c r="E260" s="16"/>
      <c r="F260" s="11"/>
      <c r="G260" s="14"/>
      <c r="H260" s="15"/>
      <c r="I260" s="15"/>
      <c r="J260" s="15"/>
      <c r="K260" s="15"/>
      <c r="L260" s="12">
        <f t="shared" si="7"/>
        <v>0</v>
      </c>
    </row>
    <row r="261" spans="2:12">
      <c r="B261" s="14"/>
      <c r="C261" s="16"/>
      <c r="D261" s="16"/>
      <c r="E261" s="16"/>
      <c r="F261" s="11"/>
      <c r="G261" s="14"/>
      <c r="H261" s="15"/>
      <c r="I261" s="15"/>
      <c r="J261" s="15"/>
      <c r="K261" s="15"/>
      <c r="L261" s="12">
        <f t="shared" si="7"/>
        <v>0</v>
      </c>
    </row>
    <row r="262" spans="2:12">
      <c r="B262" s="14"/>
      <c r="C262" s="16"/>
      <c r="D262" s="16"/>
      <c r="E262" s="16"/>
      <c r="F262" s="11"/>
      <c r="G262" s="14"/>
      <c r="H262" s="15"/>
      <c r="I262" s="15"/>
      <c r="J262" s="15"/>
      <c r="K262" s="15"/>
      <c r="L262" s="12">
        <f t="shared" si="7"/>
        <v>0</v>
      </c>
    </row>
    <row r="263" spans="2:12">
      <c r="B263" s="14"/>
      <c r="C263" s="16"/>
      <c r="D263" s="16"/>
      <c r="E263" s="16"/>
      <c r="F263" s="11"/>
      <c r="G263" s="14"/>
      <c r="H263" s="15"/>
      <c r="I263" s="15"/>
      <c r="J263" s="15"/>
      <c r="K263" s="15"/>
      <c r="L263" s="12">
        <f t="shared" si="7"/>
        <v>0</v>
      </c>
    </row>
    <row r="264" spans="2:12">
      <c r="B264" s="14"/>
      <c r="C264" s="16"/>
      <c r="D264" s="16"/>
      <c r="E264" s="16"/>
      <c r="F264" s="11"/>
      <c r="G264" s="14"/>
      <c r="H264" s="15"/>
      <c r="I264" s="15"/>
      <c r="J264" s="15"/>
      <c r="K264" s="15"/>
      <c r="L264" s="12">
        <f t="shared" si="7"/>
        <v>0</v>
      </c>
    </row>
    <row r="265" spans="2:12">
      <c r="B265" s="14"/>
      <c r="C265" s="16"/>
      <c r="D265" s="16"/>
      <c r="E265" s="16"/>
      <c r="F265" s="11"/>
      <c r="G265" s="14"/>
      <c r="H265" s="15"/>
      <c r="I265" s="15"/>
      <c r="J265" s="15"/>
      <c r="K265" s="15"/>
      <c r="L265" s="12">
        <f t="shared" si="7"/>
        <v>0</v>
      </c>
    </row>
    <row r="266" spans="2:12">
      <c r="B266" s="14"/>
      <c r="C266" s="16"/>
      <c r="D266" s="16"/>
      <c r="E266" s="16"/>
      <c r="F266" s="11"/>
      <c r="G266" s="14"/>
      <c r="H266" s="15"/>
      <c r="I266" s="15"/>
      <c r="J266" s="15"/>
      <c r="K266" s="15"/>
      <c r="L266" s="12">
        <f t="shared" si="7"/>
        <v>0</v>
      </c>
    </row>
    <row r="267" spans="2:12">
      <c r="B267" s="14"/>
      <c r="C267" s="16"/>
      <c r="D267" s="16"/>
      <c r="E267" s="16"/>
      <c r="F267" s="11"/>
      <c r="G267" s="14"/>
      <c r="H267" s="15"/>
      <c r="I267" s="15"/>
      <c r="J267" s="15"/>
      <c r="K267" s="15"/>
      <c r="L267" s="12">
        <f t="shared" si="7"/>
        <v>0</v>
      </c>
    </row>
    <row r="268" spans="2:12">
      <c r="B268" s="14"/>
      <c r="C268" s="16"/>
      <c r="D268" s="16"/>
      <c r="E268" s="16"/>
      <c r="F268" s="11"/>
      <c r="G268" s="14"/>
      <c r="H268" s="15"/>
      <c r="I268" s="15"/>
      <c r="J268" s="15"/>
      <c r="K268" s="15"/>
      <c r="L268" s="12">
        <f t="shared" si="7"/>
        <v>0</v>
      </c>
    </row>
    <row r="269" spans="2:12">
      <c r="B269" s="14"/>
      <c r="C269" s="16"/>
      <c r="D269" s="16"/>
      <c r="E269" s="16"/>
      <c r="F269" s="11"/>
      <c r="G269" s="14"/>
      <c r="H269" s="15"/>
      <c r="I269" s="15"/>
      <c r="J269" s="15"/>
      <c r="K269" s="15"/>
      <c r="L269" s="12">
        <f t="shared" si="7"/>
        <v>0</v>
      </c>
    </row>
    <row r="270" spans="2:12">
      <c r="B270" s="14"/>
      <c r="C270" s="16"/>
      <c r="D270" s="16"/>
      <c r="E270" s="16"/>
      <c r="F270" s="11"/>
      <c r="G270" s="14"/>
      <c r="H270" s="15"/>
      <c r="I270" s="15"/>
      <c r="J270" s="15"/>
      <c r="K270" s="15"/>
      <c r="L270" s="12">
        <f t="shared" si="7"/>
        <v>0</v>
      </c>
    </row>
    <row r="271" spans="2:12">
      <c r="B271" s="14"/>
      <c r="C271" s="16"/>
      <c r="D271" s="16"/>
      <c r="E271" s="16"/>
      <c r="F271" s="11"/>
      <c r="G271" s="14"/>
      <c r="H271" s="15"/>
      <c r="I271" s="15"/>
      <c r="J271" s="15"/>
      <c r="K271" s="15"/>
      <c r="L271" s="12">
        <f t="shared" si="7"/>
        <v>0</v>
      </c>
    </row>
    <row r="272" spans="2:12">
      <c r="B272" s="14"/>
      <c r="C272" s="16"/>
      <c r="D272" s="16"/>
      <c r="E272" s="16"/>
      <c r="F272" s="11"/>
      <c r="G272" s="14"/>
      <c r="H272" s="15"/>
      <c r="I272" s="15"/>
      <c r="J272" s="15"/>
      <c r="K272" s="15"/>
      <c r="L272" s="12">
        <f t="shared" si="7"/>
        <v>0</v>
      </c>
    </row>
    <row r="273" spans="2:12">
      <c r="B273" s="14"/>
      <c r="C273" s="16"/>
      <c r="D273" s="16"/>
      <c r="E273" s="16"/>
      <c r="F273" s="11"/>
      <c r="G273" s="14"/>
      <c r="H273" s="15"/>
      <c r="I273" s="15"/>
      <c r="J273" s="15"/>
      <c r="K273" s="15"/>
      <c r="L273" s="12">
        <f t="shared" si="7"/>
        <v>0</v>
      </c>
    </row>
    <row r="274" spans="2:12">
      <c r="B274" s="14"/>
      <c r="C274" s="16"/>
      <c r="D274" s="16"/>
      <c r="E274" s="16"/>
      <c r="F274" s="11"/>
      <c r="G274" s="14"/>
      <c r="H274" s="15"/>
      <c r="I274" s="15"/>
      <c r="J274" s="15"/>
      <c r="K274" s="15"/>
      <c r="L274" s="12">
        <f t="shared" si="7"/>
        <v>0</v>
      </c>
    </row>
    <row r="275" spans="2:12">
      <c r="B275" s="14"/>
      <c r="C275" s="16"/>
      <c r="D275" s="16"/>
      <c r="E275" s="16"/>
      <c r="F275" s="11"/>
      <c r="G275" s="14"/>
      <c r="H275" s="15"/>
      <c r="I275" s="15"/>
      <c r="J275" s="15"/>
      <c r="K275" s="15"/>
      <c r="L275" s="12">
        <f t="shared" si="7"/>
        <v>0</v>
      </c>
    </row>
    <row r="276" spans="2:12">
      <c r="B276" s="14"/>
      <c r="C276" s="16"/>
      <c r="D276" s="16"/>
      <c r="E276" s="16"/>
      <c r="F276" s="11"/>
      <c r="G276" s="14"/>
      <c r="H276" s="15"/>
      <c r="I276" s="15"/>
      <c r="J276" s="15"/>
      <c r="K276" s="15"/>
      <c r="L276" s="12">
        <f t="shared" ref="L276:L285" si="8">+K276-H276</f>
        <v>0</v>
      </c>
    </row>
    <row r="277" spans="2:12">
      <c r="B277" s="14"/>
      <c r="C277" s="16"/>
      <c r="D277" s="16"/>
      <c r="E277" s="16"/>
      <c r="F277" s="11"/>
      <c r="G277" s="14"/>
      <c r="H277" s="15"/>
      <c r="I277" s="15"/>
      <c r="J277" s="15"/>
      <c r="K277" s="15"/>
      <c r="L277" s="12">
        <f t="shared" si="8"/>
        <v>0</v>
      </c>
    </row>
    <row r="278" spans="2:12">
      <c r="B278" s="14"/>
      <c r="C278" s="16"/>
      <c r="D278" s="16"/>
      <c r="E278" s="16"/>
      <c r="F278" s="11"/>
      <c r="G278" s="14"/>
      <c r="H278" s="15"/>
      <c r="I278" s="15"/>
      <c r="J278" s="15"/>
      <c r="K278" s="15"/>
      <c r="L278" s="12">
        <f t="shared" si="8"/>
        <v>0</v>
      </c>
    </row>
    <row r="279" spans="2:12">
      <c r="B279" s="14"/>
      <c r="C279" s="16"/>
      <c r="D279" s="16"/>
      <c r="E279" s="16"/>
      <c r="F279" s="11"/>
      <c r="G279" s="14"/>
      <c r="H279" s="15"/>
      <c r="I279" s="15"/>
      <c r="J279" s="15"/>
      <c r="K279" s="15"/>
      <c r="L279" s="12">
        <f t="shared" si="8"/>
        <v>0</v>
      </c>
    </row>
    <row r="280" spans="2:12">
      <c r="B280" s="14"/>
      <c r="C280" s="16"/>
      <c r="D280" s="16"/>
      <c r="E280" s="16"/>
      <c r="F280" s="11"/>
      <c r="G280" s="14"/>
      <c r="H280" s="15"/>
      <c r="I280" s="15"/>
      <c r="J280" s="15"/>
      <c r="K280" s="15"/>
      <c r="L280" s="12">
        <f t="shared" si="8"/>
        <v>0</v>
      </c>
    </row>
    <row r="281" spans="2:12">
      <c r="B281" s="14"/>
      <c r="C281" s="16"/>
      <c r="D281" s="16"/>
      <c r="E281" s="16"/>
      <c r="F281" s="11"/>
      <c r="G281" s="14"/>
      <c r="H281" s="15"/>
      <c r="I281" s="15"/>
      <c r="J281" s="15"/>
      <c r="K281" s="15"/>
      <c r="L281" s="12">
        <f t="shared" si="8"/>
        <v>0</v>
      </c>
    </row>
    <row r="282" spans="2:12">
      <c r="B282" s="14"/>
      <c r="C282" s="16"/>
      <c r="D282" s="16"/>
      <c r="E282" s="16"/>
      <c r="F282" s="11"/>
      <c r="G282" s="14"/>
      <c r="H282" s="15"/>
      <c r="I282" s="15"/>
      <c r="J282" s="15"/>
      <c r="K282" s="15"/>
      <c r="L282" s="12">
        <f t="shared" si="8"/>
        <v>0</v>
      </c>
    </row>
    <row r="283" spans="2:12">
      <c r="B283" s="14"/>
      <c r="C283" s="16"/>
      <c r="D283" s="16"/>
      <c r="E283" s="16"/>
      <c r="F283" s="11"/>
      <c r="G283" s="14"/>
      <c r="H283" s="15"/>
      <c r="I283" s="15"/>
      <c r="J283" s="15"/>
      <c r="K283" s="15"/>
      <c r="L283" s="12">
        <f t="shared" si="8"/>
        <v>0</v>
      </c>
    </row>
    <row r="284" spans="2:12">
      <c r="B284" s="14"/>
      <c r="C284" s="16"/>
      <c r="D284" s="16"/>
      <c r="E284" s="16"/>
      <c r="F284" s="11"/>
      <c r="G284" s="14"/>
      <c r="H284" s="15"/>
      <c r="I284" s="15"/>
      <c r="J284" s="15"/>
      <c r="K284" s="15"/>
      <c r="L284" s="12">
        <f t="shared" si="8"/>
        <v>0</v>
      </c>
    </row>
    <row r="285" spans="2:12">
      <c r="B285" s="14"/>
      <c r="C285" s="16"/>
      <c r="D285" s="16"/>
      <c r="E285" s="14"/>
      <c r="F285" s="11"/>
      <c r="G285" s="14"/>
      <c r="H285" s="15"/>
      <c r="I285" s="15"/>
      <c r="J285" s="15"/>
      <c r="K285" s="15"/>
      <c r="L285" s="12">
        <f t="shared" si="8"/>
        <v>0</v>
      </c>
    </row>
    <row r="286" spans="2:12">
      <c r="B286" s="14"/>
      <c r="C286" s="16"/>
      <c r="D286" s="16"/>
      <c r="E286" s="16"/>
      <c r="F286" s="11"/>
      <c r="G286" s="14"/>
      <c r="H286" s="15"/>
      <c r="I286" s="15"/>
      <c r="J286" s="15"/>
      <c r="K286" s="15"/>
      <c r="L286" s="12"/>
    </row>
    <row r="287" spans="2:12">
      <c r="B287" s="14"/>
      <c r="C287" s="16"/>
      <c r="D287" s="16"/>
      <c r="E287" s="16"/>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c r="F424" s="11"/>
      <c r="G424" s="14"/>
      <c r="H424" s="15"/>
      <c r="I424" s="15"/>
      <c r="J424" s="15"/>
      <c r="K424" s="15"/>
      <c r="L424" s="12"/>
    </row>
    <row r="1048574" spans="2:2">
      <c r="B1048574" s="14"/>
    </row>
  </sheetData>
  <autoFilter ref="B18:L95"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B1048574:B1048576 E285 B19:B424</xm:sqref>
        </x14:dataValidation>
        <x14:dataValidation type="list" allowBlank="1" showInputMessage="1" showErrorMessage="1" xr:uid="{CA04D2EA-4498-4F08-B281-0B782CD811BA}">
          <x14:formula1>
            <xm:f>Clasificaciones!$H$3:$H$130</xm:f>
          </x14:formula1>
          <xm:sqref>E286:E424 E19:E284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workbookViewId="0"/>
    <sheetView workbookViewId="1"/>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8" t="s">
        <v>519</v>
      </c>
      <c r="J2" s="228"/>
    </row>
    <row r="3" spans="1:10">
      <c r="A3" s="118" t="s">
        <v>350</v>
      </c>
      <c r="B3" s="18" t="s">
        <v>254</v>
      </c>
      <c r="D3" s="18" t="s">
        <v>304</v>
      </c>
      <c r="F3" s="18" t="s">
        <v>318</v>
      </c>
      <c r="H3" s="18" t="s">
        <v>453</v>
      </c>
    </row>
    <row r="4" spans="1:10">
      <c r="A4" s="118" t="s">
        <v>350</v>
      </c>
      <c r="B4" s="18" t="s">
        <v>255</v>
      </c>
      <c r="D4" s="18" t="s">
        <v>305</v>
      </c>
      <c r="F4" s="18" t="s">
        <v>133</v>
      </c>
      <c r="H4" s="18" t="s">
        <v>110</v>
      </c>
    </row>
    <row r="5" spans="1:10">
      <c r="A5" s="118" t="s">
        <v>350</v>
      </c>
      <c r="B5" s="18" t="s">
        <v>7</v>
      </c>
      <c r="D5" s="18" t="s">
        <v>306</v>
      </c>
      <c r="F5" s="18" t="s">
        <v>138</v>
      </c>
      <c r="H5" s="18" t="s">
        <v>454</v>
      </c>
    </row>
    <row r="6" spans="1:10">
      <c r="A6" s="118" t="s">
        <v>350</v>
      </c>
      <c r="B6" s="18" t="s">
        <v>256</v>
      </c>
      <c r="D6" s="18" t="s">
        <v>307</v>
      </c>
      <c r="F6" s="18" t="s">
        <v>134</v>
      </c>
      <c r="H6" s="18" t="s">
        <v>455</v>
      </c>
    </row>
    <row r="7" spans="1:10">
      <c r="A7" s="118" t="s">
        <v>350</v>
      </c>
      <c r="B7" s="18" t="s">
        <v>15</v>
      </c>
      <c r="D7" s="18" t="s">
        <v>308</v>
      </c>
      <c r="F7" s="18" t="s">
        <v>139</v>
      </c>
      <c r="H7" s="18" t="s">
        <v>456</v>
      </c>
    </row>
    <row r="8" spans="1:10">
      <c r="A8" s="118" t="s">
        <v>350</v>
      </c>
      <c r="B8" s="18" t="s">
        <v>257</v>
      </c>
      <c r="D8" s="18" t="s">
        <v>309</v>
      </c>
      <c r="F8" s="18" t="s">
        <v>319</v>
      </c>
      <c r="H8" s="18" t="s">
        <v>457</v>
      </c>
    </row>
    <row r="9" spans="1:10">
      <c r="A9" s="118" t="s">
        <v>350</v>
      </c>
      <c r="B9" s="18" t="s">
        <v>371</v>
      </c>
      <c r="D9" s="18" t="s">
        <v>310</v>
      </c>
      <c r="F9" s="18" t="s">
        <v>320</v>
      </c>
      <c r="H9" s="18" t="s">
        <v>458</v>
      </c>
    </row>
    <row r="10" spans="1:10">
      <c r="A10" s="118" t="s">
        <v>350</v>
      </c>
      <c r="B10" s="18" t="s">
        <v>258</v>
      </c>
      <c r="D10" s="18" t="s">
        <v>311</v>
      </c>
      <c r="F10" s="18" t="s">
        <v>321</v>
      </c>
      <c r="H10" s="18" t="s">
        <v>459</v>
      </c>
    </row>
    <row r="11" spans="1:10">
      <c r="A11" s="118" t="s">
        <v>350</v>
      </c>
      <c r="B11" s="18" t="s">
        <v>135</v>
      </c>
      <c r="D11" s="18" t="s">
        <v>312</v>
      </c>
      <c r="F11" s="18" t="s">
        <v>322</v>
      </c>
      <c r="H11" s="18" t="s">
        <v>107</v>
      </c>
    </row>
    <row r="12" spans="1:10">
      <c r="A12" s="118" t="s">
        <v>350</v>
      </c>
      <c r="B12" s="18" t="s">
        <v>259</v>
      </c>
      <c r="D12" s="18" t="s">
        <v>313</v>
      </c>
      <c r="F12" s="18" t="s">
        <v>323</v>
      </c>
      <c r="H12" s="18" t="s">
        <v>106</v>
      </c>
    </row>
    <row r="13" spans="1:10">
      <c r="A13" s="118" t="s">
        <v>350</v>
      </c>
      <c r="B13" s="18" t="s">
        <v>542</v>
      </c>
      <c r="D13" s="18" t="s">
        <v>314</v>
      </c>
      <c r="H13" s="18" t="s">
        <v>109</v>
      </c>
    </row>
    <row r="14" spans="1:10">
      <c r="A14" s="118" t="s">
        <v>350</v>
      </c>
      <c r="B14" s="18" t="s">
        <v>260</v>
      </c>
      <c r="D14" s="18" t="s">
        <v>315</v>
      </c>
      <c r="H14" s="18" t="s">
        <v>108</v>
      </c>
    </row>
    <row r="15" spans="1:10">
      <c r="A15" s="118" t="s">
        <v>351</v>
      </c>
      <c r="B15" s="18" t="s">
        <v>261</v>
      </c>
      <c r="D15" s="18" t="s">
        <v>316</v>
      </c>
      <c r="H15" s="18" t="s">
        <v>470</v>
      </c>
    </row>
    <row r="16" spans="1:10">
      <c r="A16" s="118" t="s">
        <v>351</v>
      </c>
      <c r="B16" s="18" t="s">
        <v>363</v>
      </c>
      <c r="H16" s="18" t="s">
        <v>118</v>
      </c>
    </row>
    <row r="17" spans="1:8">
      <c r="A17" s="118" t="s">
        <v>351</v>
      </c>
      <c r="B17" s="18" t="s">
        <v>262</v>
      </c>
      <c r="H17" s="18" t="s">
        <v>117</v>
      </c>
    </row>
    <row r="18" spans="1:8">
      <c r="A18" s="118" t="s">
        <v>351</v>
      </c>
      <c r="B18" s="18" t="s">
        <v>200</v>
      </c>
      <c r="H18" s="18" t="s">
        <v>469</v>
      </c>
    </row>
    <row r="19" spans="1:8">
      <c r="A19" s="118" t="s">
        <v>351</v>
      </c>
      <c r="B19" s="18" t="s">
        <v>263</v>
      </c>
      <c r="H19" s="18" t="s">
        <v>468</v>
      </c>
    </row>
    <row r="20" spans="1:8">
      <c r="A20" s="118" t="s">
        <v>351</v>
      </c>
      <c r="B20" s="18" t="s">
        <v>201</v>
      </c>
      <c r="H20" s="18" t="s">
        <v>460</v>
      </c>
    </row>
    <row r="21" spans="1:8">
      <c r="A21" s="118" t="s">
        <v>351</v>
      </c>
      <c r="B21" s="18" t="s">
        <v>264</v>
      </c>
      <c r="H21" s="18" t="s">
        <v>461</v>
      </c>
    </row>
    <row r="22" spans="1:8">
      <c r="A22" s="118" t="s">
        <v>351</v>
      </c>
      <c r="B22" s="18" t="s">
        <v>265</v>
      </c>
      <c r="H22" s="18" t="s">
        <v>462</v>
      </c>
    </row>
    <row r="23" spans="1:8">
      <c r="A23" s="118" t="s">
        <v>351</v>
      </c>
      <c r="B23" s="18" t="s">
        <v>541</v>
      </c>
      <c r="H23" s="18" t="s">
        <v>92</v>
      </c>
    </row>
    <row r="24" spans="1:8">
      <c r="A24" s="118" t="s">
        <v>352</v>
      </c>
      <c r="B24" s="18" t="s">
        <v>266</v>
      </c>
      <c r="H24" s="18" t="s">
        <v>91</v>
      </c>
    </row>
    <row r="25" spans="1:8">
      <c r="A25" s="118" t="s">
        <v>352</v>
      </c>
      <c r="B25" s="18" t="s">
        <v>202</v>
      </c>
      <c r="H25" s="18" t="s">
        <v>463</v>
      </c>
    </row>
    <row r="26" spans="1:8">
      <c r="A26" s="118" t="s">
        <v>352</v>
      </c>
      <c r="B26" s="18" t="s">
        <v>267</v>
      </c>
      <c r="H26" s="18" t="s">
        <v>464</v>
      </c>
    </row>
    <row r="27" spans="1:8">
      <c r="A27" s="118" t="s">
        <v>352</v>
      </c>
      <c r="B27" s="18" t="s">
        <v>268</v>
      </c>
      <c r="H27" s="18" t="s">
        <v>467</v>
      </c>
    </row>
    <row r="28" spans="1:8">
      <c r="A28" s="118" t="s">
        <v>352</v>
      </c>
      <c r="B28" s="18" t="s">
        <v>16</v>
      </c>
      <c r="H28" s="18" t="s">
        <v>465</v>
      </c>
    </row>
    <row r="29" spans="1:8">
      <c r="A29" s="118" t="s">
        <v>352</v>
      </c>
      <c r="B29" s="18" t="s">
        <v>269</v>
      </c>
      <c r="H29" s="18" t="s">
        <v>466</v>
      </c>
    </row>
    <row r="30" spans="1:8">
      <c r="A30" s="118" t="s">
        <v>352</v>
      </c>
      <c r="B30" s="18" t="s">
        <v>270</v>
      </c>
      <c r="H30" s="18" t="s">
        <v>514</v>
      </c>
    </row>
    <row r="31" spans="1:8">
      <c r="A31" s="118" t="s">
        <v>352</v>
      </c>
      <c r="B31" s="18" t="s">
        <v>271</v>
      </c>
      <c r="H31" s="20" t="s">
        <v>12</v>
      </c>
    </row>
    <row r="32" spans="1:8">
      <c r="A32" s="118" t="s">
        <v>352</v>
      </c>
      <c r="B32" s="18" t="s">
        <v>272</v>
      </c>
      <c r="H32" s="20" t="s">
        <v>193</v>
      </c>
    </row>
    <row r="33" spans="1:8">
      <c r="A33" s="118" t="s">
        <v>352</v>
      </c>
      <c r="B33" s="18" t="s">
        <v>543</v>
      </c>
      <c r="H33" s="20" t="s">
        <v>13</v>
      </c>
    </row>
    <row r="34" spans="1:8">
      <c r="A34" s="118" t="s">
        <v>353</v>
      </c>
      <c r="B34" s="18" t="s">
        <v>273</v>
      </c>
      <c r="H34" s="20" t="s">
        <v>14</v>
      </c>
    </row>
    <row r="35" spans="1:8">
      <c r="A35" s="118" t="s">
        <v>353</v>
      </c>
      <c r="B35" s="18" t="s">
        <v>205</v>
      </c>
      <c r="H35" s="20" t="s">
        <v>335</v>
      </c>
    </row>
    <row r="36" spans="1:8">
      <c r="A36" s="118" t="s">
        <v>353</v>
      </c>
      <c r="B36" s="18" t="s">
        <v>274</v>
      </c>
      <c r="H36" s="20" t="s">
        <v>336</v>
      </c>
    </row>
    <row r="37" spans="1:8">
      <c r="A37" s="118" t="s">
        <v>354</v>
      </c>
      <c r="B37" s="18" t="s">
        <v>136</v>
      </c>
      <c r="H37" s="20" t="s">
        <v>518</v>
      </c>
    </row>
    <row r="38" spans="1:8">
      <c r="A38" s="118" t="s">
        <v>353</v>
      </c>
      <c r="B38" s="18" t="s">
        <v>275</v>
      </c>
      <c r="H38" s="18" t="s">
        <v>5</v>
      </c>
    </row>
    <row r="39" spans="1:8">
      <c r="A39" s="118" t="s">
        <v>353</v>
      </c>
      <c r="B39" s="18" t="s">
        <v>276</v>
      </c>
      <c r="H39" s="18" t="s">
        <v>515</v>
      </c>
    </row>
    <row r="40" spans="1:8">
      <c r="A40" s="118" t="s">
        <v>353</v>
      </c>
      <c r="B40" s="18" t="s">
        <v>277</v>
      </c>
      <c r="H40" s="18" t="s">
        <v>471</v>
      </c>
    </row>
    <row r="41" spans="1:8">
      <c r="A41" s="118" t="s">
        <v>354</v>
      </c>
      <c r="B41" s="18" t="s">
        <v>209</v>
      </c>
      <c r="H41" s="18" t="s">
        <v>59</v>
      </c>
    </row>
    <row r="42" spans="1:8">
      <c r="A42" s="118" t="s">
        <v>354</v>
      </c>
      <c r="B42" s="18" t="s">
        <v>138</v>
      </c>
      <c r="H42" s="18" t="s">
        <v>472</v>
      </c>
    </row>
    <row r="43" spans="1:8">
      <c r="A43" s="118" t="s">
        <v>354</v>
      </c>
      <c r="B43" s="18" t="s">
        <v>139</v>
      </c>
      <c r="H43" s="18" t="s">
        <v>55</v>
      </c>
    </row>
    <row r="44" spans="1:8">
      <c r="A44" s="118" t="s">
        <v>354</v>
      </c>
      <c r="B44" s="18" t="s">
        <v>240</v>
      </c>
      <c r="H44" s="18" t="s">
        <v>60</v>
      </c>
    </row>
    <row r="45" spans="1:8">
      <c r="A45" s="118" t="s">
        <v>354</v>
      </c>
      <c r="B45" s="18" t="s">
        <v>278</v>
      </c>
      <c r="H45" s="18" t="s">
        <v>473</v>
      </c>
    </row>
    <row r="46" spans="1:8">
      <c r="A46" s="118" t="s">
        <v>354</v>
      </c>
      <c r="B46" s="18" t="s">
        <v>279</v>
      </c>
      <c r="H46" s="18" t="s">
        <v>61</v>
      </c>
    </row>
    <row r="47" spans="1:8">
      <c r="A47" s="118" t="s">
        <v>349</v>
      </c>
      <c r="B47" s="18" t="s">
        <v>91</v>
      </c>
      <c r="H47" s="18" t="s">
        <v>62</v>
      </c>
    </row>
    <row r="48" spans="1:8">
      <c r="A48" s="118" t="s">
        <v>349</v>
      </c>
      <c r="B48" s="18" t="s">
        <v>92</v>
      </c>
      <c r="H48" s="18" t="s">
        <v>474</v>
      </c>
    </row>
    <row r="49" spans="1:8">
      <c r="A49" s="118" t="s">
        <v>349</v>
      </c>
      <c r="B49" s="18" t="s">
        <v>93</v>
      </c>
      <c r="H49" s="18" t="s">
        <v>63</v>
      </c>
    </row>
    <row r="50" spans="1:8">
      <c r="A50" s="118" t="s">
        <v>349</v>
      </c>
      <c r="B50" s="18" t="s">
        <v>94</v>
      </c>
      <c r="H50" s="18" t="s">
        <v>56</v>
      </c>
    </row>
    <row r="51" spans="1:8">
      <c r="A51" s="118" t="s">
        <v>349</v>
      </c>
      <c r="B51" s="18" t="s">
        <v>96</v>
      </c>
      <c r="H51" s="18" t="s">
        <v>57</v>
      </c>
    </row>
    <row r="52" spans="1:8">
      <c r="A52" s="118" t="s">
        <v>349</v>
      </c>
      <c r="B52" s="18" t="s">
        <v>97</v>
      </c>
      <c r="H52" s="18" t="s">
        <v>64</v>
      </c>
    </row>
    <row r="53" spans="1:8">
      <c r="A53" s="118" t="s">
        <v>349</v>
      </c>
      <c r="B53" s="18" t="s">
        <v>98</v>
      </c>
      <c r="H53" s="18" t="s">
        <v>65</v>
      </c>
    </row>
    <row r="54" spans="1:8">
      <c r="A54" s="118" t="s">
        <v>349</v>
      </c>
      <c r="B54" s="18" t="s">
        <v>99</v>
      </c>
      <c r="H54" s="18" t="s">
        <v>475</v>
      </c>
    </row>
    <row r="55" spans="1:8">
      <c r="A55" s="118" t="s">
        <v>349</v>
      </c>
      <c r="B55" s="18" t="s">
        <v>101</v>
      </c>
      <c r="H55" s="18" t="s">
        <v>476</v>
      </c>
    </row>
    <row r="56" spans="1:8">
      <c r="A56" s="118" t="s">
        <v>349</v>
      </c>
      <c r="B56" s="18" t="s">
        <v>102</v>
      </c>
      <c r="H56" s="18" t="s">
        <v>66</v>
      </c>
    </row>
    <row r="57" spans="1:8">
      <c r="A57" s="118" t="s">
        <v>349</v>
      </c>
      <c r="B57" s="18" t="s">
        <v>103</v>
      </c>
      <c r="H57" s="18" t="s">
        <v>67</v>
      </c>
    </row>
    <row r="58" spans="1:8">
      <c r="A58" s="118" t="s">
        <v>349</v>
      </c>
      <c r="B58" s="18" t="s">
        <v>105</v>
      </c>
      <c r="H58" s="18" t="s">
        <v>503</v>
      </c>
    </row>
    <row r="59" spans="1:8">
      <c r="A59" s="118" t="s">
        <v>349</v>
      </c>
      <c r="B59" s="18" t="s">
        <v>301</v>
      </c>
      <c r="H59" s="18" t="s">
        <v>477</v>
      </c>
    </row>
    <row r="60" spans="1:8">
      <c r="A60" s="118" t="s">
        <v>349</v>
      </c>
      <c r="B60" s="18" t="s">
        <v>302</v>
      </c>
      <c r="H60" s="18" t="s">
        <v>478</v>
      </c>
    </row>
    <row r="61" spans="1:8">
      <c r="A61" s="118" t="s">
        <v>349</v>
      </c>
      <c r="B61" s="18" t="s">
        <v>106</v>
      </c>
      <c r="H61" s="18" t="s">
        <v>68</v>
      </c>
    </row>
    <row r="62" spans="1:8">
      <c r="A62" s="118" t="s">
        <v>349</v>
      </c>
      <c r="B62" s="18" t="s">
        <v>107</v>
      </c>
      <c r="H62" s="18" t="s">
        <v>75</v>
      </c>
    </row>
    <row r="63" spans="1:8">
      <c r="A63" s="118" t="s">
        <v>349</v>
      </c>
      <c r="B63" s="18" t="s">
        <v>108</v>
      </c>
      <c r="H63" s="18" t="s">
        <v>69</v>
      </c>
    </row>
    <row r="64" spans="1:8">
      <c r="A64" s="118" t="s">
        <v>349</v>
      </c>
      <c r="B64" s="18" t="s">
        <v>109</v>
      </c>
      <c r="H64" s="18" t="s">
        <v>70</v>
      </c>
    </row>
    <row r="65" spans="1:8">
      <c r="A65" s="118" t="s">
        <v>349</v>
      </c>
      <c r="B65" s="18" t="s">
        <v>110</v>
      </c>
      <c r="H65" s="18" t="s">
        <v>71</v>
      </c>
    </row>
    <row r="66" spans="1:8">
      <c r="A66" s="118" t="s">
        <v>349</v>
      </c>
      <c r="B66" s="18" t="s">
        <v>111</v>
      </c>
      <c r="H66" s="18" t="s">
        <v>72</v>
      </c>
    </row>
    <row r="67" spans="1:8">
      <c r="A67" s="118" t="s">
        <v>349</v>
      </c>
      <c r="B67" s="18" t="s">
        <v>112</v>
      </c>
      <c r="H67" s="18" t="s">
        <v>73</v>
      </c>
    </row>
    <row r="68" spans="1:8">
      <c r="A68" s="118" t="s">
        <v>349</v>
      </c>
      <c r="B68" s="18" t="s">
        <v>113</v>
      </c>
      <c r="H68" s="18" t="s">
        <v>74</v>
      </c>
    </row>
    <row r="69" spans="1:8">
      <c r="A69" s="118" t="s">
        <v>349</v>
      </c>
      <c r="B69" s="18" t="s">
        <v>114</v>
      </c>
      <c r="H69" s="18" t="s">
        <v>76</v>
      </c>
    </row>
    <row r="70" spans="1:8">
      <c r="A70" s="118" t="s">
        <v>349</v>
      </c>
      <c r="B70" s="18" t="s">
        <v>75</v>
      </c>
      <c r="H70" s="18" t="s">
        <v>77</v>
      </c>
    </row>
    <row r="71" spans="1:8">
      <c r="A71" s="118" t="s">
        <v>349</v>
      </c>
      <c r="B71" s="18" t="s">
        <v>115</v>
      </c>
      <c r="H71" s="18" t="s">
        <v>479</v>
      </c>
    </row>
    <row r="72" spans="1:8">
      <c r="A72" s="118" t="s">
        <v>349</v>
      </c>
      <c r="B72" s="18" t="s">
        <v>116</v>
      </c>
      <c r="H72" s="18" t="s">
        <v>544</v>
      </c>
    </row>
    <row r="73" spans="1:8">
      <c r="A73" s="118" t="s">
        <v>349</v>
      </c>
      <c r="B73" s="18" t="s">
        <v>117</v>
      </c>
      <c r="H73" s="18" t="s">
        <v>481</v>
      </c>
    </row>
    <row r="74" spans="1:8">
      <c r="A74" s="118" t="s">
        <v>349</v>
      </c>
      <c r="B74" s="18" t="s">
        <v>118</v>
      </c>
      <c r="H74" s="18" t="s">
        <v>482</v>
      </c>
    </row>
    <row r="75" spans="1:8">
      <c r="A75" s="118" t="s">
        <v>349</v>
      </c>
      <c r="B75" s="18" t="s">
        <v>357</v>
      </c>
      <c r="H75" s="18" t="s">
        <v>483</v>
      </c>
    </row>
    <row r="76" spans="1:8">
      <c r="A76" s="118" t="s">
        <v>349</v>
      </c>
      <c r="B76" s="18" t="s">
        <v>120</v>
      </c>
      <c r="H76" s="18" t="s">
        <v>484</v>
      </c>
    </row>
    <row r="77" spans="1:8">
      <c r="A77" s="118" t="s">
        <v>349</v>
      </c>
      <c r="B77" s="18" t="s">
        <v>121</v>
      </c>
      <c r="H77" s="18" t="s">
        <v>485</v>
      </c>
    </row>
    <row r="78" spans="1:8">
      <c r="A78" s="118" t="s">
        <v>349</v>
      </c>
      <c r="B78" s="18" t="s">
        <v>122</v>
      </c>
      <c r="H78" s="18" t="s">
        <v>486</v>
      </c>
    </row>
    <row r="79" spans="1:8">
      <c r="A79" s="118" t="s">
        <v>349</v>
      </c>
      <c r="B79" s="18" t="s">
        <v>123</v>
      </c>
      <c r="H79" s="18" t="s">
        <v>487</v>
      </c>
    </row>
    <row r="80" spans="1:8">
      <c r="A80" s="118" t="s">
        <v>349</v>
      </c>
      <c r="B80" s="18" t="s">
        <v>124</v>
      </c>
      <c r="H80" s="18" t="s">
        <v>488</v>
      </c>
    </row>
    <row r="81" spans="1:8">
      <c r="A81" s="118" t="s">
        <v>349</v>
      </c>
      <c r="B81" s="18" t="s">
        <v>125</v>
      </c>
      <c r="H81" s="18" t="s">
        <v>489</v>
      </c>
    </row>
    <row r="82" spans="1:8">
      <c r="A82" s="118" t="s">
        <v>349</v>
      </c>
      <c r="B82" s="18" t="s">
        <v>126</v>
      </c>
      <c r="H82" s="18" t="s">
        <v>490</v>
      </c>
    </row>
    <row r="83" spans="1:8">
      <c r="A83" s="118" t="s">
        <v>349</v>
      </c>
      <c r="B83" s="18" t="s">
        <v>64</v>
      </c>
      <c r="H83" s="18" t="s">
        <v>491</v>
      </c>
    </row>
    <row r="84" spans="1:8">
      <c r="A84" s="118" t="s">
        <v>349</v>
      </c>
      <c r="B84" s="18" t="s">
        <v>127</v>
      </c>
      <c r="H84" s="18" t="s">
        <v>492</v>
      </c>
    </row>
    <row r="85" spans="1:8">
      <c r="A85" s="118" t="s">
        <v>349</v>
      </c>
      <c r="B85" s="18" t="s">
        <v>128</v>
      </c>
      <c r="H85" s="18" t="s">
        <v>493</v>
      </c>
    </row>
    <row r="86" spans="1:8">
      <c r="A86" s="118" t="s">
        <v>349</v>
      </c>
      <c r="B86" s="18" t="s">
        <v>129</v>
      </c>
      <c r="H86" s="18" t="s">
        <v>494</v>
      </c>
    </row>
    <row r="87" spans="1:8">
      <c r="A87" s="118" t="s">
        <v>349</v>
      </c>
      <c r="B87" s="18" t="s">
        <v>130</v>
      </c>
      <c r="H87" s="18" t="s">
        <v>495</v>
      </c>
    </row>
    <row r="88" spans="1:8">
      <c r="A88" s="118" t="s">
        <v>349</v>
      </c>
      <c r="B88" s="18" t="s">
        <v>131</v>
      </c>
      <c r="H88" s="18" t="s">
        <v>539</v>
      </c>
    </row>
    <row r="89" spans="1:8">
      <c r="A89" s="118" t="s">
        <v>349</v>
      </c>
      <c r="B89" s="18" t="s">
        <v>132</v>
      </c>
      <c r="H89" s="18" t="s">
        <v>65</v>
      </c>
    </row>
    <row r="90" spans="1:8">
      <c r="H90" s="18" t="s">
        <v>496</v>
      </c>
    </row>
    <row r="91" spans="1:8">
      <c r="H91" s="18" t="s">
        <v>497</v>
      </c>
    </row>
    <row r="92" spans="1:8">
      <c r="H92" s="18" t="s">
        <v>498</v>
      </c>
    </row>
    <row r="93" spans="1:8">
      <c r="H93" s="18" t="s">
        <v>499</v>
      </c>
    </row>
    <row r="94" spans="1:8">
      <c r="H94" s="18" t="s">
        <v>500</v>
      </c>
    </row>
    <row r="95" spans="1:8">
      <c r="H95" s="18" t="s">
        <v>501</v>
      </c>
    </row>
    <row r="96" spans="1:8">
      <c r="H96" s="18" t="s">
        <v>502</v>
      </c>
    </row>
    <row r="97" spans="8:8">
      <c r="H97" s="18" t="s">
        <v>507</v>
      </c>
    </row>
    <row r="98" spans="8:8">
      <c r="H98" s="18" t="s">
        <v>78</v>
      </c>
    </row>
    <row r="99" spans="8:8">
      <c r="H99" s="18" t="s">
        <v>79</v>
      </c>
    </row>
    <row r="100" spans="8:8">
      <c r="H100" s="18" t="s">
        <v>504</v>
      </c>
    </row>
    <row r="101" spans="8:8">
      <c r="H101" s="18" t="s">
        <v>80</v>
      </c>
    </row>
    <row r="102" spans="8:8">
      <c r="H102" s="18" t="s">
        <v>81</v>
      </c>
    </row>
    <row r="103" spans="8:8">
      <c r="H103" s="18" t="s">
        <v>505</v>
      </c>
    </row>
    <row r="104" spans="8:8">
      <c r="H104" s="18" t="s">
        <v>82</v>
      </c>
    </row>
    <row r="105" spans="8:8">
      <c r="H105" s="18" t="s">
        <v>506</v>
      </c>
    </row>
    <row r="106" spans="8:8">
      <c r="H106" s="18" t="s">
        <v>83</v>
      </c>
    </row>
    <row r="107" spans="8:8">
      <c r="H107" s="18" t="s">
        <v>520</v>
      </c>
    </row>
    <row r="108" spans="8:8">
      <c r="H108" s="18" t="s">
        <v>84</v>
      </c>
    </row>
    <row r="109" spans="8:8">
      <c r="H109" s="18" t="s">
        <v>521</v>
      </c>
    </row>
    <row r="110" spans="8:8">
      <c r="H110" s="18" t="s">
        <v>11</v>
      </c>
    </row>
    <row r="111" spans="8:8">
      <c r="H111" s="18" t="s">
        <v>522</v>
      </c>
    </row>
    <row r="112" spans="8:8">
      <c r="H112" s="18" t="s">
        <v>523</v>
      </c>
    </row>
    <row r="113" spans="8:8">
      <c r="H113" s="18" t="s">
        <v>524</v>
      </c>
    </row>
    <row r="114" spans="8:8">
      <c r="H114" s="18" t="s">
        <v>525</v>
      </c>
    </row>
    <row r="115" spans="8:8">
      <c r="H115" s="18" t="s">
        <v>526</v>
      </c>
    </row>
    <row r="116" spans="8:8">
      <c r="H116" s="18" t="s">
        <v>527</v>
      </c>
    </row>
    <row r="117" spans="8:8">
      <c r="H117" s="18" t="s">
        <v>528</v>
      </c>
    </row>
    <row r="118" spans="8:8">
      <c r="H118" s="18" t="s">
        <v>529</v>
      </c>
    </row>
    <row r="119" spans="8:8">
      <c r="H119" s="18" t="s">
        <v>530</v>
      </c>
    </row>
    <row r="120" spans="8:8">
      <c r="H120" s="18" t="s">
        <v>531</v>
      </c>
    </row>
    <row r="121" spans="8:8">
      <c r="H121" s="18" t="s">
        <v>532</v>
      </c>
    </row>
    <row r="122" spans="8:8">
      <c r="H122" s="18" t="s">
        <v>533</v>
      </c>
    </row>
    <row r="123" spans="8:8">
      <c r="H123" s="18" t="s">
        <v>85</v>
      </c>
    </row>
    <row r="124" spans="8:8">
      <c r="H124" s="18" t="s">
        <v>508</v>
      </c>
    </row>
    <row r="125" spans="8:8">
      <c r="H125" s="18" t="s">
        <v>509</v>
      </c>
    </row>
    <row r="126" spans="8:8">
      <c r="H126" s="18" t="s">
        <v>102</v>
      </c>
    </row>
    <row r="127" spans="8:8">
      <c r="H127" s="18" t="s">
        <v>510</v>
      </c>
    </row>
    <row r="128" spans="8:8">
      <c r="H128" s="18" t="s">
        <v>511</v>
      </c>
    </row>
    <row r="129" spans="8:8">
      <c r="H129" s="18" t="s">
        <v>512</v>
      </c>
    </row>
    <row r="130" spans="8:8">
      <c r="H130" s="18" t="s">
        <v>513</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A34" zoomScale="85" zoomScaleNormal="85" workbookViewId="0">
      <selection activeCell="H46" sqref="H46:J46"/>
    </sheetView>
    <sheetView tabSelected="1" topLeftCell="A16" workbookViewId="1">
      <selection activeCell="H56" sqref="H56"/>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55" t="str">
        <f>+Portada!B12</f>
        <v>TUXPAS</v>
      </c>
      <c r="D11" s="255"/>
      <c r="E11" s="255"/>
      <c r="F11" s="255"/>
      <c r="G11" s="255"/>
      <c r="H11" s="255"/>
      <c r="I11" s="255"/>
      <c r="J11" s="255"/>
      <c r="K11" s="255"/>
    </row>
    <row r="12" spans="3:13">
      <c r="C12" s="256" t="s">
        <v>577</v>
      </c>
      <c r="D12" s="256"/>
      <c r="E12" s="256"/>
      <c r="F12" s="256"/>
      <c r="G12" s="256"/>
      <c r="H12" s="256"/>
      <c r="I12" s="256"/>
      <c r="J12" s="256"/>
      <c r="K12" s="256"/>
    </row>
    <row r="13" spans="3:13">
      <c r="L13" s="22"/>
      <c r="M13" s="22"/>
    </row>
    <row r="15" spans="3:13">
      <c r="D15" s="22" t="s">
        <v>451</v>
      </c>
      <c r="E15" s="22" t="s">
        <v>450</v>
      </c>
      <c r="F15" s="221" t="s">
        <v>0</v>
      </c>
      <c r="I15" s="22" t="s">
        <v>451</v>
      </c>
      <c r="J15" s="22" t="s">
        <v>450</v>
      </c>
      <c r="K15" s="221" t="s">
        <v>0</v>
      </c>
    </row>
    <row r="16" spans="3:13">
      <c r="F16" s="222"/>
      <c r="I16" s="18"/>
      <c r="J16" s="18"/>
      <c r="K16" s="222"/>
    </row>
    <row r="17" spans="3:13">
      <c r="C17" s="23" t="s">
        <v>338</v>
      </c>
      <c r="D17" s="23"/>
      <c r="E17" s="23"/>
      <c r="F17" s="223"/>
      <c r="H17" s="24" t="s">
        <v>340</v>
      </c>
      <c r="I17" s="24"/>
      <c r="J17" s="24"/>
      <c r="K17" s="223"/>
      <c r="L17" s="25"/>
      <c r="M17" s="25"/>
    </row>
    <row r="18" spans="3:13">
      <c r="C18" s="23"/>
      <c r="D18" s="23"/>
      <c r="E18" s="23"/>
      <c r="F18" s="223"/>
      <c r="H18" s="24"/>
      <c r="I18" s="24"/>
      <c r="J18" s="24"/>
      <c r="K18" s="223"/>
      <c r="L18" s="25"/>
      <c r="M18" s="25"/>
    </row>
    <row r="19" spans="3:13">
      <c r="C19" s="23" t="s">
        <v>339</v>
      </c>
      <c r="D19" s="23"/>
      <c r="E19" s="23"/>
      <c r="F19" s="222"/>
      <c r="H19" s="23" t="s">
        <v>341</v>
      </c>
      <c r="I19" s="23"/>
      <c r="J19" s="23"/>
      <c r="K19" s="222"/>
    </row>
    <row r="20" spans="3:13">
      <c r="C20" s="26" t="s">
        <v>254</v>
      </c>
      <c r="D20" s="26">
        <f>SUMIFS(BZ!$K:$K,BZ!$B:$B,C20,BZ!$D:$D,"PR")</f>
        <v>0</v>
      </c>
      <c r="E20" s="246">
        <f>SUMIFS(BZ!$K:$K,BZ!$B:$B,C20,BZ!$D:$D,"PNR")</f>
        <v>400395.04000000097</v>
      </c>
      <c r="F20" s="249">
        <f>D20+E20</f>
        <v>400395.04000000097</v>
      </c>
      <c r="H20" s="27" t="s">
        <v>266</v>
      </c>
      <c r="I20" s="26">
        <f>SUMIFS(BZ!$K:$K,BZ!$B:$B,H20,BZ!$D:$D,"PR")</f>
        <v>0</v>
      </c>
      <c r="J20" s="246">
        <f>SUMIFS(BZ!$K:$K,BZ!$B:$B,H20,BZ!$D:$D,"PNR")</f>
        <v>0</v>
      </c>
      <c r="K20" s="249">
        <f t="shared" ref="K20:K29" si="0">I20+J20</f>
        <v>0</v>
      </c>
    </row>
    <row r="21" spans="3:13">
      <c r="C21" s="26" t="s">
        <v>255</v>
      </c>
      <c r="D21" s="26">
        <f>SUMIFS(BZ!$K:$K,BZ!$B:$B,C21,BZ!$D:$D,"PR")</f>
        <v>0</v>
      </c>
      <c r="E21" s="246">
        <f>SUMIFS(BZ!$K:$K,BZ!$B:$B,C21,BZ!$D:$D,"PNR")</f>
        <v>0</v>
      </c>
      <c r="F21" s="249">
        <f>D21+E21</f>
        <v>0</v>
      </c>
      <c r="H21" s="27" t="s">
        <v>202</v>
      </c>
      <c r="I21" s="26">
        <f>SUMIFS(BZ!$K:$K,BZ!$B:$B,H21,BZ!$D:$D,"PR")</f>
        <v>0</v>
      </c>
      <c r="J21" s="246">
        <f>SUMIFS(BZ!$K:$K,BZ!$B:$B,H21,BZ!$D:$D,"PNR")</f>
        <v>1925926.9000000004</v>
      </c>
      <c r="K21" s="249">
        <f t="shared" si="0"/>
        <v>1925926.9000000004</v>
      </c>
    </row>
    <row r="22" spans="3:13">
      <c r="C22" s="26" t="s">
        <v>7</v>
      </c>
      <c r="D22" s="26">
        <f>SUMIFS(BZ!$K:$K,BZ!$B:$B,C22,BZ!$D:$D,"PR")</f>
        <v>0</v>
      </c>
      <c r="E22" s="246">
        <f>SUMIFS(BZ!$K:$K,BZ!$B:$B,C22,BZ!$D:$D,"PNR")</f>
        <v>1335114.29</v>
      </c>
      <c r="F22" s="249">
        <f t="shared" ref="F22:F27" si="1">D22+E22</f>
        <v>1335114.29</v>
      </c>
      <c r="H22" s="27" t="s">
        <v>267</v>
      </c>
      <c r="I22" s="26">
        <f>SUMIFS(BZ!$K:$K,BZ!$B:$B,H22,BZ!$D:$D,"PR")</f>
        <v>0</v>
      </c>
      <c r="J22" s="246">
        <f>SUMIFS(BZ!$K:$K,BZ!$B:$B,H22,BZ!$D:$D,"PNR")</f>
        <v>0</v>
      </c>
      <c r="K22" s="249">
        <f t="shared" si="0"/>
        <v>0</v>
      </c>
    </row>
    <row r="23" spans="3:13">
      <c r="C23" s="26" t="s">
        <v>256</v>
      </c>
      <c r="D23" s="26">
        <f>SUMIFS(BZ!$K:$K,BZ!$B:$B,C23,BZ!$D:$D,"PR")</f>
        <v>0</v>
      </c>
      <c r="E23" s="246">
        <f>SUMIFS(BZ!$K:$K,BZ!$B:$B,C23,BZ!$D:$D,"PNR")</f>
        <v>0</v>
      </c>
      <c r="F23" s="249">
        <f t="shared" si="1"/>
        <v>0</v>
      </c>
      <c r="H23" s="27" t="s">
        <v>268</v>
      </c>
      <c r="I23" s="26">
        <f>SUMIFS(BZ!$K:$K,BZ!$B:$B,H23,BZ!$D:$D,"PR")</f>
        <v>0</v>
      </c>
      <c r="J23" s="246">
        <f>SUMIFS(BZ!$K:$K,BZ!$B:$B,H23,BZ!$D:$D,"PNR")</f>
        <v>0</v>
      </c>
      <c r="K23" s="249">
        <f t="shared" si="0"/>
        <v>0</v>
      </c>
    </row>
    <row r="24" spans="3:13">
      <c r="C24" s="26" t="s">
        <v>15</v>
      </c>
      <c r="D24" s="26">
        <f>SUMIFS(BZ!$K:$K,BZ!$B:$B,C24,BZ!$D:$D,"PR")</f>
        <v>0</v>
      </c>
      <c r="E24" s="246">
        <f>SUMIFS(BZ!$K:$K,BZ!$B:$B,C24,BZ!$D:$D,"PNR")</f>
        <v>0</v>
      </c>
      <c r="F24" s="249">
        <f t="shared" si="1"/>
        <v>0</v>
      </c>
      <c r="H24" s="19" t="s">
        <v>16</v>
      </c>
      <c r="I24" s="26">
        <f>SUMIFS(BZ!$K:$K,BZ!$B:$B,H24,BZ!$D:$D,"PR")</f>
        <v>0</v>
      </c>
      <c r="J24" s="246">
        <f>SUMIFS(BZ!$K:$K,BZ!$B:$B,H24,BZ!$D:$D,"PNR")</f>
        <v>512690.05</v>
      </c>
      <c r="K24" s="249">
        <f t="shared" si="0"/>
        <v>512690.05</v>
      </c>
    </row>
    <row r="25" spans="3:13">
      <c r="C25" s="26" t="s">
        <v>257</v>
      </c>
      <c r="D25" s="26">
        <f>SUMIFS(BZ!$K:$K,BZ!$B:$B,C25,BZ!$D:$D,"PR")</f>
        <v>0</v>
      </c>
      <c r="E25" s="246">
        <f>SUMIFS(BZ!$K:$K,BZ!$B:$B,C25,BZ!$D:$D,"PNR")</f>
        <v>0</v>
      </c>
      <c r="F25" s="249">
        <f t="shared" si="1"/>
        <v>0</v>
      </c>
      <c r="H25" s="19" t="s">
        <v>269</v>
      </c>
      <c r="I25" s="26">
        <f>SUMIFS(BZ!$K:$K,BZ!$B:$B,H25,BZ!$D:$D,"PR")</f>
        <v>0</v>
      </c>
      <c r="J25" s="246">
        <f>SUMIFS(BZ!$K:$K,BZ!$B:$B,H25,BZ!$D:$D,"PNR")</f>
        <v>0</v>
      </c>
      <c r="K25" s="249">
        <f t="shared" si="0"/>
        <v>0</v>
      </c>
    </row>
    <row r="26" spans="3:13">
      <c r="C26" s="26" t="s">
        <v>258</v>
      </c>
      <c r="D26" s="26">
        <f>SUMIFS(BZ!$K:$K,BZ!$B:$B,C26,BZ!$D:$D,"PR")</f>
        <v>0</v>
      </c>
      <c r="E26" s="246">
        <f>SUMIFS(BZ!$K:$K,BZ!$B:$B,C26,BZ!$D:$D,"PNR")</f>
        <v>23532.349999999991</v>
      </c>
      <c r="F26" s="249">
        <f t="shared" si="1"/>
        <v>23532.349999999991</v>
      </c>
      <c r="H26" s="19" t="s">
        <v>270</v>
      </c>
      <c r="I26" s="26">
        <f>SUMIFS(BZ!$K:$K,BZ!$B:$B,H26,BZ!$D:$D,"PR")</f>
        <v>0</v>
      </c>
      <c r="J26" s="246">
        <f>SUMIFS(BZ!$K:$K,BZ!$B:$B,H26,BZ!$D:$D,"PNR")</f>
        <v>0</v>
      </c>
      <c r="K26" s="249">
        <f t="shared" si="0"/>
        <v>0</v>
      </c>
    </row>
    <row r="27" spans="3:13">
      <c r="C27" s="18" t="s">
        <v>371</v>
      </c>
      <c r="D27" s="26">
        <f>SUMIFS(BZ!$K:$K,BZ!$B:$B,C27,BZ!$D:$D,"PR")</f>
        <v>0</v>
      </c>
      <c r="E27" s="246">
        <f>SUMIFS(BZ!$K:$K,BZ!$B:$B,C27,BZ!$D:$D,"PNR")</f>
        <v>0</v>
      </c>
      <c r="F27" s="249">
        <f t="shared" si="1"/>
        <v>0</v>
      </c>
      <c r="H27" s="19" t="s">
        <v>271</v>
      </c>
      <c r="I27" s="26">
        <f>SUMIFS(BZ!$K:$K,BZ!$B:$B,H27,BZ!$D:$D,"PR")</f>
        <v>0</v>
      </c>
      <c r="J27" s="246">
        <f>SUMIFS(BZ!$K:$K,BZ!$B:$B,H27,BZ!$D:$D,"PNR")</f>
        <v>0</v>
      </c>
      <c r="K27" s="249">
        <f t="shared" si="0"/>
        <v>0</v>
      </c>
    </row>
    <row r="28" spans="3:13">
      <c r="C28" s="26" t="s">
        <v>135</v>
      </c>
      <c r="D28" s="26">
        <f>SUMIFS(BZ!$K:$K,BZ!$B:$B,C28,BZ!$D:$D,"PR")</f>
        <v>0</v>
      </c>
      <c r="E28" s="246">
        <f>SUMIFS(BZ!$K:$K,BZ!$B:$B,C28,BZ!$D:$D,"PNR")</f>
        <v>0</v>
      </c>
      <c r="F28" s="249">
        <f>D28+E28</f>
        <v>0</v>
      </c>
      <c r="H28" s="19" t="s">
        <v>272</v>
      </c>
      <c r="I28" s="26">
        <f>SUMIFS(BZ!$K:$K,BZ!$B:$B,H28,BZ!$D:$D,"PR")</f>
        <v>0</v>
      </c>
      <c r="J28" s="246">
        <f>SUMIFS(BZ!$K:$K,BZ!$B:$B,H28,BZ!$D:$D,"PNR")</f>
        <v>230648.98000000004</v>
      </c>
      <c r="K28" s="249">
        <f t="shared" si="0"/>
        <v>230648.98000000004</v>
      </c>
    </row>
    <row r="29" spans="3:13">
      <c r="C29" s="18" t="s">
        <v>259</v>
      </c>
      <c r="D29" s="26">
        <f>SUMIFS(BZ!$K:$K,BZ!$B:$B,C29,BZ!$D:$D,"PR")</f>
        <v>0</v>
      </c>
      <c r="E29" s="246">
        <f>SUMIFS(BZ!$K:$K,BZ!$B:$B,C29,BZ!$D:$D,"PNR")</f>
        <v>0</v>
      </c>
      <c r="F29" s="249">
        <f>D29+E29</f>
        <v>0</v>
      </c>
      <c r="H29" s="19" t="s">
        <v>543</v>
      </c>
      <c r="I29" s="26">
        <f>SUMIFS(BZ!$K:$K,BZ!$B:$B,H29,BZ!$D:$D,"PR")</f>
        <v>0</v>
      </c>
      <c r="J29" s="246">
        <f>SUMIFS(BZ!$K:$K,BZ!$B:$B,H29,BZ!$D:$D,"PNR")</f>
        <v>0</v>
      </c>
      <c r="K29" s="249">
        <f t="shared" si="0"/>
        <v>0</v>
      </c>
    </row>
    <row r="30" spans="3:13">
      <c r="C30" s="18" t="s">
        <v>542</v>
      </c>
      <c r="D30" s="26">
        <f>SUMIFS(BZ!$K:$K,BZ!$B:$B,C30,BZ!$D:$D,"PR")</f>
        <v>0</v>
      </c>
      <c r="E30" s="246">
        <f>SUMIFS(BZ!$K:$K,BZ!$B:$B,C30,BZ!$D:$D,"PNR")</f>
        <v>0</v>
      </c>
      <c r="F30" s="249">
        <f>D30+E30</f>
        <v>0</v>
      </c>
      <c r="J30" s="234"/>
      <c r="K30" s="71"/>
    </row>
    <row r="31" spans="3:13">
      <c r="C31" s="18" t="s">
        <v>260</v>
      </c>
      <c r="D31" s="26">
        <f>SUMIFS(BZ!$K:$K,BZ!$B:$B,C31,BZ!$D:$D,"PR")</f>
        <v>0</v>
      </c>
      <c r="E31" s="246">
        <f>SUMIFS(BZ!$K:$K,BZ!$B:$B,C31,BZ!$D:$D,"PNR")</f>
        <v>0</v>
      </c>
      <c r="F31" s="249">
        <f>D31+E31</f>
        <v>0</v>
      </c>
      <c r="H31" s="23" t="s">
        <v>343</v>
      </c>
      <c r="I31" s="23"/>
      <c r="J31" s="129"/>
      <c r="K31" s="249"/>
    </row>
    <row r="32" spans="3:13">
      <c r="E32" s="71"/>
      <c r="F32" s="249"/>
      <c r="H32" s="19" t="s">
        <v>273</v>
      </c>
      <c r="I32" s="26">
        <f>SUMIFS(BZ!$K:$K,BZ!$B:$B,H32,BZ!$D:$D,"PR")</f>
        <v>0</v>
      </c>
      <c r="J32" s="246">
        <f>SUMIFS(BZ!$K:$K,BZ!$B:$B,H32,BZ!$D:$D,"PNR")</f>
        <v>0</v>
      </c>
      <c r="K32" s="249">
        <f t="shared" ref="K32:K38" si="2">I32+J32</f>
        <v>0</v>
      </c>
    </row>
    <row r="33" spans="3:11">
      <c r="C33" s="23" t="s">
        <v>342</v>
      </c>
      <c r="D33" s="23"/>
      <c r="E33" s="129"/>
      <c r="F33" s="249"/>
      <c r="H33" s="19" t="s">
        <v>205</v>
      </c>
      <c r="I33" s="26">
        <f>SUMIFS(BZ!$K:$K,BZ!$B:$B,H33,BZ!$D:$D,"PR")</f>
        <v>0</v>
      </c>
      <c r="J33" s="246">
        <f>SUMIFS(BZ!$K:$K,BZ!$B:$B,H33,BZ!$D:$D,"PNR")</f>
        <v>0</v>
      </c>
      <c r="K33" s="249">
        <f t="shared" si="2"/>
        <v>0</v>
      </c>
    </row>
    <row r="34" spans="3:11">
      <c r="C34" s="18" t="s">
        <v>261</v>
      </c>
      <c r="D34" s="26">
        <f>SUMIFS(BZ!$K:$K,BZ!$B:$B,C34,BZ!$D:$D,"PR")</f>
        <v>0</v>
      </c>
      <c r="E34" s="246">
        <f>SUMIFS(BZ!$K:$K,BZ!$B:$B,C34,BZ!$D:$D,"PNR")</f>
        <v>0</v>
      </c>
      <c r="F34" s="249">
        <f t="shared" ref="F34:F41" si="3">D34+E34</f>
        <v>0</v>
      </c>
      <c r="H34" s="19" t="s">
        <v>274</v>
      </c>
      <c r="I34" s="26">
        <f>SUMIFS(BZ!$K:$K,BZ!$B:$B,H34,BZ!$D:$D,"PR")</f>
        <v>0</v>
      </c>
      <c r="J34" s="246">
        <f>SUMIFS(BZ!$K:$K,BZ!$B:$B,H34,BZ!$D:$D,"PNR")</f>
        <v>0</v>
      </c>
      <c r="K34" s="249">
        <f t="shared" si="2"/>
        <v>0</v>
      </c>
    </row>
    <row r="35" spans="3:11">
      <c r="C35" s="18" t="s">
        <v>363</v>
      </c>
      <c r="D35" s="26">
        <f>-SUMIFS(BZ!$K:$K,BZ!$B:$B,C35,BZ!$D:$D,"PR")</f>
        <v>0</v>
      </c>
      <c r="E35" s="246">
        <f>-SUMIFS(BZ!$K:$K,BZ!$B:$B,C35,BZ!$D:$D,"PNR")</f>
        <v>0</v>
      </c>
      <c r="F35" s="249">
        <f t="shared" si="3"/>
        <v>0</v>
      </c>
      <c r="H35" s="19" t="s">
        <v>136</v>
      </c>
      <c r="I35" s="26">
        <f>SUMIFS(BZ!$K:$K,BZ!$B:$B,H35,BZ!$D:$D,"PR")</f>
        <v>0</v>
      </c>
      <c r="J35" s="246">
        <f>SUMIFS(BZ!$K:$K,BZ!$B:$B,H35,BZ!$D:$D,"PNR")</f>
        <v>0</v>
      </c>
      <c r="K35" s="249">
        <f t="shared" si="2"/>
        <v>0</v>
      </c>
    </row>
    <row r="36" spans="3:11">
      <c r="C36" s="18" t="s">
        <v>262</v>
      </c>
      <c r="D36" s="26">
        <f>SUMIFS(BZ!$K:$K,BZ!$B:$B,C36,BZ!$D:$D,"PR")</f>
        <v>0</v>
      </c>
      <c r="E36" s="246">
        <f>SUMIFS(BZ!$K:$K,BZ!$B:$B,C36,BZ!$D:$D,"PNR")</f>
        <v>0</v>
      </c>
      <c r="F36" s="249">
        <f t="shared" si="3"/>
        <v>0</v>
      </c>
      <c r="H36" s="19" t="s">
        <v>275</v>
      </c>
      <c r="I36" s="26">
        <f>SUMIFS(BZ!$K:$K,BZ!$B:$B,H36,BZ!$D:$D,"PR")</f>
        <v>0</v>
      </c>
      <c r="J36" s="246">
        <f>SUMIFS(BZ!$K:$K,BZ!$B:$B,H36,BZ!$D:$D,"PNR")</f>
        <v>0</v>
      </c>
      <c r="K36" s="249">
        <f t="shared" si="2"/>
        <v>0</v>
      </c>
    </row>
    <row r="37" spans="3:11">
      <c r="C37" s="18" t="s">
        <v>200</v>
      </c>
      <c r="D37" s="26">
        <f>SUMIFS(BZ!$K:$K,BZ!$B:$B,C37,BZ!$D:$D,"PR")</f>
        <v>0</v>
      </c>
      <c r="E37" s="246">
        <f>SUMIFS(BZ!$K:$K,BZ!$B:$B,C37,BZ!$D:$D,"PNR")</f>
        <v>0</v>
      </c>
      <c r="F37" s="249">
        <f t="shared" si="3"/>
        <v>0</v>
      </c>
      <c r="H37" s="19" t="s">
        <v>276</v>
      </c>
      <c r="I37" s="26">
        <f>SUMIFS(BZ!$K:$K,BZ!$B:$B,H37,BZ!$D:$D,"PR")</f>
        <v>0</v>
      </c>
      <c r="J37" s="246">
        <f>SUMIFS(BZ!$K:$K,BZ!$B:$B,H37,BZ!$D:$D,"PNR")</f>
        <v>0</v>
      </c>
      <c r="K37" s="249">
        <f t="shared" si="2"/>
        <v>0</v>
      </c>
    </row>
    <row r="38" spans="3:11">
      <c r="C38" s="18" t="s">
        <v>263</v>
      </c>
      <c r="D38" s="26">
        <f>SUMIFS(BZ!$K:$K,BZ!$B:$B,C38,BZ!$D:$D,"PR")</f>
        <v>0</v>
      </c>
      <c r="E38" s="246">
        <f>SUMIFS(BZ!$K:$K,BZ!$B:$B,C38,BZ!$D:$D,"PNR")</f>
        <v>0</v>
      </c>
      <c r="F38" s="249">
        <f t="shared" si="3"/>
        <v>0</v>
      </c>
      <c r="H38" s="19" t="s">
        <v>277</v>
      </c>
      <c r="I38" s="26">
        <f>SUMIFS(BZ!$K:$K,BZ!$B:$B,H38,BZ!$D:$D,"PR")</f>
        <v>0</v>
      </c>
      <c r="J38" s="246">
        <f>SUMIFS(BZ!$K:$K,BZ!$B:$B,H38,BZ!$D:$D,"PNR")</f>
        <v>0</v>
      </c>
      <c r="K38" s="249">
        <f t="shared" si="2"/>
        <v>0</v>
      </c>
    </row>
    <row r="39" spans="3:11">
      <c r="C39" s="18" t="s">
        <v>201</v>
      </c>
      <c r="D39" s="26">
        <f>SUMIFS(BZ!$K:$K,BZ!$B:$B,C39,BZ!$D:$D,"PR")</f>
        <v>0</v>
      </c>
      <c r="E39" s="246">
        <f>SUMIFS(BZ!$K:$K,BZ!$B:$B,C39,BZ!$D:$D,"PNR")</f>
        <v>0</v>
      </c>
      <c r="F39" s="249">
        <f t="shared" si="3"/>
        <v>0</v>
      </c>
      <c r="J39" s="234"/>
      <c r="K39" s="249"/>
    </row>
    <row r="40" spans="3:11">
      <c r="C40" s="18" t="s">
        <v>264</v>
      </c>
      <c r="D40" s="26">
        <f>SUMIFS(BZ!$K:$K,BZ!$B:$B,C40,BZ!$D:$D,"PR")</f>
        <v>0</v>
      </c>
      <c r="E40" s="246">
        <f>SUMIFS(BZ!$K:$K,BZ!$B:$B,C40,BZ!$D:$D,"PNR")</f>
        <v>0</v>
      </c>
      <c r="F40" s="249">
        <f t="shared" si="3"/>
        <v>0</v>
      </c>
      <c r="H40" s="24" t="s">
        <v>345</v>
      </c>
      <c r="I40" s="28">
        <f>SUM(I20:I29,I32:I38)</f>
        <v>0</v>
      </c>
      <c r="J40" s="90">
        <f>SUM(J20:J29,J32:J38)</f>
        <v>2669265.9300000002</v>
      </c>
      <c r="K40" s="249">
        <f>I40+J40</f>
        <v>2669265.9300000002</v>
      </c>
    </row>
    <row r="41" spans="3:11">
      <c r="C41" s="18" t="s">
        <v>265</v>
      </c>
      <c r="D41" s="26">
        <f>SUMIFS(BZ!$K:$K,BZ!$B:$B,C41,BZ!$D:$D,"PR")</f>
        <v>0</v>
      </c>
      <c r="E41" s="246">
        <f>SUMIFS(BZ!$K:$K,BZ!$B:$B,C41,BZ!$D:$D,"PNR")</f>
        <v>0</v>
      </c>
      <c r="F41" s="249">
        <f t="shared" si="3"/>
        <v>0</v>
      </c>
      <c r="J41" s="234"/>
      <c r="K41" s="249"/>
    </row>
    <row r="42" spans="3:11">
      <c r="C42" s="18" t="s">
        <v>541</v>
      </c>
      <c r="D42" s="26">
        <f>SUMIFS(BZ!$K:$K,BZ!$B:$B,C42,BZ!$D:$D,"PR")</f>
        <v>0</v>
      </c>
      <c r="E42" s="246">
        <f>SUMIFS(BZ!$K:$K,BZ!$B:$B,C42,BZ!$D:$D,"PNR")</f>
        <v>0</v>
      </c>
      <c r="F42" s="249">
        <f t="shared" ref="F42" si="4">D42+E42</f>
        <v>0</v>
      </c>
      <c r="H42" s="24" t="s">
        <v>137</v>
      </c>
      <c r="I42" s="24"/>
      <c r="J42" s="248"/>
      <c r="K42" s="249"/>
    </row>
    <row r="43" spans="3:11">
      <c r="E43" s="71"/>
      <c r="F43" s="71"/>
      <c r="J43" s="234"/>
      <c r="K43" s="249"/>
    </row>
    <row r="44" spans="3:11">
      <c r="C44" s="23" t="s">
        <v>344</v>
      </c>
      <c r="D44" s="28">
        <f>SUM(D20:D31,D34:D42)</f>
        <v>0</v>
      </c>
      <c r="E44" s="90">
        <f>SUM(E20:E31,E34:E42)</f>
        <v>1759041.6800000011</v>
      </c>
      <c r="F44" s="249">
        <f>D44+E44</f>
        <v>1759041.6800000011</v>
      </c>
      <c r="H44" s="19" t="s">
        <v>209</v>
      </c>
      <c r="I44" s="246">
        <f>SUMIFS(BZ!$K:$K,BZ!$B:$B,H44,BZ!$D:$D,"PR")</f>
        <v>0</v>
      </c>
      <c r="J44" s="246">
        <f>SUMIFS(BZ!$K:$K,BZ!$B:$B,H44,BZ!$D:$D,"PNR")</f>
        <v>10000</v>
      </c>
      <c r="K44" s="249">
        <f t="shared" ref="K44:K45" si="5">I44+J44</f>
        <v>10000</v>
      </c>
    </row>
    <row r="45" spans="3:11">
      <c r="F45" s="28"/>
      <c r="H45" s="19" t="s">
        <v>138</v>
      </c>
      <c r="I45" s="26">
        <f>SUMIFS(BZ!$K:$K,BZ!$B:$B,H45,BZ!$D:$D,"PR")</f>
        <v>0</v>
      </c>
      <c r="J45" s="246">
        <f>SUMIFS(BZ!$K:$K,BZ!$B:$B,H45,BZ!$D:$D,"PNR")</f>
        <v>0</v>
      </c>
      <c r="K45" s="249">
        <f t="shared" si="5"/>
        <v>0</v>
      </c>
    </row>
    <row r="46" spans="3:11">
      <c r="F46" s="28"/>
      <c r="H46" s="19" t="s">
        <v>139</v>
      </c>
      <c r="I46" s="26">
        <f>SUMIFS(BZ!$K:$K,BZ!$B:$B,H46,BZ!$D:$D,"PR")</f>
        <v>0</v>
      </c>
      <c r="J46" s="246">
        <f>SUMIFS(BZ!$K:$K,BZ!$B:$B,H46,BZ!$D:$D,"PNR")*-1</f>
        <v>-20040.75</v>
      </c>
      <c r="K46" s="249">
        <f t="shared" ref="K46" si="6">I46+J46</f>
        <v>-20040.75</v>
      </c>
    </row>
    <row r="47" spans="3:11">
      <c r="F47" s="28"/>
      <c r="H47" s="19" t="s">
        <v>540</v>
      </c>
      <c r="I47" s="26">
        <f>ER!C73</f>
        <v>0</v>
      </c>
      <c r="J47" s="283">
        <f>ER!D73</f>
        <v>-900183.49999999721</v>
      </c>
      <c r="K47" s="249">
        <f>I47+J47</f>
        <v>-900183.49999999721</v>
      </c>
    </row>
    <row r="48" spans="3:11">
      <c r="F48" s="28"/>
      <c r="H48" s="19" t="s">
        <v>240</v>
      </c>
      <c r="I48" s="26">
        <f>SUMIFS(BZ!$K:$K,BZ!$B:$B,H48,BZ!$D:$D,"PR")</f>
        <v>0</v>
      </c>
      <c r="J48" s="246">
        <f>SUMIFS(BZ!$K:$K,BZ!$B:$B,H48,BZ!$D:$D,"PNR")</f>
        <v>0</v>
      </c>
      <c r="K48" s="249">
        <f>I48+J48</f>
        <v>0</v>
      </c>
    </row>
    <row r="49" spans="6:13">
      <c r="F49" s="28"/>
      <c r="H49" s="19" t="s">
        <v>278</v>
      </c>
      <c r="I49" s="26">
        <f>SUMIFS(BZ!$K:$K,BZ!$B:$B,H49,BZ!$D:$D,"PR")</f>
        <v>0</v>
      </c>
      <c r="J49" s="246">
        <f>SUMIFS(BZ!$K:$K,BZ!$B:$B,H49,BZ!$D:$D,"PNR")</f>
        <v>0</v>
      </c>
      <c r="K49" s="249">
        <f>I49+J49</f>
        <v>0</v>
      </c>
    </row>
    <row r="50" spans="6:13">
      <c r="F50" s="28"/>
      <c r="H50" s="19" t="s">
        <v>279</v>
      </c>
      <c r="I50" s="26">
        <f>SUMIFS(BZ!$K:$K,BZ!$B:$B,H50,BZ!$D:$D,"PR")</f>
        <v>0</v>
      </c>
      <c r="J50" s="246">
        <f>SUMIFS(BZ!$K:$K,BZ!$B:$B,H50,BZ!$D:$D,"PNR")</f>
        <v>0</v>
      </c>
      <c r="K50" s="249">
        <f>I50+J50</f>
        <v>0</v>
      </c>
      <c r="M50" s="30"/>
    </row>
    <row r="51" spans="6:13">
      <c r="F51" s="28"/>
      <c r="J51" s="234"/>
      <c r="K51" s="249"/>
      <c r="L51" s="30"/>
      <c r="M51" s="30"/>
    </row>
    <row r="52" spans="6:13">
      <c r="F52" s="115"/>
      <c r="H52" s="24" t="s">
        <v>346</v>
      </c>
      <c r="I52" s="20">
        <f>SUM(I44:I50)</f>
        <v>0</v>
      </c>
      <c r="J52" s="71">
        <f>SUM(J44:J50)</f>
        <v>-910224.24999999721</v>
      </c>
      <c r="K52" s="249">
        <f>I52+J52</f>
        <v>-910224.24999999721</v>
      </c>
      <c r="L52" s="30"/>
      <c r="M52" s="30"/>
    </row>
    <row r="53" spans="6:13">
      <c r="F53" s="116"/>
      <c r="J53" s="234"/>
      <c r="K53" s="249"/>
      <c r="L53" s="30"/>
    </row>
    <row r="54" spans="6:13">
      <c r="F54" s="115"/>
      <c r="H54" s="24" t="s">
        <v>347</v>
      </c>
      <c r="I54" s="28">
        <f>I40+I52</f>
        <v>0</v>
      </c>
      <c r="J54" s="90">
        <f>J40+J52</f>
        <v>1759041.680000003</v>
      </c>
      <c r="K54" s="249">
        <f>I54+J54</f>
        <v>1759041.680000003</v>
      </c>
      <c r="L54" s="31"/>
    </row>
    <row r="55" spans="6:13">
      <c r="F55" s="115"/>
      <c r="J55" s="234"/>
      <c r="K55" s="250"/>
      <c r="L55" s="29"/>
    </row>
    <row r="56" spans="6:13">
      <c r="F56" s="115"/>
      <c r="J56" s="234"/>
      <c r="K56" s="247">
        <f>F44-K54</f>
        <v>-1.862645149230957E-9</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48" zoomScale="85" zoomScaleNormal="85" workbookViewId="0">
      <selection activeCell="D45" sqref="C45:D47"/>
    </sheetView>
    <sheetView topLeftCell="A51" workbookViewId="1">
      <selection activeCell="G19" sqref="G19"/>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348</v>
      </c>
    </row>
    <row r="3" spans="2:8" ht="15">
      <c r="B3" s="3" t="s">
        <v>372</v>
      </c>
      <c r="C3" s="101"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55" t="str">
        <f>+Portada!B12</f>
        <v>TUXPAS</v>
      </c>
      <c r="C19" s="255"/>
      <c r="D19" s="255"/>
      <c r="E19" s="255"/>
    </row>
    <row r="20" spans="1:8">
      <c r="B20" s="256" t="s">
        <v>547</v>
      </c>
      <c r="C20" s="256"/>
      <c r="D20" s="256"/>
      <c r="E20" s="256"/>
    </row>
    <row r="22" spans="1:8">
      <c r="C22" s="41" t="s">
        <v>451</v>
      </c>
      <c r="D22" s="41" t="s">
        <v>450</v>
      </c>
      <c r="E22" s="42" t="s">
        <v>0</v>
      </c>
    </row>
    <row r="23" spans="1:8" outlineLevel="1">
      <c r="A23" s="21" t="s">
        <v>6</v>
      </c>
      <c r="B23" s="18" t="s">
        <v>91</v>
      </c>
      <c r="C23" s="90">
        <f>SUMIFS(BZ!$K:$K,BZ!$B:$B,B23,BZ!$D:$D,"PR")</f>
        <v>0</v>
      </c>
      <c r="D23" s="90">
        <f>SUMIFS(BZ!$K:$K,BZ!$B:$B,B23,BZ!$D:$D,"PNR")</f>
        <v>6262707.8300000019</v>
      </c>
      <c r="E23" s="44">
        <f>SUM(C23:D23)</f>
        <v>6262707.8300000019</v>
      </c>
    </row>
    <row r="24" spans="1:8" outlineLevel="1">
      <c r="A24" s="21"/>
      <c r="B24" s="18" t="s">
        <v>92</v>
      </c>
      <c r="C24" s="90">
        <f>SUMIFS(BZ!$K:$K,BZ!$B:$B,B24,BZ!$D:$D,"PR")</f>
        <v>0</v>
      </c>
      <c r="D24" s="90">
        <f>SUMIFS(BZ!$K:$K,BZ!$B:$B,B24,BZ!$D:$D,"PNR")</f>
        <v>0</v>
      </c>
      <c r="E24" s="44">
        <f t="shared" ref="E24:E72" si="0">SUM(C24:D24)</f>
        <v>0</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6">
        <f>C23+C24-C25-C26</f>
        <v>0</v>
      </c>
      <c r="D27" s="226">
        <f>D23+D24-D25-D26</f>
        <v>6262707.8300000019</v>
      </c>
      <c r="E27" s="48">
        <f>C27+D27</f>
        <v>6262707.8300000019</v>
      </c>
    </row>
    <row r="28" spans="1:8" outlineLevel="1">
      <c r="A28" s="21"/>
      <c r="B28" s="18" t="s">
        <v>96</v>
      </c>
      <c r="C28" s="227">
        <f>SUMIFS(BZ!$K:$K,BZ!$B:$B,B28,BZ!$D:$D,"PR")</f>
        <v>0</v>
      </c>
      <c r="D28" s="227">
        <f>SUMIFS(BZ!$K:$K,BZ!$B:$B,B28,BZ!$D:$D,"PNR")</f>
        <v>0</v>
      </c>
      <c r="E28" s="44">
        <f t="shared" si="0"/>
        <v>0</v>
      </c>
    </row>
    <row r="29" spans="1:8" outlineLevel="1">
      <c r="A29" s="21"/>
      <c r="B29" s="18" t="s">
        <v>97</v>
      </c>
      <c r="C29" s="227">
        <f>SUMIFS(BZ!$K:$K,BZ!$B:$B,B29,BZ!$D:$D,"PR")</f>
        <v>0</v>
      </c>
      <c r="D29" s="227">
        <f>SUMIFS(BZ!$K:$K,BZ!$B:$B,B29,BZ!$D:$D,"PNR")</f>
        <v>0</v>
      </c>
      <c r="E29" s="44">
        <f t="shared" si="0"/>
        <v>0</v>
      </c>
    </row>
    <row r="30" spans="1:8" outlineLevel="1">
      <c r="A30" s="21"/>
      <c r="B30" s="18" t="s">
        <v>98</v>
      </c>
      <c r="C30" s="227">
        <f>SUMIFS(BZ!$K:$K,BZ!$B:$B,B30,BZ!$D:$D,"PR")</f>
        <v>0</v>
      </c>
      <c r="D30" s="227">
        <f>SUMIFS(BZ!$K:$K,BZ!$B:$B,B30,BZ!$D:$D,"PNR")</f>
        <v>0</v>
      </c>
      <c r="E30" s="44">
        <f t="shared" si="0"/>
        <v>0</v>
      </c>
    </row>
    <row r="31" spans="1:8" outlineLevel="1">
      <c r="A31" s="21"/>
      <c r="B31" s="18" t="s">
        <v>99</v>
      </c>
      <c r="C31" s="227">
        <f>SUMIFS(BZ!$K:$K,BZ!$B:$B,B31,BZ!$D:$D,"PR")</f>
        <v>0</v>
      </c>
      <c r="D31" s="227">
        <f>SUMIFS(BZ!$K:$K,BZ!$B:$B,B31,BZ!$D:$D,"PNR")</f>
        <v>0</v>
      </c>
      <c r="E31" s="44">
        <f t="shared" si="0"/>
        <v>0</v>
      </c>
    </row>
    <row r="32" spans="1:8">
      <c r="A32" s="21"/>
      <c r="B32" s="23" t="s">
        <v>100</v>
      </c>
      <c r="C32" s="226">
        <f>C28+C29+C30-C31</f>
        <v>0</v>
      </c>
      <c r="D32" s="226">
        <f>D28+D29+D30-D31</f>
        <v>0</v>
      </c>
      <c r="E32" s="48">
        <f>C32+D32</f>
        <v>0</v>
      </c>
    </row>
    <row r="33" spans="1:7" outlineLevel="1">
      <c r="A33" s="21"/>
      <c r="B33" s="18" t="s">
        <v>101</v>
      </c>
      <c r="C33" s="227">
        <f>SUMIFS(BZ!$K:$K,BZ!$B:$B,B33,BZ!$D:$D,"PR")</f>
        <v>0</v>
      </c>
      <c r="D33" s="227">
        <f>SUMIFS(BZ!$K:$K,BZ!$B:$B,B33,BZ!$D:$D,"PNR")</f>
        <v>0</v>
      </c>
      <c r="E33" s="44">
        <f t="shared" si="0"/>
        <v>0</v>
      </c>
    </row>
    <row r="34" spans="1:7" outlineLevel="1">
      <c r="A34" s="21"/>
      <c r="B34" s="18" t="s">
        <v>102</v>
      </c>
      <c r="C34" s="227">
        <f>SUMIFS(BZ!$K:$K,BZ!$B:$B,B34,BZ!$D:$D,"PR")</f>
        <v>0</v>
      </c>
      <c r="D34" s="227">
        <f>SUMIFS(BZ!$K:$K,BZ!$B:$B,B34,BZ!$D:$D,"PNR")</f>
        <v>0</v>
      </c>
      <c r="E34" s="44">
        <f t="shared" si="0"/>
        <v>0</v>
      </c>
    </row>
    <row r="35" spans="1:7" outlineLevel="1">
      <c r="A35" s="21"/>
      <c r="B35" s="18" t="s">
        <v>103</v>
      </c>
      <c r="C35" s="227">
        <f>SUMIFS(BZ!$K:$K,BZ!$B:$B,B35,BZ!$D:$D,"PR")</f>
        <v>0</v>
      </c>
      <c r="D35" s="227">
        <f>SUMIFS(BZ!$K:$K,BZ!$B:$B,B35,BZ!$D:$D,"PNR")</f>
        <v>0</v>
      </c>
      <c r="E35" s="44">
        <f t="shared" si="0"/>
        <v>0</v>
      </c>
    </row>
    <row r="36" spans="1:7">
      <c r="A36" s="21"/>
      <c r="B36" s="23" t="s">
        <v>104</v>
      </c>
      <c r="C36" s="226">
        <f>C33+C34+C35</f>
        <v>0</v>
      </c>
      <c r="D36" s="226">
        <f>D33+D34+D35</f>
        <v>0</v>
      </c>
      <c r="E36" s="48">
        <f>C36+D36</f>
        <v>0</v>
      </c>
    </row>
    <row r="37" spans="1:7">
      <c r="A37" s="21"/>
      <c r="B37" s="23" t="s">
        <v>355</v>
      </c>
      <c r="C37" s="226">
        <f>C27-C32-C36</f>
        <v>0</v>
      </c>
      <c r="D37" s="226">
        <f>D27-D32-D36</f>
        <v>6262707.8300000019</v>
      </c>
      <c r="E37" s="48">
        <f>C37+D37</f>
        <v>6262707.8300000019</v>
      </c>
    </row>
    <row r="38" spans="1:7" outlineLevel="1">
      <c r="A38" s="21"/>
      <c r="B38" s="18" t="s">
        <v>105</v>
      </c>
      <c r="C38" s="227">
        <f>SUMIFS(BZ!$K:$K,BZ!$B:$B,B38,BZ!$D:$D,"PR")</f>
        <v>0</v>
      </c>
      <c r="D38" s="227">
        <f>SUMIFS(BZ!$K:$K,BZ!$B:$B,B38,BZ!$D:$D,"PNR")</f>
        <v>0</v>
      </c>
      <c r="E38" s="44">
        <f t="shared" si="0"/>
        <v>0</v>
      </c>
      <c r="G38" s="20"/>
    </row>
    <row r="39" spans="1:7" outlineLevel="1">
      <c r="A39" s="21"/>
      <c r="B39" s="18" t="s">
        <v>301</v>
      </c>
      <c r="C39" s="227">
        <f>SUMIFS(BZ!$K:$K,BZ!$B:$B,B39,BZ!$D:$D,"PR")</f>
        <v>0</v>
      </c>
      <c r="D39" s="227">
        <f>SUMIFS(BZ!$K:$K,BZ!$B:$B,B39,BZ!$D:$D,"PNR")</f>
        <v>0</v>
      </c>
      <c r="E39" s="44">
        <f t="shared" si="0"/>
        <v>0</v>
      </c>
      <c r="F39" s="46"/>
      <c r="G39" s="46"/>
    </row>
    <row r="40" spans="1:7" outlineLevel="1">
      <c r="A40" s="21"/>
      <c r="B40" s="18" t="s">
        <v>302</v>
      </c>
      <c r="C40" s="227">
        <f>SUMIFS(BZ!$K:$K,BZ!$B:$B,B40,BZ!$D:$D,"PR")</f>
        <v>0</v>
      </c>
      <c r="D40" s="227">
        <f>SUMIFS(BZ!$K:$K,BZ!$B:$B,B40,BZ!$D:$D,"PNR")</f>
        <v>7239646.8699999992</v>
      </c>
      <c r="E40" s="44">
        <f t="shared" si="0"/>
        <v>7239646.8699999992</v>
      </c>
    </row>
    <row r="41" spans="1:7">
      <c r="A41" s="21"/>
      <c r="B41" s="23" t="s">
        <v>356</v>
      </c>
      <c r="C41" s="226">
        <f>C37-C38-C39-C40</f>
        <v>0</v>
      </c>
      <c r="D41" s="226">
        <f>D37-D38-D39-D40</f>
        <v>-976939.03999999724</v>
      </c>
      <c r="E41" s="48">
        <f>C41+D41</f>
        <v>-976939.03999999724</v>
      </c>
    </row>
    <row r="42" spans="1:7" outlineLevel="1">
      <c r="A42" s="21"/>
      <c r="B42" s="18" t="s">
        <v>106</v>
      </c>
      <c r="C42" s="227">
        <f>SUMIFS(BZ!$K:$K,BZ!$B:$B,B42,BZ!$D:$D,"PR")</f>
        <v>0</v>
      </c>
      <c r="D42" s="227">
        <f>SUMIFS(BZ!$K:$K,BZ!$B:$B,B42,BZ!$D:$D,"PNR")</f>
        <v>0</v>
      </c>
      <c r="E42" s="44">
        <f t="shared" si="0"/>
        <v>0</v>
      </c>
    </row>
    <row r="43" spans="1:7" outlineLevel="1">
      <c r="A43" s="21"/>
      <c r="B43" s="18" t="s">
        <v>107</v>
      </c>
      <c r="C43" s="227">
        <f>SUMIFS(BZ!$K:$K,BZ!$B:$B,B43,BZ!$D:$D,"PR")</f>
        <v>0</v>
      </c>
      <c r="D43" s="227">
        <f>SUMIFS(BZ!$K:$K,BZ!$B:$B,B43,BZ!$D:$D,"PNR")</f>
        <v>0</v>
      </c>
      <c r="E43" s="44">
        <f t="shared" si="0"/>
        <v>0</v>
      </c>
    </row>
    <row r="44" spans="1:7" outlineLevel="1">
      <c r="A44" s="21"/>
      <c r="B44" s="18" t="s">
        <v>108</v>
      </c>
      <c r="C44" s="227">
        <f>SUMIFS(BZ!$K:$K,BZ!$B:$B,B44,BZ!$D:$D,"PR")</f>
        <v>0</v>
      </c>
      <c r="D44" s="227">
        <f>SUMIFS(BZ!$K:$K,BZ!$B:$B,B44,BZ!$D:$D,"PNR")</f>
        <v>0</v>
      </c>
      <c r="E44" s="44">
        <f t="shared" si="0"/>
        <v>0</v>
      </c>
    </row>
    <row r="45" spans="1:7" outlineLevel="1">
      <c r="A45" s="21"/>
      <c r="B45" s="18" t="s">
        <v>109</v>
      </c>
      <c r="C45" s="227">
        <f>SUMIFS(BZ!$K:$K,BZ!$B:$B,B45,BZ!$D:$D,"PR")</f>
        <v>0</v>
      </c>
      <c r="D45" s="227">
        <f>SUMIFS(BZ!$K:$K,BZ!$B:$B,B45,BZ!$D:$D,"PNR")</f>
        <v>0</v>
      </c>
      <c r="E45" s="44">
        <f t="shared" si="0"/>
        <v>0</v>
      </c>
    </row>
    <row r="46" spans="1:7" outlineLevel="1">
      <c r="A46" s="21"/>
      <c r="B46" s="18" t="s">
        <v>110</v>
      </c>
      <c r="C46" s="227">
        <f>SUMIFS(BZ!$K:$K,BZ!$B:$B,B46,BZ!$D:$D,"PR")</f>
        <v>0</v>
      </c>
      <c r="D46" s="227">
        <f>SUMIFS(BZ!$K:$K,BZ!$B:$B,B46,BZ!$D:$D,"PNR")</f>
        <v>385560.73</v>
      </c>
      <c r="E46" s="44">
        <f t="shared" si="0"/>
        <v>385560.73</v>
      </c>
    </row>
    <row r="47" spans="1:7" outlineLevel="1">
      <c r="A47" s="21"/>
      <c r="B47" s="18" t="s">
        <v>111</v>
      </c>
      <c r="C47" s="227">
        <f>SUMIFS(BZ!$K:$K,BZ!$B:$B,B47,BZ!$D:$D,"PR")</f>
        <v>0</v>
      </c>
      <c r="D47" s="227">
        <f>SUMIFS(BZ!$K:$K,BZ!$B:$B,B47,BZ!$D:$D,"PNR")</f>
        <v>0</v>
      </c>
      <c r="E47" s="44">
        <f t="shared" si="0"/>
        <v>0</v>
      </c>
    </row>
    <row r="48" spans="1:7" outlineLevel="1">
      <c r="A48" s="21"/>
      <c r="B48" s="18" t="s">
        <v>112</v>
      </c>
      <c r="C48" s="227">
        <f>SUMIFS(BZ!$K:$K,BZ!$B:$B,B48,BZ!$D:$D,"PR")</f>
        <v>0</v>
      </c>
      <c r="D48" s="227">
        <f>SUMIFS(BZ!$K:$K,BZ!$B:$B,B48,BZ!$D:$D,"PNR")</f>
        <v>0</v>
      </c>
      <c r="E48" s="44">
        <f t="shared" si="0"/>
        <v>0</v>
      </c>
    </row>
    <row r="49" spans="1:6" outlineLevel="1">
      <c r="A49" s="21"/>
      <c r="B49" s="18" t="s">
        <v>113</v>
      </c>
      <c r="C49" s="227">
        <f>SUMIFS(BZ!$K:$K,BZ!$B:$B,B49,BZ!$D:$D,"PR")</f>
        <v>0</v>
      </c>
      <c r="D49" s="227">
        <f>SUMIFS(BZ!$K:$K,BZ!$B:$B,B49,BZ!$D:$D,"PNR")</f>
        <v>0</v>
      </c>
      <c r="E49" s="44">
        <f t="shared" si="0"/>
        <v>0</v>
      </c>
    </row>
    <row r="50" spans="1:6" outlineLevel="1">
      <c r="A50" s="21"/>
      <c r="B50" s="18" t="s">
        <v>114</v>
      </c>
      <c r="C50" s="227">
        <f>SUMIFS(BZ!$K:$K,BZ!$B:$B,B50,BZ!$D:$D,"PR")</f>
        <v>0</v>
      </c>
      <c r="D50" s="227">
        <f>SUMIFS(BZ!$K:$K,BZ!$B:$B,B50,BZ!$D:$D,"PNR")</f>
        <v>0</v>
      </c>
      <c r="E50" s="44">
        <f t="shared" si="0"/>
        <v>0</v>
      </c>
    </row>
    <row r="51" spans="1:6" outlineLevel="1">
      <c r="A51" s="21"/>
      <c r="B51" s="18" t="s">
        <v>75</v>
      </c>
      <c r="C51" s="227">
        <f>SUMIFS(BZ!$K:$K,BZ!$B:$B,B51,BZ!$D:$D,"PR")</f>
        <v>0</v>
      </c>
      <c r="D51" s="227">
        <f>SUMIFS(BZ!$K:$K,BZ!$B:$B,B51,BZ!$D:$D,"PNR")</f>
        <v>308805.19</v>
      </c>
      <c r="E51" s="44">
        <f t="shared" si="0"/>
        <v>308805.19</v>
      </c>
      <c r="F51" s="45"/>
    </row>
    <row r="52" spans="1:6" outlineLevel="1">
      <c r="A52" s="21"/>
      <c r="B52" s="18" t="s">
        <v>115</v>
      </c>
      <c r="C52" s="227">
        <f>SUMIFS(BZ!$K:$K,BZ!$B:$B,B52,BZ!$D:$D,"PR")</f>
        <v>0</v>
      </c>
      <c r="D52" s="227">
        <f>SUMIFS(BZ!$K:$K,BZ!$B:$B,B52,BZ!$D:$D,"PNR")</f>
        <v>0</v>
      </c>
      <c r="E52" s="44">
        <f t="shared" si="0"/>
        <v>0</v>
      </c>
    </row>
    <row r="53" spans="1:6" outlineLevel="1">
      <c r="A53" s="21"/>
      <c r="B53" s="18" t="s">
        <v>116</v>
      </c>
      <c r="C53" s="227">
        <f>SUMIFS(BZ!$K:$K,BZ!$B:$B,B53,BZ!$D:$D,"PR")</f>
        <v>0</v>
      </c>
      <c r="D53" s="227">
        <f>SUMIFS(BZ!$K:$K,BZ!$B:$B,B53,BZ!$D:$D,"PNR")</f>
        <v>0</v>
      </c>
      <c r="E53" s="44">
        <f t="shared" si="0"/>
        <v>0</v>
      </c>
    </row>
    <row r="54" spans="1:6" outlineLevel="1">
      <c r="A54" s="21"/>
      <c r="B54" s="18" t="s">
        <v>117</v>
      </c>
      <c r="C54" s="227">
        <f>SUMIFS(BZ!$K:$K,BZ!$B:$B,B54,BZ!$D:$D,"PR")</f>
        <v>0</v>
      </c>
      <c r="D54" s="227">
        <f>SUMIFS(BZ!$K:$K,BZ!$B:$B,B54,BZ!$D:$D,"PNR")</f>
        <v>0</v>
      </c>
      <c r="E54" s="44">
        <f t="shared" si="0"/>
        <v>0</v>
      </c>
    </row>
    <row r="55" spans="1:6" outlineLevel="1">
      <c r="A55" s="21"/>
      <c r="B55" s="18" t="s">
        <v>118</v>
      </c>
      <c r="C55" s="227">
        <f>SUMIFS(BZ!$K:$K,BZ!$B:$B,B55,BZ!$D:$D,"PR")</f>
        <v>0</v>
      </c>
      <c r="D55" s="227">
        <f>SUMIFS(BZ!$K:$K,BZ!$B:$B,B55,BZ!$D:$D,"PNR")</f>
        <v>0</v>
      </c>
      <c r="E55" s="44">
        <f t="shared" si="0"/>
        <v>0</v>
      </c>
    </row>
    <row r="56" spans="1:6" outlineLevel="1">
      <c r="A56" s="21"/>
      <c r="B56" s="18" t="s">
        <v>357</v>
      </c>
      <c r="C56" s="227">
        <f>SUMIFS(BZ!$K:$K,BZ!$B:$B,B56,BZ!$D:$D,"PR")</f>
        <v>0</v>
      </c>
      <c r="D56" s="227">
        <f>SUMIFS(BZ!$K:$K,BZ!$B:$B,B56,BZ!$D:$D,"PNR")</f>
        <v>0</v>
      </c>
      <c r="E56" s="44">
        <f t="shared" si="0"/>
        <v>0</v>
      </c>
    </row>
    <row r="57" spans="1:6">
      <c r="A57" s="21"/>
      <c r="B57" s="23" t="s">
        <v>119</v>
      </c>
      <c r="C57" s="226">
        <f>SUM(C47:C56)-SUM(C42:C46)</f>
        <v>0</v>
      </c>
      <c r="D57" s="226">
        <f>SUM(D47:D56)-SUM(D42:D46)</f>
        <v>-76755.539999999979</v>
      </c>
      <c r="E57" s="48">
        <f>C57+D57</f>
        <v>-76755.539999999979</v>
      </c>
    </row>
    <row r="58" spans="1:6" outlineLevel="1">
      <c r="A58" s="21"/>
      <c r="B58" s="18" t="s">
        <v>120</v>
      </c>
      <c r="C58" s="227">
        <f>SUMIFS(BZ!$K:$K,BZ!$B:$B,B58,BZ!$D:$D,"PR")</f>
        <v>0</v>
      </c>
      <c r="D58" s="227">
        <f>SUMIFS(BZ!$K:$K,BZ!$B:$B,B58,BZ!$D:$D,"PNR")</f>
        <v>0</v>
      </c>
      <c r="E58" s="44">
        <f t="shared" si="0"/>
        <v>0</v>
      </c>
    </row>
    <row r="59" spans="1:6" outlineLevel="1">
      <c r="A59" s="21"/>
      <c r="B59" s="18" t="s">
        <v>121</v>
      </c>
      <c r="C59" s="227">
        <f>SUMIFS(BZ!$K:$K,BZ!$B:$B,B59,BZ!$D:$D,"PR")</f>
        <v>0</v>
      </c>
      <c r="D59" s="227">
        <f>SUMIFS(BZ!$K:$K,BZ!$B:$B,B59,BZ!$D:$D,"PNR")</f>
        <v>0</v>
      </c>
      <c r="E59" s="44">
        <f t="shared" si="0"/>
        <v>0</v>
      </c>
    </row>
    <row r="60" spans="1:6" outlineLevel="1">
      <c r="A60" s="21"/>
      <c r="B60" s="18" t="s">
        <v>122</v>
      </c>
      <c r="C60" s="227">
        <f>SUMIFS(BZ!$K:$K,BZ!$B:$B,B60,BZ!$D:$D,"PR")</f>
        <v>0</v>
      </c>
      <c r="D60" s="227">
        <f>SUMIFS(BZ!$K:$K,BZ!$B:$B,B60,BZ!$D:$D,"PNR")</f>
        <v>0</v>
      </c>
      <c r="E60" s="44">
        <f t="shared" si="0"/>
        <v>0</v>
      </c>
    </row>
    <row r="61" spans="1:6" outlineLevel="1">
      <c r="A61" s="21"/>
      <c r="B61" s="18" t="s">
        <v>123</v>
      </c>
      <c r="C61" s="227">
        <f>SUMIFS(BZ!$K:$K,BZ!$B:$B,B61,BZ!$D:$D,"PR")</f>
        <v>0</v>
      </c>
      <c r="D61" s="227">
        <f>SUMIFS(BZ!$K:$K,BZ!$B:$B,B61,BZ!$D:$D,"PNR")</f>
        <v>0</v>
      </c>
      <c r="E61" s="44">
        <f t="shared" si="0"/>
        <v>0</v>
      </c>
    </row>
    <row r="62" spans="1:6" outlineLevel="1">
      <c r="A62" s="21"/>
      <c r="B62" s="18" t="s">
        <v>124</v>
      </c>
      <c r="C62" s="227">
        <f>SUMIFS(BZ!$K:$K,BZ!$B:$B,B62,BZ!$D:$D,"PR")</f>
        <v>0</v>
      </c>
      <c r="D62" s="227">
        <f>SUMIFS(BZ!$K:$K,BZ!$B:$B,B62,BZ!$D:$D,"PNR")</f>
        <v>0</v>
      </c>
      <c r="E62" s="44">
        <f t="shared" si="0"/>
        <v>0</v>
      </c>
    </row>
    <row r="63" spans="1:6" outlineLevel="1">
      <c r="A63" s="21"/>
      <c r="B63" s="18" t="s">
        <v>125</v>
      </c>
      <c r="C63" s="227">
        <f>SUMIFS(BZ!$K:$K,BZ!$B:$B,B63,BZ!$D:$D,"PR")</f>
        <v>0</v>
      </c>
      <c r="D63" s="227">
        <f>SUMIFS(BZ!$K:$K,BZ!$B:$B,B63,BZ!$D:$D,"PNR")</f>
        <v>0</v>
      </c>
      <c r="E63" s="44">
        <f t="shared" si="0"/>
        <v>0</v>
      </c>
    </row>
    <row r="64" spans="1:6" outlineLevel="1">
      <c r="A64" s="21"/>
      <c r="B64" s="18" t="s">
        <v>126</v>
      </c>
      <c r="C64" s="227">
        <f>SUMIFS(BZ!$K:$K,BZ!$B:$B,B64,BZ!$D:$D,"PR")</f>
        <v>0</v>
      </c>
      <c r="D64" s="227">
        <f>SUMIFS(BZ!$K:$K,BZ!$B:$B,B64,BZ!$D:$D,"PNR")</f>
        <v>0</v>
      </c>
      <c r="E64" s="44">
        <f t="shared" si="0"/>
        <v>0</v>
      </c>
    </row>
    <row r="65" spans="1:6" outlineLevel="1">
      <c r="A65" s="21"/>
      <c r="B65" s="18" t="s">
        <v>64</v>
      </c>
      <c r="C65" s="227">
        <f>SUMIFS(BZ!$K:$K,BZ!$B:$B,B65,BZ!$D:$D,"PR")</f>
        <v>0</v>
      </c>
      <c r="D65" s="227">
        <f>SUMIFS(BZ!$K:$K,BZ!$B:$B,B65,BZ!$D:$D,"PNR")</f>
        <v>0</v>
      </c>
      <c r="E65" s="44">
        <f t="shared" si="0"/>
        <v>0</v>
      </c>
    </row>
    <row r="66" spans="1:6">
      <c r="A66" s="21"/>
      <c r="B66" s="23" t="s">
        <v>358</v>
      </c>
      <c r="C66" s="226">
        <f>C41-C57-SUM(C58:C60,C65)+SUM(C61:C64)</f>
        <v>0</v>
      </c>
      <c r="D66" s="226">
        <f>D41-D57-SUM(D58:D60,D65)+SUM(D61:D64)</f>
        <v>-900183.49999999721</v>
      </c>
      <c r="E66" s="48">
        <f>C66+D66</f>
        <v>-900183.49999999721</v>
      </c>
      <c r="F66" s="45"/>
    </row>
    <row r="67" spans="1:6" outlineLevel="1">
      <c r="A67" s="21"/>
      <c r="B67" s="18" t="s">
        <v>127</v>
      </c>
      <c r="C67" s="227">
        <f>SUMIFS(BZ!$K:$K,BZ!$B:$B,B67,BZ!$D:$D,"PR")</f>
        <v>0</v>
      </c>
      <c r="D67" s="227">
        <f>SUMIFS(BZ!$K:$K,BZ!$B:$B,B67,BZ!$D:$D,"PNR")</f>
        <v>0</v>
      </c>
      <c r="E67" s="44">
        <f t="shared" si="0"/>
        <v>0</v>
      </c>
    </row>
    <row r="68" spans="1:6" outlineLevel="1">
      <c r="A68" s="21"/>
      <c r="B68" s="18" t="s">
        <v>128</v>
      </c>
      <c r="C68" s="227">
        <f>SUMIFS(BZ!$K:$K,BZ!$B:$B,B68,BZ!$D:$D,"PR")</f>
        <v>0</v>
      </c>
      <c r="D68" s="227">
        <f>SUMIFS(BZ!$K:$K,BZ!$B:$B,B68,BZ!$D:$D,"PNR")</f>
        <v>0</v>
      </c>
      <c r="E68" s="44">
        <f t="shared" si="0"/>
        <v>0</v>
      </c>
    </row>
    <row r="69" spans="1:6" outlineLevel="1">
      <c r="A69" s="21"/>
      <c r="B69" s="18" t="s">
        <v>129</v>
      </c>
      <c r="C69" s="227">
        <f>SUMIFS(BZ!$K:$K,BZ!$B:$B,B69,BZ!$D:$D,"PR")</f>
        <v>0</v>
      </c>
      <c r="D69" s="227">
        <f>SUMIFS(BZ!$K:$K,BZ!$B:$B,B69,BZ!$D:$D,"PNR")</f>
        <v>0</v>
      </c>
      <c r="E69" s="44">
        <f t="shared" si="0"/>
        <v>0</v>
      </c>
    </row>
    <row r="70" spans="1:6" outlineLevel="1">
      <c r="A70" s="21"/>
      <c r="B70" s="18" t="s">
        <v>130</v>
      </c>
      <c r="C70" s="227">
        <f>SUMIFS(BZ!$K:$K,BZ!$B:$B,B70,BZ!$D:$D,"PR")</f>
        <v>0</v>
      </c>
      <c r="D70" s="227">
        <f>SUMIFS(BZ!$K:$K,BZ!$B:$B,B70,BZ!$D:$D,"PNR")</f>
        <v>0</v>
      </c>
      <c r="E70" s="44">
        <f t="shared" si="0"/>
        <v>0</v>
      </c>
    </row>
    <row r="71" spans="1:6" outlineLevel="1">
      <c r="A71" s="21"/>
      <c r="B71" s="18" t="s">
        <v>131</v>
      </c>
      <c r="C71" s="227">
        <f>SUMIFS(BZ!$K:$K,BZ!$B:$B,B71,BZ!$D:$D,"PR")</f>
        <v>0</v>
      </c>
      <c r="D71" s="227">
        <f>SUMIFS(BZ!$K:$K,BZ!$B:$B,B71,BZ!$D:$D,"PNR")</f>
        <v>0</v>
      </c>
      <c r="E71" s="44">
        <f t="shared" si="0"/>
        <v>0</v>
      </c>
    </row>
    <row r="72" spans="1:6" outlineLevel="1">
      <c r="A72" s="21"/>
      <c r="B72" s="18" t="s">
        <v>132</v>
      </c>
      <c r="C72" s="227">
        <f>SUMIFS(BZ!$K:$K,BZ!$B:$B,B72,BZ!$D:$D,"PR")</f>
        <v>0</v>
      </c>
      <c r="D72" s="227">
        <f>SUMIFS(BZ!$K:$K,BZ!$B:$B,B72,BZ!$D:$D,"PNR")</f>
        <v>0</v>
      </c>
      <c r="E72" s="44">
        <f t="shared" si="0"/>
        <v>0</v>
      </c>
    </row>
    <row r="73" spans="1:6">
      <c r="A73" s="21"/>
      <c r="B73" s="23" t="s">
        <v>359</v>
      </c>
      <c r="C73" s="226">
        <f>C66-C67-C68+C69-C70+C71-C72</f>
        <v>0</v>
      </c>
      <c r="D73" s="226">
        <f>D66-D67-D68+D69-D70+D71-D72</f>
        <v>-900183.49999999721</v>
      </c>
      <c r="E73" s="48">
        <f>C73+D73</f>
        <v>-900183.49999999721</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 workbookViewId="1"/>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57" t="str">
        <f>Portada!B12</f>
        <v>TUXPAS</v>
      </c>
      <c r="C1" s="258"/>
      <c r="D1" s="258"/>
      <c r="E1" s="258"/>
      <c r="F1" s="258"/>
      <c r="G1" s="258"/>
      <c r="H1" s="258"/>
      <c r="I1" s="258"/>
      <c r="J1" s="258"/>
      <c r="K1" s="50"/>
      <c r="L1" s="50"/>
      <c r="M1" s="50"/>
      <c r="N1" s="50"/>
    </row>
    <row r="2" spans="2:14">
      <c r="B2" s="257" t="s">
        <v>196</v>
      </c>
      <c r="C2" s="258"/>
      <c r="D2" s="258"/>
      <c r="E2" s="258"/>
      <c r="F2" s="258"/>
      <c r="G2" s="258"/>
      <c r="H2" s="258"/>
      <c r="I2" s="258"/>
      <c r="J2" s="258"/>
      <c r="K2" s="50"/>
      <c r="L2" s="50"/>
      <c r="M2" s="50"/>
      <c r="N2" s="50"/>
    </row>
    <row r="3" spans="2:14">
      <c r="B3" s="259" t="s">
        <v>197</v>
      </c>
      <c r="C3" s="258"/>
      <c r="D3" s="258"/>
      <c r="E3" s="258"/>
      <c r="F3" s="258"/>
      <c r="G3" s="258"/>
      <c r="H3" s="258"/>
      <c r="I3" s="258"/>
      <c r="J3" s="258"/>
      <c r="K3" s="50"/>
      <c r="L3" s="50"/>
      <c r="M3" s="50"/>
      <c r="N3" s="50"/>
    </row>
    <row r="4" spans="2:14">
      <c r="B4" s="51"/>
      <c r="C4" s="51"/>
      <c r="D4" s="51"/>
      <c r="E4" s="51"/>
      <c r="F4" s="51"/>
      <c r="G4" s="51"/>
      <c r="H4" s="51"/>
      <c r="I4" s="51"/>
      <c r="J4" s="51"/>
      <c r="K4" s="50"/>
      <c r="L4" s="50"/>
      <c r="M4" s="50"/>
      <c r="N4" s="50"/>
    </row>
    <row r="5" spans="2:14">
      <c r="B5" s="259" t="s">
        <v>360</v>
      </c>
      <c r="C5" s="258"/>
      <c r="D5" s="258"/>
      <c r="E5" s="258"/>
      <c r="F5" s="258"/>
      <c r="G5" s="258"/>
      <c r="H5" s="258"/>
      <c r="I5" s="258"/>
      <c r="J5" s="258"/>
      <c r="K5" s="50"/>
      <c r="L5" s="50"/>
      <c r="M5" s="50"/>
      <c r="N5" s="50"/>
    </row>
    <row r="6" spans="2:14">
      <c r="B6" s="51"/>
      <c r="C6" s="51"/>
      <c r="D6" s="51"/>
      <c r="E6" s="51"/>
      <c r="F6" s="51"/>
      <c r="G6" s="51"/>
      <c r="H6" s="51"/>
      <c r="I6" s="51"/>
      <c r="J6" s="51"/>
      <c r="K6" s="50"/>
      <c r="L6" s="50"/>
      <c r="M6" s="50"/>
      <c r="N6" s="50"/>
    </row>
    <row r="7" spans="2:14">
      <c r="B7" s="259" t="s">
        <v>198</v>
      </c>
      <c r="C7" s="258"/>
      <c r="D7" s="258"/>
      <c r="E7" s="258"/>
      <c r="F7" s="258"/>
      <c r="G7" s="258"/>
      <c r="H7" s="258"/>
      <c r="I7" s="258"/>
      <c r="J7" s="258"/>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-900183.49999999721</v>
      </c>
      <c r="K10" s="50"/>
      <c r="L10" s="54"/>
      <c r="M10" s="50"/>
      <c r="N10" s="50"/>
    </row>
    <row r="11" spans="2:14">
      <c r="B11" s="50"/>
      <c r="C11" s="52" t="s">
        <v>363</v>
      </c>
      <c r="D11" s="50"/>
      <c r="E11" s="50"/>
      <c r="F11" s="50"/>
      <c r="G11" s="50"/>
      <c r="H11" s="50"/>
      <c r="I11" s="50"/>
      <c r="J11" s="53">
        <f>-SUMIF(BZ!$B:$B,C11,BZ!$L:$L)</f>
        <v>0</v>
      </c>
      <c r="K11" s="50"/>
      <c r="L11" s="54"/>
      <c r="M11" s="50"/>
      <c r="N11" s="50"/>
    </row>
    <row r="12" spans="2:14">
      <c r="B12" s="50"/>
      <c r="C12" s="52" t="s">
        <v>255</v>
      </c>
      <c r="D12" s="50"/>
      <c r="E12" s="50"/>
      <c r="F12" s="50"/>
      <c r="G12" s="50"/>
      <c r="H12" s="50"/>
      <c r="I12" s="50"/>
      <c r="J12" s="53">
        <f>-SUMIF(BZ!$B:$B,C12,BZ!$L:$L)</f>
        <v>0</v>
      </c>
      <c r="K12" s="50"/>
      <c r="L12" s="50"/>
      <c r="M12" s="50"/>
      <c r="N12" s="50"/>
    </row>
    <row r="13" spans="2:14">
      <c r="B13" s="50"/>
      <c r="C13" s="52" t="s">
        <v>7</v>
      </c>
      <c r="D13" s="50"/>
      <c r="E13" s="50"/>
      <c r="F13" s="50"/>
      <c r="G13" s="50"/>
      <c r="H13" s="50"/>
      <c r="I13" s="50"/>
      <c r="J13" s="53">
        <f>-SUMIF(BZ!$B:$B,C13,BZ!$L:$L)</f>
        <v>-1204297.42</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-16948.599999999991</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0</v>
      </c>
      <c r="K19" s="50"/>
      <c r="L19" s="50"/>
      <c r="M19" s="50"/>
      <c r="N19" s="50"/>
    </row>
    <row r="20" spans="2:14">
      <c r="B20" s="50"/>
      <c r="C20" s="52" t="s">
        <v>260</v>
      </c>
      <c r="D20" s="50"/>
      <c r="E20" s="50"/>
      <c r="F20" s="50"/>
      <c r="G20" s="50"/>
      <c r="H20" s="50"/>
      <c r="I20" s="50"/>
      <c r="J20" s="53">
        <f>-SUMIF(BZ!$B:$B,C20,BZ!$L:$L)</f>
        <v>0</v>
      </c>
      <c r="K20" s="50"/>
      <c r="L20" s="50"/>
      <c r="M20" s="50"/>
      <c r="N20" s="50"/>
    </row>
    <row r="21" spans="2:14">
      <c r="B21" s="50"/>
      <c r="C21" s="52" t="s">
        <v>200</v>
      </c>
      <c r="D21" s="50"/>
      <c r="E21" s="50"/>
      <c r="F21" s="50"/>
      <c r="G21" s="50"/>
      <c r="H21" s="50"/>
      <c r="I21" s="50"/>
      <c r="J21" s="53">
        <f>-SUMIF(BZ!$B:$B,C21,BZ!$L:$L)</f>
        <v>0</v>
      </c>
      <c r="K21" s="50"/>
      <c r="L21" s="50"/>
      <c r="M21" s="50"/>
      <c r="N21" s="50"/>
    </row>
    <row r="22" spans="2:14">
      <c r="B22" s="50"/>
      <c r="C22" s="52" t="s">
        <v>202</v>
      </c>
      <c r="D22" s="50"/>
      <c r="E22" s="50"/>
      <c r="F22" s="50"/>
      <c r="G22" s="50"/>
      <c r="H22" s="50"/>
      <c r="I22" s="50"/>
      <c r="J22" s="53">
        <f>SUMIF(BZ!$B:$B,C22,BZ!$L:$L)</f>
        <v>1878009.9100000004</v>
      </c>
      <c r="K22" s="50"/>
      <c r="L22" s="50"/>
      <c r="M22" s="50"/>
      <c r="N22" s="50"/>
    </row>
    <row r="23" spans="2:14">
      <c r="B23" s="50"/>
      <c r="C23" s="52" t="s">
        <v>267</v>
      </c>
      <c r="D23" s="50"/>
      <c r="E23" s="50"/>
      <c r="F23" s="50"/>
      <c r="G23" s="50"/>
      <c r="H23" s="50"/>
      <c r="I23" s="50"/>
      <c r="J23" s="53">
        <f>SUMIF(BZ!$B:$B,C23,BZ!$L:$L)</f>
        <v>0</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0</v>
      </c>
      <c r="K27" s="50"/>
      <c r="L27" s="50"/>
      <c r="M27" s="50"/>
      <c r="N27" s="50"/>
    </row>
    <row r="28" spans="2:14">
      <c r="B28" s="50"/>
      <c r="C28" s="52" t="s">
        <v>271</v>
      </c>
      <c r="D28" s="50"/>
      <c r="E28" s="50"/>
      <c r="F28" s="50"/>
      <c r="G28" s="50"/>
      <c r="H28" s="50"/>
      <c r="I28" s="50"/>
      <c r="J28" s="53">
        <f>SUMIF(BZ!$B:$B,C28,BZ!$L:$L)</f>
        <v>0</v>
      </c>
      <c r="K28" s="50"/>
      <c r="L28" s="50"/>
      <c r="M28" s="50"/>
      <c r="N28" s="50"/>
    </row>
    <row r="29" spans="2:14">
      <c r="B29" s="50"/>
      <c r="C29" s="52" t="s">
        <v>272</v>
      </c>
      <c r="D29" s="50"/>
      <c r="E29" s="50"/>
      <c r="F29" s="50"/>
      <c r="G29" s="50"/>
      <c r="H29" s="50"/>
      <c r="I29" s="50"/>
      <c r="J29" s="53">
        <f>SUMIF(BZ!$B:$B,C29,BZ!$L:$L)</f>
        <v>22850.760000000002</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-220568.84999999683</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0</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0</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0</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-220568.84999999683</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361</v>
      </c>
      <c r="D66" s="50"/>
      <c r="E66" s="50"/>
      <c r="F66" s="50"/>
      <c r="G66" s="50"/>
      <c r="H66" s="50"/>
      <c r="I66" s="50"/>
      <c r="J66" s="53">
        <f>BZ!H19</f>
        <v>10000</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10000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-220568.84999999683</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 workbookViewId="1"/>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TUXPAS</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topLeftCell="A6" zoomScaleNormal="100" workbookViewId="0">
      <selection activeCell="E17" sqref="E17"/>
    </sheetView>
    <sheetView workbookViewId="1"/>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6.5703125" style="19" customWidth="1"/>
    <col min="6" max="7" width="16.85546875" style="19" bestFit="1" customWidth="1"/>
    <col min="8" max="8" width="17.28515625" style="19" bestFit="1" customWidth="1"/>
    <col min="9" max="9" width="17.7109375" style="19" bestFit="1" customWidth="1"/>
    <col min="10" max="10" width="16.85546875" style="19" bestFit="1" customWidth="1"/>
    <col min="11" max="12" width="17.28515625" style="19" bestFit="1" customWidth="1"/>
    <col min="13" max="13" width="17.7109375" style="19" bestFit="1" customWidth="1"/>
    <col min="14" max="14" width="17.28515625" style="19" bestFit="1" customWidth="1"/>
    <col min="15" max="15" width="17.7109375" style="19" bestFit="1" customWidth="1"/>
    <col min="16" max="16" width="15.42578125" style="19" customWidth="1"/>
    <col min="17" max="17" width="16.85546875" style="19" bestFit="1" customWidth="1"/>
    <col min="18" max="18" width="11.42578125" style="19" customWidth="1"/>
    <col min="19" max="16384" width="11.42578125" style="19"/>
  </cols>
  <sheetData>
    <row r="2" spans="2:6">
      <c r="B2" s="261" t="s">
        <v>325</v>
      </c>
      <c r="C2" s="261"/>
    </row>
    <row r="4" spans="2:6">
      <c r="B4" s="97" t="s">
        <v>282</v>
      </c>
      <c r="C4" s="97" t="s">
        <v>283</v>
      </c>
      <c r="D4" s="97" t="s">
        <v>280</v>
      </c>
    </row>
    <row r="5" spans="2:6">
      <c r="B5" s="130" t="s">
        <v>290</v>
      </c>
      <c r="C5" s="98">
        <v>2024</v>
      </c>
      <c r="D5" s="100">
        <v>137.94900000000001</v>
      </c>
    </row>
    <row r="6" spans="2:6">
      <c r="B6" s="98" t="s">
        <v>281</v>
      </c>
      <c r="C6" s="98">
        <v>2023</v>
      </c>
      <c r="D6" s="100">
        <f>VLOOKUP(C6,INPC!A24:M78,HLOOKUP(B6,INPC!B3:M23,2,FALSE),FALSE)</f>
        <v>132.37299999999999</v>
      </c>
      <c r="E6" s="99"/>
    </row>
    <row r="7" spans="2:6" ht="15">
      <c r="B7" s="262" t="s">
        <v>284</v>
      </c>
      <c r="C7" s="262"/>
      <c r="D7" s="100">
        <f>TRUNC(D5/D6,4)</f>
        <v>1.0421</v>
      </c>
      <c r="E7" s="101" t="s">
        <v>324</v>
      </c>
    </row>
    <row r="8" spans="2:6">
      <c r="B8" s="262" t="s">
        <v>285</v>
      </c>
      <c r="C8" s="262"/>
      <c r="D8" s="102">
        <f>+D7-1</f>
        <v>4.2100000000000026E-2</v>
      </c>
      <c r="E8" s="99"/>
    </row>
    <row r="9" spans="2:6">
      <c r="B9" s="103"/>
      <c r="C9" s="103"/>
      <c r="D9" s="103"/>
      <c r="E9" s="104"/>
      <c r="F9" s="105"/>
    </row>
    <row r="10" spans="2:6">
      <c r="B10" s="261" t="s">
        <v>326</v>
      </c>
      <c r="C10" s="261"/>
      <c r="D10" s="103"/>
      <c r="E10" s="104"/>
      <c r="F10" s="105"/>
    </row>
    <row r="11" spans="2:6">
      <c r="B11" s="103"/>
      <c r="C11" s="103"/>
      <c r="D11" s="106"/>
      <c r="E11" s="104"/>
    </row>
    <row r="12" spans="2:6" ht="15">
      <c r="B12" s="260" t="s">
        <v>40</v>
      </c>
      <c r="C12" s="260"/>
      <c r="D12" s="107">
        <f>Q38</f>
        <v>2218277.4074999997</v>
      </c>
      <c r="E12" s="101" t="s">
        <v>328</v>
      </c>
    </row>
    <row r="13" spans="2:6" ht="15">
      <c r="B13" s="260" t="s">
        <v>41</v>
      </c>
      <c r="C13" s="260"/>
      <c r="D13" s="107">
        <f>Q30</f>
        <v>1941392.2733333334</v>
      </c>
      <c r="E13" s="101" t="s">
        <v>327</v>
      </c>
    </row>
    <row r="14" spans="2:6" ht="15">
      <c r="B14" s="260" t="s">
        <v>286</v>
      </c>
      <c r="C14" s="260"/>
      <c r="D14" s="107">
        <f>D12-D13</f>
        <v>276885.13416666631</v>
      </c>
      <c r="E14" s="101"/>
    </row>
    <row r="15" spans="2:6" ht="15">
      <c r="B15" s="260" t="s">
        <v>42</v>
      </c>
      <c r="C15" s="260"/>
      <c r="D15" s="107">
        <f>D14*D8</f>
        <v>11656.864148416658</v>
      </c>
      <c r="E15" s="101" t="s">
        <v>329</v>
      </c>
    </row>
    <row r="16" spans="2:6">
      <c r="B16" s="260" t="s">
        <v>43</v>
      </c>
      <c r="C16" s="260"/>
      <c r="D16" s="107">
        <f>D15*0.3</f>
        <v>3497.0592445249972</v>
      </c>
      <c r="E16" s="103"/>
    </row>
    <row r="17" spans="2:17">
      <c r="B17" s="106"/>
      <c r="C17" s="106"/>
      <c r="D17" s="108"/>
      <c r="E17" s="103"/>
    </row>
    <row r="18" spans="2:17">
      <c r="B18" s="261" t="s">
        <v>330</v>
      </c>
      <c r="C18" s="261"/>
      <c r="D18" s="108"/>
      <c r="E18" s="103"/>
    </row>
    <row r="20" spans="2:17">
      <c r="B20" s="19" t="s">
        <v>1</v>
      </c>
      <c r="D20" s="245" t="s">
        <v>45</v>
      </c>
      <c r="E20" s="245" t="s">
        <v>46</v>
      </c>
      <c r="F20" s="245" t="s">
        <v>47</v>
      </c>
      <c r="G20" s="245" t="s">
        <v>48</v>
      </c>
      <c r="H20" s="245" t="s">
        <v>49</v>
      </c>
      <c r="I20" s="245" t="s">
        <v>50</v>
      </c>
      <c r="J20" s="245" t="s">
        <v>287</v>
      </c>
      <c r="K20" s="245" t="s">
        <v>288</v>
      </c>
      <c r="L20" s="245" t="s">
        <v>289</v>
      </c>
      <c r="M20" s="245" t="s">
        <v>290</v>
      </c>
      <c r="N20" s="245" t="s">
        <v>291</v>
      </c>
      <c r="O20" s="245"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108"/>
      <c r="E23" s="108"/>
      <c r="F23" s="108"/>
      <c r="G23" s="108"/>
      <c r="H23" s="108"/>
      <c r="I23" s="108"/>
      <c r="J23" s="108"/>
      <c r="K23" s="108"/>
      <c r="L23" s="108"/>
      <c r="M23" s="108"/>
      <c r="N23" s="108"/>
      <c r="O23" s="108"/>
    </row>
    <row r="24" spans="2:17">
      <c r="B24" s="19" t="s">
        <v>294</v>
      </c>
      <c r="D24" s="108">
        <v>640936.21</v>
      </c>
      <c r="E24" s="108">
        <v>660338.66</v>
      </c>
      <c r="F24" s="108">
        <v>743014.59</v>
      </c>
      <c r="G24" s="108">
        <v>230896.69</v>
      </c>
      <c r="H24" s="108">
        <v>109181.81</v>
      </c>
      <c r="I24" s="108">
        <v>1073326.8700000001</v>
      </c>
      <c r="J24" s="108">
        <v>1073326.8700000001</v>
      </c>
      <c r="K24" s="108">
        <v>345804.63</v>
      </c>
      <c r="L24" s="108">
        <v>579775.76</v>
      </c>
      <c r="M24" s="108">
        <v>985436.97</v>
      </c>
      <c r="N24" s="108">
        <v>316373.75</v>
      </c>
      <c r="O24" s="108">
        <v>400395.04</v>
      </c>
    </row>
    <row r="25" spans="2:17">
      <c r="B25" s="19" t="s">
        <v>7</v>
      </c>
      <c r="D25" s="108">
        <v>130816.87</v>
      </c>
      <c r="E25" s="108">
        <v>523214.89</v>
      </c>
      <c r="F25" s="108">
        <v>620702.9</v>
      </c>
      <c r="G25" s="108">
        <v>1007189.91</v>
      </c>
      <c r="H25" s="108">
        <v>1641603.04</v>
      </c>
      <c r="I25" s="108">
        <v>1008777.93</v>
      </c>
      <c r="J25" s="108">
        <v>1008777.93</v>
      </c>
      <c r="K25" s="108">
        <v>2645850.16</v>
      </c>
      <c r="L25" s="108">
        <v>2004750.05</v>
      </c>
      <c r="M25" s="108">
        <v>1638893.32</v>
      </c>
      <c r="N25" s="108">
        <v>1686791.45</v>
      </c>
      <c r="O25" s="108">
        <v>1335114.29</v>
      </c>
    </row>
    <row r="26" spans="2:17">
      <c r="B26" s="19" t="s">
        <v>295</v>
      </c>
      <c r="D26" s="108"/>
      <c r="E26" s="108"/>
      <c r="F26" s="108"/>
      <c r="G26" s="108"/>
      <c r="H26" s="108"/>
      <c r="I26" s="108"/>
      <c r="J26" s="108"/>
      <c r="K26" s="108"/>
      <c r="L26" s="108"/>
      <c r="M26" s="108"/>
      <c r="N26" s="108"/>
      <c r="O26" s="108"/>
    </row>
    <row r="27" spans="2:17">
      <c r="B27" s="19" t="s">
        <v>296</v>
      </c>
      <c r="E27" s="108"/>
      <c r="F27" s="108"/>
      <c r="G27" s="108"/>
      <c r="H27" s="108"/>
      <c r="I27" s="108"/>
      <c r="J27" s="108"/>
      <c r="K27" s="108"/>
      <c r="L27" s="108"/>
      <c r="M27" s="108"/>
      <c r="N27" s="108"/>
      <c r="O27" s="108"/>
    </row>
    <row r="28" spans="2:17">
      <c r="B28" s="19" t="s">
        <v>8</v>
      </c>
      <c r="D28" s="108">
        <v>6583.75</v>
      </c>
      <c r="E28" s="108">
        <v>9508.24</v>
      </c>
      <c r="F28" s="108">
        <v>18609.259999999998</v>
      </c>
      <c r="G28" s="108">
        <v>29623.72</v>
      </c>
      <c r="H28" s="108">
        <v>25796.39</v>
      </c>
      <c r="I28" s="108">
        <v>65477.29</v>
      </c>
      <c r="J28" s="108">
        <v>65477.29</v>
      </c>
      <c r="K28" s="108">
        <v>73166.39</v>
      </c>
      <c r="L28" s="108">
        <v>76194.820000000007</v>
      </c>
      <c r="M28" s="108">
        <v>469484.15</v>
      </c>
      <c r="N28" s="108">
        <v>21963.040000000001</v>
      </c>
      <c r="O28" s="108">
        <v>23532.35</v>
      </c>
      <c r="P28" s="234"/>
    </row>
    <row r="29" spans="2:17">
      <c r="B29" s="19" t="s">
        <v>297</v>
      </c>
      <c r="D29" s="108"/>
      <c r="E29" s="108"/>
      <c r="F29" s="108"/>
      <c r="G29" s="108"/>
      <c r="H29" s="108"/>
      <c r="I29" s="108"/>
      <c r="J29" s="108"/>
      <c r="K29" s="108"/>
      <c r="L29" s="108"/>
      <c r="M29" s="108"/>
      <c r="N29" s="108"/>
      <c r="O29" s="108"/>
    </row>
    <row r="30" spans="2:17" s="24" customFormat="1" ht="13.5" thickBot="1">
      <c r="B30" s="19" t="s">
        <v>0</v>
      </c>
      <c r="D30" s="111">
        <f>SUM(D24:D29)</f>
        <v>778336.83</v>
      </c>
      <c r="E30" s="111">
        <f t="shared" ref="E30" si="0">SUM(E24:E29)</f>
        <v>1193061.79</v>
      </c>
      <c r="F30" s="111">
        <f>SUM(F24:F29)</f>
        <v>1382326.75</v>
      </c>
      <c r="G30" s="111">
        <f>SUM(G24:G29)</f>
        <v>1267710.32</v>
      </c>
      <c r="H30" s="111">
        <f>SUM(H24:H29)</f>
        <v>1776581.24</v>
      </c>
      <c r="I30" s="111">
        <f>SUM(I24:I29)</f>
        <v>2147582.0900000003</v>
      </c>
      <c r="J30" s="111">
        <f t="shared" ref="J30:O30" si="1">SUM(J24:J29)</f>
        <v>2147582.0900000003</v>
      </c>
      <c r="K30" s="111">
        <f t="shared" si="1"/>
        <v>3064821.18</v>
      </c>
      <c r="L30" s="111">
        <f t="shared" si="1"/>
        <v>2660720.63</v>
      </c>
      <c r="M30" s="111">
        <f t="shared" si="1"/>
        <v>3093814.44</v>
      </c>
      <c r="N30" s="111">
        <f>SUM(N24:N29)</f>
        <v>2025128.24</v>
      </c>
      <c r="O30" s="111">
        <f t="shared" si="1"/>
        <v>1759041.6800000002</v>
      </c>
      <c r="Q30" s="113">
        <f>AVERAGE(D30:O30)</f>
        <v>1941392.2733333334</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D33" s="110"/>
      <c r="E33" s="110"/>
      <c r="F33" s="110"/>
      <c r="G33" s="110"/>
      <c r="H33" s="110"/>
      <c r="I33" s="110"/>
      <c r="J33" s="110"/>
      <c r="K33" s="110"/>
      <c r="L33" s="110"/>
      <c r="M33" s="110"/>
      <c r="N33" s="110"/>
      <c r="O33" s="110"/>
    </row>
    <row r="34" spans="2:17">
      <c r="B34" s="19" t="s">
        <v>202</v>
      </c>
      <c r="D34" s="110">
        <v>535007.1</v>
      </c>
      <c r="E34" s="110">
        <v>602314.92000000004</v>
      </c>
      <c r="F34" s="110">
        <v>613517.02</v>
      </c>
      <c r="G34" s="110">
        <v>667475.87</v>
      </c>
      <c r="H34" s="110">
        <v>756244.14</v>
      </c>
      <c r="I34" s="110">
        <v>767104.77</v>
      </c>
      <c r="J34" s="110">
        <v>767104.77</v>
      </c>
      <c r="K34" s="110">
        <v>897359.05</v>
      </c>
      <c r="L34" s="110">
        <v>805869.43</v>
      </c>
      <c r="M34" s="110">
        <v>763174.17</v>
      </c>
      <c r="N34" s="110">
        <v>671695.35</v>
      </c>
      <c r="O34" s="110">
        <v>694912.14</v>
      </c>
    </row>
    <row r="35" spans="2:17">
      <c r="B35" s="19" t="s">
        <v>298</v>
      </c>
      <c r="D35" s="110"/>
      <c r="E35" s="110"/>
      <c r="F35" s="110"/>
      <c r="G35" s="110"/>
      <c r="H35" s="110"/>
      <c r="I35" s="110"/>
      <c r="J35" s="110"/>
      <c r="K35" s="110"/>
      <c r="L35" s="110"/>
      <c r="M35" s="110"/>
      <c r="N35" s="110"/>
      <c r="O35" s="110"/>
    </row>
    <row r="36" spans="2:17" ht="14.25">
      <c r="B36" s="19" t="s">
        <v>299</v>
      </c>
      <c r="D36" s="110">
        <v>292675.59000000003</v>
      </c>
      <c r="E36" s="110">
        <v>929998.06</v>
      </c>
      <c r="F36" s="110">
        <v>701021.34</v>
      </c>
      <c r="G36" s="110">
        <v>1022085.45</v>
      </c>
      <c r="H36" s="110">
        <v>1155085.54</v>
      </c>
      <c r="I36" s="110">
        <v>2095877.02</v>
      </c>
      <c r="J36" s="110">
        <v>2095877.02</v>
      </c>
      <c r="K36" s="110">
        <v>2097057.74</v>
      </c>
      <c r="L36" s="286">
        <v>1956010.75</v>
      </c>
      <c r="M36" s="110">
        <v>2055286.4</v>
      </c>
      <c r="N36" s="110">
        <v>1702221.46</v>
      </c>
      <c r="O36" s="110">
        <v>1974353.79</v>
      </c>
      <c r="P36" s="234"/>
    </row>
    <row r="37" spans="2:17">
      <c r="B37" s="19" t="s">
        <v>300</v>
      </c>
      <c r="D37" s="110"/>
      <c r="E37" s="110"/>
      <c r="F37" s="110"/>
      <c r="G37" s="110"/>
      <c r="H37" s="110"/>
      <c r="I37" s="110"/>
      <c r="J37" s="110"/>
      <c r="K37" s="110"/>
      <c r="L37" s="110"/>
      <c r="M37" s="110"/>
      <c r="N37" s="110"/>
      <c r="O37" s="110"/>
    </row>
    <row r="38" spans="2:17" s="24" customFormat="1" ht="13.5" thickBot="1">
      <c r="B38" s="19" t="s">
        <v>0</v>
      </c>
      <c r="D38" s="112">
        <f>SUM(D34:D37)</f>
        <v>827682.69</v>
      </c>
      <c r="E38" s="112">
        <f t="shared" ref="E38:O38" si="2">SUM(E34:E37)</f>
        <v>1532312.98</v>
      </c>
      <c r="F38" s="112">
        <f t="shared" si="2"/>
        <v>1314538.3599999999</v>
      </c>
      <c r="G38" s="112">
        <f t="shared" si="2"/>
        <v>1689561.3199999998</v>
      </c>
      <c r="H38" s="112">
        <f t="shared" si="2"/>
        <v>1911329.6800000002</v>
      </c>
      <c r="I38" s="112">
        <f t="shared" si="2"/>
        <v>2862981.79</v>
      </c>
      <c r="J38" s="112">
        <f t="shared" si="2"/>
        <v>2862981.79</v>
      </c>
      <c r="K38" s="112">
        <f t="shared" si="2"/>
        <v>2994416.79</v>
      </c>
      <c r="L38" s="112">
        <f t="shared" si="2"/>
        <v>2761880.18</v>
      </c>
      <c r="M38" s="112">
        <f t="shared" si="2"/>
        <v>2818460.57</v>
      </c>
      <c r="N38" s="112">
        <f t="shared" si="2"/>
        <v>2373916.81</v>
      </c>
      <c r="O38" s="112">
        <f t="shared" si="2"/>
        <v>2669265.9300000002</v>
      </c>
      <c r="Q38" s="113">
        <f>AVERAGE(D38:O38)</f>
        <v>2218277.4074999997</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7" workbookViewId="0">
      <selection activeCell="K19" sqref="K19"/>
    </sheetView>
    <sheetView workbookViewId="1"/>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67" t="s">
        <v>332</v>
      </c>
      <c r="C3" s="267"/>
      <c r="D3" s="267"/>
      <c r="E3" s="24"/>
      <c r="F3" s="110"/>
      <c r="G3" s="110"/>
      <c r="H3" s="110"/>
      <c r="I3" s="110"/>
    </row>
    <row r="4" spans="2:16">
      <c r="B4" s="109"/>
      <c r="C4" s="110"/>
      <c r="D4" s="110"/>
      <c r="E4" s="110"/>
      <c r="F4" s="110"/>
      <c r="G4" s="110"/>
      <c r="H4" s="110"/>
      <c r="I4" s="266"/>
      <c r="J4" s="266"/>
    </row>
    <row r="5" spans="2:16">
      <c r="B5" s="97" t="s">
        <v>282</v>
      </c>
      <c r="C5" s="97" t="s">
        <v>283</v>
      </c>
      <c r="D5" s="97" t="s">
        <v>280</v>
      </c>
      <c r="E5" s="110"/>
      <c r="F5" s="138"/>
      <c r="G5" s="266"/>
      <c r="H5" s="266"/>
      <c r="I5" s="140"/>
      <c r="J5" s="140"/>
      <c r="K5" s="138"/>
      <c r="L5" s="138"/>
      <c r="N5" s="138"/>
      <c r="O5" s="138"/>
      <c r="P5" s="138"/>
    </row>
    <row r="6" spans="2:16">
      <c r="B6" s="114" t="s">
        <v>281</v>
      </c>
      <c r="C6" s="114">
        <v>2022</v>
      </c>
      <c r="D6" s="225">
        <f>VLOOKUP(C6,INPC!$A$24:$M$80,HLOOKUP(B6,INPC!$B$3:$M$24,2,FALSE),FALSE)</f>
        <v>126.47799999999999</v>
      </c>
      <c r="E6" s="110"/>
      <c r="F6" s="140"/>
      <c r="G6" s="268"/>
      <c r="H6" s="268"/>
      <c r="I6" s="139"/>
      <c r="J6" s="139"/>
      <c r="K6" s="139"/>
      <c r="L6" s="139"/>
      <c r="M6" s="139"/>
      <c r="N6" s="139"/>
      <c r="O6" s="139"/>
      <c r="P6" s="139"/>
    </row>
    <row r="7" spans="2:16">
      <c r="B7" s="114" t="s">
        <v>287</v>
      </c>
      <c r="C7" s="114">
        <v>2022</v>
      </c>
      <c r="D7" s="225">
        <f>VLOOKUP(C7,INPC!$A$24:$M$80,HLOOKUP(B7,INPC!$B$3:$M$24,2,FALSE),FALSE)</f>
        <v>122.94799999999999</v>
      </c>
      <c r="E7" s="110"/>
      <c r="F7" s="140"/>
      <c r="G7" s="268"/>
      <c r="H7" s="268"/>
      <c r="I7" s="139"/>
      <c r="J7" s="139"/>
      <c r="K7" s="139"/>
      <c r="L7" s="139"/>
      <c r="M7" s="139"/>
      <c r="N7" s="139"/>
      <c r="O7" s="139"/>
      <c r="P7" s="139"/>
    </row>
    <row r="8" spans="2:16">
      <c r="B8" s="114" t="s">
        <v>50</v>
      </c>
      <c r="C8" s="114">
        <v>2023</v>
      </c>
      <c r="D8" s="225">
        <f>VLOOKUP(C8,INPC!$A$24:$M$80,HLOOKUP(B8,INPC!$B$3:$M$24,2,FALSE),FALSE)</f>
        <v>128.214</v>
      </c>
      <c r="E8" s="110"/>
      <c r="F8" s="140"/>
      <c r="G8" s="268"/>
      <c r="H8" s="268"/>
      <c r="I8" s="139"/>
      <c r="J8" s="139"/>
      <c r="K8" s="139"/>
      <c r="L8" s="139"/>
      <c r="M8" s="139"/>
      <c r="N8" s="139"/>
      <c r="O8" s="139"/>
      <c r="P8" s="139"/>
    </row>
    <row r="9" spans="2:16">
      <c r="B9" s="114" t="s">
        <v>50</v>
      </c>
      <c r="C9" s="114">
        <v>2022</v>
      </c>
      <c r="D9" s="225">
        <f>VLOOKUP(C9,INPC!$A$24:$M$80,HLOOKUP(B9,INPC!$B$3:$M$24,2,FALSE),FALSE)</f>
        <v>122.044</v>
      </c>
      <c r="E9" s="110"/>
      <c r="F9" s="110"/>
      <c r="G9" s="110"/>
      <c r="H9" s="110"/>
      <c r="I9" s="110"/>
    </row>
    <row r="10" spans="2:16">
      <c r="B10" s="114" t="s">
        <v>50</v>
      </c>
      <c r="C10" s="114">
        <v>2024</v>
      </c>
      <c r="D10" s="225">
        <f>VLOOKUP(C10,INPC!$A$24:$M$80,HLOOKUP(B10,INPC!$B$3:$M$24,2,FALSE),FALSE)</f>
        <v>134.59399999999999</v>
      </c>
      <c r="E10" s="110"/>
      <c r="G10" s="110"/>
      <c r="H10" s="110"/>
      <c r="I10" s="110"/>
    </row>
    <row r="11" spans="2:16">
      <c r="B11" s="114" t="s">
        <v>281</v>
      </c>
      <c r="C11" s="114">
        <v>2023</v>
      </c>
      <c r="D11" s="225">
        <f>VLOOKUP(C11,INPC!$A$24:$M$78,HLOOKUP(B11,INPC!$B$3:$M$23,2,FALSE),FALSE)</f>
        <v>132.37299999999999</v>
      </c>
      <c r="E11" s="110"/>
      <c r="G11" s="110"/>
      <c r="H11" s="110"/>
      <c r="I11" s="110"/>
    </row>
    <row r="12" spans="2:16">
      <c r="B12" s="114"/>
      <c r="C12" s="114"/>
      <c r="D12" s="225" t="e">
        <f>VLOOKUP(C12,INPC!$A$24:$M$78,HLOOKUP(B12,INPC!$B$3:$M$23,2,FALSE),FALSE)</f>
        <v>#N/A</v>
      </c>
      <c r="E12" s="110"/>
      <c r="G12" s="110"/>
      <c r="H12" s="110"/>
      <c r="I12" s="110"/>
    </row>
    <row r="13" spans="2:16">
      <c r="B13" s="114"/>
      <c r="C13" s="114"/>
      <c r="D13" s="225" t="e">
        <f>VLOOKUP(C13,INPC!$A$24:$M$78,HLOOKUP(B13,INPC!$B$3:$M$23,2,FALSE),FALSE)</f>
        <v>#N/A</v>
      </c>
      <c r="E13" s="110"/>
      <c r="G13" s="110"/>
      <c r="H13" s="110"/>
      <c r="I13" s="110"/>
    </row>
    <row r="14" spans="2:16">
      <c r="B14" s="114"/>
      <c r="C14" s="114"/>
      <c r="D14" s="225" t="e">
        <f>VLOOKUP(C14,INPC!$A$24:$M$78,HLOOKUP(B14,INPC!$B$3:$M$23,2,FALSE),FALSE)</f>
        <v>#N/A</v>
      </c>
      <c r="E14" s="110"/>
      <c r="F14" s="110"/>
      <c r="G14" s="110"/>
      <c r="H14" s="110"/>
      <c r="I14" s="110"/>
    </row>
    <row r="15" spans="2:16">
      <c r="B15" s="109"/>
      <c r="C15" s="110"/>
      <c r="D15" s="110"/>
      <c r="E15" s="110"/>
      <c r="F15" s="110"/>
      <c r="G15" s="110"/>
      <c r="H15" s="110"/>
      <c r="I15" s="110"/>
    </row>
    <row r="17" spans="2:10">
      <c r="B17" s="264" t="s">
        <v>283</v>
      </c>
      <c r="C17" s="264" t="s">
        <v>331</v>
      </c>
      <c r="D17" s="264"/>
      <c r="E17" s="264" t="s">
        <v>401</v>
      </c>
      <c r="F17" s="264"/>
      <c r="G17" s="264" t="s">
        <v>405</v>
      </c>
      <c r="H17" s="264"/>
      <c r="I17" s="264" t="s">
        <v>406</v>
      </c>
      <c r="J17" s="264"/>
    </row>
    <row r="18" spans="2:10">
      <c r="B18" s="264"/>
      <c r="C18" s="264"/>
      <c r="D18" s="264"/>
      <c r="E18" s="141" t="s">
        <v>407</v>
      </c>
      <c r="F18" s="141" t="s">
        <v>408</v>
      </c>
      <c r="G18" s="141" t="s">
        <v>407</v>
      </c>
      <c r="H18" s="141" t="s">
        <v>408</v>
      </c>
      <c r="I18" s="141" t="s">
        <v>407</v>
      </c>
      <c r="J18" s="141" t="s">
        <v>408</v>
      </c>
    </row>
    <row r="19" spans="2:10">
      <c r="B19" s="141">
        <v>2022</v>
      </c>
      <c r="C19" s="265">
        <v>0</v>
      </c>
      <c r="D19" s="265"/>
      <c r="E19" s="142">
        <f>+D6/D7</f>
        <v>1.028711325113056</v>
      </c>
      <c r="F19" s="237">
        <f>+C19*E19</f>
        <v>0</v>
      </c>
      <c r="G19" s="142">
        <f>+D10/D11</f>
        <v>1.0167783460373339</v>
      </c>
      <c r="H19" s="142">
        <f>+F19*G19</f>
        <v>0</v>
      </c>
      <c r="I19" s="142">
        <v>1</v>
      </c>
      <c r="J19" s="142">
        <f>+H19*I19</f>
        <v>0</v>
      </c>
    </row>
    <row r="20" spans="2:10">
      <c r="B20" s="141"/>
      <c r="C20" s="265"/>
      <c r="D20" s="265"/>
      <c r="E20" s="142"/>
      <c r="F20" s="142"/>
      <c r="G20" s="142"/>
      <c r="H20" s="142"/>
      <c r="I20" s="142"/>
      <c r="J20" s="142"/>
    </row>
    <row r="21" spans="2:10">
      <c r="B21" s="141"/>
      <c r="C21" s="265"/>
      <c r="D21" s="265"/>
      <c r="E21" s="142"/>
      <c r="F21" s="142"/>
      <c r="G21" s="142"/>
      <c r="H21" s="142"/>
      <c r="I21" s="142"/>
      <c r="J21" s="142"/>
    </row>
    <row r="22" spans="2:10">
      <c r="B22" s="141"/>
      <c r="C22" s="265"/>
      <c r="D22" s="265"/>
      <c r="E22" s="142"/>
      <c r="F22" s="142"/>
      <c r="G22" s="142"/>
      <c r="H22" s="142"/>
      <c r="I22" s="142"/>
      <c r="J22" s="142"/>
    </row>
    <row r="23" spans="2:10">
      <c r="B23" s="141"/>
      <c r="C23" s="265"/>
      <c r="D23" s="265"/>
      <c r="E23" s="142"/>
      <c r="F23" s="142"/>
      <c r="G23" s="142"/>
      <c r="H23" s="142"/>
      <c r="I23" s="142"/>
      <c r="J23" s="142"/>
    </row>
    <row r="24" spans="2:10">
      <c r="B24" s="141"/>
      <c r="C24" s="265"/>
      <c r="D24" s="265"/>
      <c r="E24" s="142"/>
      <c r="F24" s="142"/>
      <c r="G24" s="142"/>
      <c r="H24" s="142"/>
      <c r="I24" s="142"/>
      <c r="J24" s="142"/>
    </row>
    <row r="25" spans="2:10">
      <c r="B25" s="141"/>
      <c r="C25" s="265"/>
      <c r="D25" s="265"/>
      <c r="E25" s="142"/>
      <c r="F25" s="142"/>
      <c r="G25" s="142"/>
      <c r="H25" s="142"/>
      <c r="I25" s="142"/>
      <c r="J25" s="142"/>
    </row>
    <row r="27" spans="2:10">
      <c r="B27" s="137"/>
      <c r="C27" s="24"/>
    </row>
    <row r="28" spans="2:10">
      <c r="B28" s="136" t="s">
        <v>402</v>
      </c>
      <c r="C28" s="24"/>
    </row>
    <row r="29" spans="2:10" ht="86.1" customHeight="1">
      <c r="B29" s="263" t="s">
        <v>403</v>
      </c>
      <c r="C29" s="263"/>
      <c r="D29" s="263"/>
      <c r="E29" s="263"/>
      <c r="F29" s="263"/>
      <c r="G29" s="263"/>
      <c r="H29" s="263"/>
      <c r="I29" s="263"/>
      <c r="J29" s="263"/>
    </row>
    <row r="30" spans="2:10" ht="48" customHeight="1">
      <c r="B30" s="263" t="s">
        <v>404</v>
      </c>
      <c r="C30" s="263"/>
      <c r="D30" s="263"/>
      <c r="E30" s="263"/>
      <c r="F30" s="263"/>
      <c r="G30" s="263"/>
      <c r="H30" s="263"/>
      <c r="I30" s="263"/>
      <c r="J30" s="263"/>
    </row>
  </sheetData>
  <mergeCells count="20">
    <mergeCell ref="I4:J4"/>
    <mergeCell ref="C19:D19"/>
    <mergeCell ref="C20:D20"/>
    <mergeCell ref="C25:D25"/>
    <mergeCell ref="B3:D3"/>
    <mergeCell ref="G5:H5"/>
    <mergeCell ref="G6:H6"/>
    <mergeCell ref="G7:H7"/>
    <mergeCell ref="G8:H8"/>
    <mergeCell ref="E17:F17"/>
    <mergeCell ref="C23:D23"/>
    <mergeCell ref="C24:D24"/>
    <mergeCell ref="B29:J29"/>
    <mergeCell ref="B30:J30"/>
    <mergeCell ref="B17:B18"/>
    <mergeCell ref="C17:D18"/>
    <mergeCell ref="G17:H17"/>
    <mergeCell ref="I17:J17"/>
    <mergeCell ref="C21:D21"/>
    <mergeCell ref="C22:D2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21"/>
  <sheetViews>
    <sheetView workbookViewId="0"/>
    <sheetView workbookViewId="1"/>
  </sheetViews>
  <sheetFormatPr baseColWidth="10" defaultColWidth="11.42578125" defaultRowHeight="11.25"/>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c r="B2" s="269" t="s">
        <v>409</v>
      </c>
      <c r="C2" s="269"/>
      <c r="D2" s="269"/>
      <c r="E2" s="269"/>
      <c r="F2" s="269"/>
      <c r="G2" s="269"/>
      <c r="H2" s="269"/>
      <c r="I2" s="269"/>
      <c r="J2" s="269"/>
    </row>
    <row r="3" spans="2:10" s="184" customFormat="1">
      <c r="B3" s="269" t="s">
        <v>410</v>
      </c>
      <c r="C3" s="269"/>
      <c r="D3" s="269"/>
      <c r="E3" s="269"/>
      <c r="F3" s="269"/>
      <c r="G3" s="269"/>
      <c r="H3" s="269"/>
      <c r="I3" s="269"/>
      <c r="J3" s="269"/>
    </row>
    <row r="6" spans="2:10" s="184" customFormat="1" ht="22.5">
      <c r="B6" s="202" t="s">
        <v>411</v>
      </c>
      <c r="C6" s="202" t="s">
        <v>412</v>
      </c>
      <c r="D6" s="203" t="s">
        <v>413</v>
      </c>
      <c r="E6" s="202" t="s">
        <v>414</v>
      </c>
      <c r="F6" s="202" t="s">
        <v>415</v>
      </c>
      <c r="G6" s="202" t="s">
        <v>416</v>
      </c>
      <c r="H6" s="202" t="s">
        <v>417</v>
      </c>
      <c r="I6" s="202" t="s">
        <v>418</v>
      </c>
      <c r="J6" s="202" t="s">
        <v>419</v>
      </c>
    </row>
    <row r="7" spans="2:10" s="184" customFormat="1">
      <c r="B7" s="204"/>
      <c r="C7" s="204"/>
      <c r="D7" s="205"/>
      <c r="E7" s="204"/>
      <c r="F7" s="204"/>
      <c r="G7" s="204"/>
      <c r="H7" s="204"/>
      <c r="I7" s="204"/>
      <c r="J7" s="204"/>
    </row>
    <row r="8" spans="2:10" s="184" customFormat="1">
      <c r="B8" s="206">
        <v>44848</v>
      </c>
      <c r="C8" s="207" t="s">
        <v>546</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c r="B19" s="206">
        <v>45230</v>
      </c>
      <c r="C19" s="207"/>
      <c r="D19" s="208">
        <f t="shared" si="6"/>
        <v>0</v>
      </c>
      <c r="E19" s="192">
        <f t="shared" si="7"/>
        <v>130.60900000000001</v>
      </c>
      <c r="F19" s="209">
        <f t="shared" si="8"/>
        <v>130.12</v>
      </c>
      <c r="G19" s="210">
        <f t="shared" si="9"/>
        <v>1.0037</v>
      </c>
      <c r="H19" s="211">
        <f t="shared" si="10"/>
        <v>0</v>
      </c>
      <c r="I19" s="235"/>
      <c r="J19" s="212">
        <f t="shared" si="11"/>
        <v>0</v>
      </c>
    </row>
    <row r="20" spans="2:10">
      <c r="B20" s="206">
        <v>45260</v>
      </c>
      <c r="C20" s="207"/>
      <c r="D20" s="208">
        <f t="shared" si="6"/>
        <v>0</v>
      </c>
      <c r="E20" s="192">
        <f t="shared" si="7"/>
        <v>131.44499999999999</v>
      </c>
      <c r="F20" s="209">
        <f t="shared" si="8"/>
        <v>130.60900000000001</v>
      </c>
      <c r="G20" s="210">
        <f t="shared" si="9"/>
        <v>1.0064</v>
      </c>
      <c r="H20" s="211">
        <f t="shared" si="10"/>
        <v>0</v>
      </c>
      <c r="I20" s="235"/>
      <c r="J20" s="212">
        <f t="shared" si="11"/>
        <v>0</v>
      </c>
    </row>
    <row r="21" spans="2:10">
      <c r="B21" s="206">
        <v>45291</v>
      </c>
      <c r="C21" s="207"/>
      <c r="D21" s="208">
        <f t="shared" si="6"/>
        <v>0</v>
      </c>
      <c r="E21" s="192">
        <f t="shared" si="7"/>
        <v>132.37299999999999</v>
      </c>
      <c r="F21" s="209">
        <f t="shared" si="8"/>
        <v>131.44499999999999</v>
      </c>
      <c r="G21" s="210">
        <f t="shared" si="9"/>
        <v>1.0069999999999999</v>
      </c>
      <c r="H21" s="211">
        <f t="shared" si="10"/>
        <v>0</v>
      </c>
      <c r="I21" s="235"/>
      <c r="J21" s="212">
        <f t="shared" si="11"/>
        <v>0</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workbookViewId="0"/>
    <sheetView workbookViewId="1"/>
  </sheetViews>
  <sheetFormatPr baseColWidth="10" defaultColWidth="14.28515625" defaultRowHeight="11.25"/>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c r="B1" s="177"/>
      <c r="C1" s="177"/>
      <c r="D1" s="177"/>
      <c r="E1" s="177"/>
      <c r="F1" s="177"/>
      <c r="G1" s="177"/>
      <c r="H1" s="177"/>
      <c r="I1" s="177"/>
      <c r="J1" s="177"/>
    </row>
    <row r="2" spans="1:10">
      <c r="B2" s="276" t="s">
        <v>409</v>
      </c>
      <c r="C2" s="276"/>
      <c r="D2" s="276"/>
      <c r="E2" s="276"/>
      <c r="F2" s="276"/>
      <c r="G2" s="276"/>
      <c r="H2" s="276"/>
      <c r="I2" s="276"/>
      <c r="J2" s="276"/>
    </row>
    <row r="3" spans="1:10">
      <c r="B3" s="276" t="s">
        <v>420</v>
      </c>
      <c r="C3" s="276"/>
      <c r="D3" s="276"/>
      <c r="E3" s="276"/>
      <c r="F3" s="276"/>
      <c r="G3" s="276"/>
      <c r="H3" s="276"/>
      <c r="I3" s="276"/>
      <c r="J3" s="276"/>
    </row>
    <row r="4" spans="1:10">
      <c r="B4" s="179"/>
      <c r="C4" s="179"/>
      <c r="D4" s="179"/>
      <c r="E4" s="179"/>
      <c r="F4" s="179"/>
      <c r="G4" s="179"/>
      <c r="H4" s="179"/>
      <c r="I4" s="179"/>
      <c r="J4" s="179"/>
    </row>
    <row r="5" spans="1:10">
      <c r="B5" s="271" t="s">
        <v>448</v>
      </c>
      <c r="C5" s="271"/>
      <c r="D5" s="271"/>
      <c r="E5" s="271"/>
      <c r="F5" s="271"/>
      <c r="G5" s="271"/>
      <c r="H5" s="271"/>
      <c r="I5" s="271"/>
      <c r="J5" s="271"/>
    </row>
    <row r="6" spans="1:10">
      <c r="B6" s="220"/>
      <c r="C6" s="220"/>
      <c r="D6" s="220"/>
      <c r="E6" s="220"/>
      <c r="F6" s="220"/>
      <c r="G6" s="220"/>
      <c r="H6" s="220"/>
      <c r="I6" s="220"/>
      <c r="J6" s="220"/>
    </row>
    <row r="7" spans="1:10" ht="12.75" customHeight="1">
      <c r="B7" s="274" t="s">
        <v>424</v>
      </c>
      <c r="C7" s="272" t="s">
        <v>412</v>
      </c>
      <c r="D7" s="272" t="s">
        <v>425</v>
      </c>
      <c r="E7" s="273" t="s">
        <v>280</v>
      </c>
      <c r="F7" s="273"/>
      <c r="G7" s="272" t="s">
        <v>428</v>
      </c>
      <c r="H7" s="272" t="s">
        <v>429</v>
      </c>
      <c r="I7" s="272" t="s">
        <v>430</v>
      </c>
      <c r="J7" s="272" t="s">
        <v>431</v>
      </c>
    </row>
    <row r="8" spans="1:10" ht="12.75" customHeight="1">
      <c r="B8" s="274"/>
      <c r="C8" s="272"/>
      <c r="D8" s="272"/>
      <c r="E8" s="272" t="s">
        <v>426</v>
      </c>
      <c r="F8" s="270" t="s">
        <v>427</v>
      </c>
      <c r="G8" s="272"/>
      <c r="H8" s="275"/>
      <c r="I8" s="275"/>
      <c r="J8" s="275"/>
    </row>
    <row r="9" spans="1:10" ht="12.75" customHeight="1">
      <c r="B9" s="274"/>
      <c r="C9" s="272"/>
      <c r="D9" s="272"/>
      <c r="E9" s="272"/>
      <c r="F9" s="270"/>
      <c r="G9" s="272"/>
      <c r="H9" s="275"/>
      <c r="I9" s="275"/>
      <c r="J9" s="275"/>
    </row>
    <row r="10" spans="1:10">
      <c r="A10" s="180"/>
      <c r="B10" s="187">
        <v>41244</v>
      </c>
      <c r="C10" s="195" t="s">
        <v>421</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c r="A11" s="180"/>
      <c r="B11" s="187">
        <v>41639</v>
      </c>
      <c r="C11" s="195" t="s">
        <v>421</v>
      </c>
      <c r="D11" s="191">
        <v>0</v>
      </c>
      <c r="E11" s="192">
        <f t="shared" si="0"/>
        <v>83.770058296773001</v>
      </c>
      <c r="F11" s="192">
        <f>+E11</f>
        <v>83.770058296773001</v>
      </c>
      <c r="G11" s="193">
        <f t="shared" si="1"/>
        <v>1</v>
      </c>
      <c r="H11" s="191">
        <f t="shared" si="2"/>
        <v>0</v>
      </c>
      <c r="I11" s="194">
        <v>0</v>
      </c>
      <c r="J11" s="191">
        <f t="shared" si="3"/>
        <v>0</v>
      </c>
    </row>
    <row r="12" spans="1:10">
      <c r="B12" s="187">
        <v>42004</v>
      </c>
      <c r="C12" s="195" t="s">
        <v>421</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c r="B13" s="187">
        <v>42369</v>
      </c>
      <c r="C13" s="195" t="s">
        <v>421</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c r="B14" s="187">
        <v>42735</v>
      </c>
      <c r="C14" s="195" t="s">
        <v>421</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c r="B15" s="187">
        <v>43100</v>
      </c>
      <c r="C15" s="195" t="s">
        <v>421</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c r="B16" s="187">
        <v>43465</v>
      </c>
      <c r="C16" s="195" t="s">
        <v>421</v>
      </c>
      <c r="D16" s="191">
        <f t="shared" si="5"/>
        <v>0</v>
      </c>
      <c r="E16" s="192">
        <f t="shared" si="4"/>
        <v>103.02</v>
      </c>
      <c r="F16" s="192">
        <f t="shared" si="6"/>
        <v>98.272882985755999</v>
      </c>
      <c r="G16" s="193">
        <f t="shared" si="1"/>
        <v>1.0483</v>
      </c>
      <c r="H16" s="191">
        <f t="shared" si="2"/>
        <v>0</v>
      </c>
      <c r="I16" s="194">
        <v>0</v>
      </c>
      <c r="J16" s="191">
        <f t="shared" si="3"/>
        <v>0</v>
      </c>
    </row>
    <row r="17" spans="1:13">
      <c r="B17" s="187">
        <v>43830</v>
      </c>
      <c r="C17" s="195" t="s">
        <v>421</v>
      </c>
      <c r="D17" s="191">
        <f t="shared" si="5"/>
        <v>0</v>
      </c>
      <c r="E17" s="192">
        <f t="shared" si="4"/>
        <v>105.934</v>
      </c>
      <c r="F17" s="192">
        <f t="shared" si="6"/>
        <v>103.02</v>
      </c>
      <c r="G17" s="193">
        <f t="shared" si="1"/>
        <v>1.0282</v>
      </c>
      <c r="H17" s="191">
        <f t="shared" si="2"/>
        <v>0</v>
      </c>
      <c r="I17" s="194">
        <v>0</v>
      </c>
      <c r="J17" s="191">
        <f t="shared" si="3"/>
        <v>0</v>
      </c>
    </row>
    <row r="18" spans="1:13">
      <c r="B18" s="187">
        <v>44196</v>
      </c>
      <c r="C18" s="195" t="s">
        <v>421</v>
      </c>
      <c r="D18" s="191">
        <f t="shared" si="5"/>
        <v>0</v>
      </c>
      <c r="E18" s="192">
        <f t="shared" si="4"/>
        <v>109.271</v>
      </c>
      <c r="F18" s="192">
        <f t="shared" si="6"/>
        <v>105.934</v>
      </c>
      <c r="G18" s="193">
        <f t="shared" si="1"/>
        <v>1.0315000000000001</v>
      </c>
      <c r="H18" s="191">
        <f t="shared" si="2"/>
        <v>0</v>
      </c>
      <c r="I18" s="194">
        <v>0</v>
      </c>
      <c r="J18" s="191">
        <f t="shared" si="3"/>
        <v>0</v>
      </c>
    </row>
    <row r="19" spans="1:13">
      <c r="B19" s="187">
        <v>44561</v>
      </c>
      <c r="C19" s="195" t="s">
        <v>421</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c r="B20" s="187">
        <v>44926</v>
      </c>
      <c r="C20" s="195" t="s">
        <v>421</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c r="B21" s="187">
        <v>45108</v>
      </c>
      <c r="C21" s="195" t="s">
        <v>422</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c r="A24" s="271" t="s">
        <v>432</v>
      </c>
      <c r="B24" s="271"/>
      <c r="C24" s="271"/>
      <c r="D24" s="271"/>
      <c r="E24" s="271"/>
      <c r="F24" s="271"/>
      <c r="G24" s="271"/>
      <c r="H24" s="271"/>
      <c r="I24" s="271"/>
      <c r="J24" s="271"/>
      <c r="K24" s="271"/>
      <c r="L24" s="179"/>
      <c r="M24" s="179"/>
    </row>
    <row r="26" spans="1:13" ht="20.45" customHeight="1">
      <c r="B26" s="274" t="s">
        <v>424</v>
      </c>
      <c r="C26" s="272" t="s">
        <v>412</v>
      </c>
      <c r="D26" s="272" t="s">
        <v>425</v>
      </c>
      <c r="E26" s="273" t="s">
        <v>280</v>
      </c>
      <c r="F26" s="273"/>
      <c r="G26" s="272" t="s">
        <v>428</v>
      </c>
      <c r="H26" s="272" t="s">
        <v>429</v>
      </c>
      <c r="I26" s="272" t="s">
        <v>430</v>
      </c>
      <c r="J26" s="272" t="s">
        <v>431</v>
      </c>
    </row>
    <row r="27" spans="1:13" ht="12.75" customHeight="1">
      <c r="B27" s="274"/>
      <c r="C27" s="272"/>
      <c r="D27" s="272"/>
      <c r="E27" s="272" t="s">
        <v>426</v>
      </c>
      <c r="F27" s="270" t="s">
        <v>427</v>
      </c>
      <c r="G27" s="272"/>
      <c r="H27" s="275"/>
      <c r="I27" s="275"/>
      <c r="J27" s="275"/>
    </row>
    <row r="28" spans="1:13">
      <c r="B28" s="274"/>
      <c r="C28" s="272"/>
      <c r="D28" s="272"/>
      <c r="E28" s="272"/>
      <c r="F28" s="270"/>
      <c r="G28" s="272"/>
      <c r="H28" s="275"/>
      <c r="I28" s="275"/>
      <c r="J28" s="275"/>
    </row>
    <row r="29" spans="1:13">
      <c r="B29" s="187">
        <v>42004</v>
      </c>
      <c r="C29" s="188" t="s">
        <v>421</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c r="B30" s="187">
        <v>42369</v>
      </c>
      <c r="C30" s="188" t="s">
        <v>421</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c r="B31" s="187">
        <v>42735</v>
      </c>
      <c r="C31" s="188" t="s">
        <v>421</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c r="B32" s="187">
        <v>43100</v>
      </c>
      <c r="C32" s="198" t="s">
        <v>423</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c r="B33" s="187">
        <v>43465</v>
      </c>
      <c r="C33" s="198" t="s">
        <v>421</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c r="B34" s="187">
        <v>43830</v>
      </c>
      <c r="C34" s="198" t="s">
        <v>423</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c r="B35" s="187">
        <v>44196</v>
      </c>
      <c r="C35" s="198" t="s">
        <v>423</v>
      </c>
      <c r="D35" s="199">
        <f t="shared" si="13"/>
        <v>0</v>
      </c>
      <c r="E35" s="197">
        <f t="shared" si="16"/>
        <v>109.271</v>
      </c>
      <c r="F35" s="197">
        <f t="shared" si="14"/>
        <v>105.934</v>
      </c>
      <c r="G35" s="200">
        <f t="shared" si="12"/>
        <v>1.0315000000000001</v>
      </c>
      <c r="H35" s="199">
        <f t="shared" si="10"/>
        <v>0</v>
      </c>
      <c r="I35" s="190">
        <v>0</v>
      </c>
      <c r="J35" s="189">
        <f t="shared" si="11"/>
        <v>0</v>
      </c>
    </row>
    <row r="36" spans="2:10">
      <c r="B36" s="201">
        <v>44561</v>
      </c>
      <c r="C36" s="198" t="s">
        <v>421</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c r="B37" s="201">
        <v>44926</v>
      </c>
      <c r="C37" s="198" t="s">
        <v>421</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c r="B38" s="187">
        <f>+B21</f>
        <v>45108</v>
      </c>
      <c r="C38" s="188" t="s">
        <v>422</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c r="D39" s="182"/>
    </row>
    <row r="40" spans="2:10">
      <c r="I40" s="183"/>
    </row>
    <row r="41" spans="2:10">
      <c r="I41" s="183"/>
    </row>
    <row r="42" spans="2:10">
      <c r="I42" s="183"/>
    </row>
    <row r="43" spans="2:10">
      <c r="I43" s="183"/>
    </row>
    <row r="44" spans="2:10">
      <c r="I44" s="183"/>
    </row>
    <row r="45" spans="2:10">
      <c r="I45" s="183"/>
    </row>
    <row r="46" spans="2:10">
      <c r="I46" s="183"/>
    </row>
  </sheetData>
  <mergeCells count="24">
    <mergeCell ref="B2:J2"/>
    <mergeCell ref="B3:J3"/>
    <mergeCell ref="B5:J5"/>
    <mergeCell ref="B7:B9"/>
    <mergeCell ref="D7:D9"/>
    <mergeCell ref="G7:G9"/>
    <mergeCell ref="H7:H9"/>
    <mergeCell ref="I7:I9"/>
    <mergeCell ref="J7:J9"/>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 workbookViewId="1"/>
  </sheetViews>
  <sheetFormatPr baseColWidth="10" defaultColWidth="11.42578125" defaultRowHeight="12.7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c r="B1" s="161"/>
      <c r="C1" s="161"/>
      <c r="D1" s="161"/>
      <c r="E1" s="161"/>
      <c r="F1" s="161"/>
      <c r="G1" s="161"/>
      <c r="H1" s="162"/>
      <c r="I1" s="162"/>
      <c r="J1" s="162"/>
    </row>
    <row r="2" spans="1:13">
      <c r="B2" s="279" t="s">
        <v>409</v>
      </c>
      <c r="C2" s="279"/>
      <c r="D2" s="279"/>
      <c r="E2" s="279"/>
      <c r="F2" s="279"/>
      <c r="G2" s="279"/>
      <c r="H2" s="279"/>
      <c r="I2" s="279"/>
      <c r="J2" s="279"/>
    </row>
    <row r="3" spans="1:13">
      <c r="B3" s="279" t="s">
        <v>433</v>
      </c>
      <c r="C3" s="279"/>
      <c r="D3" s="279"/>
      <c r="E3" s="279"/>
      <c r="F3" s="279"/>
      <c r="G3" s="279"/>
      <c r="H3" s="279"/>
      <c r="I3" s="279"/>
      <c r="J3" s="279"/>
    </row>
    <row r="4" spans="1:13">
      <c r="B4" s="163"/>
      <c r="C4" s="163"/>
      <c r="D4" s="163"/>
      <c r="E4" s="163"/>
      <c r="F4" s="163"/>
      <c r="G4" s="164"/>
      <c r="H4" s="165"/>
      <c r="I4" s="165"/>
      <c r="J4" s="165"/>
      <c r="K4" s="166"/>
      <c r="L4" s="166"/>
      <c r="M4" s="166"/>
    </row>
    <row r="5" spans="1:13">
      <c r="B5" s="163"/>
      <c r="C5" s="163"/>
      <c r="D5" s="163"/>
      <c r="E5" s="163"/>
      <c r="F5" s="163"/>
      <c r="G5" s="163"/>
    </row>
    <row r="6" spans="1:13" ht="24.95" customHeight="1">
      <c r="B6" s="280" t="s">
        <v>439</v>
      </c>
      <c r="C6" s="280" t="s">
        <v>440</v>
      </c>
      <c r="D6" s="280" t="s">
        <v>441</v>
      </c>
      <c r="E6" s="280" t="s">
        <v>442</v>
      </c>
      <c r="F6" s="277" t="s">
        <v>443</v>
      </c>
      <c r="G6" s="277" t="s">
        <v>444</v>
      </c>
      <c r="H6" s="277" t="s">
        <v>445</v>
      </c>
      <c r="I6" s="277" t="s">
        <v>446</v>
      </c>
      <c r="J6" s="277" t="s">
        <v>447</v>
      </c>
    </row>
    <row r="7" spans="1:13" ht="24.95" customHeight="1">
      <c r="B7" s="280"/>
      <c r="C7" s="280"/>
      <c r="D7" s="280"/>
      <c r="E7" s="280"/>
      <c r="F7" s="277"/>
      <c r="G7" s="281" t="s">
        <v>434</v>
      </c>
      <c r="H7" s="277"/>
      <c r="I7" s="281" t="s">
        <v>435</v>
      </c>
      <c r="J7" s="278"/>
    </row>
    <row r="8" spans="1:13">
      <c r="B8" s="213"/>
      <c r="C8" s="213"/>
      <c r="D8" s="213"/>
      <c r="E8" s="213"/>
      <c r="F8" s="214"/>
      <c r="G8" s="214"/>
      <c r="H8" s="214"/>
      <c r="I8" s="214"/>
      <c r="J8" s="214"/>
    </row>
    <row r="9" spans="1:13">
      <c r="A9" s="167"/>
      <c r="B9" s="213">
        <v>42004</v>
      </c>
      <c r="C9" s="215">
        <v>0</v>
      </c>
      <c r="D9" s="215">
        <v>0</v>
      </c>
      <c r="E9" s="215">
        <v>0</v>
      </c>
      <c r="F9" s="215">
        <v>0</v>
      </c>
      <c r="G9" s="215">
        <v>0</v>
      </c>
      <c r="H9" s="215">
        <v>0</v>
      </c>
      <c r="I9" s="215">
        <v>0</v>
      </c>
      <c r="J9" s="215">
        <f>F9-G9-I9</f>
        <v>0</v>
      </c>
    </row>
    <row r="10" spans="1:13">
      <c r="A10" s="168"/>
      <c r="B10" s="213">
        <v>42369</v>
      </c>
      <c r="C10" s="215">
        <v>0</v>
      </c>
      <c r="D10" s="215">
        <v>0</v>
      </c>
      <c r="E10" s="215">
        <v>0</v>
      </c>
      <c r="F10" s="215">
        <f t="shared" ref="F10:F14" si="0">IF(C10=0,D10-E10,0)</f>
        <v>0</v>
      </c>
      <c r="G10" s="215">
        <v>0</v>
      </c>
      <c r="H10" s="215">
        <v>0</v>
      </c>
      <c r="I10" s="215">
        <v>0</v>
      </c>
      <c r="J10" s="215">
        <f t="shared" ref="J10:J17" si="1">F10-G10-I10</f>
        <v>0</v>
      </c>
    </row>
    <row r="11" spans="1:13">
      <c r="A11" s="168"/>
      <c r="B11" s="213">
        <v>42735</v>
      </c>
      <c r="C11" s="215">
        <v>0</v>
      </c>
      <c r="D11" s="215">
        <v>0</v>
      </c>
      <c r="E11" s="215">
        <v>0</v>
      </c>
      <c r="F11" s="215">
        <f t="shared" si="0"/>
        <v>0</v>
      </c>
      <c r="G11" s="215">
        <v>0</v>
      </c>
      <c r="H11" s="215">
        <v>0</v>
      </c>
      <c r="I11" s="215">
        <v>0</v>
      </c>
      <c r="J11" s="215">
        <f t="shared" si="1"/>
        <v>0</v>
      </c>
    </row>
    <row r="12" spans="1:13">
      <c r="A12" s="168"/>
      <c r="B12" s="213">
        <v>43100</v>
      </c>
      <c r="C12" s="215">
        <v>0</v>
      </c>
      <c r="D12" s="215">
        <v>0</v>
      </c>
      <c r="E12" s="215">
        <v>0</v>
      </c>
      <c r="F12" s="215">
        <f t="shared" si="0"/>
        <v>0</v>
      </c>
      <c r="G12" s="215">
        <v>0</v>
      </c>
      <c r="H12" s="215">
        <v>0</v>
      </c>
      <c r="I12" s="215">
        <v>0</v>
      </c>
      <c r="J12" s="215">
        <f t="shared" si="1"/>
        <v>0</v>
      </c>
    </row>
    <row r="13" spans="1:13">
      <c r="A13" s="168"/>
      <c r="B13" s="213">
        <v>43465</v>
      </c>
      <c r="C13" s="215">
        <v>0</v>
      </c>
      <c r="D13" s="215">
        <v>0</v>
      </c>
      <c r="E13" s="215">
        <v>0</v>
      </c>
      <c r="F13" s="215">
        <f t="shared" si="0"/>
        <v>0</v>
      </c>
      <c r="G13" s="215">
        <v>0</v>
      </c>
      <c r="H13" s="215">
        <v>0</v>
      </c>
      <c r="I13" s="215">
        <v>0</v>
      </c>
      <c r="J13" s="215">
        <f t="shared" si="1"/>
        <v>0</v>
      </c>
    </row>
    <row r="14" spans="1:13">
      <c r="A14" s="168"/>
      <c r="B14" s="213">
        <v>43830</v>
      </c>
      <c r="C14" s="215">
        <v>0</v>
      </c>
      <c r="D14" s="215">
        <v>0</v>
      </c>
      <c r="E14" s="215">
        <v>0</v>
      </c>
      <c r="F14" s="215">
        <f t="shared" si="0"/>
        <v>0</v>
      </c>
      <c r="G14" s="216">
        <v>0</v>
      </c>
      <c r="H14" s="215">
        <v>0</v>
      </c>
      <c r="I14" s="215">
        <v>0</v>
      </c>
      <c r="J14" s="215">
        <f t="shared" si="1"/>
        <v>0</v>
      </c>
    </row>
    <row r="15" spans="1:13">
      <c r="A15" s="168"/>
      <c r="B15" s="213">
        <v>44196</v>
      </c>
      <c r="C15" s="215">
        <v>0</v>
      </c>
      <c r="D15" s="215">
        <v>0</v>
      </c>
      <c r="E15" s="215">
        <v>0</v>
      </c>
      <c r="F15" s="215">
        <f>IF(C15=0,D15-E15,0)</f>
        <v>0</v>
      </c>
      <c r="G15" s="215">
        <v>0</v>
      </c>
      <c r="H15" s="215">
        <v>0</v>
      </c>
      <c r="I15" s="215">
        <v>0</v>
      </c>
      <c r="J15" s="215">
        <f t="shared" si="1"/>
        <v>0</v>
      </c>
    </row>
    <row r="16" spans="1:13">
      <c r="A16" s="168"/>
      <c r="B16" s="213">
        <v>44561</v>
      </c>
      <c r="C16" s="215">
        <v>0</v>
      </c>
      <c r="D16" s="215">
        <v>0</v>
      </c>
      <c r="E16" s="215">
        <v>0</v>
      </c>
      <c r="F16" s="215">
        <f>IF(C16=0,D16-E16,0)</f>
        <v>0</v>
      </c>
      <c r="G16" s="215">
        <v>0</v>
      </c>
      <c r="H16" s="215">
        <v>0</v>
      </c>
      <c r="I16" s="215">
        <v>0</v>
      </c>
      <c r="J16" s="215">
        <f t="shared" si="1"/>
        <v>0</v>
      </c>
    </row>
    <row r="17" spans="1:12">
      <c r="A17" s="168"/>
      <c r="B17" s="213">
        <v>44926</v>
      </c>
      <c r="C17" s="215">
        <v>0</v>
      </c>
      <c r="D17" s="215">
        <v>0</v>
      </c>
      <c r="E17" s="215">
        <v>0</v>
      </c>
      <c r="F17" s="215">
        <f>IF(C17=0,D17-E17,0)</f>
        <v>0</v>
      </c>
      <c r="G17" s="215">
        <v>0</v>
      </c>
      <c r="H17" s="215">
        <v>0</v>
      </c>
      <c r="I17" s="215">
        <v>0</v>
      </c>
      <c r="J17" s="215">
        <f t="shared" si="1"/>
        <v>0</v>
      </c>
    </row>
    <row r="18" spans="1:12">
      <c r="A18" s="162"/>
      <c r="B18" s="162"/>
      <c r="C18" s="162"/>
      <c r="D18" s="162"/>
      <c r="E18" s="162"/>
      <c r="F18" s="162"/>
      <c r="G18" s="162"/>
      <c r="H18" s="162"/>
      <c r="I18" s="162"/>
      <c r="J18" s="162"/>
      <c r="L18" s="169"/>
    </row>
    <row r="19" spans="1:12">
      <c r="A19" s="170"/>
      <c r="B19" s="171" t="s">
        <v>348</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workbookViewId="0"/>
    <sheetView workbookViewId="1"/>
  </sheetViews>
  <sheetFormatPr baseColWidth="10" defaultColWidth="11.42578125" defaultRowHeight="11.25"/>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c r="A1" s="217" t="s">
        <v>436</v>
      </c>
      <c r="B1" s="144"/>
      <c r="C1" s="144"/>
      <c r="D1" s="144"/>
      <c r="E1" s="144"/>
      <c r="F1" s="144"/>
      <c r="G1" s="144"/>
      <c r="H1" s="144"/>
      <c r="I1" s="144"/>
      <c r="J1" s="144"/>
      <c r="K1" s="144"/>
      <c r="L1" s="144"/>
      <c r="M1" s="144"/>
    </row>
    <row r="2" spans="1:13">
      <c r="A2" s="217" t="s">
        <v>437</v>
      </c>
      <c r="B2" s="144"/>
      <c r="C2" s="144"/>
      <c r="D2" s="144"/>
      <c r="E2" s="144"/>
      <c r="F2" s="144"/>
      <c r="G2" s="144"/>
      <c r="H2" s="144"/>
      <c r="I2" s="144"/>
      <c r="J2" s="144"/>
      <c r="K2" s="144"/>
      <c r="L2" s="144"/>
      <c r="M2" s="144"/>
    </row>
    <row r="3" spans="1:13">
      <c r="A3" s="151" t="s">
        <v>438</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c r="A4" s="151" t="s">
        <v>452</v>
      </c>
      <c r="B4" s="224">
        <v>2</v>
      </c>
      <c r="C4" s="224">
        <v>3</v>
      </c>
      <c r="D4" s="224">
        <v>4</v>
      </c>
      <c r="E4" s="224">
        <v>5</v>
      </c>
      <c r="F4" s="224">
        <v>6</v>
      </c>
      <c r="G4" s="224">
        <v>7</v>
      </c>
      <c r="H4" s="224">
        <v>8</v>
      </c>
      <c r="I4" s="224">
        <v>9</v>
      </c>
      <c r="J4" s="224">
        <v>10</v>
      </c>
      <c r="K4" s="224">
        <v>11</v>
      </c>
      <c r="L4" s="224">
        <v>12</v>
      </c>
      <c r="M4" s="224">
        <v>13</v>
      </c>
    </row>
    <row r="5" spans="1:1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c r="A81" s="219"/>
    </row>
    <row r="82" spans="1:2">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161"/>
  <sheetViews>
    <sheetView topLeftCell="A148" zoomScaleNormal="100" workbookViewId="0">
      <selection activeCell="F51" sqref="F51"/>
    </sheetView>
    <sheetView workbookViewId="1"/>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348</v>
      </c>
      <c r="B2" s="3"/>
    </row>
    <row r="3" spans="1:5">
      <c r="A3" s="3" t="s">
        <v>376</v>
      </c>
      <c r="B3" s="3"/>
    </row>
    <row r="4" spans="1:5">
      <c r="A4" s="3" t="s">
        <v>377</v>
      </c>
      <c r="B4" s="3"/>
    </row>
    <row r="5" spans="1:5">
      <c r="A5" s="3" t="s">
        <v>385</v>
      </c>
      <c r="B5" s="3"/>
    </row>
    <row r="8" spans="1:5">
      <c r="A8" s="22" t="s">
        <v>44</v>
      </c>
      <c r="C8" s="233">
        <f>SUM(C9:C37)+C38+C39</f>
        <v>6659925.4241484189</v>
      </c>
    </row>
    <row r="9" spans="1:5" hidden="1" outlineLevel="1">
      <c r="A9" s="232" t="s">
        <v>453</v>
      </c>
      <c r="B9" s="71"/>
      <c r="C9" s="28">
        <f>+SUMIF(BZ!$E:$E,A9,BZ!$L:$L)</f>
        <v>0</v>
      </c>
    </row>
    <row r="10" spans="1:5" hidden="1" outlineLevel="1">
      <c r="A10" s="232" t="s">
        <v>110</v>
      </c>
      <c r="B10" s="71"/>
      <c r="C10" s="28">
        <f>+SUMIF(BZ!$E:$E,A10,BZ!$L:$L)</f>
        <v>385560.73</v>
      </c>
      <c r="D10" s="18">
        <v>415625</v>
      </c>
    </row>
    <row r="11" spans="1:5" hidden="1" outlineLevel="1">
      <c r="A11" s="232" t="s">
        <v>454</v>
      </c>
      <c r="B11" s="71"/>
      <c r="C11" s="28">
        <f>+SUMIF(BZ!$E:$E,A11,BZ!$L:$L)</f>
        <v>0</v>
      </c>
    </row>
    <row r="12" spans="1:5" hidden="1" outlineLevel="1">
      <c r="A12" s="232" t="s">
        <v>455</v>
      </c>
      <c r="B12" s="71"/>
      <c r="C12" s="28">
        <f>+SUMIF(BZ!$E:$E,A12,BZ!$L:$L)</f>
        <v>0</v>
      </c>
    </row>
    <row r="13" spans="1:5" hidden="1" outlineLevel="1">
      <c r="A13" s="232" t="s">
        <v>456</v>
      </c>
      <c r="B13" s="71"/>
      <c r="C13" s="28">
        <f>+SUMIF(BZ!$E:$E,A13,BZ!$L:$L)</f>
        <v>0</v>
      </c>
      <c r="E13" s="236"/>
    </row>
    <row r="14" spans="1:5" hidden="1" outlineLevel="1">
      <c r="A14" s="232" t="s">
        <v>457</v>
      </c>
      <c r="B14" s="71"/>
      <c r="C14" s="28">
        <f>+SUMIF(BZ!$E:$E,A14,BZ!$L:$L)</f>
        <v>0</v>
      </c>
    </row>
    <row r="15" spans="1:5" hidden="1" outlineLevel="1">
      <c r="A15" s="232" t="s">
        <v>458</v>
      </c>
      <c r="B15" s="71"/>
      <c r="C15" s="28">
        <f>+SUMIF(BZ!$E:$E,A15,BZ!$L:$L)</f>
        <v>0</v>
      </c>
    </row>
    <row r="16" spans="1:5" hidden="1" outlineLevel="1">
      <c r="A16" s="232" t="s">
        <v>459</v>
      </c>
      <c r="B16" s="71"/>
      <c r="C16" s="28">
        <f>+SUMIF(BZ!$E:$E,A16,BZ!$L:$L)</f>
        <v>0</v>
      </c>
      <c r="E16" s="46"/>
    </row>
    <row r="17" spans="1:5" hidden="1" outlineLevel="1">
      <c r="A17" s="232" t="s">
        <v>107</v>
      </c>
      <c r="B17" s="71"/>
      <c r="C17" s="28">
        <f>+SUMIF(BZ!$E:$E,A17,BZ!$L:$L)</f>
        <v>0</v>
      </c>
    </row>
    <row r="18" spans="1:5" hidden="1" outlineLevel="1">
      <c r="A18" s="232" t="s">
        <v>106</v>
      </c>
      <c r="B18" s="71"/>
      <c r="C18" s="28">
        <f>+SUMIF(BZ!$E:$E,A18,BZ!$L:$L)</f>
        <v>0</v>
      </c>
    </row>
    <row r="19" spans="1:5" hidden="1" outlineLevel="1">
      <c r="A19" s="232" t="s">
        <v>109</v>
      </c>
      <c r="B19" s="71"/>
      <c r="C19" s="28">
        <f>+SUMIF(BZ!$E:$E,A19,BZ!$L:$L)</f>
        <v>0</v>
      </c>
    </row>
    <row r="20" spans="1:5" hidden="1" outlineLevel="1">
      <c r="A20" s="232" t="s">
        <v>108</v>
      </c>
      <c r="B20" s="71"/>
      <c r="C20" s="28">
        <f>+SUMIF(BZ!$E:$E,A20,BZ!$L:$L)</f>
        <v>0</v>
      </c>
    </row>
    <row r="21" spans="1:5" hidden="1" outlineLevel="1">
      <c r="A21" s="232" t="s">
        <v>470</v>
      </c>
      <c r="B21" s="71"/>
      <c r="C21" s="28">
        <f>+SUMIF(BZ!$E:$E,A21,BZ!$L:$L)</f>
        <v>0</v>
      </c>
    </row>
    <row r="22" spans="1:5" hidden="1" outlineLevel="1">
      <c r="A22" s="232" t="s">
        <v>118</v>
      </c>
      <c r="B22" s="71"/>
      <c r="C22" s="28">
        <f>+SUMIF(BZ!$E:$E,A22,BZ!$L:$L)</f>
        <v>0</v>
      </c>
      <c r="E22" s="46"/>
    </row>
    <row r="23" spans="1:5" hidden="1" outlineLevel="1">
      <c r="A23" s="232" t="s">
        <v>117</v>
      </c>
      <c r="B23" s="71"/>
      <c r="C23" s="28">
        <f>+SUMIF(BZ!$E:$E,A23,BZ!$L:$L)</f>
        <v>0</v>
      </c>
    </row>
    <row r="24" spans="1:5" hidden="1" outlineLevel="1">
      <c r="A24" s="232" t="s">
        <v>469</v>
      </c>
      <c r="B24" s="71"/>
      <c r="C24" s="28">
        <f>+SUMIF(BZ!$E:$E,A24,BZ!$L:$L)</f>
        <v>0</v>
      </c>
    </row>
    <row r="25" spans="1:5" hidden="1" outlineLevel="1">
      <c r="A25" s="232" t="s">
        <v>468</v>
      </c>
      <c r="B25" s="71"/>
      <c r="C25" s="28">
        <f>+SUMIF(BZ!$E:$E,A25,BZ!$L:$L)</f>
        <v>0</v>
      </c>
    </row>
    <row r="26" spans="1:5" hidden="1" outlineLevel="1">
      <c r="A26" s="232" t="s">
        <v>460</v>
      </c>
      <c r="B26" s="71"/>
      <c r="C26" s="28">
        <f>+SUMIF(BZ!$E:$E,A26,BZ!$L:$L)</f>
        <v>0</v>
      </c>
    </row>
    <row r="27" spans="1:5" hidden="1" outlineLevel="1">
      <c r="A27" s="232" t="s">
        <v>461</v>
      </c>
      <c r="B27" s="71"/>
      <c r="C27" s="28">
        <f>+SUMIF(BZ!$E:$E,A27,BZ!$L:$L)</f>
        <v>0</v>
      </c>
    </row>
    <row r="28" spans="1:5" hidden="1" outlineLevel="1">
      <c r="A28" s="232" t="s">
        <v>462</v>
      </c>
      <c r="B28" s="71"/>
      <c r="C28" s="28">
        <f>+SUMIF(BZ!$E:$E,A28,BZ!$L:$L)</f>
        <v>0</v>
      </c>
    </row>
    <row r="29" spans="1:5" hidden="1" outlineLevel="1">
      <c r="A29" s="232" t="s">
        <v>92</v>
      </c>
      <c r="B29" s="71"/>
      <c r="C29" s="28">
        <f>+SUMIF(BZ!$E:$E,A29,BZ!$L:$L)</f>
        <v>0</v>
      </c>
    </row>
    <row r="30" spans="1:5" hidden="1" outlineLevel="1">
      <c r="A30" s="232" t="s">
        <v>91</v>
      </c>
      <c r="B30" s="71"/>
      <c r="C30" s="28">
        <f>+SUMIF(BZ!$E:$E,A30,BZ!$L:$L)</f>
        <v>6262707.8300000019</v>
      </c>
    </row>
    <row r="31" spans="1:5" hidden="1" outlineLevel="1">
      <c r="A31" s="232" t="s">
        <v>463</v>
      </c>
      <c r="B31" s="71"/>
      <c r="C31" s="28">
        <f>+SUMIF(BZ!$E:$E,A31,BZ!$L:$L)</f>
        <v>0</v>
      </c>
    </row>
    <row r="32" spans="1:5" hidden="1" outlineLevel="1">
      <c r="A32" s="232" t="s">
        <v>464</v>
      </c>
      <c r="B32" s="71"/>
      <c r="C32" s="28">
        <f>+SUMIF(BZ!$E:$E,A32,BZ!$L:$L)</f>
        <v>0</v>
      </c>
    </row>
    <row r="33" spans="1:4" hidden="1" outlineLevel="1">
      <c r="A33" s="232" t="s">
        <v>467</v>
      </c>
      <c r="B33" s="71"/>
      <c r="C33" s="28">
        <f>+SUMIF(BZ!$E:$E,A33,BZ!$L:$L)</f>
        <v>0</v>
      </c>
    </row>
    <row r="34" spans="1:4" hidden="1" outlineLevel="1">
      <c r="A34" s="232" t="s">
        <v>465</v>
      </c>
      <c r="B34" s="71"/>
      <c r="C34" s="28">
        <f>+SUMIF(BZ!$E:$E,A34,BZ!$L:$L)</f>
        <v>0</v>
      </c>
    </row>
    <row r="35" spans="1:4" hidden="1" outlineLevel="1">
      <c r="A35" s="232" t="s">
        <v>466</v>
      </c>
      <c r="B35" s="71"/>
      <c r="C35" s="28">
        <f>+SUMIF(BZ!$E:$E,A35,BZ!$L:$L)</f>
        <v>0</v>
      </c>
    </row>
    <row r="36" spans="1:4" hidden="1" outlineLevel="1">
      <c r="A36" s="232" t="s">
        <v>514</v>
      </c>
      <c r="B36" s="71"/>
      <c r="C36" s="28">
        <f>+SUMIF(BZ!$E:$E,A36,BZ!$L:$L)</f>
        <v>0</v>
      </c>
    </row>
    <row r="37" spans="1:4" collapsed="1">
      <c r="A37" s="18" t="s">
        <v>333</v>
      </c>
      <c r="C37" s="90">
        <f>IF('AAXI '!D14&gt;0,'AAXI '!D15,0)</f>
        <v>11656.864148416658</v>
      </c>
    </row>
    <row r="38" spans="1:4">
      <c r="A38" s="18" t="s">
        <v>172</v>
      </c>
      <c r="B38" s="71"/>
    </row>
    <row r="39" spans="1:4">
      <c r="A39" s="18" t="s">
        <v>173</v>
      </c>
      <c r="B39" s="71"/>
      <c r="C39" s="126"/>
    </row>
    <row r="40" spans="1:4">
      <c r="A40" s="18"/>
      <c r="B40" s="71"/>
    </row>
    <row r="42" spans="1:4">
      <c r="A42" s="40"/>
      <c r="B42" s="22"/>
    </row>
    <row r="43" spans="1:4">
      <c r="A43" s="40" t="s">
        <v>517</v>
      </c>
      <c r="B43" s="22"/>
      <c r="C43" s="73"/>
      <c r="D43" s="20"/>
    </row>
    <row r="44" spans="1:4">
      <c r="A44" s="24" t="s">
        <v>51</v>
      </c>
      <c r="B44" s="23"/>
      <c r="C44" s="128">
        <f>SUM(C45:C103)</f>
        <v>7088486.7199999997</v>
      </c>
      <c r="D44" s="47"/>
    </row>
    <row r="45" spans="1:4" outlineLevel="1">
      <c r="A45" s="19" t="s">
        <v>58</v>
      </c>
      <c r="C45" s="28"/>
    </row>
    <row r="46" spans="1:4" outlineLevel="1">
      <c r="A46" s="19" t="s">
        <v>5</v>
      </c>
      <c r="C46" s="28">
        <f>+SUMIF(BZ!$E:$E,A46,BZ!$L:$L)</f>
        <v>9723.61</v>
      </c>
    </row>
    <row r="47" spans="1:4" outlineLevel="1">
      <c r="A47" s="19" t="s">
        <v>515</v>
      </c>
      <c r="C47" s="28">
        <f>+SUMIF(BZ!$E:$E,A47,BZ!$L:$L)</f>
        <v>4640</v>
      </c>
    </row>
    <row r="48" spans="1:4" outlineLevel="1">
      <c r="A48" s="27" t="s">
        <v>471</v>
      </c>
      <c r="C48" s="28">
        <f>+SUMIF(BZ!$E:$E,A48,BZ!$L:$L)</f>
        <v>0</v>
      </c>
    </row>
    <row r="49" spans="1:4" outlineLevel="1">
      <c r="A49" s="19" t="s">
        <v>59</v>
      </c>
      <c r="C49" s="28">
        <f>+SUMIF(BZ!$E:$E,A49,BZ!$L:$L)</f>
        <v>0</v>
      </c>
    </row>
    <row r="50" spans="1:4" outlineLevel="1">
      <c r="A50" s="19" t="s">
        <v>472</v>
      </c>
      <c r="C50" s="28">
        <f>+SUMIF(BZ!$E:$E,A50,BZ!$L:$L)</f>
        <v>0</v>
      </c>
    </row>
    <row r="51" spans="1:4" outlineLevel="1">
      <c r="A51" s="19" t="s">
        <v>55</v>
      </c>
      <c r="C51" s="28">
        <f>+SUMIF(BZ!$E:$E,A51,BZ!$L:$L)</f>
        <v>0</v>
      </c>
    </row>
    <row r="52" spans="1:4" outlineLevel="1">
      <c r="A52" s="27" t="s">
        <v>60</v>
      </c>
      <c r="C52" s="28">
        <f>+SUMIF(BZ!$E:$E,A52,BZ!$L:$L)</f>
        <v>0</v>
      </c>
    </row>
    <row r="53" spans="1:4" ht="25.5" outlineLevel="1">
      <c r="A53" s="27" t="s">
        <v>473</v>
      </c>
      <c r="C53" s="28">
        <f>+SUMIF(BZ!$E:$E,A53,BZ!$L:$L)</f>
        <v>0</v>
      </c>
    </row>
    <row r="54" spans="1:4" outlineLevel="1">
      <c r="A54" s="19" t="s">
        <v>61</v>
      </c>
      <c r="C54" s="28">
        <f>+SUMIF(BZ!$E:$E,A54,BZ!$L:$L)</f>
        <v>0</v>
      </c>
    </row>
    <row r="55" spans="1:4" outlineLevel="1">
      <c r="A55" s="19" t="s">
        <v>62</v>
      </c>
      <c r="C55" s="28">
        <f>+SUMIF(BZ!$E:$E,A55,BZ!$L:$L)</f>
        <v>0</v>
      </c>
    </row>
    <row r="56" spans="1:4" outlineLevel="1">
      <c r="A56" s="19" t="s">
        <v>474</v>
      </c>
      <c r="C56" s="28">
        <f>+SUMIF(BZ!$E:$E,A56,BZ!$L:$L)</f>
        <v>0</v>
      </c>
    </row>
    <row r="57" spans="1:4" outlineLevel="1">
      <c r="A57" s="19" t="s">
        <v>63</v>
      </c>
      <c r="C57" s="28">
        <f>+SUMIF(BZ!$E:$E,A57,BZ!$L:$L)</f>
        <v>0</v>
      </c>
    </row>
    <row r="58" spans="1:4" outlineLevel="1">
      <c r="A58" s="19" t="s">
        <v>56</v>
      </c>
      <c r="C58" s="28">
        <f>+SUMIF(BZ!$E:$E,A58,BZ!$L:$L)</f>
        <v>0</v>
      </c>
      <c r="D58" s="47"/>
    </row>
    <row r="59" spans="1:4" outlineLevel="1">
      <c r="A59" s="19" t="s">
        <v>57</v>
      </c>
      <c r="C59" s="28">
        <f>+SUMIF(BZ!$E:$E,A59,BZ!$L:$L)</f>
        <v>6765317.919999999</v>
      </c>
    </row>
    <row r="60" spans="1:4" outlineLevel="1">
      <c r="A60" s="27" t="s">
        <v>64</v>
      </c>
      <c r="C60" s="28">
        <f>+SUMIF(BZ!$E:$E,A60,BZ!$L:$L)</f>
        <v>0</v>
      </c>
    </row>
    <row r="61" spans="1:4" outlineLevel="1">
      <c r="A61" s="19" t="s">
        <v>65</v>
      </c>
      <c r="C61" s="28">
        <f>+SUMIF(BZ!$E:$E,A61,BZ!$L:$L)</f>
        <v>0</v>
      </c>
    </row>
    <row r="62" spans="1:4" outlineLevel="1">
      <c r="A62" s="19" t="s">
        <v>475</v>
      </c>
      <c r="C62" s="28">
        <f>+SUMIF(BZ!$E:$E,A62,BZ!$L:$L)</f>
        <v>0</v>
      </c>
    </row>
    <row r="63" spans="1:4" outlineLevel="1">
      <c r="A63" s="19" t="s">
        <v>476</v>
      </c>
      <c r="C63" s="28">
        <f>+SUMIF(BZ!$E:$E,A63,BZ!$L:$L)</f>
        <v>0</v>
      </c>
    </row>
    <row r="64" spans="1:4" outlineLevel="1">
      <c r="A64" s="19" t="s">
        <v>66</v>
      </c>
      <c r="C64" s="28">
        <f>+SUMIF(BZ!$E:$E,A64,BZ!$L:$L)</f>
        <v>0</v>
      </c>
    </row>
    <row r="65" spans="1:3" outlineLevel="1">
      <c r="A65" s="27" t="s">
        <v>67</v>
      </c>
      <c r="C65" s="28">
        <f>+SUMIF(BZ!$E:$E,A65,BZ!$L:$L)</f>
        <v>0</v>
      </c>
    </row>
    <row r="66" spans="1:3" outlineLevel="1">
      <c r="A66" s="27" t="s">
        <v>503</v>
      </c>
      <c r="C66" s="28">
        <f>+SUMIF(BZ!$E:$E,A66,BZ!$L:$L)</f>
        <v>0</v>
      </c>
    </row>
    <row r="67" spans="1:3" outlineLevel="1">
      <c r="A67" s="27" t="s">
        <v>477</v>
      </c>
      <c r="C67" s="28">
        <f>+SUMIF(BZ!$E:$E,A67,BZ!$L:$L)</f>
        <v>0</v>
      </c>
    </row>
    <row r="68" spans="1:3" ht="38.25" outlineLevel="1">
      <c r="A68" s="27" t="s">
        <v>478</v>
      </c>
      <c r="C68" s="28">
        <f>+SUMIF(BZ!$E:$E,A68,BZ!$L:$L)</f>
        <v>0</v>
      </c>
    </row>
    <row r="69" spans="1:3" ht="25.5" outlineLevel="1">
      <c r="A69" s="27" t="s">
        <v>68</v>
      </c>
      <c r="C69" s="28">
        <f>+SUMIF(BZ!$E:$E,A69,BZ!$L:$L)</f>
        <v>0</v>
      </c>
    </row>
    <row r="70" spans="1:3" outlineLevel="1">
      <c r="A70" s="19" t="s">
        <v>75</v>
      </c>
      <c r="C70" s="28">
        <f>+SUMIF(BZ!$E:$E,A70,BZ!$L:$L)</f>
        <v>308805.19</v>
      </c>
    </row>
    <row r="71" spans="1:3" outlineLevel="1">
      <c r="A71" s="19" t="s">
        <v>69</v>
      </c>
      <c r="C71" s="28">
        <f>+SUMIF(BZ!$E:$E,A71,BZ!$L:$L)</f>
        <v>0</v>
      </c>
    </row>
    <row r="72" spans="1:3" outlineLevel="1">
      <c r="A72" s="19" t="s">
        <v>70</v>
      </c>
      <c r="C72" s="28">
        <f>+SUMIF(BZ!$E:$E,A72,BZ!$L:$L)</f>
        <v>0</v>
      </c>
    </row>
    <row r="73" spans="1:3" outlineLevel="1">
      <c r="A73" s="19" t="s">
        <v>71</v>
      </c>
      <c r="C73" s="28">
        <f>+SUMIF(BZ!$E:$E,A73,BZ!$L:$L)</f>
        <v>0</v>
      </c>
    </row>
    <row r="74" spans="1:3" outlineLevel="1">
      <c r="A74" s="19" t="s">
        <v>72</v>
      </c>
      <c r="C74" s="28">
        <f>+SUMIF(BZ!$E:$E,A74,BZ!$L:$L)</f>
        <v>0</v>
      </c>
    </row>
    <row r="75" spans="1:3" outlineLevel="1">
      <c r="A75" s="19" t="s">
        <v>73</v>
      </c>
      <c r="C75" s="28">
        <f>+SUMIF(BZ!$E:$E,A75,BZ!$L:$L)</f>
        <v>0</v>
      </c>
    </row>
    <row r="76" spans="1:3" outlineLevel="1">
      <c r="A76" s="19" t="s">
        <v>74</v>
      </c>
      <c r="C76" s="28">
        <f>+SUMIF(BZ!$E:$E,A76,BZ!$L:$L)</f>
        <v>0</v>
      </c>
    </row>
    <row r="77" spans="1:3" outlineLevel="1">
      <c r="A77" s="27" t="s">
        <v>76</v>
      </c>
      <c r="C77" s="28">
        <f>+SUMIF(BZ!$E:$E,A77,BZ!$L:$L)</f>
        <v>0</v>
      </c>
    </row>
    <row r="78" spans="1:3" outlineLevel="1">
      <c r="A78" s="27" t="s">
        <v>77</v>
      </c>
      <c r="C78" s="28">
        <f>+SUMIF(BZ!$E:$E,A78,BZ!$L:$L)</f>
        <v>0</v>
      </c>
    </row>
    <row r="79" spans="1:3" outlineLevel="1">
      <c r="A79" s="19" t="s">
        <v>479</v>
      </c>
      <c r="C79" s="28">
        <f>+SUMIF(BZ!$E:$E,A79,BZ!$L:$L)</f>
        <v>0</v>
      </c>
    </row>
    <row r="80" spans="1:3" outlineLevel="1">
      <c r="A80" s="19" t="s">
        <v>480</v>
      </c>
      <c r="C80" s="28">
        <f>+SUMIF(BZ!$E:$E,A80,BZ!$L:$L)</f>
        <v>0</v>
      </c>
    </row>
    <row r="81" spans="1:3" outlineLevel="1">
      <c r="A81" s="19" t="s">
        <v>481</v>
      </c>
      <c r="C81" s="28">
        <f>+SUMIF(BZ!$E:$E,A81,BZ!$L:$L)</f>
        <v>0</v>
      </c>
    </row>
    <row r="82" spans="1:3" outlineLevel="1">
      <c r="A82" s="19" t="s">
        <v>482</v>
      </c>
      <c r="C82" s="28">
        <f>+SUMIF(BZ!$E:$E,A82,BZ!$L:$L)</f>
        <v>0</v>
      </c>
    </row>
    <row r="83" spans="1:3" outlineLevel="1">
      <c r="A83" s="19" t="s">
        <v>483</v>
      </c>
      <c r="C83" s="28">
        <f>+SUMIF(BZ!$E:$E,A83,BZ!$L:$L)</f>
        <v>0</v>
      </c>
    </row>
    <row r="84" spans="1:3" outlineLevel="1">
      <c r="A84" s="19" t="s">
        <v>484</v>
      </c>
      <c r="C84" s="28">
        <f>+SUMIF(BZ!$E:$E,A84,BZ!$L:$L)</f>
        <v>0</v>
      </c>
    </row>
    <row r="85" spans="1:3" outlineLevel="1">
      <c r="A85" s="19" t="s">
        <v>485</v>
      </c>
      <c r="C85" s="28">
        <f>+SUMIF(BZ!$E:$E,A85,BZ!$L:$L)</f>
        <v>0</v>
      </c>
    </row>
    <row r="86" spans="1:3" outlineLevel="1">
      <c r="A86" s="19" t="s">
        <v>486</v>
      </c>
      <c r="C86" s="28">
        <f>+SUMIF(BZ!$E:$E,A86,BZ!$L:$L)</f>
        <v>0</v>
      </c>
    </row>
    <row r="87" spans="1:3" outlineLevel="1">
      <c r="A87" s="19" t="s">
        <v>487</v>
      </c>
      <c r="C87" s="28">
        <f>+SUMIF(BZ!$E:$E,A87,BZ!$L:$L)</f>
        <v>0</v>
      </c>
    </row>
    <row r="88" spans="1:3" outlineLevel="1">
      <c r="A88" s="19" t="s">
        <v>488</v>
      </c>
      <c r="C88" s="28">
        <f>+SUMIF(BZ!$E:$E,A88,BZ!$L:$L)</f>
        <v>0</v>
      </c>
    </row>
    <row r="89" spans="1:3" outlineLevel="1">
      <c r="A89" s="19" t="s">
        <v>489</v>
      </c>
      <c r="C89" s="28">
        <f>+SUMIF(BZ!$E:$E,A89,BZ!$L:$L)</f>
        <v>0</v>
      </c>
    </row>
    <row r="90" spans="1:3" outlineLevel="1">
      <c r="A90" s="19" t="s">
        <v>490</v>
      </c>
      <c r="C90" s="28">
        <f>+SUMIF(BZ!$E:$E,A90,BZ!$L:$L)</f>
        <v>0</v>
      </c>
    </row>
    <row r="91" spans="1:3" outlineLevel="1">
      <c r="A91" s="19" t="s">
        <v>491</v>
      </c>
      <c r="C91" s="28">
        <f>+SUMIF(BZ!$E:$E,A91,BZ!$L:$L)</f>
        <v>0</v>
      </c>
    </row>
    <row r="92" spans="1:3" outlineLevel="1">
      <c r="A92" s="19" t="s">
        <v>492</v>
      </c>
      <c r="C92" s="28">
        <f>+SUMIF(BZ!$E:$E,A92,BZ!$L:$L)</f>
        <v>0</v>
      </c>
    </row>
    <row r="93" spans="1:3" outlineLevel="1">
      <c r="A93" s="19" t="s">
        <v>493</v>
      </c>
      <c r="C93" s="28">
        <f>+SUMIF(BZ!$E:$E,A93,BZ!$L:$L)</f>
        <v>0</v>
      </c>
    </row>
    <row r="94" spans="1:3" outlineLevel="1">
      <c r="A94" s="19" t="s">
        <v>494</v>
      </c>
      <c r="C94" s="28">
        <f>+SUMIF(BZ!$E:$E,A94,BZ!$L:$L)</f>
        <v>0</v>
      </c>
    </row>
    <row r="95" spans="1:3" outlineLevel="1">
      <c r="A95" s="19" t="s">
        <v>495</v>
      </c>
      <c r="C95" s="28">
        <f>+SUMIF(BZ!$E:$E,A95,BZ!$L:$L)</f>
        <v>0</v>
      </c>
    </row>
    <row r="96" spans="1:3" outlineLevel="1">
      <c r="A96" s="19" t="s">
        <v>65</v>
      </c>
      <c r="C96" s="28">
        <f>+SUMIF(BZ!$E:$E,A96,BZ!$L:$L)</f>
        <v>0</v>
      </c>
    </row>
    <row r="97" spans="1:7" outlineLevel="1">
      <c r="A97" s="19" t="s">
        <v>496</v>
      </c>
      <c r="C97" s="28">
        <f>+SUMIF(BZ!$E:$E,A97,BZ!$L:$L)</f>
        <v>0</v>
      </c>
    </row>
    <row r="98" spans="1:7" outlineLevel="1">
      <c r="A98" s="19" t="s">
        <v>497</v>
      </c>
      <c r="C98" s="28">
        <f>+SUMIF(BZ!$E:$E,A98,BZ!$L:$L)</f>
        <v>0</v>
      </c>
    </row>
    <row r="99" spans="1:7" outlineLevel="1">
      <c r="A99" s="19" t="s">
        <v>498</v>
      </c>
      <c r="C99" s="28">
        <f>+SUMIF(BZ!$E:$E,A99,BZ!$L:$L)</f>
        <v>0</v>
      </c>
    </row>
    <row r="100" spans="1:7" outlineLevel="1">
      <c r="A100" s="19" t="s">
        <v>499</v>
      </c>
      <c r="C100" s="28">
        <f>+SUMIF(BZ!$E:$E,A100,BZ!$L:$L)</f>
        <v>0</v>
      </c>
      <c r="F100" s="18">
        <f>+F101/0.0125</f>
        <v>25200</v>
      </c>
      <c r="G100" s="18">
        <f>+G101/0.0125</f>
        <v>48000</v>
      </c>
    </row>
    <row r="101" spans="1:7" outlineLevel="1">
      <c r="A101" s="19" t="s">
        <v>500</v>
      </c>
      <c r="C101" s="28">
        <f>+SUMIF(BZ!$E:$E,A101,BZ!$L:$L)</f>
        <v>0</v>
      </c>
      <c r="F101" s="18">
        <v>315</v>
      </c>
      <c r="G101" s="18">
        <v>600</v>
      </c>
    </row>
    <row r="102" spans="1:7" outlineLevel="1">
      <c r="A102" s="19" t="s">
        <v>501</v>
      </c>
      <c r="C102" s="28">
        <f>+SUMIF(BZ!$E:$E,A102,BZ!$L:$L)</f>
        <v>0</v>
      </c>
    </row>
    <row r="103" spans="1:7" outlineLevel="1">
      <c r="A103" s="19" t="s">
        <v>502</v>
      </c>
      <c r="C103" s="28">
        <f>+SUMIF(BZ!$E:$E,A103,BZ!$L:$L)</f>
        <v>0</v>
      </c>
    </row>
    <row r="104" spans="1:7" s="23" customFormat="1">
      <c r="A104" s="24" t="s">
        <v>52</v>
      </c>
      <c r="C104" s="127">
        <f>+SUM(C105:C111)-2866</f>
        <v>146361.71</v>
      </c>
    </row>
    <row r="105" spans="1:7" hidden="1" outlineLevel="1">
      <c r="A105" s="19" t="s">
        <v>12</v>
      </c>
      <c r="C105" s="28">
        <f>+SUMIF(BZ!$E:$E,A105,BZ!$L:$L)</f>
        <v>149227.71</v>
      </c>
      <c r="D105" s="71">
        <v>2512514.19</v>
      </c>
      <c r="E105" s="71">
        <v>422779.08</v>
      </c>
    </row>
    <row r="106" spans="1:7" hidden="1" outlineLevel="1">
      <c r="A106" s="19" t="s">
        <v>193</v>
      </c>
      <c r="C106" s="28">
        <f>+SUMIF(BZ!$E:$E,A106,BZ!$L:$L)</f>
        <v>0</v>
      </c>
    </row>
    <row r="107" spans="1:7" hidden="1" outlineLevel="1">
      <c r="A107" s="19" t="s">
        <v>13</v>
      </c>
      <c r="C107" s="28">
        <f>+SUMIF(BZ!$E:$E,A107,BZ!$L:$L)</f>
        <v>0</v>
      </c>
    </row>
    <row r="108" spans="1:7" hidden="1" outlineLevel="1">
      <c r="A108" s="19" t="s">
        <v>14</v>
      </c>
      <c r="C108" s="28">
        <f>+SUMIF(BZ!$E:$E,A108,BZ!$L:$L)</f>
        <v>0</v>
      </c>
      <c r="D108" s="47">
        <v>1290509.97</v>
      </c>
    </row>
    <row r="109" spans="1:7" hidden="1" outlineLevel="1">
      <c r="A109" s="19" t="s">
        <v>335</v>
      </c>
      <c r="C109" s="28">
        <f>+SUMIF(BZ!$E:$E,A109,BZ!$L:$L)</f>
        <v>0</v>
      </c>
    </row>
    <row r="110" spans="1:7" hidden="1" outlineLevel="1">
      <c r="A110" s="19" t="s">
        <v>336</v>
      </c>
      <c r="C110" s="28">
        <f>+SUMIF(BZ!$E:$E,A110,BZ!$L:$L)</f>
        <v>0</v>
      </c>
    </row>
    <row r="111" spans="1:7" hidden="1" outlineLevel="1">
      <c r="A111" s="19" t="s">
        <v>174</v>
      </c>
      <c r="C111" s="28">
        <f>+SUMIF(BZ!$E:$E,A111,BZ!$L:$L)</f>
        <v>0</v>
      </c>
      <c r="D111" s="47">
        <f>+D105-D108</f>
        <v>1222004.22</v>
      </c>
    </row>
    <row r="112" spans="1:7" s="23" customFormat="1" collapsed="1">
      <c r="A112" s="24" t="s">
        <v>53</v>
      </c>
      <c r="C112" s="127">
        <f>+SUM(C113:C122)</f>
        <v>0</v>
      </c>
    </row>
    <row r="113" spans="1:3" hidden="1" outlineLevel="1">
      <c r="A113" s="19" t="s">
        <v>507</v>
      </c>
      <c r="C113" s="28">
        <f>+SUMIF(BZ!$E:$E,A113,BZ!$L:$L)</f>
        <v>0</v>
      </c>
    </row>
    <row r="114" spans="1:3" hidden="1" outlineLevel="1">
      <c r="A114" s="27" t="s">
        <v>78</v>
      </c>
      <c r="C114" s="28">
        <f>+SUMIF(BZ!$E:$E,A114,BZ!$L:$L)</f>
        <v>0</v>
      </c>
    </row>
    <row r="115" spans="1:3" hidden="1" outlineLevel="1">
      <c r="A115" s="27" t="s">
        <v>79</v>
      </c>
      <c r="C115" s="28">
        <f>+SUMIF(BZ!$E:$E,A115,BZ!$L:$L)</f>
        <v>0</v>
      </c>
    </row>
    <row r="116" spans="1:3" ht="25.5" hidden="1" outlineLevel="1">
      <c r="A116" s="27" t="s">
        <v>504</v>
      </c>
      <c r="C116" s="28">
        <f>+SUMIF(BZ!$E:$E,A116,BZ!$L:$L)</f>
        <v>0</v>
      </c>
    </row>
    <row r="117" spans="1:3" hidden="1" outlineLevel="1">
      <c r="A117" s="19" t="s">
        <v>80</v>
      </c>
      <c r="C117" s="28">
        <f>+SUMIF(BZ!$E:$E,A117,BZ!$L:$L)</f>
        <v>0</v>
      </c>
    </row>
    <row r="118" spans="1:3" hidden="1" outlineLevel="1">
      <c r="A118" s="19" t="s">
        <v>81</v>
      </c>
      <c r="C118" s="28">
        <f>+SUMIF(BZ!$E:$E,A118,BZ!$L:$L)</f>
        <v>0</v>
      </c>
    </row>
    <row r="119" spans="1:3" hidden="1" outlineLevel="1">
      <c r="A119" s="19" t="s">
        <v>505</v>
      </c>
      <c r="C119" s="28">
        <f>+SUMIF(BZ!$E:$E,A119,BZ!$L:$L)</f>
        <v>0</v>
      </c>
    </row>
    <row r="120" spans="1:3" hidden="1" outlineLevel="1">
      <c r="A120" s="27" t="s">
        <v>82</v>
      </c>
      <c r="C120" s="28">
        <f>+SUMIF(BZ!$E:$E,A120,BZ!$L:$L)</f>
        <v>0</v>
      </c>
    </row>
    <row r="121" spans="1:3" ht="38.25" hidden="1" outlineLevel="1">
      <c r="A121" s="27" t="s">
        <v>506</v>
      </c>
      <c r="C121" s="28">
        <f>+SUMIF(BZ!$E:$E,A121,BZ!$L:$L)</f>
        <v>0</v>
      </c>
    </row>
    <row r="122" spans="1:3" hidden="1" outlineLevel="1">
      <c r="A122" s="19" t="s">
        <v>83</v>
      </c>
      <c r="C122" s="28">
        <f>+SUMIF(BZ!$E:$E,A122,BZ!$L:$L)</f>
        <v>0</v>
      </c>
    </row>
    <row r="123" spans="1:3" s="23" customFormat="1" collapsed="1">
      <c r="A123" s="24" t="s">
        <v>54</v>
      </c>
      <c r="C123" s="127">
        <f>+SUM(C124:C140)</f>
        <v>0</v>
      </c>
    </row>
    <row r="124" spans="1:3" hidden="1" outlineLevel="1">
      <c r="A124" s="19" t="s">
        <v>520</v>
      </c>
      <c r="C124" s="28">
        <f>+SUMIF(BZ!$E:$E,A124,BZ!$L:$L)</f>
        <v>0</v>
      </c>
    </row>
    <row r="125" spans="1:3" hidden="1" outlineLevel="1">
      <c r="A125" s="19" t="s">
        <v>84</v>
      </c>
      <c r="C125" s="28">
        <f>+SUMIF(BZ!$E:$E,A125,BZ!$L:$L)</f>
        <v>0</v>
      </c>
    </row>
    <row r="126" spans="1:3" hidden="1" outlineLevel="1">
      <c r="A126" s="19" t="s">
        <v>521</v>
      </c>
      <c r="C126" s="28">
        <f>+SUMIF(BZ!$E:$E,A126,BZ!$L:$L)</f>
        <v>0</v>
      </c>
    </row>
    <row r="127" spans="1:3" hidden="1" outlineLevel="1">
      <c r="A127" s="27" t="s">
        <v>11</v>
      </c>
      <c r="C127" s="28">
        <f>+SUMIF(BZ!$E:$E,A127,BZ!$L:$L)</f>
        <v>0</v>
      </c>
    </row>
    <row r="128" spans="1:3" hidden="1" outlineLevel="1">
      <c r="A128" s="27" t="s">
        <v>522</v>
      </c>
      <c r="C128" s="28">
        <f>+SUMIF(BZ!$E:$E,A128,BZ!$L:$L)</f>
        <v>0</v>
      </c>
    </row>
    <row r="129" spans="1:4" hidden="1" outlineLevel="1">
      <c r="A129" s="27" t="s">
        <v>523</v>
      </c>
      <c r="C129" s="28">
        <f>+SUMIF(BZ!$E:$E,A129,BZ!$L:$L)</f>
        <v>0</v>
      </c>
    </row>
    <row r="130" spans="1:4" hidden="1" outlineLevel="1">
      <c r="A130" s="19" t="s">
        <v>524</v>
      </c>
      <c r="C130" s="28">
        <f>+SUMIF(BZ!$E:$E,A130,BZ!$L:$L)</f>
        <v>0</v>
      </c>
    </row>
    <row r="131" spans="1:4" hidden="1" outlineLevel="1">
      <c r="A131" s="19" t="s">
        <v>525</v>
      </c>
      <c r="C131" s="28">
        <f>+SUMIF(BZ!$E:$E,A131,BZ!$L:$L)</f>
        <v>0</v>
      </c>
    </row>
    <row r="132" spans="1:4" hidden="1" outlineLevel="1">
      <c r="A132" s="19" t="s">
        <v>526</v>
      </c>
      <c r="C132" s="28">
        <f>+SUMIF(BZ!$E:$E,A132,BZ!$L:$L)</f>
        <v>0</v>
      </c>
    </row>
    <row r="133" spans="1:4" hidden="1" outlineLevel="1">
      <c r="A133" s="19" t="s">
        <v>527</v>
      </c>
      <c r="C133" s="28">
        <f>+SUMIF(BZ!$E:$E,A133,BZ!$L:$L)</f>
        <v>0</v>
      </c>
    </row>
    <row r="134" spans="1:4" hidden="1" outlineLevel="1">
      <c r="A134" s="27" t="s">
        <v>528</v>
      </c>
      <c r="C134" s="28">
        <f>+SUMIF(BZ!$E:$E,A134,BZ!$L:$L)</f>
        <v>0</v>
      </c>
    </row>
    <row r="135" spans="1:4" hidden="1" outlineLevel="1">
      <c r="A135" s="19" t="s">
        <v>529</v>
      </c>
      <c r="C135" s="28">
        <f>+SUMIF(BZ!$E:$E,A135,BZ!$L:$L)</f>
        <v>0</v>
      </c>
    </row>
    <row r="136" spans="1:4" hidden="1" outlineLevel="1">
      <c r="A136" s="27" t="s">
        <v>530</v>
      </c>
      <c r="C136" s="28">
        <f>+SUMIF(BZ!$E:$E,A136,BZ!$L:$L)</f>
        <v>0</v>
      </c>
    </row>
    <row r="137" spans="1:4" hidden="1" outlineLevel="1">
      <c r="A137" s="19" t="s">
        <v>531</v>
      </c>
      <c r="C137" s="28">
        <f>+SUMIF(BZ!$E:$E,A137,BZ!$L:$L)</f>
        <v>0</v>
      </c>
    </row>
    <row r="138" spans="1:4" hidden="1" outlineLevel="1">
      <c r="A138" s="19" t="s">
        <v>532</v>
      </c>
      <c r="C138" s="28">
        <f>+SUMIF(BZ!$E:$E,A138,BZ!$L:$L)</f>
        <v>0</v>
      </c>
    </row>
    <row r="139" spans="1:4" hidden="1" outlineLevel="1">
      <c r="A139" s="19" t="s">
        <v>533</v>
      </c>
      <c r="C139" s="28">
        <f>+SUMIF(BZ!$E:$E,A139,BZ!$L:$L)</f>
        <v>0</v>
      </c>
    </row>
    <row r="140" spans="1:4" hidden="1" outlineLevel="1">
      <c r="A140" s="19" t="s">
        <v>85</v>
      </c>
      <c r="C140" s="28">
        <f>+SUMIF(BZ!$E:$E,A140,BZ!$L:$L)</f>
        <v>0</v>
      </c>
    </row>
    <row r="141" spans="1:4" collapsed="1">
      <c r="A141" s="24" t="s">
        <v>509</v>
      </c>
      <c r="C141" s="28">
        <f>+SUMIF(BZ!$E:$E,A141,BZ!$L:$L)+C142+C143+C144+C145+C146</f>
        <v>0</v>
      </c>
      <c r="D141" s="47"/>
    </row>
    <row r="142" spans="1:4" hidden="1" outlineLevel="1">
      <c r="A142" s="229" t="s">
        <v>102</v>
      </c>
      <c r="C142" s="28">
        <f>+SUMIF(BZ!$E:$E,A142,BZ!$L:$L)</f>
        <v>0</v>
      </c>
      <c r="D142" s="47"/>
    </row>
    <row r="143" spans="1:4" hidden="1" outlineLevel="1">
      <c r="A143" s="229" t="s">
        <v>510</v>
      </c>
      <c r="C143" s="28">
        <f>+SUMIF(BZ!$E:$E,A143,BZ!$L:$L)</f>
        <v>0</v>
      </c>
      <c r="D143" s="47"/>
    </row>
    <row r="144" spans="1:4" hidden="1" outlineLevel="1">
      <c r="A144" s="229" t="s">
        <v>511</v>
      </c>
      <c r="C144" s="28">
        <f>+SUMIF(BZ!$E:$E,A144,BZ!$L:$L)</f>
        <v>0</v>
      </c>
      <c r="D144" s="47"/>
    </row>
    <row r="145" spans="1:4" hidden="1" outlineLevel="1">
      <c r="A145" s="229" t="s">
        <v>512</v>
      </c>
      <c r="C145" s="28">
        <f>+SUMIF(BZ!$E:$E,A145,BZ!$L:$L)</f>
        <v>0</v>
      </c>
      <c r="D145" s="47"/>
    </row>
    <row r="146" spans="1:4" hidden="1" outlineLevel="1">
      <c r="A146" s="229" t="s">
        <v>513</v>
      </c>
      <c r="C146" s="28">
        <f>+SUMIF(BZ!$E:$E,A146,BZ!$L:$L)</f>
        <v>0</v>
      </c>
      <c r="D146" s="47"/>
    </row>
    <row r="147" spans="1:4" collapsed="1">
      <c r="A147" s="24"/>
      <c r="D147" s="47"/>
    </row>
    <row r="148" spans="1:4">
      <c r="A148" s="230" t="s">
        <v>334</v>
      </c>
      <c r="B148" s="26"/>
      <c r="C148" s="28">
        <f>IF('AAXI '!D14&lt;0,'AAXI '!D15*-1,0)</f>
        <v>0</v>
      </c>
      <c r="D148" s="72"/>
    </row>
    <row r="150" spans="1:4">
      <c r="A150" s="231" t="s">
        <v>539</v>
      </c>
      <c r="C150" s="28">
        <f>+SUMIF(BZ!$E:$E,A150,BZ!$L:$L)</f>
        <v>310737.62999999995</v>
      </c>
    </row>
    <row r="151" spans="1:4">
      <c r="A151" s="27"/>
    </row>
    <row r="153" spans="1:4">
      <c r="A153" s="24" t="s">
        <v>22</v>
      </c>
      <c r="B153" s="23"/>
      <c r="C153" s="20">
        <f>+C44+C104+C112+C123+C141+C148</f>
        <v>7234848.4299999997</v>
      </c>
      <c r="D153" s="74"/>
    </row>
    <row r="154" spans="1:4">
      <c r="A154" s="19" t="s">
        <v>177</v>
      </c>
      <c r="C154" s="20">
        <f>+SUM(ER!E33:E35,ER!E38:E40,ER!E47:E56,ER!E58:E60,ER!E65,ER!E29,ER!E25:E26)</f>
        <v>7548452.0599999996</v>
      </c>
      <c r="D154" s="74"/>
    </row>
    <row r="155" spans="1:4">
      <c r="A155" s="19" t="s">
        <v>178</v>
      </c>
      <c r="C155" s="75">
        <f>+C153-C154</f>
        <v>-313603.62999999989</v>
      </c>
    </row>
    <row r="156" spans="1:4">
      <c r="A156" s="229" t="s">
        <v>539</v>
      </c>
      <c r="C156" s="28">
        <f>+SUMIF(BZ!$E:$E,A156,BZ!$L:$L)</f>
        <v>310737.62999999995</v>
      </c>
    </row>
    <row r="157" spans="1:4">
      <c r="A157" s="27" t="s">
        <v>194</v>
      </c>
      <c r="C157" s="29"/>
    </row>
    <row r="158" spans="1:4">
      <c r="A158" s="27" t="s">
        <v>334</v>
      </c>
      <c r="C158" s="20">
        <f>-C148</f>
        <v>0</v>
      </c>
    </row>
    <row r="159" spans="1:4">
      <c r="A159" s="19" t="s">
        <v>534</v>
      </c>
      <c r="C159" s="29"/>
    </row>
    <row r="160" spans="1:4">
      <c r="A160" s="19" t="s">
        <v>179</v>
      </c>
      <c r="C160" s="76">
        <v>2866</v>
      </c>
    </row>
    <row r="161" spans="1:3">
      <c r="A161" s="19" t="s">
        <v>180</v>
      </c>
      <c r="C161" s="20">
        <f>+SUM(C155:C160)</f>
        <v>5.8207660913467407E-11</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abSelected="1" topLeftCell="A18" workbookViewId="0">
      <selection activeCell="E37" sqref="E37"/>
    </sheetView>
    <sheetView workbookViewId="1"/>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7">
      <c r="B2" s="3" t="s">
        <v>348</v>
      </c>
    </row>
    <row r="3" spans="1:7">
      <c r="B3" s="3" t="s">
        <v>378</v>
      </c>
    </row>
    <row r="4" spans="1:7">
      <c r="B4" s="3" t="s">
        <v>379</v>
      </c>
    </row>
    <row r="5" spans="1:7">
      <c r="B5" s="131" t="s">
        <v>380</v>
      </c>
    </row>
    <row r="6" spans="1:7">
      <c r="B6" s="131" t="s">
        <v>383</v>
      </c>
    </row>
    <row r="7" spans="1:7">
      <c r="B7" s="131" t="s">
        <v>381</v>
      </c>
    </row>
    <row r="8" spans="1:7">
      <c r="B8" s="131" t="s">
        <v>382</v>
      </c>
    </row>
    <row r="11" spans="1:7">
      <c r="A11" s="23" t="s">
        <v>17</v>
      </c>
      <c r="B11" s="23"/>
      <c r="C11" s="23"/>
      <c r="D11" s="23"/>
    </row>
    <row r="12" spans="1:7" ht="25.5">
      <c r="A12" s="22"/>
      <c r="B12" s="22"/>
      <c r="C12" s="22">
        <v>2024</v>
      </c>
      <c r="E12" s="79" t="s">
        <v>365</v>
      </c>
      <c r="G12" s="71">
        <f>+G13+G14</f>
        <v>0</v>
      </c>
    </row>
    <row r="13" spans="1:7">
      <c r="A13" s="18" t="s">
        <v>18</v>
      </c>
      <c r="C13" s="71">
        <f>+ER!E73</f>
        <v>-900183.49999999721</v>
      </c>
      <c r="E13" s="18" t="s">
        <v>156</v>
      </c>
      <c r="G13" s="71">
        <f>'Ing - Ded'!C148</f>
        <v>0</v>
      </c>
    </row>
    <row r="14" spans="1:7">
      <c r="A14" s="18" t="s">
        <v>19</v>
      </c>
      <c r="C14" s="71">
        <f>C13</f>
        <v>-900183.49999999721</v>
      </c>
      <c r="E14" s="18" t="s">
        <v>157</v>
      </c>
      <c r="G14" s="71">
        <f>+ER!E29</f>
        <v>0</v>
      </c>
    </row>
    <row r="15" spans="1:7">
      <c r="A15" s="23" t="s">
        <v>20</v>
      </c>
      <c r="C15" s="129">
        <f>+C16+C17</f>
        <v>11656.864148416658</v>
      </c>
      <c r="E15" s="18" t="s">
        <v>158</v>
      </c>
      <c r="G15" s="71"/>
    </row>
    <row r="16" spans="1:7">
      <c r="A16" s="26" t="s">
        <v>140</v>
      </c>
      <c r="B16" s="26"/>
      <c r="C16" s="71">
        <f>'Ing - Ded'!C37</f>
        <v>11656.864148416658</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9">
        <f>+SUM(C24:C32)</f>
        <v>313603.62999999995</v>
      </c>
      <c r="E23" s="18" t="s">
        <v>164</v>
      </c>
      <c r="G23" s="71"/>
    </row>
    <row r="24" spans="1:7">
      <c r="A24" s="26" t="s">
        <v>147</v>
      </c>
      <c r="C24" s="71">
        <f>+ER!E29</f>
        <v>0</v>
      </c>
      <c r="E24" s="23" t="s">
        <v>366</v>
      </c>
      <c r="G24" s="129"/>
    </row>
    <row r="25" spans="1:7">
      <c r="A25" s="26" t="s">
        <v>148</v>
      </c>
      <c r="C25" s="71"/>
      <c r="E25" s="18" t="s">
        <v>165</v>
      </c>
      <c r="G25" s="71"/>
    </row>
    <row r="26" spans="1:7">
      <c r="A26" s="26" t="s">
        <v>149</v>
      </c>
      <c r="C26" s="71">
        <f>+'Ing - Ded'!C150+'Ing - Ded'!C160</f>
        <v>313603.62999999995</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f>-'Ing - Ded'!C111</f>
        <v>0</v>
      </c>
      <c r="E32" s="23" t="s">
        <v>171</v>
      </c>
      <c r="G32" s="86">
        <f>+C14+C15+C23-G12-G24</f>
        <v>-574923.00585158053</v>
      </c>
    </row>
    <row r="33" spans="1:7">
      <c r="C33" s="71"/>
      <c r="E33" s="23" t="s">
        <v>182</v>
      </c>
      <c r="G33" s="92">
        <f>+Determinación!B5</f>
        <v>-574923.00585158076</v>
      </c>
    </row>
    <row r="34" spans="1:7">
      <c r="E34" s="18" t="s">
        <v>183</v>
      </c>
      <c r="G34" s="93">
        <f>+G32-G33</f>
        <v>0</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heetView workbookViewId="1"/>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v>
      </c>
    </row>
    <row r="6" spans="2:4" ht="15">
      <c r="B6" s="18" t="s">
        <v>87</v>
      </c>
      <c r="C6" s="21" t="s">
        <v>175</v>
      </c>
      <c r="D6" s="101" t="s">
        <v>384</v>
      </c>
    </row>
    <row r="7" spans="2:4" ht="15">
      <c r="B7" s="18" t="s">
        <v>88</v>
      </c>
      <c r="C7" s="132">
        <f>+C11*'AAXI '!D7</f>
        <v>0</v>
      </c>
      <c r="D7" s="101" t="s">
        <v>386</v>
      </c>
    </row>
    <row r="8" spans="2:4">
      <c r="B8" s="18" t="s">
        <v>89</v>
      </c>
      <c r="C8" s="90">
        <f>Determinación!B9-Determinación!B10</f>
        <v>0</v>
      </c>
    </row>
    <row r="9" spans="2:4">
      <c r="B9" s="18" t="s">
        <v>90</v>
      </c>
      <c r="C9" s="21" t="s">
        <v>175</v>
      </c>
    </row>
    <row r="11" spans="2:4">
      <c r="B11" s="18" t="s">
        <v>538</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workbookViewId="0">
      <selection activeCell="B8" sqref="B8"/>
    </sheetView>
    <sheetView workbookViewId="1"/>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3">
        <v>2023</v>
      </c>
      <c r="C2" s="77"/>
    </row>
    <row r="3" spans="1:5">
      <c r="A3" s="18" t="s">
        <v>24</v>
      </c>
      <c r="B3" s="78">
        <f>+'Ing - Ded'!C8</f>
        <v>6659925.4241484189</v>
      </c>
      <c r="C3" s="77"/>
      <c r="D3" s="77"/>
    </row>
    <row r="4" spans="1:5" ht="38.25">
      <c r="A4" s="26" t="s">
        <v>25</v>
      </c>
      <c r="B4" s="78">
        <f>+'Ing - Ded'!C153</f>
        <v>7234848.4299999997</v>
      </c>
      <c r="C4" s="77"/>
      <c r="D4" s="77"/>
    </row>
    <row r="5" spans="1:5" ht="25.5">
      <c r="A5" s="79" t="s">
        <v>26</v>
      </c>
      <c r="B5" s="78">
        <f>+B3-B4</f>
        <v>-574923.00585158076</v>
      </c>
      <c r="C5" s="78"/>
      <c r="D5" s="78"/>
    </row>
    <row r="6" spans="1:5">
      <c r="A6" s="23" t="s">
        <v>27</v>
      </c>
      <c r="B6" s="78">
        <f>+IF(0&gt;B5,B5,0)</f>
        <v>-574923.00585158076</v>
      </c>
      <c r="E6" s="80"/>
    </row>
    <row r="7" spans="1:5">
      <c r="A7" s="23" t="s">
        <v>28</v>
      </c>
      <c r="B7" s="78">
        <f>+IF(B5&gt;0,B5,0)</f>
        <v>0</v>
      </c>
      <c r="C7" s="78"/>
      <c r="D7" s="78"/>
    </row>
    <row r="8" spans="1:5" ht="38.25">
      <c r="A8" s="79" t="s">
        <v>29</v>
      </c>
      <c r="B8" s="78">
        <f>-IF(SUM(Pérdidas!J19:J25)&lt;B7,SUM(Pérdidas!J19:J25),B7)</f>
        <v>0</v>
      </c>
      <c r="C8" s="77"/>
      <c r="D8" s="3" t="s">
        <v>348</v>
      </c>
    </row>
    <row r="9" spans="1:5">
      <c r="A9" s="79" t="s">
        <v>30</v>
      </c>
      <c r="B9" s="78">
        <f>+B7+B8</f>
        <v>0</v>
      </c>
      <c r="C9" s="81"/>
      <c r="D9" s="3" t="s">
        <v>387</v>
      </c>
    </row>
    <row r="10" spans="1:5">
      <c r="A10" s="79" t="s">
        <v>31</v>
      </c>
      <c r="B10" s="78">
        <f>IF(B9&gt;0,B9*0.3,0)</f>
        <v>0</v>
      </c>
      <c r="C10" s="78"/>
      <c r="D10" s="77"/>
    </row>
    <row r="11" spans="1:5">
      <c r="A11" s="79" t="s">
        <v>371</v>
      </c>
      <c r="B11" s="78">
        <f>+SUMIF(BZ!G19:G61,Determinación!A11,BZ!K19:K61)</f>
        <v>0</v>
      </c>
      <c r="C11" s="78"/>
    </row>
    <row r="12" spans="1:5">
      <c r="A12" s="79" t="s">
        <v>388</v>
      </c>
      <c r="B12" s="78"/>
      <c r="C12" s="78"/>
    </row>
    <row r="13" spans="1:5">
      <c r="A13" s="79" t="s">
        <v>389</v>
      </c>
      <c r="B13" s="78"/>
      <c r="C13" s="78"/>
    </row>
    <row r="14" spans="1:5">
      <c r="A14" s="23" t="s">
        <v>390</v>
      </c>
      <c r="B14" s="78"/>
    </row>
    <row r="15" spans="1:5">
      <c r="A15" s="18" t="s">
        <v>181</v>
      </c>
      <c r="B15" s="78">
        <f>+B10-B11-B12-B13-B14</f>
        <v>0</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0</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L34"/>
  <sheetViews>
    <sheetView workbookViewId="0">
      <selection activeCell="D33" sqref="D33"/>
    </sheetView>
    <sheetView workbookViewId="1"/>
  </sheetViews>
  <sheetFormatPr baseColWidth="10" defaultColWidth="11.42578125" defaultRowHeight="12.75"/>
  <cols>
    <col min="1" max="3" width="11.42578125" style="18"/>
    <col min="4" max="4" width="14.42578125" style="18" customWidth="1"/>
    <col min="5" max="5" width="22" style="18" bestFit="1" customWidth="1"/>
    <col min="6" max="6" width="24.7109375" style="18" bestFit="1" customWidth="1"/>
    <col min="7" max="7" width="18.7109375" style="18" customWidth="1"/>
    <col min="8" max="9" width="11.42578125" style="18"/>
    <col min="10" max="10" width="15.5703125" style="18" bestFit="1" customWidth="1"/>
    <col min="11" max="16384" width="11.42578125" style="18"/>
  </cols>
  <sheetData>
    <row r="7" spans="2:12">
      <c r="B7" s="18" t="s">
        <v>186</v>
      </c>
      <c r="C7" s="18" t="str">
        <f>Portada!$B$12</f>
        <v>TUXPAS</v>
      </c>
    </row>
    <row r="8" spans="2:12">
      <c r="B8" s="18" t="s">
        <v>187</v>
      </c>
      <c r="C8" s="18" t="str">
        <f>Portada!$B$14</f>
        <v>TUX1907038C0</v>
      </c>
    </row>
    <row r="10" spans="2:12">
      <c r="B10" s="256" t="str">
        <f>+Portada!B13</f>
        <v>Cálculo Fiscal Anticipado - Ejercicio 2024</v>
      </c>
      <c r="C10" s="256"/>
      <c r="D10" s="256"/>
      <c r="E10" s="256"/>
      <c r="F10" s="256"/>
      <c r="G10" s="256"/>
      <c r="H10" s="256"/>
      <c r="I10" s="256"/>
      <c r="J10" s="256"/>
    </row>
    <row r="11" spans="2:12">
      <c r="B11" s="256" t="str">
        <f>Portada!B15</f>
        <v>Fecha Corte: 31 de Octubre del 2024</v>
      </c>
      <c r="C11" s="256"/>
      <c r="D11" s="256"/>
      <c r="E11" s="256"/>
      <c r="F11" s="256"/>
      <c r="G11" s="256"/>
      <c r="H11" s="256"/>
      <c r="I11" s="256"/>
      <c r="J11" s="256"/>
    </row>
    <row r="13" spans="2:12">
      <c r="B13" s="255" t="s">
        <v>185</v>
      </c>
      <c r="C13" s="255"/>
      <c r="D13" s="255"/>
      <c r="E13" s="23" t="s">
        <v>575</v>
      </c>
      <c r="F13" s="23" t="s">
        <v>576</v>
      </c>
      <c r="G13" s="255" t="s">
        <v>184</v>
      </c>
      <c r="H13" s="255"/>
      <c r="I13" s="255"/>
      <c r="J13" s="255"/>
    </row>
    <row r="14" spans="2:12">
      <c r="B14" s="18" t="s">
        <v>188</v>
      </c>
      <c r="E14" s="94">
        <f>+Determinación!B3</f>
        <v>6659925.4241484189</v>
      </c>
      <c r="F14" s="94">
        <f>+E14+276491.49</f>
        <v>6936416.9141484192</v>
      </c>
      <c r="G14" s="18" t="s">
        <v>188</v>
      </c>
      <c r="J14" s="134">
        <f>+ER!E23+ER!E24+ER!E42+ER!E43+ER!E44+ER!E45+ER!E46+ER!E52+ER!E61+ER!E62+ER!E63+ER!E64</f>
        <v>6648268.5600000024</v>
      </c>
    </row>
    <row r="15" spans="2:12">
      <c r="B15" s="18" t="s">
        <v>189</v>
      </c>
      <c r="E15" s="96">
        <f>+Determinación!B4</f>
        <v>7234848.4299999997</v>
      </c>
      <c r="F15" s="96">
        <f>+E15+91232.92</f>
        <v>7326081.3499999996</v>
      </c>
      <c r="G15" s="18" t="s">
        <v>397</v>
      </c>
      <c r="J15" s="134">
        <v>0</v>
      </c>
    </row>
    <row r="16" spans="2:12">
      <c r="B16" s="18" t="s">
        <v>190</v>
      </c>
      <c r="E16" s="94">
        <f>+E14-E15</f>
        <v>-574923.00585158076</v>
      </c>
      <c r="F16" s="94">
        <f>+F14-F15</f>
        <v>-389664.43585158046</v>
      </c>
      <c r="G16" s="18" t="s">
        <v>398</v>
      </c>
      <c r="J16" s="134">
        <f>+ER!E25+ER!E26+ER!E32+ER!E36+ER!E40+ER!E39+ER!E38+ER!E47+ER!E48+ER!E49+ER!E50+ER!E51+ER!E53+ER!E54+ER!E55+ER!E56+ER!E58+ER!E59+ER!E60+ER!E65</f>
        <v>7548452.0599999996</v>
      </c>
      <c r="L16" s="95"/>
    </row>
    <row r="17" spans="2:10">
      <c r="B17" s="18" t="s">
        <v>391</v>
      </c>
      <c r="E17" s="94">
        <f>-Determinación!B8</f>
        <v>0</v>
      </c>
      <c r="F17" s="94">
        <f>-Determinación!C8</f>
        <v>0</v>
      </c>
      <c r="G17" s="18" t="s">
        <v>399</v>
      </c>
      <c r="J17" s="133">
        <f>J14-J16</f>
        <v>-900183.49999999721</v>
      </c>
    </row>
    <row r="18" spans="2:10">
      <c r="B18" s="18" t="s">
        <v>392</v>
      </c>
      <c r="E18" s="133">
        <f>E16-E17</f>
        <v>-574923.00585158076</v>
      </c>
      <c r="F18" s="133">
        <f>F16-F17</f>
        <v>-389664.43585158046</v>
      </c>
      <c r="G18" s="18" t="s">
        <v>400</v>
      </c>
      <c r="J18" s="134">
        <v>0</v>
      </c>
    </row>
    <row r="19" spans="2:10">
      <c r="B19" s="18" t="s">
        <v>393</v>
      </c>
      <c r="E19" s="135">
        <v>0.3</v>
      </c>
      <c r="F19" s="135">
        <v>0.3</v>
      </c>
      <c r="G19" s="18" t="s">
        <v>192</v>
      </c>
      <c r="J19" s="133">
        <f>J17-J18</f>
        <v>-900183.49999999721</v>
      </c>
    </row>
    <row r="20" spans="2:10">
      <c r="B20" s="18" t="s">
        <v>191</v>
      </c>
      <c r="E20" s="133">
        <f>IF(E18&gt;0,E18*E19,0)</f>
        <v>0</v>
      </c>
      <c r="F20" s="133">
        <f>IF(F18&gt;0,F18*F19,0)</f>
        <v>0</v>
      </c>
    </row>
    <row r="21" spans="2:10">
      <c r="B21" s="18" t="s">
        <v>368</v>
      </c>
      <c r="E21" s="94">
        <v>19978</v>
      </c>
      <c r="F21" s="94">
        <v>19978</v>
      </c>
    </row>
    <row r="22" spans="2:10">
      <c r="B22" s="18" t="s">
        <v>394</v>
      </c>
      <c r="E22" s="94">
        <f>Determinación!B12</f>
        <v>0</v>
      </c>
      <c r="F22" s="94">
        <f>Determinación!C12</f>
        <v>0</v>
      </c>
    </row>
    <row r="23" spans="2:10">
      <c r="B23" s="18" t="s">
        <v>395</v>
      </c>
      <c r="E23" s="94">
        <f>Determinación!B13</f>
        <v>0</v>
      </c>
      <c r="F23" s="94">
        <f>Determinación!C13</f>
        <v>0</v>
      </c>
    </row>
    <row r="24" spans="2:10">
      <c r="B24" s="18" t="s">
        <v>396</v>
      </c>
      <c r="E24" s="94">
        <f>Determinación!B14</f>
        <v>0</v>
      </c>
      <c r="F24" s="94">
        <f>Determinación!C14</f>
        <v>0</v>
      </c>
    </row>
    <row r="25" spans="2:10">
      <c r="B25" s="18" t="s">
        <v>369</v>
      </c>
      <c r="E25" s="133">
        <f>E20-E21-E22-E23-E24</f>
        <v>-19978</v>
      </c>
      <c r="F25" s="133">
        <f>F20-F21-F22-F23-F24</f>
        <v>-19978</v>
      </c>
    </row>
    <row r="26" spans="2:10">
      <c r="E26" s="134"/>
    </row>
    <row r="27" spans="2:10">
      <c r="B27" s="18" t="s">
        <v>370</v>
      </c>
      <c r="E27" s="238">
        <f>+'Datos Adicionales'!C5</f>
        <v>0</v>
      </c>
      <c r="F27" s="238">
        <f>+F18/F14</f>
        <v>-5.6176616929811435E-2</v>
      </c>
      <c r="G27" s="228" t="s">
        <v>550</v>
      </c>
      <c r="H27" s="228">
        <v>1.06E-2</v>
      </c>
    </row>
    <row r="28" spans="2:10">
      <c r="F28" s="71">
        <v>100000</v>
      </c>
    </row>
    <row r="29" spans="2:10">
      <c r="E29" s="74"/>
      <c r="F29" s="71">
        <f>+F27*F28</f>
        <v>-5617.6616929811435</v>
      </c>
    </row>
    <row r="30" spans="2:10">
      <c r="F30" s="38">
        <v>0.3</v>
      </c>
    </row>
    <row r="31" spans="2:10">
      <c r="F31" s="71">
        <f>+F29*F30</f>
        <v>-1685.2985078943429</v>
      </c>
    </row>
    <row r="34" spans="2:2">
      <c r="B34" s="95"/>
    </row>
  </sheetData>
  <mergeCells count="4">
    <mergeCell ref="B10:J10"/>
    <mergeCell ref="B11:J11"/>
    <mergeCell ref="G13:J13"/>
    <mergeCell ref="B13:D13"/>
  </mergeCells>
  <pageMargins left="0.7" right="0.7" top="0.75" bottom="0.75" header="0.3" footer="0.3"/>
  <pageSetup scale="80"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heetView workbookViewId="1"/>
  </sheetViews>
  <sheetFormatPr baseColWidth="10" defaultRowHeight="15"/>
  <cols>
    <col min="3" max="3" width="21.28515625" bestFit="1" customWidth="1"/>
    <col min="4" max="4" width="15.140625" bestFit="1" customWidth="1"/>
  </cols>
  <sheetData>
    <row r="3" spans="3:4">
      <c r="C3" t="s">
        <v>554</v>
      </c>
      <c r="D3" s="240">
        <v>41819682.200000003</v>
      </c>
    </row>
    <row r="4" spans="3:4">
      <c r="C4" s="241" t="s">
        <v>550</v>
      </c>
      <c r="D4" s="242">
        <v>5.8299999999999998E-2</v>
      </c>
    </row>
    <row r="5" spans="3:4">
      <c r="C5" t="s">
        <v>553</v>
      </c>
      <c r="D5" s="240">
        <f>+D3*D4</f>
        <v>2438087.4722600002</v>
      </c>
    </row>
    <row r="6" spans="3:4">
      <c r="C6" s="239">
        <v>0.3</v>
      </c>
      <c r="D6" s="240">
        <f>+D5*C6</f>
        <v>731426.24167800008</v>
      </c>
    </row>
    <row r="7" spans="3:4">
      <c r="C7" s="239" t="s">
        <v>552</v>
      </c>
      <c r="D7" s="243">
        <f>13977+6018+5904+6181+5240</f>
        <v>37320</v>
      </c>
    </row>
    <row r="8" spans="3:4">
      <c r="C8" s="239"/>
      <c r="D8" s="240"/>
    </row>
    <row r="9" spans="3:4">
      <c r="C9" t="s">
        <v>551</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2024-12-31T19:06:19Z</cp:lastPrinted>
  <dcterms:created xsi:type="dcterms:W3CDTF">2016-05-18T18:04:33Z</dcterms:created>
  <dcterms:modified xsi:type="dcterms:W3CDTF">2025-04-21T18:10:27Z</dcterms:modified>
</cp:coreProperties>
</file>