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G:\Unidades compartidas\MyCFO\01. Controles ISR\2024\Jonatan Benítez\04.-Cadala Zapp Global MX\"/>
    </mc:Choice>
  </mc:AlternateContent>
  <xr:revisionPtr revIDLastSave="0" documentId="13_ncr:1_{7B2D2E4B-165F-4992-ACAB-F916A7B3F4B3}" xr6:coauthVersionLast="47" xr6:coauthVersionMax="47" xr10:uidLastSave="{00000000-0000-0000-0000-000000000000}"/>
  <bookViews>
    <workbookView xWindow="-120" yWindow="-120" windowWidth="20730" windowHeight="11040" xr2:uid="{14A879AD-0E00-49A7-A3A8-D32B5FA46A47}"/>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No deducible" sheetId="37" r:id="rId9"/>
    <sheet name="Pérdidas" sheetId="30" r:id="rId10"/>
    <sheet name="CUCA" sheetId="31" r:id="rId11"/>
    <sheet name="CUFIN" sheetId="32" r:id="rId12"/>
    <sheet name="UFIN" sheetId="33" r:id="rId13"/>
    <sheet name="INPC" sheetId="34" r:id="rId14"/>
    <sheet name="Ing - Ded" sheetId="13" r:id="rId15"/>
    <sheet name="Datos Adicionales" sheetId="20" r:id="rId16"/>
    <sheet name="Conciliación" sheetId="12" r:id="rId17"/>
    <sheet name="Determinación" sheetId="15" r:id="rId18"/>
    <sheet name="Resumen" sheetId="24" r:id="rId19"/>
    <sheet name="ND " sheetId="36" r:id="rId20"/>
    <sheet name="Hoja1" sheetId="35" state="hidden" r:id="rId21"/>
  </sheets>
  <externalReferences>
    <externalReference r:id="rId22"/>
    <externalReference r:id="rId23"/>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1" hidden="1">{"BALGRAL",#N/A,FALSE,"BALANCE GRAL";"EDORES",#N/A,FALSE,"EDO RDOS"}</definedName>
    <definedName name="AA" localSheetId="13" hidden="1">{"BALGRAL",#N/A,FALSE,"BALANCE GRAL";"EDORES",#N/A,FALSE,"EDO RDOS"}</definedName>
    <definedName name="AA" localSheetId="12" hidden="1">{"BALGRAL",#N/A,FALSE,"BALANCE GRAL";"EDORES",#N/A,FALSE,"EDO RDOS"}</definedName>
    <definedName name="AA" hidden="1">{"BALGRAL",#N/A,FALSE,"BALANCE GRAL";"EDORES",#N/A,FALSE,"EDO RDOS"}</definedName>
    <definedName name="AB" localSheetId="11" hidden="1">{#N/A,#N/A,FALSE,"Aging Summary";#N/A,#N/A,FALSE,"Ratio Analysis";#N/A,#N/A,FALSE,"Test 120 Day Accts";#N/A,#N/A,FALSE,"Tickmarks"}</definedName>
    <definedName name="AB" localSheetId="13" hidden="1">{#N/A,#N/A,FALSE,"Aging Summary";#N/A,#N/A,FALSE,"Ratio Analysis";#N/A,#N/A,FALSE,"Test 120 Day Accts";#N/A,#N/A,FALSE,"Tickmarks"}</definedName>
    <definedName name="AB" localSheetId="12"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1" hidden="1">{"BALGRAL",#N/A,FALSE,"BALANCE GRAL";"EDORES",#N/A,FALSE,"EDO RDOS"}</definedName>
    <definedName name="analiscombimex" localSheetId="13" hidden="1">{"BALGRAL",#N/A,FALSE,"BALANCE GRAL";"EDORES",#N/A,FALSE,"EDO RDOS"}</definedName>
    <definedName name="analiscombimex" localSheetId="12" hidden="1">{"BALGRAL",#N/A,FALSE,"BALANCE GRAL";"EDORES",#N/A,FALSE,"EDO RDOS"}</definedName>
    <definedName name="analiscombimex" hidden="1">{"BALGRAL",#N/A,FALSE,"BALANCE GRAL";"EDORES",#N/A,FALSE,"EDO RDOS"}</definedName>
    <definedName name="analiscombimexB" localSheetId="11" hidden="1">{"BALGRAL",#N/A,FALSE,"BALANCE GRAL";"EDORES",#N/A,FALSE,"EDO RDOS"}</definedName>
    <definedName name="analiscombimexB" localSheetId="13" hidden="1">{"BALGRAL",#N/A,FALSE,"BALANCE GRAL";"EDORES",#N/A,FALSE,"EDO RDOS"}</definedName>
    <definedName name="analiscombimexB" localSheetId="12"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1">CUFIN!$A$1:$J$9</definedName>
    <definedName name="_xlnm.Print_Area" localSheetId="4">ER!$A$6:$G$82</definedName>
    <definedName name="_xlnm.Print_Area" localSheetId="3">ESF!$A$1:$M$66</definedName>
    <definedName name="_xlnm.Print_Area" localSheetId="12">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1"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1" hidden="1">{"BALGRAL",#N/A,FALSE,"BALANCE GRAL";"EDORES",#N/A,FALSE,"EDO RDOS"}</definedName>
    <definedName name="bueno" localSheetId="13" hidden="1">{"BALGRAL",#N/A,FALSE,"BALANCE GRAL";"EDORES",#N/A,FALSE,"EDO RDOS"}</definedName>
    <definedName name="bueno" localSheetId="12" hidden="1">{"BALGRAL",#N/A,FALSE,"BALANCE GRAL";"EDORES",#N/A,FALSE,"EDO RDOS"}</definedName>
    <definedName name="bueno" hidden="1">{"BALGRAL",#N/A,FALSE,"BALANCE GRAL";"EDORES",#N/A,FALSE,"EDO RDOS"}</definedName>
    <definedName name="buenoB" localSheetId="11" hidden="1">{"BALGRAL",#N/A,FALSE,"BALANCE GRAL";"EDORES",#N/A,FALSE,"EDO RDOS"}</definedName>
    <definedName name="buenoB" localSheetId="13" hidden="1">{"BALGRAL",#N/A,FALSE,"BALANCE GRAL";"EDORES",#N/A,FALSE,"EDO RDOS"}</definedName>
    <definedName name="buenoB" localSheetId="12"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1" hidden="1">{"BALGRAL",#N/A,FALSE,"BALANCE GRAL";"EDORES",#N/A,FALSE,"EDO RDOS"}</definedName>
    <definedName name="colombia4" localSheetId="13" hidden="1">{"BALGRAL",#N/A,FALSE,"BALANCE GRAL";"EDORES",#N/A,FALSE,"EDO RDOS"}</definedName>
    <definedName name="colombia4" localSheetId="12" hidden="1">{"BALGRAL",#N/A,FALSE,"BALANCE GRAL";"EDORES",#N/A,FALSE,"EDO RDOS"}</definedName>
    <definedName name="colombia4" hidden="1">{"BALGRAL",#N/A,FALSE,"BALANCE GRAL";"EDORES",#N/A,FALSE,"EDO RDOS"}</definedName>
    <definedName name="colombia4B" localSheetId="11" hidden="1">{"BALGRAL",#N/A,FALSE,"BALANCE GRAL";"EDORES",#N/A,FALSE,"EDO RDOS"}</definedName>
    <definedName name="colombia4B" localSheetId="13" hidden="1">{"BALGRAL",#N/A,FALSE,"BALANCE GRAL";"EDORES",#N/A,FALSE,"EDO RDOS"}</definedName>
    <definedName name="colombia4B" localSheetId="12"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1" hidden="1">{"'Demand Units'!$Z$2:$AF$53"}</definedName>
    <definedName name="Data2" localSheetId="13" hidden="1">{"'Demand Units'!$Z$2:$AF$53"}</definedName>
    <definedName name="Data2" localSheetId="12"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1" hidden="1">{"DEPN1",#N/A,TRUE,"depn";"DEPN2",#N/A,TRUE,"depn";"ACT1",#N/A,TRUE,"moact";"ACT2",#N/A,TRUE,"moact";"iva1",#N/A,TRUE,"moiva";"RVAS1",#N/A,TRUE,"rvas";"RVAS2",#N/A,TRUE,"rvas";"NODED",#N/A,TRUE,"noded"}</definedName>
    <definedName name="DD" localSheetId="13"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1" hidden="1">{"BALGRAL",#N/A,FALSE,"BALANCE GRAL";"EDORES",#N/A,FALSE,"EDO RDOS"}</definedName>
    <definedName name="debt" localSheetId="13" hidden="1">{"BALGRAL",#N/A,FALSE,"BALANCE GRAL";"EDORES",#N/A,FALSE,"EDO RDOS"}</definedName>
    <definedName name="debt" localSheetId="12" hidden="1">{"BALGRAL",#N/A,FALSE,"BALANCE GRAL";"EDORES",#N/A,FALSE,"EDO RDOS"}</definedName>
    <definedName name="debt" hidden="1">{"BALGRAL",#N/A,FALSE,"BALANCE GRAL";"EDORES",#N/A,FALSE,"EDO RDOS"}</definedName>
    <definedName name="DEMEX" localSheetId="11" hidden="1">{"BALGRAL",#N/A,FALSE,"BALANCE GRAL";"EDORES",#N/A,FALSE,"EDO RDOS"}</definedName>
    <definedName name="DEMEX" localSheetId="13" hidden="1">{"BALGRAL",#N/A,FALSE,"BALANCE GRAL";"EDORES",#N/A,FALSE,"EDO RDOS"}</definedName>
    <definedName name="DEMEX" localSheetId="12" hidden="1">{"BALGRAL",#N/A,FALSE,"BALANCE GRAL";"EDORES",#N/A,FALSE,"EDO RDOS"}</definedName>
    <definedName name="DEMEX" hidden="1">{"BALGRAL",#N/A,FALSE,"BALANCE GRAL";"EDORES",#N/A,FALSE,"EDO RDOS"}</definedName>
    <definedName name="DEMEXB" localSheetId="11" hidden="1">{"BALGRAL",#N/A,FALSE,"BALANCE GRAL";"EDORES",#N/A,FALSE,"EDO RDOS"}</definedName>
    <definedName name="DEMEXB" localSheetId="13" hidden="1">{"BALGRAL",#N/A,FALSE,"BALANCE GRAL";"EDORES",#N/A,FALSE,"EDO RDOS"}</definedName>
    <definedName name="DEMEXB" localSheetId="12"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1" hidden="1">{"DEPN1",#N/A,TRUE,"depn";"DEPN2",#N/A,TRUE,"depn";"ACT1",#N/A,TRUE,"moact";"ACT2",#N/A,TRUE,"moact";"iva1",#N/A,TRUE,"moiva";"RVAS1",#N/A,TRUE,"rvas";"RVAS2",#N/A,TRUE,"rvas";"NODED",#N/A,TRUE,"noded"}</definedName>
    <definedName name="Depreciación" localSheetId="13"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1" hidden="1">{"PRICING",#N/A,FALSE,"MODEL_ST";"ASSUMPTIONS",#N/A,FALSE,"MODEL_ST";"RENTS",#N/A,FALSE,"MODEL_ST";"RESIDUAL",#N/A,FALSE,"MODEL_ST";"DISCOUNT RATES",#N/A,FALSE,"MODEL_ST"}</definedName>
    <definedName name="Director" localSheetId="13"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1" hidden="1">{"BALGRAL",#N/A,FALSE,"BALANCE GRAL";"EDORES",#N/A,FALSE,"EDO RDOS"}</definedName>
    <definedName name="DOSB" localSheetId="13" hidden="1">{"BALGRAL",#N/A,FALSE,"BALANCE GRAL";"EDORES",#N/A,FALSE,"EDO RDOS"}</definedName>
    <definedName name="DOSB" localSheetId="12"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1" hidden="1">{"BALGRAL",#N/A,FALSE,"BALANCE GRAL";"EDORES",#N/A,FALSE,"EDO RDOS"}</definedName>
    <definedName name="ESTIMACIONES" localSheetId="13" hidden="1">{"BALGRAL",#N/A,FALSE,"BALANCE GRAL";"EDORES",#N/A,FALSE,"EDO RDOS"}</definedName>
    <definedName name="ESTIMACIONES" localSheetId="12" hidden="1">{"BALGRAL",#N/A,FALSE,"BALANCE GRAL";"EDORES",#N/A,FALSE,"EDO RDOS"}</definedName>
    <definedName name="ESTIMACIONES" hidden="1">{"BALGRAL",#N/A,FALSE,"BALANCE GRAL";"EDORES",#N/A,FALSE,"EDO RDOS"}</definedName>
    <definedName name="ESTIMACIONESB" localSheetId="11" hidden="1">{"BALGRAL",#N/A,FALSE,"BALANCE GRAL";"EDORES",#N/A,FALSE,"EDO RDOS"}</definedName>
    <definedName name="ESTIMACIONESB" localSheetId="13" hidden="1">{"BALGRAL",#N/A,FALSE,"BALANCE GRAL";"EDORES",#N/A,FALSE,"EDO RDOS"}</definedName>
    <definedName name="ESTIMACIONESB" localSheetId="12"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1" hidden="1">{#N/A,#N/A,FALSE,"Aging Summary";#N/A,#N/A,FALSE,"Ratio Analysis";#N/A,#N/A,FALSE,"Test 120 Day Accts";#N/A,#N/A,FALSE,"Tickmarks"}</definedName>
    <definedName name="FSARIOS" localSheetId="13"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1" hidden="1">{"'Demand Units'!$Z$2:$AF$53"}</definedName>
    <definedName name="HTML_Control" localSheetId="13" hidden="1">{"'Demand Units'!$Z$2:$AF$53"}</definedName>
    <definedName name="HTML_Control" localSheetId="12"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1" hidden="1">{#N/A,#N/A,FALSE,"Aging Summary";#N/A,#N/A,FALSE,"Ratio Analysis";#N/A,#N/A,FALSE,"Test 120 Day Accts";#N/A,#N/A,FALSE,"Tickmarks"}</definedName>
    <definedName name="IETU" localSheetId="13" hidden="1">{#N/A,#N/A,FALSE,"Aging Summary";#N/A,#N/A,FALSE,"Ratio Analysis";#N/A,#N/A,FALSE,"Test 120 Day Accts";#N/A,#N/A,FALSE,"Tickmarks"}</definedName>
    <definedName name="IETU" localSheetId="12"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1" hidden="1">{"DEPN1",#N/A,TRUE,"depn";"DEPN2",#N/A,TRUE,"depn";"ACT1",#N/A,TRUE,"moact";"ACT2",#N/A,TRUE,"moact";"iva1",#N/A,TRUE,"moiva";"RVAS1",#N/A,TRUE,"rvas";"RVAS2",#N/A,TRUE,"rvas";"NODED",#N/A,TRUE,"noded"}</definedName>
    <definedName name="koko" localSheetId="13"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1" hidden="1">{#N/A,#N/A,FALSE,"Aging Summary";#N/A,#N/A,FALSE,"Ratio Analysis";#N/A,#N/A,FALSE,"Test 120 Day Accts";#N/A,#N/A,FALSE,"Tickmarks"}</definedName>
    <definedName name="lll" localSheetId="13" hidden="1">{#N/A,#N/A,FALSE,"Aging Summary";#N/A,#N/A,FALSE,"Ratio Analysis";#N/A,#N/A,FALSE,"Test 120 Day Accts";#N/A,#N/A,FALSE,"Tickmarks"}</definedName>
    <definedName name="lll" localSheetId="12"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1" hidden="1">{"BALGRAL",#N/A,FALSE,"BALANCE GRAL";"EDORES",#N/A,FALSE,"EDO RDOS"}</definedName>
    <definedName name="MB" localSheetId="13" hidden="1">{"BALGRAL",#N/A,FALSE,"BALANCE GRAL";"EDORES",#N/A,FALSE,"EDO RDOS"}</definedName>
    <definedName name="MB" localSheetId="12" hidden="1">{"BALGRAL",#N/A,FALSE,"BALANCE GRAL";"EDORES",#N/A,FALSE,"EDO RDOS"}</definedName>
    <definedName name="MB" hidden="1">{"BALGRAL",#N/A,FALSE,"BALANCE GRAL";"EDORES",#N/A,FALSE,"EDO RDOS"}</definedName>
    <definedName name="MBA" localSheetId="11" hidden="1">{"BALGRAL",#N/A,FALSE,"BALANCE GRAL";"EDORES",#N/A,FALSE,"EDO RDOS"}</definedName>
    <definedName name="MBA" localSheetId="13" hidden="1">{"BALGRAL",#N/A,FALSE,"BALANCE GRAL";"EDORES",#N/A,FALSE,"EDO RDOS"}</definedName>
    <definedName name="MBA" localSheetId="12" hidden="1">{"BALGRAL",#N/A,FALSE,"BALANCE GRAL";"EDORES",#N/A,FALSE,"EDO RDOS"}</definedName>
    <definedName name="MBA" hidden="1">{"BALGRAL",#N/A,FALSE,"BALANCE GRAL";"EDORES",#N/A,FALSE,"EDO RDOS"}</definedName>
    <definedName name="MBAB" localSheetId="11" hidden="1">{"BALGRAL",#N/A,FALSE,"BALANCE GRAL";"EDORES",#N/A,FALSE,"EDO RDOS"}</definedName>
    <definedName name="MBAB" localSheetId="13" hidden="1">{"BALGRAL",#N/A,FALSE,"BALANCE GRAL";"EDORES",#N/A,FALSE,"EDO RDOS"}</definedName>
    <definedName name="MBAB" localSheetId="12"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1" hidden="1">{#N/A,#N/A,FALSE,"Aging Summary";#N/A,#N/A,FALSE,"Ratio Analysis";#N/A,#N/A,FALSE,"Test 120 Day Accts";#N/A,#N/A,FALSE,"Tickmarks"}</definedName>
    <definedName name="MILAGRO370" localSheetId="13"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1" hidden="1">{#N/A,#N/A,FALSE,"Aging Summary";#N/A,#N/A,FALSE,"Ratio Analysis";#N/A,#N/A,FALSE,"Test 120 Day Accts";#N/A,#N/A,FALSE,"Tickmarks"}</definedName>
    <definedName name="Ponderaciones" localSheetId="13"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1" hidden="1">{"BALGRAL",#N/A,FALSE,"BALANCE GRAL";"EDORES",#N/A,FALSE,"EDO RDOS"}</definedName>
    <definedName name="RDOSGESTIONALDIC2000" localSheetId="13" hidden="1">{"BALGRAL",#N/A,FALSE,"BALANCE GRAL";"EDORES",#N/A,FALSE,"EDO RDOS"}</definedName>
    <definedName name="RDOSGESTIONALDIC2000" localSheetId="12" hidden="1">{"BALGRAL",#N/A,FALSE,"BALANCE GRAL";"EDORES",#N/A,FALSE,"EDO RDOS"}</definedName>
    <definedName name="RDOSGESTIONALDIC2000" hidden="1">{"BALGRAL",#N/A,FALSE,"BALANCE GRAL";"EDORES",#N/A,FALSE,"EDO RDOS"}</definedName>
    <definedName name="RDOSGETSINLDIC2000B" localSheetId="11" hidden="1">{"BALGRAL",#N/A,FALSE,"BALANCE GRAL";"EDORES",#N/A,FALSE,"EDO RDOS"}</definedName>
    <definedName name="RDOSGETSINLDIC2000B" localSheetId="13" hidden="1">{"BALGRAL",#N/A,FALSE,"BALANCE GRAL";"EDORES",#N/A,FALSE,"EDO RDOS"}</definedName>
    <definedName name="RDOSGETSINLDIC2000B" localSheetId="12"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1" hidden="1">{"BALGRAL",#N/A,FALSE,"BALANCE GRAL";"EDORES",#N/A,FALSE,"EDO RDOS"}</definedName>
    <definedName name="SIB" localSheetId="13" hidden="1">{"BALGRAL",#N/A,FALSE,"BALANCE GRAL";"EDORES",#N/A,FALSE,"EDO RDOS"}</definedName>
    <definedName name="SIB" localSheetId="12"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1" hidden="1">{"Cons",#N/A,FALSE,"Balance Sheet";"AL",#N/A,FALSE,"Balance Sheet";"Hldgs",#N/A,FALSE,"Balance Sheet"}</definedName>
    <definedName name="strange" localSheetId="13" hidden="1">{"Cons",#N/A,FALSE,"Balance Sheet";"AL",#N/A,FALSE,"Balance Sheet";"Hldgs",#N/A,FALSE,"Balance Sheet"}</definedName>
    <definedName name="strange" localSheetId="12" hidden="1">{"Cons",#N/A,FALSE,"Balance Sheet";"AL",#N/A,FALSE,"Balance Sheet";"Hldgs",#N/A,FALSE,"Balance Sheet"}</definedName>
    <definedName name="strange" hidden="1">{"Cons",#N/A,FALSE,"Balance Sheet";"AL",#N/A,FALSE,"Balance Sheet";"Hldgs",#N/A,FALSE,"Balance Sheet"}</definedName>
    <definedName name="stupdi" localSheetId="11" hidden="1">{"Cons",#N/A,FALSE,"Balance Sheet";"AL",#N/A,FALSE,"Balance Sheet";"Hldgs",#N/A,FALSE,"Balance Sheet"}</definedName>
    <definedName name="stupdi" localSheetId="13" hidden="1">{"Cons",#N/A,FALSE,"Balance Sheet";"AL",#N/A,FALSE,"Balance Sheet";"Hldgs",#N/A,FALSE,"Balance Sheet"}</definedName>
    <definedName name="stupdi" localSheetId="12" hidden="1">{"Cons",#N/A,FALSE,"Balance Sheet";"AL",#N/A,FALSE,"Balance Sheet";"Hldgs",#N/A,FALSE,"Balance Sheet"}</definedName>
    <definedName name="stupdi" hidden="1">{"Cons",#N/A,FALSE,"Balance Sheet";"AL",#N/A,FALSE,"Balance Sheet";"Hldgs",#N/A,FALSE,"Balance Sheet"}</definedName>
    <definedName name="stupid" localSheetId="11" hidden="1">{"ConsL",#N/A,FALSE,"Balance Sheet (Lenders)";"ALL",#N/A,FALSE,"Balance Sheet (Lenders)";"CPTL",#N/A,FALSE,"Balance Sheet (Lenders)"}</definedName>
    <definedName name="stupid" localSheetId="13"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1" hidden="1">{"BALGRAL",#N/A,FALSE,"BALANCE GRAL";"EDORES",#N/A,FALSE,"EDO RDOS"}</definedName>
    <definedName name="SUCURSALBG" localSheetId="13" hidden="1">{"BALGRAL",#N/A,FALSE,"BALANCE GRAL";"EDORES",#N/A,FALSE,"EDO RDOS"}</definedName>
    <definedName name="SUCURSALBG" localSheetId="12" hidden="1">{"BALGRAL",#N/A,FALSE,"BALANCE GRAL";"EDORES",#N/A,FALSE,"EDO RDOS"}</definedName>
    <definedName name="SUCURSALBG" hidden="1">{"BALGRAL",#N/A,FALSE,"BALANCE GRAL";"EDORES",#N/A,FALSE,"EDO RDOS"}</definedName>
    <definedName name="SUCURSALBGB" localSheetId="11" hidden="1">{"BALGRAL",#N/A,FALSE,"BALANCE GRAL";"EDORES",#N/A,FALSE,"EDO RDOS"}</definedName>
    <definedName name="SUCURSALBGB" localSheetId="13" hidden="1">{"BALGRAL",#N/A,FALSE,"BALANCE GRAL";"EDORES",#N/A,FALSE,"EDO RDOS"}</definedName>
    <definedName name="SUCURSALBGB" localSheetId="12"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1" hidden="1">{#N/A,#N/A,FALSE,"Aging Summary";#N/A,#N/A,FALSE,"Ratio Analysis";#N/A,#N/A,FALSE,"Test 120 Day Accts";#N/A,#N/A,FALSE,"Tickmarks"}</definedName>
    <definedName name="ultimo" localSheetId="13"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1" hidden="1">{"BALGRAL",#N/A,FALSE,"BALANCE GRAL";"EDORES",#N/A,FALSE,"EDO RDOS"}</definedName>
    <definedName name="uno" localSheetId="13" hidden="1">{"BALGRAL",#N/A,FALSE,"BALANCE GRAL";"EDORES",#N/A,FALSE,"EDO RDOS"}</definedName>
    <definedName name="uno" localSheetId="12" hidden="1">{"BALGRAL",#N/A,FALSE,"BALANCE GRAL";"EDORES",#N/A,FALSE,"EDO RDOS"}</definedName>
    <definedName name="uno" hidden="1">{"BALGRAL",#N/A,FALSE,"BALANCE GRAL";"EDORES",#N/A,FALSE,"EDO RDOS"}</definedName>
    <definedName name="unob" localSheetId="11" hidden="1">{"BALGRAL",#N/A,FALSE,"BALANCE GRAL";"EDORES",#N/A,FALSE,"EDO RDOS"}</definedName>
    <definedName name="unob" localSheetId="13" hidden="1">{"BALGRAL",#N/A,FALSE,"BALANCE GRAL";"EDORES",#N/A,FALSE,"EDO RDOS"}</definedName>
    <definedName name="unob" localSheetId="12"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1" hidden="1">{"BALGRAL",#N/A,FALSE,"BALANCE GRAL";"EDORES",#N/A,FALSE,"EDO RDOS"}</definedName>
    <definedName name="w" localSheetId="13" hidden="1">{"BALGRAL",#N/A,FALSE,"BALANCE GRAL";"EDORES",#N/A,FALSE,"EDO RDOS"}</definedName>
    <definedName name="w" localSheetId="12"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1" hidden="1">{#N/A,#N/A,FALSE,"Aging Summary";#N/A,#N/A,FALSE,"Ratio Analysis";#N/A,#N/A,FALSE,"Test 120 Day Accts";#N/A,#N/A,FALSE,"Tickmarks"}</definedName>
    <definedName name="wrn" localSheetId="13" hidden="1">{#N/A,#N/A,FALSE,"Aging Summary";#N/A,#N/A,FALSE,"Ratio Analysis";#N/A,#N/A,FALSE,"Test 120 Day Accts";#N/A,#N/A,FALSE,"Tickmarks"}</definedName>
    <definedName name="wrn" localSheetId="12"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1" hidden="1">{#N/A,#N/A,TRUE,"Assumptions- Con. Budget";#N/A,#N/A,TRUE,"OP. PRO FORMA ASSUMPTIONS";#N/A,#N/A,TRUE,"SF AND RENTS";#N/A,#N/A,TRUE,"OPERATING PRO FORMA"}</definedName>
    <definedName name="wrn.10._.ST.._.JAMES._.AVENUE._.PRO._.FORMA." localSheetId="13"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localSheetId="13"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1" hidden="1">{#N/A,#N/A,TRUE,"HOJA 1 (P)";#N/A,#N/A,TRUE,"HOJA 2 (P)";#N/A,#N/A,TRUE,"HOJA 3 (P)";#N/A,#N/A,TRUE,"HOJA 4 (P)"}</definedName>
    <definedName name="wrn.1b." localSheetId="13" hidden="1">{#N/A,#N/A,TRUE,"HOJA 1 (P)";#N/A,#N/A,TRUE,"HOJA 2 (P)";#N/A,#N/A,TRUE,"HOJA 3 (P)";#N/A,#N/A,TRUE,"HOJA 4 (P)"}</definedName>
    <definedName name="wrn.1b." localSheetId="12" hidden="1">{#N/A,#N/A,TRUE,"HOJA 1 (P)";#N/A,#N/A,TRUE,"HOJA 2 (P)";#N/A,#N/A,TRUE,"HOJA 3 (P)";#N/A,#N/A,TRUE,"HOJA 4 (P)"}</definedName>
    <definedName name="wrn.1b." hidden="1">{#N/A,#N/A,TRUE,"HOJA 1 (P)";#N/A,#N/A,TRUE,"HOJA 2 (P)";#N/A,#N/A,TRUE,"HOJA 3 (P)";#N/A,#N/A,TRUE,"HOJA 4 (P)"}</definedName>
    <definedName name="wrn.Aging._.and._.Trend._.Analysis." localSheetId="11" hidden="1">{#N/A,#N/A,FALSE,"Aging Summary";#N/A,#N/A,FALSE,"Ratio Analysis";#N/A,#N/A,FALSE,"Test 120 Day Accts";#N/A,#N/A,FALSE,"Tickmarks"}</definedName>
    <definedName name="wrn.Aging._.and._.Trend._.Analysis." localSheetId="13"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1" hidden="1">{#N/A,#N/A,FALSE,"Occ and Rate";#N/A,#N/A,FALSE,"PF Input";#N/A,#N/A,FALSE,"Capital Input";#N/A,#N/A,FALSE,"Proforma Five Yr";#N/A,#N/A,FALSE,"Calculations";#N/A,#N/A,FALSE,"Transaction Summary-DTW"}</definedName>
    <definedName name="wrn.Complete._.Review." localSheetId="13"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1" hidden="1">{"PRICING",#N/A,FALSE,"MODEL_ST";"ASSUMPTIONS",#N/A,FALSE,"MODEL_ST";"RENTS",#N/A,FALSE,"MODEL_ST";"RESIDUAL",#N/A,FALSE,"MODEL_ST";"DISCOUNT RATES",#N/A,FALSE,"MODEL_ST"}</definedName>
    <definedName name="wrn.FULL._.REPORT." localSheetId="13"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1" hidden="1">{"DEPN1",#N/A,TRUE,"depn";"DEPN2",#N/A,TRUE,"depn";"ACT1",#N/A,TRUE,"moact";"ACT2",#N/A,TRUE,"moact";"iva1",#N/A,TRUE,"moiva";"RVAS1",#N/A,TRUE,"rvas";"RVAS2",#N/A,TRUE,"rvas";"NODED",#N/A,TRUE,"noded"}</definedName>
    <definedName name="wrn.IMPRESION." localSheetId="13"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1" hidden="1">{#N/A,#N/A,FALSE,"Proforma Five Yr";#N/A,#N/A,FALSE,"Capital Input";#N/A,#N/A,FALSE,"Calculations";#N/A,#N/A,FALSE,"Transaction Summary-DTW"}</definedName>
    <definedName name="wrn.Investment._.Review." localSheetId="13"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1" hidden="1">{#N/A,#N/A,FALSE,"Proforma Five Yr";#N/A,#N/A,FALSE,"Occ and Rate";#N/A,#N/A,FALSE,"PF Input";#N/A,#N/A,FALSE,"Hotcomps"}</definedName>
    <definedName name="wrn.Operations._.Review." localSheetId="13"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hidden="1">{#N/A,#N/A,FALSE,"Proforma Five Yr";#N/A,#N/A,FALSE,"Occ and Rate";#N/A,#N/A,FALSE,"PF Input";#N/A,#N/A,FALSE,"Hotcomps"}</definedName>
    <definedName name="wrn.Phase._.I." localSheetId="11" hidden="1">{#N/A,#N/A,FALSE,"Transaction Summary-DTW";#N/A,#N/A,FALSE,"Proforma Five Yr";#N/A,#N/A,FALSE,"Occ and Rate"}</definedName>
    <definedName name="wrn.Phase._.I." localSheetId="13" hidden="1">{#N/A,#N/A,FALSE,"Transaction Summary-DTW";#N/A,#N/A,FALSE,"Proforma Five Yr";#N/A,#N/A,FALSE,"Occ and Rate"}</definedName>
    <definedName name="wrn.Phase._.I." localSheetId="12" hidden="1">{#N/A,#N/A,FALSE,"Transaction Summary-DTW";#N/A,#N/A,FALSE,"Proforma Five Yr";#N/A,#N/A,FALSE,"Occ and Rate"}</definedName>
    <definedName name="wrn.Phase._.I." hidden="1">{#N/A,#N/A,FALSE,"Transaction Summary-DTW";#N/A,#N/A,FALSE,"Proforma Five Yr";#N/A,#N/A,FALSE,"Occ and Rate"}</definedName>
    <definedName name="wrn.PROF3996." localSheetId="11" hidden="1">{"BALGRAL",#N/A,FALSE,"BALANCE GRAL";"EDORES",#N/A,FALSE,"EDO RDOS"}</definedName>
    <definedName name="wrn.PROF3996." localSheetId="13" hidden="1">{"BALGRAL",#N/A,FALSE,"BALANCE GRAL";"EDORES",#N/A,FALSE,"EDO RDOS"}</definedName>
    <definedName name="wrn.PROF3996." localSheetId="12" hidden="1">{"BALGRAL",#N/A,FALSE,"BALANCE GRAL";"EDORES",#N/A,FALSE,"EDO RDOS"}</definedName>
    <definedName name="wrn.PROF3996." hidden="1">{"BALGRAL",#N/A,FALSE,"BALANCE GRAL";"EDORES",#N/A,FALSE,"EDO RDOS"}</definedName>
    <definedName name="wrn.PROF3996B" localSheetId="11" hidden="1">{"BALGRAL",#N/A,FALSE,"BALANCE GRAL";"EDORES",#N/A,FALSE,"EDO RDOS"}</definedName>
    <definedName name="wrn.PROF3996B" localSheetId="13" hidden="1">{"BALGRAL",#N/A,FALSE,"BALANCE GRAL";"EDORES",#N/A,FALSE,"EDO RDOS"}</definedName>
    <definedName name="wrn.PROF3996B" localSheetId="12" hidden="1">{"BALGRAL",#N/A,FALSE,"BALANCE GRAL";"EDORES",#N/A,FALSE,"EDO RDOS"}</definedName>
    <definedName name="wrn.PROF3996B" hidden="1">{"BALGRAL",#N/A,FALSE,"BALANCE GRAL";"EDORES",#N/A,FALSE,"EDO RDOS"}</definedName>
    <definedName name="wrn.Proforma._.Review." localSheetId="11" hidden="1">{#N/A,#N/A,FALSE,"Occ and Rate";#N/A,#N/A,FALSE,"PF Input";#N/A,#N/A,FALSE,"Proforma Five Yr";#N/A,#N/A,FALSE,"Hotcomps"}</definedName>
    <definedName name="wrn.Proforma._.Review." localSheetId="13"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hidden="1">{#N/A,#N/A,FALSE,"Occ and Rate";#N/A,#N/A,FALSE,"PF Input";#N/A,#N/A,FALSE,"Proforma Five Yr";#N/A,#N/A,FALSE,"Hotcomps"}</definedName>
    <definedName name="wrn.REPORTE." localSheetId="11" hidden="1">{#N/A,#N/A,FALSE,"HOJA 1";#N/A,#N/A,FALSE,"HOJA 2";#N/A,#N/A,FALSE,"HOJA 3";#N/A,#N/A,FALSE,"DATOS";#N/A,#N/A,FALSE,"IVA"}</definedName>
    <definedName name="wrn.REPORTE." localSheetId="13" hidden="1">{#N/A,#N/A,FALSE,"HOJA 1";#N/A,#N/A,FALSE,"HOJA 2";#N/A,#N/A,FALSE,"HOJA 3";#N/A,#N/A,FALSE,"DATOS";#N/A,#N/A,FALSE,"IVA"}</definedName>
    <definedName name="wrn.REPORTE." localSheetId="12" hidden="1">{#N/A,#N/A,FALSE,"HOJA 1";#N/A,#N/A,FALSE,"HOJA 2";#N/A,#N/A,FALSE,"HOJA 3";#N/A,#N/A,FALSE,"DATOS";#N/A,#N/A,FALSE,"IVA"}</definedName>
    <definedName name="wrn.REPORTE." hidden="1">{#N/A,#N/A,FALSE,"HOJA 1";#N/A,#N/A,FALSE,"HOJA 2";#N/A,#N/A,FALSE,"HOJA 3";#N/A,#N/A,FALSE,"DATOS";#N/A,#N/A,FALSE,"IVA"}</definedName>
    <definedName name="wrn.Tax._.Schedules." localSheetId="11" hidden="1">{#N/A,#N/A,FALSE,"106";#N/A,#N/A,FALSE,"103D";#N/A,#N/A,FALSE,"107A"}</definedName>
    <definedName name="wrn.Tax._.Schedules." localSheetId="13" hidden="1">{#N/A,#N/A,FALSE,"106";#N/A,#N/A,FALSE,"103D";#N/A,#N/A,FALSE,"107A"}</definedName>
    <definedName name="wrn.Tax._.Schedules." localSheetId="12" hidden="1">{#N/A,#N/A,FALSE,"106";#N/A,#N/A,FALSE,"103D";#N/A,#N/A,FALSE,"107A"}</definedName>
    <definedName name="wrn.Tax._.Schedules." hidden="1">{#N/A,#N/A,FALSE,"106";#N/A,#N/A,FALSE,"103D";#N/A,#N/A,FALSE,"107A"}</definedName>
    <definedName name="wrn.ventana." localSheetId="11" hidden="1">{#N/A,#N/A,FALSE,"Cash Flow";#N/A,#N/A,FALSE,"scenario 1"}</definedName>
    <definedName name="wrn.ventana." localSheetId="13" hidden="1">{#N/A,#N/A,FALSE,"Cash Flow";#N/A,#N/A,FALSE,"scenario 1"}</definedName>
    <definedName name="wrn.ventana." localSheetId="12"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1"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1" hidden="1">{"BALGRAL",#N/A,FALSE,"BALANCE GRAL";"EDORES",#N/A,FALSE,"EDO RDOS"}</definedName>
    <definedName name="yo" localSheetId="13" hidden="1">{"BALGRAL",#N/A,FALSE,"BALANCE GRAL";"EDORES",#N/A,FALSE,"EDO RDOS"}</definedName>
    <definedName name="yo" localSheetId="12" hidden="1">{"BALGRAL",#N/A,FALSE,"BALANCE GRAL";"EDORES",#N/A,FALSE,"EDO RDOS"}</definedName>
    <definedName name="yo" hidden="1">{"BALGRAL",#N/A,FALSE,"BALANCE GRAL";"EDORES",#N/A,FALSE,"EDO RDOS"}</definedName>
    <definedName name="yoB" localSheetId="11" hidden="1">{"BALGRAL",#N/A,FALSE,"BALANCE GRAL";"EDORES",#N/A,FALSE,"EDO RDOS"}</definedName>
    <definedName name="yoB" localSheetId="13" hidden="1">{"BALGRAL",#N/A,FALSE,"BALANCE GRAL";"EDORES",#N/A,FALSE,"EDO RDOS"}</definedName>
    <definedName name="yoB" localSheetId="12"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5" i="13" l="1"/>
  <c r="C104" i="13" s="1"/>
  <c r="C111" i="13"/>
  <c r="C26" i="12"/>
  <c r="H19" i="30"/>
  <c r="J19" i="30"/>
  <c r="C160" i="13"/>
  <c r="E6" i="37"/>
  <c r="G4" i="36"/>
  <c r="G5" i="36"/>
  <c r="G3" i="36"/>
  <c r="C158" i="13"/>
  <c r="L49" i="5"/>
  <c r="L47" i="5"/>
  <c r="C114" i="13"/>
  <c r="D6" i="37" l="1"/>
  <c r="D56" i="7"/>
  <c r="D40" i="7"/>
  <c r="E19" i="30"/>
  <c r="F19" i="30" s="1"/>
  <c r="D12" i="28"/>
  <c r="Q38" i="28"/>
  <c r="Q30" i="28"/>
  <c r="C156" i="13" l="1"/>
  <c r="G9" i="36" l="1"/>
  <c r="F27" i="24" l="1"/>
  <c r="F24" i="24"/>
  <c r="F23" i="24"/>
  <c r="F22" i="24"/>
  <c r="F17" i="24"/>
  <c r="E92" i="31"/>
  <c r="G92" i="31"/>
  <c r="E93" i="31"/>
  <c r="G93" i="31" s="1"/>
  <c r="F93" i="31"/>
  <c r="E69" i="31"/>
  <c r="G69" i="31" s="1"/>
  <c r="F69" i="31"/>
  <c r="E70" i="31"/>
  <c r="F71" i="31" s="1"/>
  <c r="F70" i="31"/>
  <c r="G70" i="31"/>
  <c r="E71" i="31"/>
  <c r="F72" i="31" s="1"/>
  <c r="G72" i="31" s="1"/>
  <c r="E72" i="31"/>
  <c r="F73" i="31" s="1"/>
  <c r="E73" i="31"/>
  <c r="G73" i="31" s="1"/>
  <c r="E74" i="31"/>
  <c r="F75" i="31" s="1"/>
  <c r="F74" i="31"/>
  <c r="G74" i="31"/>
  <c r="E75" i="31"/>
  <c r="E76" i="31"/>
  <c r="F77" i="31" s="1"/>
  <c r="E77" i="31"/>
  <c r="F78" i="31" s="1"/>
  <c r="G78" i="31" s="1"/>
  <c r="E78" i="31"/>
  <c r="F79" i="31" s="1"/>
  <c r="E79" i="31"/>
  <c r="G79" i="31" s="1"/>
  <c r="E80" i="31"/>
  <c r="F81" i="31" s="1"/>
  <c r="E81" i="31"/>
  <c r="F82" i="31" s="1"/>
  <c r="G82" i="31" s="1"/>
  <c r="E82" i="31"/>
  <c r="F83" i="31" s="1"/>
  <c r="E83" i="31"/>
  <c r="G83" i="31" s="1"/>
  <c r="E84" i="31"/>
  <c r="F85" i="31" s="1"/>
  <c r="E85" i="31"/>
  <c r="F86" i="31" s="1"/>
  <c r="G86" i="31" s="1"/>
  <c r="E86" i="31"/>
  <c r="F87" i="31" s="1"/>
  <c r="E87" i="31"/>
  <c r="E88" i="31"/>
  <c r="F89" i="31" s="1"/>
  <c r="E89" i="31"/>
  <c r="F90" i="31" s="1"/>
  <c r="G90" i="31" s="1"/>
  <c r="E90" i="31"/>
  <c r="F91" i="31" s="1"/>
  <c r="E91" i="31"/>
  <c r="E45" i="31"/>
  <c r="G45" i="31" s="1"/>
  <c r="F45" i="31"/>
  <c r="E46" i="31"/>
  <c r="F47" i="31" s="1"/>
  <c r="F46" i="31"/>
  <c r="G46" i="31"/>
  <c r="E47" i="31"/>
  <c r="G47" i="31" s="1"/>
  <c r="E48" i="31"/>
  <c r="F49" i="31" s="1"/>
  <c r="F48" i="31"/>
  <c r="G48" i="31"/>
  <c r="E49" i="31"/>
  <c r="G49" i="31" s="1"/>
  <c r="E50" i="31"/>
  <c r="F51" i="31" s="1"/>
  <c r="F50" i="31"/>
  <c r="G50" i="31"/>
  <c r="E51" i="31"/>
  <c r="E52" i="31"/>
  <c r="F53" i="31" s="1"/>
  <c r="F52" i="31"/>
  <c r="G52" i="31"/>
  <c r="E53" i="31"/>
  <c r="G53" i="31" s="1"/>
  <c r="E54" i="31"/>
  <c r="F55" i="31" s="1"/>
  <c r="F54" i="31"/>
  <c r="G54" i="31"/>
  <c r="E55" i="31"/>
  <c r="G55" i="31" s="1"/>
  <c r="E56" i="31"/>
  <c r="F57" i="31" s="1"/>
  <c r="F56" i="31"/>
  <c r="G56" i="31"/>
  <c r="E57" i="31"/>
  <c r="E58" i="31"/>
  <c r="F59" i="31" s="1"/>
  <c r="F58" i="31"/>
  <c r="G58" i="31"/>
  <c r="E59" i="31"/>
  <c r="G59" i="31" s="1"/>
  <c r="E60" i="31"/>
  <c r="F61" i="31" s="1"/>
  <c r="F60" i="31"/>
  <c r="G60" i="31"/>
  <c r="E61" i="31"/>
  <c r="G61" i="31" s="1"/>
  <c r="E62" i="31"/>
  <c r="F63" i="31" s="1"/>
  <c r="F62" i="31"/>
  <c r="G62" i="31"/>
  <c r="E63" i="31"/>
  <c r="E64" i="31"/>
  <c r="F65" i="31" s="1"/>
  <c r="F64" i="31"/>
  <c r="G64" i="31"/>
  <c r="E65" i="31"/>
  <c r="G65" i="31" s="1"/>
  <c r="E66" i="31"/>
  <c r="F67" i="31" s="1"/>
  <c r="F66" i="31"/>
  <c r="G66" i="31"/>
  <c r="E67" i="31"/>
  <c r="G67" i="31" s="1"/>
  <c r="E68" i="31"/>
  <c r="F68" i="31"/>
  <c r="G68" i="31"/>
  <c r="E12" i="31"/>
  <c r="E13" i="31"/>
  <c r="F13" i="31"/>
  <c r="E14" i="31"/>
  <c r="E15" i="31"/>
  <c r="F15" i="31"/>
  <c r="E16" i="31"/>
  <c r="E17" i="31"/>
  <c r="F17" i="31"/>
  <c r="E18" i="31"/>
  <c r="E19" i="31"/>
  <c r="F19" i="31"/>
  <c r="E20" i="31"/>
  <c r="E21" i="31"/>
  <c r="F21" i="31"/>
  <c r="E22" i="31"/>
  <c r="E23" i="31"/>
  <c r="F23" i="31"/>
  <c r="E24" i="31"/>
  <c r="E25" i="31"/>
  <c r="F25" i="31"/>
  <c r="E26" i="31"/>
  <c r="E27" i="31"/>
  <c r="F27" i="31"/>
  <c r="E28" i="31"/>
  <c r="E29" i="31"/>
  <c r="F29" i="31"/>
  <c r="E30" i="31"/>
  <c r="E31" i="31"/>
  <c r="F31" i="31"/>
  <c r="E32" i="31"/>
  <c r="E33" i="31"/>
  <c r="F33" i="31"/>
  <c r="E34" i="31"/>
  <c r="E35" i="31"/>
  <c r="F35" i="31"/>
  <c r="E36" i="31"/>
  <c r="E37" i="31"/>
  <c r="F37" i="31"/>
  <c r="E38" i="31"/>
  <c r="E39" i="31"/>
  <c r="F39" i="31"/>
  <c r="E40" i="31"/>
  <c r="E41" i="31"/>
  <c r="F41" i="31"/>
  <c r="E42" i="31"/>
  <c r="E43" i="31"/>
  <c r="F43" i="31"/>
  <c r="E44" i="31"/>
  <c r="D12" i="30"/>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8"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G91" i="31" l="1"/>
  <c r="G87" i="31"/>
  <c r="G75" i="31"/>
  <c r="F88" i="31"/>
  <c r="G88" i="31" s="1"/>
  <c r="F84" i="31"/>
  <c r="G84" i="31" s="1"/>
  <c r="F80" i="31"/>
  <c r="G80" i="31" s="1"/>
  <c r="F76" i="31"/>
  <c r="G76" i="31" s="1"/>
  <c r="G89" i="31"/>
  <c r="G85" i="31"/>
  <c r="G81" i="31"/>
  <c r="G77" i="31"/>
  <c r="G71" i="31"/>
  <c r="G63" i="31"/>
  <c r="G57" i="31"/>
  <c r="G51" i="31"/>
  <c r="G37" i="31"/>
  <c r="F38" i="31"/>
  <c r="G38" i="31" s="1"/>
  <c r="F34" i="31"/>
  <c r="G34" i="31" s="1"/>
  <c r="G33" i="31"/>
  <c r="G29" i="31"/>
  <c r="F30" i="31"/>
  <c r="G30" i="31" s="1"/>
  <c r="G13" i="31"/>
  <c r="F14" i="31"/>
  <c r="G14" i="31" s="1"/>
  <c r="G41" i="31"/>
  <c r="F42" i="31"/>
  <c r="G42" i="31" s="1"/>
  <c r="G25" i="31"/>
  <c r="F26" i="31"/>
  <c r="G26" i="31" s="1"/>
  <c r="G21" i="31"/>
  <c r="F22" i="31"/>
  <c r="G22" i="31" s="1"/>
  <c r="G17" i="31"/>
  <c r="F18" i="31"/>
  <c r="G18" i="31" s="1"/>
  <c r="G43" i="31"/>
  <c r="F44" i="31"/>
  <c r="G44" i="31" s="1"/>
  <c r="G39" i="31"/>
  <c r="F40" i="31"/>
  <c r="G40" i="31" s="1"/>
  <c r="G35" i="31"/>
  <c r="F36" i="31"/>
  <c r="G36" i="31" s="1"/>
  <c r="G31" i="31"/>
  <c r="F32" i="31"/>
  <c r="G32" i="31" s="1"/>
  <c r="G27" i="31"/>
  <c r="F28" i="31"/>
  <c r="G28" i="31" s="1"/>
  <c r="G23" i="31"/>
  <c r="F24" i="31"/>
  <c r="G24" i="31" s="1"/>
  <c r="G19" i="31"/>
  <c r="F20" i="31"/>
  <c r="G20" i="31" s="1"/>
  <c r="G15" i="31"/>
  <c r="F16" i="31"/>
  <c r="G16" i="31" s="1"/>
  <c r="F12" i="31"/>
  <c r="G12" i="31" s="1"/>
  <c r="C10" i="13"/>
  <c r="D7" i="35"/>
  <c r="D6" i="35"/>
  <c r="D5" i="35"/>
  <c r="B11" i="15"/>
  <c r="D9" i="30"/>
  <c r="D8" i="30"/>
  <c r="D7" i="30"/>
  <c r="D6" i="30"/>
  <c r="D10" i="30"/>
  <c r="D9" i="35"/>
  <c r="B10" i="24"/>
  <c r="D39" i="7" l="1"/>
  <c r="D23" i="7"/>
  <c r="D29" i="7"/>
  <c r="J46" i="9"/>
  <c r="C36" i="13" l="1"/>
  <c r="C35" i="13"/>
  <c r="C34" i="13"/>
  <c r="C33" i="13"/>
  <c r="C32" i="13"/>
  <c r="C31" i="13"/>
  <c r="C29" i="13"/>
  <c r="C28" i="13"/>
  <c r="C27" i="13"/>
  <c r="C26" i="13"/>
  <c r="C25" i="13"/>
  <c r="C24" i="13"/>
  <c r="C23" i="13"/>
  <c r="C22" i="13"/>
  <c r="C21" i="13"/>
  <c r="C20" i="13"/>
  <c r="C19" i="13"/>
  <c r="C16" i="13"/>
  <c r="C15" i="13"/>
  <c r="C14" i="13"/>
  <c r="C13" i="13"/>
  <c r="C12" i="13"/>
  <c r="C11" i="13"/>
  <c r="C9" i="13"/>
  <c r="C146" i="13"/>
  <c r="C145" i="13"/>
  <c r="C144" i="13"/>
  <c r="C142" i="13"/>
  <c r="C17" i="12" l="1"/>
  <c r="C122" i="13"/>
  <c r="C121" i="13"/>
  <c r="C118" i="13"/>
  <c r="C117" i="13"/>
  <c r="C116" i="13"/>
  <c r="C113" i="13"/>
  <c r="C140" i="13"/>
  <c r="C139" i="13"/>
  <c r="C138" i="13"/>
  <c r="C137" i="13"/>
  <c r="C136" i="13"/>
  <c r="C135" i="13"/>
  <c r="C133" i="13"/>
  <c r="C132" i="13"/>
  <c r="C129" i="13"/>
  <c r="C128" i="13"/>
  <c r="C127" i="13"/>
  <c r="C126"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47" i="13"/>
  <c r="C48" i="13"/>
  <c r="C50" i="13"/>
  <c r="C52" i="13"/>
  <c r="C53" i="13"/>
  <c r="D14" i="30"/>
  <c r="D11" i="30"/>
  <c r="D6" i="28"/>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0" i="31"/>
  <c r="F11" i="31" s="1"/>
  <c r="G11" i="31" s="1"/>
  <c r="E9" i="31"/>
  <c r="E8" i="31"/>
  <c r="F9" i="31" s="1"/>
  <c r="C143" i="13" l="1"/>
  <c r="C30" i="13"/>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F8" i="31"/>
  <c r="G8" i="31" s="1"/>
  <c r="F10" i="31"/>
  <c r="G10" i="31" s="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H16" i="31" s="1"/>
  <c r="J16" i="31" s="1"/>
  <c r="D17" i="31" s="1"/>
  <c r="H17" i="31" s="1"/>
  <c r="J17" i="31" s="1"/>
  <c r="D18" i="31" s="1"/>
  <c r="H18" i="31" s="1"/>
  <c r="J18" i="31" s="1"/>
  <c r="D19" i="31" s="1"/>
  <c r="H19" i="31" s="1"/>
  <c r="J19" i="31" s="1"/>
  <c r="D20" i="31" s="1"/>
  <c r="H20" i="31" s="1"/>
  <c r="J20" i="31" s="1"/>
  <c r="D21" i="31" s="1"/>
  <c r="H21" i="31" s="1"/>
  <c r="J21" i="31" s="1"/>
  <c r="D22" i="31" s="1"/>
  <c r="H22" i="31" s="1"/>
  <c r="J22" i="31" s="1"/>
  <c r="D23" i="31" s="1"/>
  <c r="H23" i="31" s="1"/>
  <c r="J23" i="31" s="1"/>
  <c r="D24" i="31" s="1"/>
  <c r="H24" i="31" s="1"/>
  <c r="J24" i="31" s="1"/>
  <c r="D25" i="31" s="1"/>
  <c r="H25" i="31" s="1"/>
  <c r="J25" i="31" s="1"/>
  <c r="D26" i="31" s="1"/>
  <c r="H26" i="31" s="1"/>
  <c r="J26" i="31" s="1"/>
  <c r="D27" i="31" s="1"/>
  <c r="H27" i="31" s="1"/>
  <c r="J27" i="31" s="1"/>
  <c r="D28" i="31" s="1"/>
  <c r="H28" i="31" s="1"/>
  <c r="J28" i="31" s="1"/>
  <c r="D29" i="31" s="1"/>
  <c r="H29" i="31" s="1"/>
  <c r="J29" i="31" s="1"/>
  <c r="D30" i="31" s="1"/>
  <c r="H30" i="31" s="1"/>
  <c r="J30" i="31" s="1"/>
  <c r="D31" i="31" s="1"/>
  <c r="H31" i="31" s="1"/>
  <c r="J31" i="31" s="1"/>
  <c r="D32" i="31" s="1"/>
  <c r="H32" i="31" s="1"/>
  <c r="J32" i="31" s="1"/>
  <c r="D33" i="31" s="1"/>
  <c r="H33" i="31" s="1"/>
  <c r="J33" i="31" s="1"/>
  <c r="D34" i="31" s="1"/>
  <c r="H34" i="31" s="1"/>
  <c r="J34" i="31" s="1"/>
  <c r="D35" i="31" s="1"/>
  <c r="H35" i="31" s="1"/>
  <c r="J35" i="31" s="1"/>
  <c r="D36" i="31" s="1"/>
  <c r="H36" i="31" s="1"/>
  <c r="J36" i="31" s="1"/>
  <c r="D37" i="31" s="1"/>
  <c r="H37" i="31" s="1"/>
  <c r="J37" i="31" s="1"/>
  <c r="D38" i="31" s="1"/>
  <c r="H38" i="31" s="1"/>
  <c r="J38" i="31" s="1"/>
  <c r="D39" i="31" s="1"/>
  <c r="H39" i="31" s="1"/>
  <c r="J39" i="31" s="1"/>
  <c r="D40" i="31" s="1"/>
  <c r="H40" i="31" s="1"/>
  <c r="J40" i="31" s="1"/>
  <c r="D41" i="31" s="1"/>
  <c r="H41" i="31" s="1"/>
  <c r="J41" i="31" s="1"/>
  <c r="D42" i="31" s="1"/>
  <c r="H42" i="31" s="1"/>
  <c r="J42" i="31" s="1"/>
  <c r="D43" i="31" s="1"/>
  <c r="H43" i="31" s="1"/>
  <c r="J43" i="31" s="1"/>
  <c r="D44" i="31" s="1"/>
  <c r="H44" i="31" s="1"/>
  <c r="J44" i="31" s="1"/>
  <c r="D45" i="31" s="1"/>
  <c r="H45" i="31" s="1"/>
  <c r="J45" i="31" s="1"/>
  <c r="D46" i="31" s="1"/>
  <c r="H46" i="31" s="1"/>
  <c r="J46" i="31" s="1"/>
  <c r="D47" i="31" s="1"/>
  <c r="H47" i="31" s="1"/>
  <c r="J47" i="31" s="1"/>
  <c r="D48" i="31" s="1"/>
  <c r="H48" i="31" s="1"/>
  <c r="J48" i="31" s="1"/>
  <c r="D49" i="31" s="1"/>
  <c r="H49" i="31" s="1"/>
  <c r="J49" i="31" s="1"/>
  <c r="D50" i="31" s="1"/>
  <c r="H50" i="31" s="1"/>
  <c r="J50" i="31" s="1"/>
  <c r="D51" i="31" s="1"/>
  <c r="H51" i="31" s="1"/>
  <c r="J51" i="31" s="1"/>
  <c r="D52" i="31" s="1"/>
  <c r="H52" i="31" s="1"/>
  <c r="J52" i="31" s="1"/>
  <c r="D53" i="31" s="1"/>
  <c r="H53" i="31" s="1"/>
  <c r="J53" i="31" s="1"/>
  <c r="D54" i="31" s="1"/>
  <c r="H54" i="31" s="1"/>
  <c r="J54" i="31" s="1"/>
  <c r="D55" i="31" s="1"/>
  <c r="H55" i="31" s="1"/>
  <c r="J55" i="31" s="1"/>
  <c r="D56" i="31" s="1"/>
  <c r="H56" i="31" s="1"/>
  <c r="J56" i="31" s="1"/>
  <c r="D57" i="31" s="1"/>
  <c r="H57" i="31" s="1"/>
  <c r="J57" i="31" s="1"/>
  <c r="D58" i="31" s="1"/>
  <c r="H58" i="31" s="1"/>
  <c r="J58" i="31" s="1"/>
  <c r="D59" i="31" s="1"/>
  <c r="H59" i="31" s="1"/>
  <c r="J59" i="31" s="1"/>
  <c r="D60" i="31" s="1"/>
  <c r="H60" i="31" s="1"/>
  <c r="J60" i="31" s="1"/>
  <c r="D61" i="31" s="1"/>
  <c r="H61" i="31" s="1"/>
  <c r="J61" i="31" s="1"/>
  <c r="D62" i="31" s="1"/>
  <c r="H62" i="31" s="1"/>
  <c r="J62" i="31" s="1"/>
  <c r="D63" i="31" s="1"/>
  <c r="H63" i="31" s="1"/>
  <c r="J63" i="31" s="1"/>
  <c r="D64" i="31" s="1"/>
  <c r="H64" i="31" s="1"/>
  <c r="J64" i="31" s="1"/>
  <c r="D65" i="31" s="1"/>
  <c r="H65" i="31" s="1"/>
  <c r="J65" i="31" s="1"/>
  <c r="D66" i="31" s="1"/>
  <c r="H66" i="31" s="1"/>
  <c r="J66" i="31" s="1"/>
  <c r="D67" i="31" s="1"/>
  <c r="H67" i="31" s="1"/>
  <c r="J67" i="31" s="1"/>
  <c r="D68" i="31" s="1"/>
  <c r="H68" i="31" s="1"/>
  <c r="J68" i="31" s="1"/>
  <c r="D69" i="31" s="1"/>
  <c r="H69" i="31" s="1"/>
  <c r="J69" i="31" s="1"/>
  <c r="D70" i="31" s="1"/>
  <c r="H70" i="31" s="1"/>
  <c r="J70" i="31" s="1"/>
  <c r="D71" i="31" s="1"/>
  <c r="H71" i="31" s="1"/>
  <c r="J71" i="31" s="1"/>
  <c r="D72" i="31" s="1"/>
  <c r="H72" i="31" s="1"/>
  <c r="J72" i="31" s="1"/>
  <c r="D73" i="31" s="1"/>
  <c r="H73" i="31" s="1"/>
  <c r="J73" i="31" s="1"/>
  <c r="D74" i="31" s="1"/>
  <c r="H74" i="31" s="1"/>
  <c r="J74" i="31" s="1"/>
  <c r="D75" i="31" s="1"/>
  <c r="H75" i="31" s="1"/>
  <c r="J75" i="31" s="1"/>
  <c r="D76" i="31" s="1"/>
  <c r="H76" i="31" s="1"/>
  <c r="J76" i="31" s="1"/>
  <c r="D77" i="31" s="1"/>
  <c r="H77" i="31" s="1"/>
  <c r="J77" i="31" s="1"/>
  <c r="D78" i="31" s="1"/>
  <c r="H78" i="31" s="1"/>
  <c r="J78" i="31" s="1"/>
  <c r="D79" i="31" s="1"/>
  <c r="H79" i="31" s="1"/>
  <c r="J79" i="31" s="1"/>
  <c r="D80" i="31" s="1"/>
  <c r="H80" i="31" s="1"/>
  <c r="J80" i="31" s="1"/>
  <c r="D81"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81" i="31" l="1"/>
  <c r="J81" i="31" s="1"/>
  <c r="D82" i="31" s="1"/>
  <c r="H82" i="31" s="1"/>
  <c r="J82" i="31" s="1"/>
  <c r="D83" i="31" s="1"/>
  <c r="H83" i="31" s="1"/>
  <c r="J83" i="31" s="1"/>
  <c r="D84" i="31" s="1"/>
  <c r="H84" i="31" s="1"/>
  <c r="J84" i="31" s="1"/>
  <c r="D85" i="31" s="1"/>
  <c r="H85" i="31" s="1"/>
  <c r="J85" i="31" s="1"/>
  <c r="D86" i="31" s="1"/>
  <c r="H86" i="31" s="1"/>
  <c r="J86" i="31" s="1"/>
  <c r="D87" i="31" s="1"/>
  <c r="H87" i="31" s="1"/>
  <c r="J87" i="31" s="1"/>
  <c r="D88" i="31" s="1"/>
  <c r="H88" i="31" s="1"/>
  <c r="J88" i="31" s="1"/>
  <c r="D89" i="31" s="1"/>
  <c r="H89" i="31" s="1"/>
  <c r="J89" i="31" s="1"/>
  <c r="D90" i="31" s="1"/>
  <c r="H90" i="31" s="1"/>
  <c r="J90" i="31" s="1"/>
  <c r="D91" i="31" s="1"/>
  <c r="H91" i="31" s="1"/>
  <c r="J91" i="31" s="1"/>
  <c r="D92" i="31" s="1"/>
  <c r="H92" i="31" s="1"/>
  <c r="J92" i="31" s="1"/>
  <c r="D93" i="31" s="1"/>
  <c r="H93" i="31" s="1"/>
  <c r="J93" i="31" s="1"/>
  <c r="H20" i="32"/>
  <c r="J20" i="32" s="1"/>
  <c r="D21" i="32" s="1"/>
  <c r="H21" i="32" s="1"/>
  <c r="J21" i="32" s="1"/>
  <c r="D37" i="32"/>
  <c r="H37" i="32" s="1"/>
  <c r="J37" i="32" s="1"/>
  <c r="D38" i="32"/>
  <c r="H38" i="32" s="1"/>
  <c r="J38" i="32" s="1"/>
  <c r="E24" i="24" l="1"/>
  <c r="E23" i="24"/>
  <c r="E22" i="24"/>
  <c r="B11" i="24"/>
  <c r="C8" i="24"/>
  <c r="C7"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E23" i="7" s="1"/>
  <c r="C38" i="7"/>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65" i="7"/>
  <c r="J27" i="25"/>
  <c r="J50" i="25"/>
  <c r="J58" i="25"/>
  <c r="J14" i="25"/>
  <c r="J34" i="25"/>
  <c r="C31" i="7"/>
  <c r="C43" i="7"/>
  <c r="C51" i="7"/>
  <c r="C60" i="7"/>
  <c r="C69" i="7"/>
  <c r="E29" i="7"/>
  <c r="D49" i="7"/>
  <c r="D58" i="7"/>
  <c r="D67" i="7"/>
  <c r="J28" i="25"/>
  <c r="J51" i="25"/>
  <c r="J59" i="25"/>
  <c r="J15" i="25"/>
  <c r="J35" i="25"/>
  <c r="O38" i="28"/>
  <c r="N38" i="28"/>
  <c r="M38" i="28"/>
  <c r="L38" i="28"/>
  <c r="K38" i="28"/>
  <c r="J38" i="28"/>
  <c r="O30" i="28"/>
  <c r="N30" i="28"/>
  <c r="M30" i="28"/>
  <c r="L30" i="28"/>
  <c r="K30" i="28"/>
  <c r="J30" i="28"/>
  <c r="I30" i="28"/>
  <c r="I38" i="28"/>
  <c r="H38" i="28"/>
  <c r="G38" i="28"/>
  <c r="F38" i="28"/>
  <c r="E38" i="28"/>
  <c r="D38" i="28"/>
  <c r="H30" i="28"/>
  <c r="G30" i="28"/>
  <c r="F30" i="28"/>
  <c r="E30" i="28"/>
  <c r="B1" i="25"/>
  <c r="L10" i="26"/>
  <c r="K10" i="26"/>
  <c r="J10" i="26"/>
  <c r="I10" i="26"/>
  <c r="H10" i="26"/>
  <c r="F10" i="26"/>
  <c r="C10" i="26"/>
  <c r="G10" i="26"/>
  <c r="L8" i="26"/>
  <c r="K8" i="26"/>
  <c r="J8" i="26"/>
  <c r="I8" i="26"/>
  <c r="H8" i="26"/>
  <c r="F8" i="26"/>
  <c r="E8" i="26"/>
  <c r="D8" i="26"/>
  <c r="C8" i="26"/>
  <c r="M7" i="26"/>
  <c r="J69" i="25" a="1"/>
  <c r="K69" i="25" s="1"/>
  <c r="E38" i="7" l="1"/>
  <c r="D13" i="28"/>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7" i="28"/>
  <c r="C7" i="20" s="1"/>
  <c r="M11" i="26"/>
  <c r="M9" i="26"/>
  <c r="G8" i="26"/>
  <c r="E10" i="26"/>
  <c r="J69" i="25"/>
  <c r="C154" i="13" l="1"/>
  <c r="D37" i="7"/>
  <c r="D41" i="7" s="1"/>
  <c r="E27" i="7"/>
  <c r="C37" i="7"/>
  <c r="C41" i="7" s="1"/>
  <c r="E57" i="7"/>
  <c r="K14" i="24"/>
  <c r="F44" i="9"/>
  <c r="K40" i="9"/>
  <c r="E36" i="7"/>
  <c r="E32" i="7"/>
  <c r="D8" i="28"/>
  <c r="D14" i="28"/>
  <c r="D66" i="7" l="1"/>
  <c r="D73" i="7" s="1"/>
  <c r="J47" i="9" s="1"/>
  <c r="K16" i="24"/>
  <c r="K17" i="24" s="1"/>
  <c r="K19" i="24" s="1"/>
  <c r="E37" i="7"/>
  <c r="E41" i="7"/>
  <c r="C66" i="7"/>
  <c r="D15" i="28"/>
  <c r="C148" i="13" s="1"/>
  <c r="J52" i="9" l="1"/>
  <c r="J54" i="9" s="1"/>
  <c r="C73" i="7"/>
  <c r="E66" i="7"/>
  <c r="C37" i="13"/>
  <c r="G13" i="12"/>
  <c r="D16" i="28"/>
  <c r="C16" i="12" l="1"/>
  <c r="C15" i="12" s="1"/>
  <c r="I47" i="9"/>
  <c r="K47" i="9" s="1"/>
  <c r="E73" i="7"/>
  <c r="J10" i="25" s="1"/>
  <c r="J31" i="25" s="1"/>
  <c r="J63" i="25" s="1"/>
  <c r="J71" i="25" s="1"/>
  <c r="I52" i="9" l="1"/>
  <c r="K52" i="9" l="1"/>
  <c r="I54" i="9"/>
  <c r="K54" i="9" s="1"/>
  <c r="K56" i="9" s="1"/>
  <c r="C17" i="13" l="1"/>
  <c r="C141" i="13" l="1"/>
  <c r="C76" i="13" l="1"/>
  <c r="C130" i="13"/>
  <c r="C131" i="13"/>
  <c r="C49" i="13"/>
  <c r="C115" i="13" l="1"/>
  <c r="C106" i="13"/>
  <c r="C120" i="13"/>
  <c r="C134" i="13"/>
  <c r="C110" i="13"/>
  <c r="C46" i="13" l="1"/>
  <c r="C91" i="13"/>
  <c r="C119" i="13"/>
  <c r="C51" i="13"/>
  <c r="C89" i="13"/>
  <c r="B19" i="7"/>
  <c r="C11" i="9"/>
  <c r="C58" i="13" l="1"/>
  <c r="C90" i="13"/>
  <c r="C67" i="13"/>
  <c r="C70" i="13"/>
  <c r="C18" i="13" l="1"/>
  <c r="C150" i="13"/>
  <c r="C27" i="12"/>
  <c r="C59" i="13"/>
  <c r="C44" i="13" s="1"/>
  <c r="C8" i="13" l="1"/>
  <c r="G14" i="12"/>
  <c r="G12" i="12" s="1"/>
  <c r="C24" i="12"/>
  <c r="C23" i="12" s="1"/>
  <c r="B3" i="15" l="1"/>
  <c r="C112" i="13" l="1"/>
  <c r="C123" i="13"/>
  <c r="E14" i="24"/>
  <c r="F14" i="24" s="1"/>
  <c r="C153" i="13" l="1"/>
  <c r="C13" i="12"/>
  <c r="C14" i="12" s="1"/>
  <c r="G32" i="12" s="1"/>
  <c r="B4" i="15" l="1"/>
  <c r="B5" i="15" s="1"/>
  <c r="G33" i="12" s="1"/>
  <c r="G34" i="12" s="1"/>
  <c r="C155" i="13"/>
  <c r="C161" i="13" s="1"/>
  <c r="E15" i="24" l="1"/>
  <c r="F15" i="24" s="1"/>
  <c r="F16" i="24" s="1"/>
  <c r="F18" i="24" s="1"/>
  <c r="F20" i="24" s="1"/>
  <c r="F25" i="24" s="1"/>
  <c r="B6" i="15"/>
  <c r="B7" i="15"/>
  <c r="B8" i="15" s="1"/>
  <c r="E17" i="24" s="1"/>
  <c r="E16" i="24" l="1"/>
  <c r="E18" i="24" s="1"/>
  <c r="B9" i="15"/>
  <c r="E20" i="24" l="1"/>
  <c r="E25" i="24" s="1"/>
  <c r="B10" i="15"/>
  <c r="C5" i="20"/>
  <c r="E27" i="24" s="1"/>
  <c r="B15" i="15" l="1"/>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<sst xmlns="http://schemas.openxmlformats.org/spreadsheetml/2006/main" count="1264" uniqueCount="656">
  <si>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</si>
  <si>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</si>
  <si>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</si>
  <si>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</si>
  <si>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</si>
  <si>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</si>
  <si>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</si>
  <si>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</si>
  <si>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</si>
  <si>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</si>
  <si>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</si>
  <si>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</si>
  <si>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</si>
  <si>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</si>
  <si>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</si>
  <si>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</si>
  <si>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</si>
  <si>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</si>
  <si>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</si>
  <si>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</si>
  <si>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</si>
  <si>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</si>
  <si>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</si>
  <si>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</si>
  <si>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</si>
  <si>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</si>
  <si>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</si>
  <si>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</si>
  <si>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</si>
  <si>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</si>
  <si>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</si>
  <si>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</si>
  <si>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</si>
  <si>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</si>
  <si>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</si>
  <si>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</si>
  <si>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</si>
  <si>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</si>
  <si>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</si>
  <si>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</si>
  <si>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</si>
  <si>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</si>
  <si>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</si>
  <si>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</si>
  <si>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</si>
  <si>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</si>
  <si>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</si>
  <si>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</si>
  <si>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</si>
  <si>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</si>
  <si>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</si>
  <si>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</si>
  <si>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</si>
  <si>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</si>
  <si>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</si>
  <si>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</si>
  <si>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</si>
  <si>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</si>
  <si>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</si>
  <si>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</si>
  <si>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</si>
  <si>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</si>
  <si>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</si>
  <si>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</si>
  <si>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</si>
  <si>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</si>
  <si>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</si>
  <si>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</si>
  <si>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</si>
  <si>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</si>
  <si>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</si>
  <si>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</si>
  <si>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</si>
  <si>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</si>
  <si>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</si>
  <si>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</si>
  <si>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</si>
  <si>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</si>
  <si>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</si>
  <si>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</si>
  <si>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</si>
  <si>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</si>
  <si>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</si>
  <si>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</si>
  <si>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</si>
  <si>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</si>
  <si>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</si>
  <si>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</si>
  <si>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</si>
  <si>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</si>
  <si>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</si>
  <si>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</si>
  <si>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</si>
  <si>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</si>
  <si>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</si>
  <si>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</si>
  <si>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</si>
  <si>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</si>
  <si>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</si>
  <si>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</si>
  <si>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</si>
  <si>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</si>
  <si>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</si>
  <si>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</si>
  <si>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</si>
  <si>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</si>
  <si>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</si>
  <si>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</si>
  <si>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</si>
  <si>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</si>
  <si>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</si>
  <si>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</si>
  <si>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</si>
  <si>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</si>
  <si>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</si>
  <si>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</si>
  <si>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</si>
  <si>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</si>
  <si>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</si>
  <si>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</si>
  <si>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</si>
  <si>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</si>
  <si>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</si>
  <si>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</si>
  <si>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</si>
  <si>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</si>
  <si>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</si>
  <si>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</si>
  <si>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</si>
  <si>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</si>
  <si>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</si>
  <si>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</si>
  <si>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</si>
  <si>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</si>
  <si>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</si>
  <si>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</si>
  <si>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</si>
  <si>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</si>
  <si>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</si>
  <si>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</si>
  <si>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</si>
  <si>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</si>
  <si>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</si>
  <si>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</si>
  <si>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</si>
  <si>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</si>
  <si>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</si>
  <si>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</si>
  <si>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</si>
  <si>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</si>
  <si>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</si>
  <si>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</si>
  <si>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</si>
  <si>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</si>
  <si>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</si>
  <si>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</si>
  <si>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</si>
  <si>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</si>
  <si>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</si>
  <si>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</si>
  <si>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</si>
  <si>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</si>
  <si>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</si>
  <si>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</si>
  <si>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</si>
  <si>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</si>
  <si>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</si>
  <si>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</si>
  <si>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</si>
  <si>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</si>
  <si>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</si>
  <si>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</si>
  <si>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</si>
  <si>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</si>
  <si>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</si>
  <si>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</si>
  <si>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</si>
  <si>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</si>
  <si>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</si>
  <si>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</si>
  <si>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</si>
  <si>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</si>
  <si>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</si>
  <si>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</si>
  <si>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</si>
  <si>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</si>
  <si>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</si>
  <si>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</si>
  <si>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</si>
  <si>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</si>
  <si>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</si>
  <si>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</si>
  <si>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</si>
  <si>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</si>
  <si>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</si>
  <si>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</si>
  <si>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</si>
  <si>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</si>
  <si>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</si>
  <si>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</si>
  <si>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</si>
  <si>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</si>
  <si>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</si>
  <si>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</si>
  <si>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</si>
  <si>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</si>
  <si>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</si>
  <si>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</si>
  <si>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</si>
  <si>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</si>
  <si>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</si>
  <si>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</si>
  <si>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</si>
  <si>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</si>
  <si>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</si>
  <si>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</si>
  <si>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</si>
  <si>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</si>
  <si>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</si>
  <si>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</si>
  <si>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</si>
  <si>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</si>
  <si>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</si>
  <si>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</si>
  <si>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</si>
  <si>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</si>
  <si>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</si>
  <si>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</si>
  <si>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</si>
  <si>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</si>
  <si>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</si>
  <si>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</si>
  <si>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</si>
  <si>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</si>
  <si>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</si>
  <si>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</si>
  <si>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</si>
  <si>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</si>
  <si>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</si>
  <si>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</si>
  <si>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</si>
  <si>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</si>
  <si>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</si>
  <si>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</si>
  <si>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</si>
  <si>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</si>
  <si>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</si>
  <si>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</si>
  <si>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</si>
  <si>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</si>
  <si>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</si>
  <si>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</si>
  <si>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</si>
  <si>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</si>
  <si>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</si>
  <si>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</si>
  <si>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</si>
  <si>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</si>
  <si>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</si>
  <si>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</si>
  <si>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</si>
  <si>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</si>
  <si>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</si>
  <si>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</si>
  <si>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</si>
  <si>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</si>
  <si>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</si>
  <si>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</si>
  <si>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</si>
  <si>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</si>
  <si>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</si>
  <si>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</si>
  <si>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</si>
  <si>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</si>
  <si>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</si>
  <si>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</si>
  <si>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</si>
  <si>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</si>
  <si>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</si>
  <si>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</si>
  <si>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</si>
  <si>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</si>
  <si>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</si>
  <si>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</si>
  <si>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</si>
  <si>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</si>
  <si>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</si>
  <si>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</si>
  <si>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</si>
  <si>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</si>
  <si>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</si>
  <si>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</si>
  <si>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</si>
  <si>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</si>
  <si>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</si>
  <si>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</si>
  <si>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</si>
  <si>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</si>
  <si>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</si>
  <si>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</si>
  <si>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</si>
  <si>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</si>
  <si>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</si>
  <si>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</si>
  <si>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</si>
  <si>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</si>
  <si>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</si>
  <si>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</si>
  <si>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</si>
  <si>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</si>
  <si>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</si>
  <si>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</si>
  <si>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</si>
  <si>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</si>
  <si>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</si>
  <si>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</si>
  <si>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</si>
  <si>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</si>
  <si>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</si>
  <si>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</si>
  <si>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</si>
  <si>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</si>
  <si>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</si>
  <si>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</si>
  <si>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</si>
  <si>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</si>
  <si>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</si>
  <si>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</si>
  <si>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</si>
  <si>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</si>
  <si>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</si>
  <si>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</si>
  <si>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</si>
  <si>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</si>
  <si>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</si>
  <si>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</si>
  <si>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</si>
  <si>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</si>
  <si>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Estado de Situación Financiera 2023</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</si>
  <si>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</si>
  <si>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</si>
  <si>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</si>
  <si>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</si>
  <si>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</si>
  <si>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</si>
  <si>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</si>
  <si>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</si>
  <si>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</si>
  <si>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</si>
  <si>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</si>
  <si>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</si>
  <si>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</si>
  <si>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</si>
  <si>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</si>
  <si>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</si>
  <si>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</si>
  <si>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</si>
  <si>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</si>
  <si>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</si>
  <si>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</si>
  <si>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</si>
  <si>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</si>
  <si>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</si>
  <si>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</si>
  <si>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</si>
  <si>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</si>
  <si>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</si>
  <si>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</si>
  <si>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</si>
  <si>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</si>
  <si>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</si>
  <si>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</si>
  <si>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</si>
  <si>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</si>
  <si>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</si>
  <si>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</si>
  <si>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</si>
  <si>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</si>
  <si>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</si>
  <si>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</si>
  <si>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</si>
  <si>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</si>
  <si>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</si>
  <si>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</si>
  <si>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</si>
  <si>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</si>
  <si>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</si>
  <si>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</si>
  <si>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</si>
  <si>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</si>
  <si>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</si>
  <si>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</si>
  <si>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</si>
  <si>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</si>
  <si>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</si>
  <si>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</si>
  <si>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</si>
  <si>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</si>
  <si>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</si>
  <si>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</si>
  <si>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</si>
  <si>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</si>
  <si>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</si>
  <si>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</si>
  <si>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</si>
  <si>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</si>
  <si>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</si>
  <si>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</si>
  <si>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</si>
  <si>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</si>
  <si>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</si>
  <si>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</si>
  <si>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</si>
  <si>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</si>
  <si>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</si>
  <si>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</si>
  <si>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</si>
  <si>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</si>
  <si>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</si>
  <si>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</si>
  <si>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</si>
  <si>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</si>
  <si>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</si>
  <si>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</si>
  <si>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</si>
  <si>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</si>
  <si>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</si>
  <si>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</si>
  <si>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</si>
  <si>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</si>
  <si>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</si>
  <si>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</si>
  <si>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</si>
  <si>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</si>
  <si>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</si>
  <si>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</si>
  <si>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</si>
  <si>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</si>
  <si>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</si>
  <si>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</si>
  <si>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</si>
  <si>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</si>
  <si>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</si>
  <si>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</si>
  <si>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</si>
  <si>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</si>
  <si>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</si>
  <si>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</si>
  <si>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</si>
  <si>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</si>
  <si>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</si>
  <si>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</si>
  <si>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</si>
  <si>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</si>
  <si>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</si>
  <si>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</si>
  <si>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</si>
  <si>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</si>
  <si>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</si>
  <si>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</si>
  <si>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</si>
  <si>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</si>
  <si>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</si>
  <si>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</si>
  <si>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</si>
  <si>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</si>
  <si>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</si>
  <si>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</si>
  <si>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</si>
  <si>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</si>
  <si>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</si>
  <si>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</si>
  <si>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</si>
  <si>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</si>
  <si>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</si>
  <si>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</si>
  <si>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</si>
  <si>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</si>
  <si>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</si>
  <si>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</si>
  <si>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</si>
  <si>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</si>
  <si>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</si>
  <si>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</si>
  <si>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</si>
  <si>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</si>
  <si>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</si>
  <si>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</si>
  <si>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</si>
  <si>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</si>
  <si>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</si>
  <si>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</si>
  <si>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</si>
  <si>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</si>
  <si>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</si>
  <si>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</si>
  <si>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</si>
  <si>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</si>
  <si>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</si>
  <si>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</si>
  <si>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</si>
  <si>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</si>
  <si>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</si>
  <si>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</si>
  <si>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</si>
  <si>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</si>
  <si>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</si>
  <si>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</si>
  <si>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</si>
  <si>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</si>
  <si>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</si>
  <si>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</si>
  <si>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</si>
  <si>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</si>
  <si>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</si>
  <si>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</si>
  <si>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</si>
  <si>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</si>
  <si>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</si>
  <si>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</si>
  <si>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</si>
  <si>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</si>
  <si>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</si>
  <si>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</si>
  <si>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</si>
  <si>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</si>
  <si>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</si>
  <si>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</si>
  <si>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</si>
  <si>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</si>
  <si>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</si>
  <si>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</si>
  <si>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</si>
  <si>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</si>
  <si>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</si>
  <si>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</si>
  <si>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</si>
  <si>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</si>
  <si>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</si>
  <si>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</si>
  <si>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</si>
  <si>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</si>
  <si>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</si>
  <si>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</si>
  <si>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</si>
  <si>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</si>
  <si>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</si>
  <si>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</si>
  <si>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</si>
  <si>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Clientes nacionales</t>
  </si>
  <si>
    <t>IVA a favor</t>
  </si>
  <si>
    <t>IVA acreditable pagado</t>
  </si>
  <si>
    <t>IVA pendiente de pago</t>
  </si>
  <si>
    <t>Proveedores nacionales</t>
  </si>
  <si>
    <t>Provisión de sueldos y salarios por pagar</t>
  </si>
  <si>
    <t>Retenciones de IMSS a los trabajadores</t>
  </si>
  <si>
    <t>Gastos no deducibles (sin requisitos fiscales)</t>
  </si>
  <si>
    <t>Otros gastos de administración</t>
  </si>
  <si>
    <t>Comisiones bancarias</t>
  </si>
  <si>
    <t>113-01</t>
  </si>
  <si>
    <t>118-01</t>
  </si>
  <si>
    <t>119-01</t>
  </si>
  <si>
    <t>210-01</t>
  </si>
  <si>
    <t>216-11</t>
  </si>
  <si>
    <t>603-81</t>
  </si>
  <si>
    <t>603-82</t>
  </si>
  <si>
    <t>701-10</t>
  </si>
  <si>
    <t>Coeficiente 2023</t>
  </si>
  <si>
    <t>ISR A PAGAR</t>
  </si>
  <si>
    <t>SALDO A FAVOR DE ISR</t>
  </si>
  <si>
    <t>COEF x Ingresos</t>
  </si>
  <si>
    <t>Ingresos a Junio</t>
  </si>
  <si>
    <t>101-01</t>
  </si>
  <si>
    <t>210-02</t>
  </si>
  <si>
    <t>210-03</t>
  </si>
  <si>
    <t>210-08</t>
  </si>
  <si>
    <t>211-01</t>
  </si>
  <si>
    <t>211-02</t>
  </si>
  <si>
    <t>211-03</t>
  </si>
  <si>
    <t>212-01</t>
  </si>
  <si>
    <t>216-01</t>
  </si>
  <si>
    <t>603-01</t>
  </si>
  <si>
    <t>603-01-01</t>
  </si>
  <si>
    <t>603-06</t>
  </si>
  <si>
    <t>603-07</t>
  </si>
  <si>
    <t>603-11</t>
  </si>
  <si>
    <t>603-12</t>
  </si>
  <si>
    <t>603-13</t>
  </si>
  <si>
    <t>603-26</t>
  </si>
  <si>
    <t>603-27</t>
  </si>
  <si>
    <t>603-28</t>
  </si>
  <si>
    <t>603-29</t>
  </si>
  <si>
    <t>603-38</t>
  </si>
  <si>
    <t>603-59</t>
  </si>
  <si>
    <t>Caja y efectivo</t>
  </si>
  <si>
    <t>Provisión de vacaciones por pagar</t>
  </si>
  <si>
    <t>Provisión de aguinaldo por pagar</t>
  </si>
  <si>
    <t>Provisión de IMSS patronal por pagar</t>
  </si>
  <si>
    <t>Provisión de SAR por pagar</t>
  </si>
  <si>
    <t>Provisión de infonavit por pagar</t>
  </si>
  <si>
    <t>Provisión de impuesto estatal sobre nómina por pagar</t>
  </si>
  <si>
    <t>Impuestos retenidos de ISR por sueldos y salarios</t>
  </si>
  <si>
    <t>Primas de antigüedad</t>
  </si>
  <si>
    <t>Indemnizaciones</t>
  </si>
  <si>
    <t>Cuotas al IMSS</t>
  </si>
  <si>
    <t>Aportaciones al infonavit</t>
  </si>
  <si>
    <t>Aportaciones al SAR</t>
  </si>
  <si>
    <t>Impuesto estatal sobre nóminas</t>
  </si>
  <si>
    <t>Honorarios a personas morales residentes nacionales</t>
  </si>
  <si>
    <t>Recargos fiscales</t>
  </si>
  <si>
    <t>102-01-001</t>
  </si>
  <si>
    <t>BBVA</t>
  </si>
  <si>
    <t>105-01-001</t>
  </si>
  <si>
    <t>156-01</t>
  </si>
  <si>
    <t>Equipo de cómputo</t>
  </si>
  <si>
    <t>171-05</t>
  </si>
  <si>
    <t>Depreciación acumulada de equipo de cómputo</t>
  </si>
  <si>
    <t>201-01-001</t>
  </si>
  <si>
    <t>210-01-01</t>
  </si>
  <si>
    <t>Bonos</t>
  </si>
  <si>
    <t>Provisión de prima vacacional por pagar</t>
  </si>
  <si>
    <t>301-01-01</t>
  </si>
  <si>
    <t>Zapp Inc</t>
  </si>
  <si>
    <t>301-01-02</t>
  </si>
  <si>
    <t>Daniela de Lascurain Obregón</t>
  </si>
  <si>
    <t>304-02-01</t>
  </si>
  <si>
    <t>Perdida del ejercicio 2023</t>
  </si>
  <si>
    <t>401-04</t>
  </si>
  <si>
    <t>Ventas y/o servicios gravados al 0%</t>
  </si>
  <si>
    <t>403-01</t>
  </si>
  <si>
    <t>Otros Ingresos</t>
  </si>
  <si>
    <t>603-09</t>
  </si>
  <si>
    <t>Días festivos</t>
  </si>
  <si>
    <t>613-05</t>
  </si>
  <si>
    <t>Depreciación de equipo de cómputo</t>
  </si>
  <si>
    <t>R</t>
  </si>
  <si>
    <t xml:space="preserve">CADALA S.A DE C.V </t>
  </si>
  <si>
    <t>CAD171027AW7</t>
  </si>
  <si>
    <t xml:space="preserve">Proyección a Diciembre </t>
  </si>
  <si>
    <t>Fecha Corte: 31 de Diciembre del 2024</t>
  </si>
  <si>
    <t>102-01-002</t>
  </si>
  <si>
    <t>STP</t>
  </si>
  <si>
    <t>Cálculo Fiscal - Ejercicio 2024</t>
  </si>
  <si>
    <t xml:space="preserve">Nomina Excenta </t>
  </si>
  <si>
    <t xml:space="preserve">Nomina Gravada </t>
  </si>
  <si>
    <t xml:space="preserve">Cadala </t>
  </si>
  <si>
    <t xml:space="preserve">ND </t>
  </si>
  <si>
    <t>Ded</t>
  </si>
  <si>
    <t xml:space="preserve">Porcentaje 47% no deducible </t>
  </si>
  <si>
    <t xml:space="preserve">Diferencia Vacaciones </t>
  </si>
  <si>
    <t xml:space="preserve">Diferencia Aguinaldo </t>
  </si>
  <si>
    <t xml:space="preserve">Diferencia Prima Vacacional </t>
  </si>
  <si>
    <t xml:space="preserve">No deducible </t>
  </si>
  <si>
    <t xml:space="preserve">Concepto </t>
  </si>
  <si>
    <t xml:space="preserve">Deducible </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</si>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</sst>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8" formatCode="&quot;$&quot;#,##0.00;[Red]\-&quot;$&quot;#,##0.00"/>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42">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
      <b/>
      <sz val="11"/>
      <color rgb="FFFF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medium">
        <color indexed="64"/>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0" fontId="40" fillId="0" borderId="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0" fillId="0" borderId="0"/>
    <xf numFmtId="44" fontId="40" fillId="0" borderId="0" applyFont="0" applyFill="0" applyBorder="0" applyAlignment="0" applyProtection="0"/>
    <xf numFmtId="43" fontId="40" fillId="0" borderId="0" applyFont="0" applyFill="0" applyBorder="0" applyAlignment="0" applyProtection="0"/>
    <xf numFmtId="44" fontId="2"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3"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300">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3" fontId="14" fillId="0" borderId="0" xfId="0" applyNumberFormat="1" applyFont="1" applyAlignment="1">
      <alignment horizontal="left" vertic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165" fontId="15" fillId="9" borderId="0" xfId="2" applyFont="1" applyFill="1" applyAlignment="1">
      <alignment wrapText="1"/>
    </xf>
    <xf numFmtId="165" fontId="12" fillId="0" borderId="0" xfId="2" applyFont="1" applyAlignment="1">
      <alignment horizontal="left" vertical="center"/>
    </xf>
    <xf numFmtId="165" fontId="22" fillId="0" borderId="0" xfId="2" applyFont="1" applyAlignment="1">
      <alignment horizontal="right" vertical="center"/>
    </xf>
    <xf numFmtId="0" fontId="0" fillId="0" borderId="0" xfId="0" applyAlignment="1">
      <alignment horizontal="center"/>
    </xf>
    <xf numFmtId="3" fontId="0" fillId="0" borderId="0" xfId="0" applyNumberFormat="1"/>
    <xf numFmtId="166" fontId="16" fillId="9" borderId="0" xfId="1" applyFont="1" applyFill="1" applyBorder="1"/>
    <xf numFmtId="44" fontId="12" fillId="0" borderId="0" xfId="4" applyNumberFormat="1" applyFont="1"/>
    <xf numFmtId="4" fontId="12" fillId="0" borderId="0" xfId="4" applyNumberFormat="1" applyFont="1"/>
    <xf numFmtId="0" fontId="39" fillId="0" borderId="9" xfId="0" applyFont="1" applyBorder="1" applyAlignment="1">
      <alignment horizontal="center" vertical="center"/>
    </xf>
    <xf numFmtId="0" fontId="0" fillId="0" borderId="9" xfId="0" applyBorder="1" applyAlignment="1">
      <alignment horizontal="center"/>
    </xf>
    <xf numFmtId="165" fontId="0" fillId="0" borderId="9" xfId="2" applyFont="1" applyBorder="1"/>
    <xf numFmtId="8" fontId="0" fillId="0" borderId="9" xfId="0" applyNumberFormat="1" applyBorder="1"/>
    <xf numFmtId="44" fontId="0" fillId="0" borderId="9" xfId="0" applyNumberFormat="1" applyBorder="1"/>
    <xf numFmtId="0" fontId="41" fillId="0" borderId="9" xfId="0" applyFont="1" applyBorder="1" applyAlignment="1">
      <alignment horizontal="center"/>
    </xf>
    <xf numFmtId="165" fontId="41" fillId="0" borderId="9" xfId="0" applyNumberFormat="1" applyFont="1" applyBorder="1"/>
    <xf numFmtId="44" fontId="41" fillId="0" borderId="9" xfId="0" applyNumberFormat="1" applyFont="1" applyBorder="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49" fontId="14" fillId="3" borderId="0" xfId="0" applyNumberFormat="1" applyFont="1" applyFill="1" applyAlignment="1">
      <alignment horizontal="center" vertical="center"/>
    </xf>
    <xf numFmtId="165" fontId="12" fillId="0" borderId="8" xfId="2" applyFont="1" applyBorder="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49" fontId="14" fillId="3" borderId="8" xfId="0" applyNumberFormat="1" applyFont="1" applyFill="1" applyBorder="1" applyAlignment="1">
      <alignment horizontal="center" vertical="center"/>
    </xf>
    <xf numFmtId="3" fontId="22" fillId="0" borderId="0" xfId="0" applyNumberFormat="1" applyFont="1" applyAlignment="1">
      <alignment horizontal="left" vertical="center" wrapText="1"/>
    </xf>
    <xf numFmtId="0" fontId="32" fillId="7" borderId="0" xfId="12" applyFont="1" applyFill="1" applyAlignment="1">
      <alignment horizontal="center"/>
    </xf>
    <xf numFmtId="0" fontId="32" fillId="7" borderId="0" xfId="4" applyFont="1" applyFill="1" applyAlignment="1">
      <alignment horizontal="center"/>
    </xf>
    <xf numFmtId="0" fontId="32" fillId="0" borderId="0" xfId="4" applyFont="1" applyAlignment="1">
      <alignment horizontal="center"/>
    </xf>
    <xf numFmtId="17" fontId="32" fillId="4" borderId="8" xfId="4" applyNumberFormat="1" applyFont="1" applyFill="1" applyBorder="1" applyAlignment="1">
      <alignment horizontal="center" vertical="center" wrapText="1"/>
    </xf>
    <xf numFmtId="0" fontId="32" fillId="4" borderId="8" xfId="4"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4" borderId="8" xfId="4" applyFont="1" applyFill="1" applyBorder="1" applyAlignment="1">
      <alignment horizontal="center" wrapText="1"/>
    </xf>
    <xf numFmtId="0" fontId="32" fillId="4" borderId="8" xfId="4" applyFont="1" applyFill="1" applyBorder="1" applyAlignment="1">
      <alignment horizontal="center" vertic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0" fontId="0" fillId="0" borderId="0" xfId="0" applyAlignment="1">
      <alignment horizontal="center"/>
    </xf>
    <xf numFmtId="44" fontId="0" fillId="0" borderId="0" xfId="0" applyNumberFormat="1" applyAlignment="1">
      <alignment horizontal="center" vertical="center"/>
    </xf>
    <xf numFmtId="0" fontId="0" fillId="0" borderId="0" xfId="0" applyAlignment="1">
      <alignment horizontal="center" vertical="center"/>
    </xf>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31</xdr:col>
      <xdr:colOff>504606</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diputados.gob.mx/LeyesBiblio/pdf/LISR.pdf"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tabSelected="1" workbookViewId="0"/>
  </sheetViews>
  <sheetFormatPr baseColWidth="10" defaultColWidth="11" defaultRowHeight="15"/>
  <cols>
    <col min="1" max="10" width="11" style="1"/>
  </cols>
  <sheetData>
    <row r="12" spans="2:8" ht="27.75">
      <c r="B12" s="266" t="s">
        <v>636</v>
      </c>
      <c r="C12" s="266"/>
      <c r="D12" s="266"/>
      <c r="E12" s="266"/>
      <c r="F12" s="266"/>
      <c r="G12" s="266"/>
      <c r="H12" s="266"/>
    </row>
    <row r="13" spans="2:8" ht="27">
      <c r="B13" s="267" t="s">
        <v>642</v>
      </c>
      <c r="C13" s="267"/>
      <c r="D13" s="267"/>
      <c r="E13" s="267"/>
      <c r="F13" s="267"/>
      <c r="G13" s="267"/>
      <c r="H13" s="267"/>
    </row>
    <row r="14" spans="2:8" ht="27">
      <c r="B14" s="267" t="s">
        <v>637</v>
      </c>
      <c r="C14" s="267"/>
      <c r="D14" s="267"/>
      <c r="E14" s="267"/>
      <c r="F14" s="267"/>
      <c r="G14" s="267"/>
      <c r="H14" s="267"/>
    </row>
    <row r="15" spans="2:8" ht="15.75">
      <c r="B15" s="268" t="s">
        <v>639</v>
      </c>
      <c r="C15" s="268"/>
      <c r="D15" s="268" t="s">
        <v>368</v>
      </c>
      <c r="E15" s="268"/>
      <c r="F15" s="268"/>
      <c r="G15" s="268"/>
      <c r="H15" s="268"/>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1048574"/>
  <sheetViews>
    <sheetView workbookViewId="0">
      <selection activeCell="E9" sqref="E9"/>
    </sheetView>
  </sheetViews>
  <sheetFormatPr baseColWidth="10" defaultColWidth="11" defaultRowHeight="12.75"/>
  <cols>
    <col min="1" max="1" width="3" style="2" customWidth="1"/>
    <col min="2" max="2" width="29.85546875" style="2" customWidth="1"/>
    <col min="3" max="3" width="8.5703125" style="6" customWidth="1"/>
    <col min="4" max="4" width="13.7109375" style="6" customWidth="1"/>
    <col min="5" max="5" width="27.5703125" style="6" customWidth="1"/>
    <col min="6" max="6" width="22.42578125" style="6" customWidth="1"/>
    <col min="7" max="7" width="38.7109375" style="2" customWidth="1"/>
    <col min="8" max="8" width="18.140625" style="4" bestFit="1" customWidth="1"/>
    <col min="9" max="10" width="14.85546875" style="4" bestFit="1" customWidth="1"/>
    <col min="11" max="11" width="17.140625" style="4" bestFit="1" customWidth="1"/>
    <col min="12" max="12" width="17.85546875" style="5" bestFit="1" customWidth="1"/>
    <col min="13" max="13" width="14.140625" style="2" bestFit="1" customWidth="1"/>
    <col min="14" max="14" width="12.28515625" style="2" bestFit="1" customWidth="1"/>
    <col min="15" max="15" width="17.42578125" style="2" bestFit="1" customWidth="1"/>
    <col min="16"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195</v>
      </c>
      <c r="F2" s="2"/>
      <c r="I2" s="3" t="s">
        <v>450</v>
      </c>
    </row>
    <row r="3" spans="2:12">
      <c r="B3" s="3" t="s">
        <v>249</v>
      </c>
      <c r="F3" s="2"/>
      <c r="I3" s="3"/>
    </row>
    <row r="4" spans="2:12">
      <c r="B4" s="3" t="s">
        <v>244</v>
      </c>
      <c r="F4" s="2"/>
    </row>
    <row r="5" spans="2:12">
      <c r="B5" s="3" t="s">
        <v>251</v>
      </c>
      <c r="F5" s="2"/>
    </row>
    <row r="6" spans="2:12">
      <c r="B6" s="3" t="s">
        <v>537</v>
      </c>
      <c r="F6" s="2"/>
    </row>
    <row r="7" spans="2:12">
      <c r="B7" s="3" t="s">
        <v>250</v>
      </c>
      <c r="F7" s="2"/>
    </row>
    <row r="8" spans="2:12">
      <c r="B8" s="7" t="s">
        <v>538</v>
      </c>
      <c r="F8" s="2"/>
    </row>
    <row r="9" spans="2:12">
      <c r="B9" s="7" t="s">
        <v>365</v>
      </c>
      <c r="F9" s="2"/>
    </row>
    <row r="10" spans="2:12">
      <c r="B10" s="7" t="s">
        <v>252</v>
      </c>
      <c r="F10" s="2"/>
    </row>
    <row r="11" spans="2:12">
      <c r="B11" s="7" t="s">
        <v>253</v>
      </c>
      <c r="F11" s="2"/>
    </row>
    <row r="12" spans="2:12">
      <c r="B12" s="7" t="s">
        <v>536</v>
      </c>
      <c r="F12" s="2"/>
    </row>
    <row r="13" spans="2:12">
      <c r="F13" s="2"/>
    </row>
    <row r="14" spans="2:12">
      <c r="B14" s="3"/>
      <c r="F14" s="2"/>
    </row>
    <row r="15" spans="2:12">
      <c r="B15" s="7"/>
      <c r="F15" s="2"/>
    </row>
    <row r="16" spans="2:12" ht="16.5" customHeight="1">
      <c r="B16" s="269" t="str">
        <f>Portada!B12</f>
        <v xml:space="preserve">CADALA S.A DE C.V </v>
      </c>
      <c r="C16" s="269"/>
      <c r="D16" s="269"/>
      <c r="E16" s="269"/>
      <c r="F16" s="269"/>
      <c r="G16" s="269"/>
      <c r="H16" s="269"/>
      <c r="I16" s="269"/>
      <c r="J16" s="269"/>
      <c r="K16" s="269"/>
      <c r="L16" s="269"/>
    </row>
    <row r="17" spans="2:12" ht="16.5" customHeight="1">
      <c r="B17" s="8"/>
      <c r="C17" s="8"/>
      <c r="D17" s="8"/>
      <c r="E17" s="8"/>
      <c r="F17" s="8"/>
      <c r="G17" s="8"/>
      <c r="H17" s="8"/>
      <c r="I17" s="8"/>
      <c r="J17" s="8"/>
      <c r="K17" s="8"/>
    </row>
    <row r="18" spans="2:12" s="6" customFormat="1">
      <c r="B18" s="9" t="s">
        <v>248</v>
      </c>
      <c r="C18" s="9" t="s">
        <v>9</v>
      </c>
      <c r="D18" s="9" t="s">
        <v>176</v>
      </c>
      <c r="E18" s="9" t="s">
        <v>517</v>
      </c>
      <c r="F18" s="9" t="s">
        <v>2</v>
      </c>
      <c r="G18" s="9" t="s">
        <v>10</v>
      </c>
      <c r="H18" s="10" t="s">
        <v>245</v>
      </c>
      <c r="I18" s="10" t="s">
        <v>3</v>
      </c>
      <c r="J18" s="10" t="s">
        <v>4</v>
      </c>
      <c r="K18" s="10" t="s">
        <v>246</v>
      </c>
      <c r="L18" s="10" t="s">
        <v>247</v>
      </c>
    </row>
    <row r="19" spans="2:12">
      <c r="B19" s="14" t="s">
        <v>254</v>
      </c>
      <c r="C19" s="16" t="s">
        <v>546</v>
      </c>
      <c r="D19" s="16" t="s">
        <v>451</v>
      </c>
      <c r="E19" s="16"/>
      <c r="F19" s="11" t="s">
        <v>572</v>
      </c>
      <c r="G19" s="14" t="s">
        <v>594</v>
      </c>
      <c r="H19" s="15">
        <v>10000</v>
      </c>
      <c r="I19" s="15">
        <v>0</v>
      </c>
      <c r="J19" s="15">
        <v>0</v>
      </c>
      <c r="K19" s="15">
        <v>10000</v>
      </c>
      <c r="L19" s="12">
        <f t="shared" ref="L19:L82" si="0">+K19-H19</f>
        <v>0</v>
      </c>
    </row>
    <row r="20" spans="2:12">
      <c r="B20" s="14" t="s">
        <v>254</v>
      </c>
      <c r="C20" s="16" t="s">
        <v>546</v>
      </c>
      <c r="D20" s="16" t="s">
        <v>451</v>
      </c>
      <c r="E20" s="16"/>
      <c r="F20" s="11" t="s">
        <v>610</v>
      </c>
      <c r="G20" s="14" t="s">
        <v>611</v>
      </c>
      <c r="H20" s="15">
        <v>25020.29</v>
      </c>
      <c r="I20" s="15">
        <v>9300000.4900000002</v>
      </c>
      <c r="J20" s="15">
        <v>9222820.8200000003</v>
      </c>
      <c r="K20" s="15">
        <v>102199.96</v>
      </c>
      <c r="L20" s="12">
        <f t="shared" si="0"/>
        <v>77179.670000000013</v>
      </c>
    </row>
    <row r="21" spans="2:12">
      <c r="B21" s="14" t="s">
        <v>254</v>
      </c>
      <c r="C21" s="16" t="s">
        <v>546</v>
      </c>
      <c r="D21" s="16" t="s">
        <v>451</v>
      </c>
      <c r="E21" s="16"/>
      <c r="F21" s="11" t="s">
        <v>640</v>
      </c>
      <c r="G21" s="14" t="s">
        <v>641</v>
      </c>
      <c r="H21" s="15">
        <v>0</v>
      </c>
      <c r="I21" s="15">
        <v>1077637.3899999999</v>
      </c>
      <c r="J21" s="15">
        <v>1077637.3899999999</v>
      </c>
      <c r="K21" s="15">
        <v>0</v>
      </c>
      <c r="L21" s="12">
        <f t="shared" si="0"/>
        <v>0</v>
      </c>
    </row>
    <row r="22" spans="2:12">
      <c r="B22" s="14" t="s">
        <v>7</v>
      </c>
      <c r="C22" s="16" t="s">
        <v>546</v>
      </c>
      <c r="D22" s="16" t="s">
        <v>451</v>
      </c>
      <c r="E22" s="16"/>
      <c r="F22" s="11" t="s">
        <v>612</v>
      </c>
      <c r="G22" s="14" t="s">
        <v>549</v>
      </c>
      <c r="H22" s="15">
        <v>0</v>
      </c>
      <c r="I22" s="15">
        <v>9300000</v>
      </c>
      <c r="J22" s="15">
        <v>9300000</v>
      </c>
      <c r="K22" s="15">
        <v>0</v>
      </c>
      <c r="L22" s="12">
        <f t="shared" si="0"/>
        <v>0</v>
      </c>
    </row>
    <row r="23" spans="2:12">
      <c r="B23" s="14" t="s">
        <v>258</v>
      </c>
      <c r="C23" s="16" t="s">
        <v>546</v>
      </c>
      <c r="D23" s="16" t="s">
        <v>451</v>
      </c>
      <c r="E23" s="16"/>
      <c r="F23" s="11" t="s">
        <v>559</v>
      </c>
      <c r="G23" s="14" t="s">
        <v>550</v>
      </c>
      <c r="H23" s="15">
        <v>22835.54</v>
      </c>
      <c r="I23" s="15">
        <v>40088.160000000003</v>
      </c>
      <c r="J23" s="15">
        <v>0</v>
      </c>
      <c r="K23" s="15">
        <v>62923.7</v>
      </c>
      <c r="L23" s="12">
        <f t="shared" si="0"/>
        <v>40088.159999999996</v>
      </c>
    </row>
    <row r="24" spans="2:12">
      <c r="B24" s="14" t="s">
        <v>258</v>
      </c>
      <c r="C24" s="16" t="s">
        <v>546</v>
      </c>
      <c r="D24" s="16" t="s">
        <v>451</v>
      </c>
      <c r="E24" s="16"/>
      <c r="F24" s="11" t="s">
        <v>560</v>
      </c>
      <c r="G24" s="14" t="s">
        <v>551</v>
      </c>
      <c r="H24" s="15">
        <v>0</v>
      </c>
      <c r="I24" s="15">
        <v>40088.160000000003</v>
      </c>
      <c r="J24" s="15">
        <v>40088.160000000003</v>
      </c>
      <c r="K24" s="15">
        <v>0</v>
      </c>
      <c r="L24" s="12">
        <f t="shared" si="0"/>
        <v>0</v>
      </c>
    </row>
    <row r="25" spans="2:12">
      <c r="B25" s="14" t="s">
        <v>258</v>
      </c>
      <c r="C25" s="16" t="s">
        <v>546</v>
      </c>
      <c r="D25" s="16" t="s">
        <v>451</v>
      </c>
      <c r="E25" s="16"/>
      <c r="F25" s="11" t="s">
        <v>561</v>
      </c>
      <c r="G25" s="14" t="s">
        <v>552</v>
      </c>
      <c r="H25" s="15">
        <v>0</v>
      </c>
      <c r="I25" s="15">
        <v>40240.68</v>
      </c>
      <c r="J25" s="15">
        <v>40088.160000000003</v>
      </c>
      <c r="K25" s="15">
        <v>152.52000000000001</v>
      </c>
      <c r="L25" s="12">
        <f t="shared" si="0"/>
        <v>152.52000000000001</v>
      </c>
    </row>
    <row r="26" spans="2:12">
      <c r="B26" s="14" t="s">
        <v>260</v>
      </c>
      <c r="C26" s="16" t="s">
        <v>546</v>
      </c>
      <c r="D26" s="16" t="s">
        <v>451</v>
      </c>
      <c r="E26" s="16"/>
      <c r="F26" s="11" t="s">
        <v>613</v>
      </c>
      <c r="G26" s="14" t="s">
        <v>614</v>
      </c>
      <c r="H26" s="15">
        <v>83134.509999999995</v>
      </c>
      <c r="I26" s="15">
        <v>82493.95</v>
      </c>
      <c r="J26" s="15">
        <v>1293.0999999999999</v>
      </c>
      <c r="K26" s="15">
        <v>164335.35999999999</v>
      </c>
      <c r="L26" s="12">
        <f t="shared" si="0"/>
        <v>81200.849999999991</v>
      </c>
    </row>
    <row r="27" spans="2:12">
      <c r="B27" s="14" t="s">
        <v>364</v>
      </c>
      <c r="C27" s="16" t="s">
        <v>546</v>
      </c>
      <c r="D27" s="16" t="s">
        <v>451</v>
      </c>
      <c r="E27" s="16"/>
      <c r="F27" s="11" t="s">
        <v>615</v>
      </c>
      <c r="G27" s="14" t="s">
        <v>616</v>
      </c>
      <c r="H27" s="15">
        <v>1518</v>
      </c>
      <c r="I27" s="15">
        <v>0</v>
      </c>
      <c r="J27" s="15">
        <v>33444.81</v>
      </c>
      <c r="K27" s="15">
        <v>34962.81</v>
      </c>
      <c r="L27" s="12">
        <f t="shared" si="0"/>
        <v>33444.81</v>
      </c>
    </row>
    <row r="28" spans="2:12">
      <c r="B28" s="14" t="s">
        <v>202</v>
      </c>
      <c r="C28" s="16" t="s">
        <v>546</v>
      </c>
      <c r="D28" s="16" t="s">
        <v>451</v>
      </c>
      <c r="E28" s="16"/>
      <c r="F28" s="11" t="s">
        <v>617</v>
      </c>
      <c r="G28" s="14" t="s">
        <v>553</v>
      </c>
      <c r="H28" s="17">
        <v>0</v>
      </c>
      <c r="I28" s="15">
        <v>291745.19</v>
      </c>
      <c r="J28" s="17">
        <v>291745.19</v>
      </c>
      <c r="K28" s="17">
        <v>0</v>
      </c>
      <c r="L28" s="12">
        <f t="shared" si="0"/>
        <v>0</v>
      </c>
    </row>
    <row r="29" spans="2:12">
      <c r="B29" s="14" t="s">
        <v>271</v>
      </c>
      <c r="C29" s="16" t="s">
        <v>546</v>
      </c>
      <c r="D29" s="16" t="s">
        <v>451</v>
      </c>
      <c r="E29" s="16"/>
      <c r="F29" s="11" t="s">
        <v>562</v>
      </c>
      <c r="G29" s="14" t="s">
        <v>554</v>
      </c>
      <c r="H29" s="17">
        <v>0</v>
      </c>
      <c r="I29" s="15">
        <v>5845311.9900000002</v>
      </c>
      <c r="J29" s="17">
        <v>5845311.9800000004</v>
      </c>
      <c r="K29" s="17">
        <v>-0.01</v>
      </c>
      <c r="L29" s="12">
        <f t="shared" si="0"/>
        <v>-0.01</v>
      </c>
    </row>
    <row r="30" spans="2:12">
      <c r="B30" s="14" t="s">
        <v>271</v>
      </c>
      <c r="C30" s="16" t="s">
        <v>546</v>
      </c>
      <c r="D30" s="16" t="s">
        <v>451</v>
      </c>
      <c r="E30" s="16"/>
      <c r="F30" s="11" t="s">
        <v>618</v>
      </c>
      <c r="G30" s="14" t="s">
        <v>619</v>
      </c>
      <c r="H30" s="15">
        <v>0</v>
      </c>
      <c r="I30" s="15">
        <v>37838.449999999997</v>
      </c>
      <c r="J30" s="15">
        <v>37838.449999999997</v>
      </c>
      <c r="K30" s="15">
        <v>0</v>
      </c>
      <c r="L30" s="12">
        <f t="shared" si="0"/>
        <v>0</v>
      </c>
    </row>
    <row r="31" spans="2:12">
      <c r="B31" s="14" t="s">
        <v>271</v>
      </c>
      <c r="C31" s="16" t="s">
        <v>546</v>
      </c>
      <c r="D31" s="16" t="s">
        <v>451</v>
      </c>
      <c r="E31" s="16"/>
      <c r="F31" s="11" t="s">
        <v>573</v>
      </c>
      <c r="G31" s="14" t="s">
        <v>595</v>
      </c>
      <c r="H31" s="15">
        <v>15985.43</v>
      </c>
      <c r="I31" s="15">
        <v>48670.59</v>
      </c>
      <c r="J31" s="15">
        <v>224005.01</v>
      </c>
      <c r="K31" s="15">
        <v>191319.85</v>
      </c>
      <c r="L31" s="12">
        <f t="shared" si="0"/>
        <v>175334.42</v>
      </c>
    </row>
    <row r="32" spans="2:12">
      <c r="B32" s="14" t="s">
        <v>271</v>
      </c>
      <c r="C32" s="16" t="s">
        <v>546</v>
      </c>
      <c r="D32" s="16" t="s">
        <v>451</v>
      </c>
      <c r="E32" s="16"/>
      <c r="F32" s="11" t="s">
        <v>574</v>
      </c>
      <c r="G32" s="14" t="s">
        <v>596</v>
      </c>
      <c r="H32" s="15">
        <v>0</v>
      </c>
      <c r="I32" s="15">
        <v>519220.45</v>
      </c>
      <c r="J32" s="15">
        <v>557256.71</v>
      </c>
      <c r="K32" s="15">
        <v>38036.26</v>
      </c>
      <c r="L32" s="12">
        <f t="shared" si="0"/>
        <v>38036.26</v>
      </c>
    </row>
    <row r="33" spans="2:15">
      <c r="B33" s="14" t="s">
        <v>271</v>
      </c>
      <c r="C33" s="16" t="s">
        <v>546</v>
      </c>
      <c r="D33" s="16" t="s">
        <v>451</v>
      </c>
      <c r="E33" s="16"/>
      <c r="F33" s="11" t="s">
        <v>575</v>
      </c>
      <c r="G33" s="14" t="s">
        <v>620</v>
      </c>
      <c r="H33" s="15">
        <v>3996.36</v>
      </c>
      <c r="I33" s="15">
        <v>51866.63</v>
      </c>
      <c r="J33" s="15">
        <v>56001.47</v>
      </c>
      <c r="K33" s="15">
        <v>8131.2</v>
      </c>
      <c r="L33" s="12">
        <f t="shared" si="0"/>
        <v>4134.84</v>
      </c>
    </row>
    <row r="34" spans="2:15">
      <c r="B34" s="14" t="s">
        <v>271</v>
      </c>
      <c r="C34" s="16" t="s">
        <v>546</v>
      </c>
      <c r="D34" s="16" t="s">
        <v>451</v>
      </c>
      <c r="E34" s="16"/>
      <c r="F34" s="11" t="s">
        <v>576</v>
      </c>
      <c r="G34" s="14" t="s">
        <v>597</v>
      </c>
      <c r="H34" s="15">
        <v>21882.73</v>
      </c>
      <c r="I34" s="15">
        <v>408385.51</v>
      </c>
      <c r="J34" s="15">
        <v>427427.99</v>
      </c>
      <c r="K34" s="15">
        <v>40925.21</v>
      </c>
      <c r="L34" s="12">
        <f t="shared" si="0"/>
        <v>19042.48</v>
      </c>
    </row>
    <row r="35" spans="2:15">
      <c r="B35" s="14" t="s">
        <v>271</v>
      </c>
      <c r="C35" s="16" t="s">
        <v>546</v>
      </c>
      <c r="D35" s="16" t="s">
        <v>451</v>
      </c>
      <c r="E35" s="16"/>
      <c r="F35" s="11" t="s">
        <v>577</v>
      </c>
      <c r="G35" s="14" t="s">
        <v>598</v>
      </c>
      <c r="H35" s="15">
        <v>25283.86</v>
      </c>
      <c r="I35" s="15">
        <v>387555.15</v>
      </c>
      <c r="J35" s="15">
        <v>442447.89</v>
      </c>
      <c r="K35" s="15">
        <v>80176.600000000006</v>
      </c>
      <c r="L35" s="12">
        <f t="shared" si="0"/>
        <v>54892.740000000005</v>
      </c>
    </row>
    <row r="36" spans="2:15">
      <c r="B36" s="14" t="s">
        <v>271</v>
      </c>
      <c r="C36" s="16" t="s">
        <v>546</v>
      </c>
      <c r="D36" s="16" t="s">
        <v>451</v>
      </c>
      <c r="E36" s="16"/>
      <c r="F36" s="11" t="s">
        <v>578</v>
      </c>
      <c r="G36" s="14" t="s">
        <v>599</v>
      </c>
      <c r="H36" s="15">
        <v>20624.38</v>
      </c>
      <c r="I36" s="15">
        <v>269040.21000000002</v>
      </c>
      <c r="J36" s="15">
        <v>302299.71999999997</v>
      </c>
      <c r="K36" s="15">
        <v>53883.89</v>
      </c>
      <c r="L36" s="12">
        <f t="shared" si="0"/>
        <v>33259.509999999995</v>
      </c>
    </row>
    <row r="37" spans="2:15">
      <c r="B37" s="14" t="s">
        <v>271</v>
      </c>
      <c r="C37" s="16" t="s">
        <v>546</v>
      </c>
      <c r="D37" s="16" t="s">
        <v>451</v>
      </c>
      <c r="E37" s="16"/>
      <c r="F37" s="11" t="s">
        <v>579</v>
      </c>
      <c r="G37" s="14" t="s">
        <v>600</v>
      </c>
      <c r="H37" s="15">
        <v>16227.33</v>
      </c>
      <c r="I37" s="15">
        <v>196450</v>
      </c>
      <c r="J37" s="15">
        <v>224108.51</v>
      </c>
      <c r="K37" s="15">
        <v>43885.84</v>
      </c>
      <c r="L37" s="12">
        <f t="shared" si="0"/>
        <v>27658.509999999995</v>
      </c>
    </row>
    <row r="38" spans="2:15">
      <c r="B38" s="14" t="s">
        <v>272</v>
      </c>
      <c r="C38" s="16" t="s">
        <v>546</v>
      </c>
      <c r="D38" s="16" t="s">
        <v>451</v>
      </c>
      <c r="E38" s="16"/>
      <c r="F38" s="11" t="s">
        <v>580</v>
      </c>
      <c r="G38" s="14" t="s">
        <v>601</v>
      </c>
      <c r="H38" s="15">
        <v>88977.69</v>
      </c>
      <c r="I38" s="15">
        <v>1637070.11</v>
      </c>
      <c r="J38" s="15">
        <v>1847103.67</v>
      </c>
      <c r="K38" s="15">
        <v>299011.25</v>
      </c>
      <c r="L38" s="12">
        <f>+K38-H38</f>
        <v>210033.56</v>
      </c>
    </row>
    <row r="39" spans="2:15">
      <c r="B39" s="14" t="s">
        <v>272</v>
      </c>
      <c r="C39" s="16" t="s">
        <v>546</v>
      </c>
      <c r="D39" s="16" t="s">
        <v>451</v>
      </c>
      <c r="E39" s="16"/>
      <c r="F39" s="11" t="s">
        <v>563</v>
      </c>
      <c r="G39" s="14" t="s">
        <v>555</v>
      </c>
      <c r="H39" s="15">
        <v>11599.61</v>
      </c>
      <c r="I39" s="15">
        <v>153707.76</v>
      </c>
      <c r="J39" s="15">
        <v>161407.22</v>
      </c>
      <c r="K39" s="15">
        <v>19299.07</v>
      </c>
      <c r="L39" s="12">
        <f>+K39-H39</f>
        <v>7699.4599999999991</v>
      </c>
    </row>
    <row r="40" spans="2:15">
      <c r="B40" s="14" t="s">
        <v>209</v>
      </c>
      <c r="C40" s="16" t="s">
        <v>546</v>
      </c>
      <c r="D40" s="16" t="s">
        <v>452</v>
      </c>
      <c r="E40" s="16"/>
      <c r="F40" s="11" t="s">
        <v>621</v>
      </c>
      <c r="G40" s="14" t="s">
        <v>622</v>
      </c>
      <c r="H40" s="15">
        <v>9999</v>
      </c>
      <c r="I40" s="15">
        <v>0</v>
      </c>
      <c r="J40" s="15">
        <v>0</v>
      </c>
      <c r="K40" s="15">
        <v>9999</v>
      </c>
      <c r="L40" s="12">
        <f>+K40-H40</f>
        <v>0</v>
      </c>
    </row>
    <row r="41" spans="2:15">
      <c r="B41" s="14" t="s">
        <v>209</v>
      </c>
      <c r="C41" s="16" t="s">
        <v>546</v>
      </c>
      <c r="D41" s="16" t="s">
        <v>452</v>
      </c>
      <c r="E41" s="16"/>
      <c r="F41" s="11" t="s">
        <v>623</v>
      </c>
      <c r="G41" s="14" t="s">
        <v>624</v>
      </c>
      <c r="H41" s="15">
        <v>1</v>
      </c>
      <c r="I41" s="15">
        <v>0</v>
      </c>
      <c r="J41" s="15">
        <v>0</v>
      </c>
      <c r="K41" s="15">
        <v>1</v>
      </c>
      <c r="L41" s="12">
        <f>+K41-H41</f>
        <v>0</v>
      </c>
    </row>
    <row r="42" spans="2:15">
      <c r="B42" s="14" t="s">
        <v>138</v>
      </c>
      <c r="C42" s="16" t="s">
        <v>546</v>
      </c>
      <c r="D42" s="16" t="s">
        <v>452</v>
      </c>
      <c r="E42" s="16"/>
      <c r="F42" s="11" t="s">
        <v>625</v>
      </c>
      <c r="G42" s="14" t="s">
        <v>626</v>
      </c>
      <c r="H42" s="15">
        <v>-75105.05</v>
      </c>
      <c r="I42" s="15">
        <v>0</v>
      </c>
      <c r="J42" s="15">
        <v>0</v>
      </c>
      <c r="K42" s="15">
        <v>-75105.05</v>
      </c>
      <c r="L42" s="12">
        <f t="shared" si="0"/>
        <v>0</v>
      </c>
    </row>
    <row r="43" spans="2:15">
      <c r="B43" s="14" t="s">
        <v>92</v>
      </c>
      <c r="C43" s="16" t="s">
        <v>635</v>
      </c>
      <c r="D43" s="16" t="s">
        <v>451</v>
      </c>
      <c r="E43" s="16" t="s">
        <v>92</v>
      </c>
      <c r="F43" s="11" t="s">
        <v>627</v>
      </c>
      <c r="G43" s="14" t="s">
        <v>628</v>
      </c>
      <c r="H43" s="15">
        <v>0</v>
      </c>
      <c r="I43" s="15">
        <v>0</v>
      </c>
      <c r="J43" s="15">
        <v>9300000.3599999994</v>
      </c>
      <c r="K43" s="15">
        <v>9300000.3599999994</v>
      </c>
      <c r="L43" s="12">
        <f t="shared" si="0"/>
        <v>9300000.3599999994</v>
      </c>
    </row>
    <row r="44" spans="2:15">
      <c r="B44" s="14" t="s">
        <v>126</v>
      </c>
      <c r="C44" s="16" t="s">
        <v>635</v>
      </c>
      <c r="D44" s="16" t="s">
        <v>451</v>
      </c>
      <c r="E44" s="16" t="s">
        <v>470</v>
      </c>
      <c r="F44" s="11" t="s">
        <v>629</v>
      </c>
      <c r="G44" s="14" t="s">
        <v>630</v>
      </c>
      <c r="H44" s="15">
        <v>0</v>
      </c>
      <c r="I44" s="15">
        <v>0</v>
      </c>
      <c r="J44" s="15">
        <v>0.13</v>
      </c>
      <c r="K44" s="15">
        <v>0.13</v>
      </c>
      <c r="L44" s="12">
        <f t="shared" si="0"/>
        <v>0.13</v>
      </c>
    </row>
    <row r="45" spans="2:15">
      <c r="B45" s="14" t="s">
        <v>302</v>
      </c>
      <c r="C45" s="16" t="s">
        <v>635</v>
      </c>
      <c r="D45" s="16" t="s">
        <v>451</v>
      </c>
      <c r="E45" s="16" t="s">
        <v>12</v>
      </c>
      <c r="F45" s="11" t="s">
        <v>581</v>
      </c>
      <c r="G45" s="14" t="s">
        <v>12</v>
      </c>
      <c r="H45" s="17">
        <v>0</v>
      </c>
      <c r="I45" s="17">
        <v>6761227.9500000002</v>
      </c>
      <c r="J45" s="17">
        <v>1715.49</v>
      </c>
      <c r="K45" s="17">
        <v>6759512.46</v>
      </c>
      <c r="L45" s="12">
        <f t="shared" si="0"/>
        <v>6759512.46</v>
      </c>
    </row>
    <row r="46" spans="2:15">
      <c r="B46" s="14" t="s">
        <v>302</v>
      </c>
      <c r="C46" s="16" t="s">
        <v>635</v>
      </c>
      <c r="D46" s="16" t="s">
        <v>451</v>
      </c>
      <c r="E46" s="16" t="s">
        <v>12</v>
      </c>
      <c r="F46" s="11" t="s">
        <v>582</v>
      </c>
      <c r="G46" s="14" t="s">
        <v>619</v>
      </c>
      <c r="H46" s="17">
        <v>0</v>
      </c>
      <c r="I46" s="17">
        <v>54645.16</v>
      </c>
      <c r="J46" s="17">
        <v>0</v>
      </c>
      <c r="K46" s="17">
        <v>54645.16</v>
      </c>
      <c r="L46" s="12">
        <f t="shared" si="0"/>
        <v>54645.16</v>
      </c>
    </row>
    <row r="47" spans="2:15">
      <c r="B47" s="14" t="s">
        <v>302</v>
      </c>
      <c r="C47" s="16" t="s">
        <v>635</v>
      </c>
      <c r="D47" s="16" t="s">
        <v>451</v>
      </c>
      <c r="E47" s="16" t="s">
        <v>335</v>
      </c>
      <c r="F47" s="11" t="s">
        <v>583</v>
      </c>
      <c r="G47" s="14" t="s">
        <v>335</v>
      </c>
      <c r="H47" s="17">
        <v>0</v>
      </c>
      <c r="I47" s="17">
        <v>224005.01</v>
      </c>
      <c r="J47" s="17">
        <v>0</v>
      </c>
      <c r="K47" s="17">
        <v>224005.01</v>
      </c>
      <c r="L47" s="12">
        <f>+K47-H47</f>
        <v>224005.01</v>
      </c>
      <c r="M47" s="256"/>
      <c r="N47" s="256"/>
    </row>
    <row r="48" spans="2:15">
      <c r="B48" s="14" t="s">
        <v>302</v>
      </c>
      <c r="C48" s="16" t="s">
        <v>635</v>
      </c>
      <c r="D48" s="16" t="s">
        <v>451</v>
      </c>
      <c r="E48" s="16" t="s">
        <v>13</v>
      </c>
      <c r="F48" s="11" t="s">
        <v>584</v>
      </c>
      <c r="G48" s="14" t="s">
        <v>13</v>
      </c>
      <c r="H48" s="17">
        <v>0</v>
      </c>
      <c r="I48" s="17">
        <v>56001.47</v>
      </c>
      <c r="J48" s="17">
        <v>0</v>
      </c>
      <c r="K48" s="17">
        <v>56001.47</v>
      </c>
      <c r="L48" s="12">
        <f t="shared" si="0"/>
        <v>56001.47</v>
      </c>
      <c r="M48" s="256"/>
      <c r="N48" s="256"/>
      <c r="O48" s="5"/>
    </row>
    <row r="49" spans="2:15">
      <c r="B49" s="14" t="s">
        <v>302</v>
      </c>
      <c r="C49" s="16" t="s">
        <v>635</v>
      </c>
      <c r="D49" s="16" t="s">
        <v>451</v>
      </c>
      <c r="E49" s="16" t="s">
        <v>12</v>
      </c>
      <c r="F49" s="11" t="s">
        <v>631</v>
      </c>
      <c r="G49" s="14" t="s">
        <v>632</v>
      </c>
      <c r="H49" s="17">
        <v>0</v>
      </c>
      <c r="I49" s="17">
        <v>19243.48</v>
      </c>
      <c r="J49" s="17">
        <v>0</v>
      </c>
      <c r="K49" s="17">
        <v>19243.48</v>
      </c>
      <c r="L49" s="12">
        <f>+K49-H49</f>
        <v>19243.48</v>
      </c>
      <c r="M49" s="5"/>
    </row>
    <row r="50" spans="2:15">
      <c r="B50" s="14" t="s">
        <v>302</v>
      </c>
      <c r="C50" s="16" t="s">
        <v>635</v>
      </c>
      <c r="D50" s="16" t="s">
        <v>451</v>
      </c>
      <c r="E50" s="16" t="s">
        <v>12</v>
      </c>
      <c r="F50" s="11" t="s">
        <v>585</v>
      </c>
      <c r="G50" s="14" t="s">
        <v>602</v>
      </c>
      <c r="H50" s="17">
        <v>0</v>
      </c>
      <c r="I50" s="17">
        <v>10360.67</v>
      </c>
      <c r="J50" s="17">
        <v>0</v>
      </c>
      <c r="K50" s="17">
        <v>10360.67</v>
      </c>
      <c r="L50" s="12">
        <f>+K50-H50</f>
        <v>10360.67</v>
      </c>
      <c r="M50" s="13"/>
    </row>
    <row r="51" spans="2:15">
      <c r="B51" s="14" t="s">
        <v>302</v>
      </c>
      <c r="C51" s="16" t="s">
        <v>635</v>
      </c>
      <c r="D51" s="16" t="s">
        <v>451</v>
      </c>
      <c r="E51" s="16" t="s">
        <v>14</v>
      </c>
      <c r="F51" s="11" t="s">
        <v>586</v>
      </c>
      <c r="G51" s="14" t="s">
        <v>14</v>
      </c>
      <c r="H51" s="17">
        <v>0</v>
      </c>
      <c r="I51" s="17">
        <v>557256.71</v>
      </c>
      <c r="J51" s="17">
        <v>0</v>
      </c>
      <c r="K51" s="17">
        <v>557256.71</v>
      </c>
      <c r="L51" s="12">
        <f t="shared" si="0"/>
        <v>557256.71</v>
      </c>
      <c r="M51" s="13"/>
      <c r="N51" s="256"/>
    </row>
    <row r="52" spans="2:15">
      <c r="B52" s="14" t="s">
        <v>302</v>
      </c>
      <c r="C52" s="16" t="s">
        <v>635</v>
      </c>
      <c r="D52" s="16" t="s">
        <v>451</v>
      </c>
      <c r="E52" s="16" t="s">
        <v>12</v>
      </c>
      <c r="F52" s="11" t="s">
        <v>587</v>
      </c>
      <c r="G52" s="14" t="s">
        <v>603</v>
      </c>
      <c r="H52" s="17">
        <v>0</v>
      </c>
      <c r="I52" s="17">
        <v>423694.8</v>
      </c>
      <c r="J52" s="17">
        <v>0</v>
      </c>
      <c r="K52" s="17">
        <v>423694.8</v>
      </c>
      <c r="L52" s="12">
        <f t="shared" si="0"/>
        <v>423694.8</v>
      </c>
    </row>
    <row r="53" spans="2:15">
      <c r="B53" s="14" t="s">
        <v>302</v>
      </c>
      <c r="C53" s="16" t="s">
        <v>635</v>
      </c>
      <c r="D53" s="16" t="s">
        <v>451</v>
      </c>
      <c r="E53" s="16" t="s">
        <v>506</v>
      </c>
      <c r="F53" s="11" t="s">
        <v>588</v>
      </c>
      <c r="G53" s="14" t="s">
        <v>604</v>
      </c>
      <c r="H53" s="17">
        <v>0</v>
      </c>
      <c r="I53" s="17">
        <v>428051.03</v>
      </c>
      <c r="J53" s="17">
        <v>0</v>
      </c>
      <c r="K53" s="17">
        <v>428051.03</v>
      </c>
      <c r="L53" s="12">
        <f t="shared" si="0"/>
        <v>428051.03</v>
      </c>
    </row>
    <row r="54" spans="2:15">
      <c r="B54" s="14" t="s">
        <v>302</v>
      </c>
      <c r="C54" s="16" t="s">
        <v>635</v>
      </c>
      <c r="D54" s="16" t="s">
        <v>451</v>
      </c>
      <c r="E54" s="16" t="s">
        <v>78</v>
      </c>
      <c r="F54" s="11" t="s">
        <v>589</v>
      </c>
      <c r="G54" s="14" t="s">
        <v>605</v>
      </c>
      <c r="H54" s="15">
        <v>0</v>
      </c>
      <c r="I54" s="15">
        <v>302299.71999999997</v>
      </c>
      <c r="J54" s="15">
        <v>0</v>
      </c>
      <c r="K54" s="17">
        <v>302299.71999999997</v>
      </c>
      <c r="L54" s="12">
        <f t="shared" si="0"/>
        <v>302299.71999999997</v>
      </c>
      <c r="M54" s="256"/>
    </row>
    <row r="55" spans="2:15">
      <c r="B55" s="14" t="s">
        <v>302</v>
      </c>
      <c r="C55" s="16" t="s">
        <v>635</v>
      </c>
      <c r="D55" s="16" t="s">
        <v>451</v>
      </c>
      <c r="E55" s="16" t="s">
        <v>79</v>
      </c>
      <c r="F55" s="11" t="s">
        <v>590</v>
      </c>
      <c r="G55" s="14" t="s">
        <v>606</v>
      </c>
      <c r="H55" s="15">
        <v>0</v>
      </c>
      <c r="I55" s="15">
        <v>441988.38</v>
      </c>
      <c r="J55" s="15">
        <v>0</v>
      </c>
      <c r="K55" s="17">
        <v>441988.38</v>
      </c>
      <c r="L55" s="12">
        <f t="shared" si="0"/>
        <v>441988.38</v>
      </c>
      <c r="M55" s="4"/>
      <c r="N55" s="257"/>
      <c r="O55" s="257"/>
    </row>
    <row r="56" spans="2:15">
      <c r="B56" s="14" t="s">
        <v>302</v>
      </c>
      <c r="C56" s="16" t="s">
        <v>635</v>
      </c>
      <c r="D56" s="16" t="s">
        <v>451</v>
      </c>
      <c r="E56" s="16" t="s">
        <v>82</v>
      </c>
      <c r="F56" s="11" t="s">
        <v>591</v>
      </c>
      <c r="G56" s="14" t="s">
        <v>607</v>
      </c>
      <c r="H56" s="15">
        <v>0</v>
      </c>
      <c r="I56" s="15">
        <v>223943.84</v>
      </c>
      <c r="J56" s="15">
        <v>0</v>
      </c>
      <c r="K56" s="17">
        <v>223943.84</v>
      </c>
      <c r="L56" s="12">
        <f t="shared" si="0"/>
        <v>223943.84</v>
      </c>
      <c r="M56" s="4"/>
      <c r="N56" s="4"/>
    </row>
    <row r="57" spans="2:15">
      <c r="B57" s="14" t="s">
        <v>302</v>
      </c>
      <c r="C57" s="16" t="s">
        <v>635</v>
      </c>
      <c r="D57" s="16" t="s">
        <v>451</v>
      </c>
      <c r="E57" s="16" t="s">
        <v>479</v>
      </c>
      <c r="F57" s="11" t="s">
        <v>592</v>
      </c>
      <c r="G57" s="14" t="s">
        <v>608</v>
      </c>
      <c r="H57" s="15">
        <v>0</v>
      </c>
      <c r="I57" s="15">
        <v>155800</v>
      </c>
      <c r="J57" s="15">
        <v>0</v>
      </c>
      <c r="K57" s="17">
        <v>155800</v>
      </c>
      <c r="L57" s="12">
        <f t="shared" si="0"/>
        <v>155800</v>
      </c>
    </row>
    <row r="58" spans="2:15">
      <c r="B58" s="14" t="s">
        <v>302</v>
      </c>
      <c r="C58" s="16" t="s">
        <v>635</v>
      </c>
      <c r="D58" s="16" t="s">
        <v>451</v>
      </c>
      <c r="E58" s="16" t="s">
        <v>57</v>
      </c>
      <c r="F58" s="11" t="s">
        <v>593</v>
      </c>
      <c r="G58" s="14" t="s">
        <v>609</v>
      </c>
      <c r="H58" s="15">
        <v>0</v>
      </c>
      <c r="I58" s="15">
        <v>164.67</v>
      </c>
      <c r="J58" s="15">
        <v>0</v>
      </c>
      <c r="K58" s="17">
        <v>164.67</v>
      </c>
      <c r="L58" s="12">
        <f t="shared" si="0"/>
        <v>164.67</v>
      </c>
    </row>
    <row r="59" spans="2:15">
      <c r="B59" s="14" t="s">
        <v>302</v>
      </c>
      <c r="C59" s="16" t="s">
        <v>635</v>
      </c>
      <c r="D59" s="16" t="s">
        <v>451</v>
      </c>
      <c r="E59" s="16" t="s">
        <v>540</v>
      </c>
      <c r="F59" s="11" t="s">
        <v>564</v>
      </c>
      <c r="G59" s="14" t="s">
        <v>556</v>
      </c>
      <c r="H59" s="15">
        <v>0</v>
      </c>
      <c r="I59" s="15">
        <v>9741.35</v>
      </c>
      <c r="J59" s="15">
        <v>9741.35</v>
      </c>
      <c r="K59" s="17">
        <v>0</v>
      </c>
      <c r="L59" s="12">
        <f t="shared" si="0"/>
        <v>0</v>
      </c>
    </row>
    <row r="60" spans="2:15">
      <c r="B60" s="14" t="s">
        <v>302</v>
      </c>
      <c r="C60" s="16" t="s">
        <v>635</v>
      </c>
      <c r="D60" s="16" t="s">
        <v>451</v>
      </c>
      <c r="E60" s="16" t="s">
        <v>57</v>
      </c>
      <c r="F60" s="11" t="s">
        <v>565</v>
      </c>
      <c r="G60" s="14" t="s">
        <v>557</v>
      </c>
      <c r="H60" s="15">
        <v>0</v>
      </c>
      <c r="I60" s="15">
        <v>3339.11</v>
      </c>
      <c r="J60" s="15">
        <v>26.95</v>
      </c>
      <c r="K60" s="17">
        <v>3312.16</v>
      </c>
      <c r="L60" s="12">
        <f t="shared" si="0"/>
        <v>3312.16</v>
      </c>
    </row>
    <row r="61" spans="2:15">
      <c r="B61" s="14" t="s">
        <v>302</v>
      </c>
      <c r="C61" s="16" t="s">
        <v>635</v>
      </c>
      <c r="D61" s="16" t="s">
        <v>451</v>
      </c>
      <c r="E61" s="16" t="s">
        <v>57</v>
      </c>
      <c r="F61" s="11" t="s">
        <v>633</v>
      </c>
      <c r="G61" s="14" t="s">
        <v>634</v>
      </c>
      <c r="H61" s="15">
        <v>0</v>
      </c>
      <c r="I61" s="15">
        <v>33444.81</v>
      </c>
      <c r="J61" s="15">
        <v>0</v>
      </c>
      <c r="K61" s="17">
        <v>33444.81</v>
      </c>
      <c r="L61" s="12">
        <f t="shared" si="0"/>
        <v>33444.81</v>
      </c>
      <c r="M61" s="256"/>
    </row>
    <row r="62" spans="2:15">
      <c r="B62" s="14" t="s">
        <v>358</v>
      </c>
      <c r="C62" s="16" t="s">
        <v>635</v>
      </c>
      <c r="D62" s="16" t="s">
        <v>451</v>
      </c>
      <c r="E62" s="16" t="s">
        <v>57</v>
      </c>
      <c r="F62" s="11" t="s">
        <v>566</v>
      </c>
      <c r="G62" s="14" t="s">
        <v>558</v>
      </c>
      <c r="H62" s="17">
        <v>0</v>
      </c>
      <c r="I62" s="17">
        <v>11191.5</v>
      </c>
      <c r="J62" s="17">
        <v>0</v>
      </c>
      <c r="K62" s="17">
        <v>11191.5</v>
      </c>
      <c r="L62" s="12">
        <f t="shared" si="0"/>
        <v>11191.5</v>
      </c>
    </row>
    <row r="63" spans="2:15">
      <c r="B63" s="14"/>
      <c r="C63" s="16"/>
      <c r="D63" s="16"/>
      <c r="E63" s="16"/>
      <c r="F63" s="11"/>
      <c r="G63" s="14"/>
      <c r="H63" s="15"/>
      <c r="I63" s="15"/>
      <c r="J63" s="15"/>
      <c r="K63" s="17"/>
      <c r="L63" s="12">
        <f t="shared" si="0"/>
        <v>0</v>
      </c>
    </row>
    <row r="64" spans="2:15">
      <c r="B64" s="14"/>
      <c r="C64" s="16"/>
      <c r="D64" s="16"/>
      <c r="E64" s="16"/>
      <c r="F64" s="11"/>
      <c r="G64" s="14"/>
      <c r="H64" s="15"/>
      <c r="I64" s="15"/>
      <c r="J64" s="15"/>
      <c r="K64" s="17"/>
      <c r="L64" s="12">
        <f t="shared" si="0"/>
        <v>0</v>
      </c>
    </row>
    <row r="65" spans="2:12">
      <c r="B65" s="14"/>
      <c r="C65" s="16"/>
      <c r="D65" s="16"/>
      <c r="E65" s="16"/>
      <c r="F65" s="11"/>
      <c r="G65" s="14"/>
      <c r="H65" s="15"/>
      <c r="I65" s="15"/>
      <c r="J65" s="15"/>
      <c r="K65" s="17"/>
      <c r="L65" s="12">
        <f t="shared" si="0"/>
        <v>0</v>
      </c>
    </row>
    <row r="66" spans="2:12">
      <c r="B66" s="14"/>
      <c r="C66" s="16"/>
      <c r="D66" s="16"/>
      <c r="E66" s="16"/>
      <c r="F66" s="11"/>
      <c r="G66" s="14"/>
      <c r="H66" s="15"/>
      <c r="I66" s="15"/>
      <c r="J66" s="15"/>
      <c r="K66" s="17"/>
      <c r="L66" s="12">
        <f t="shared" si="0"/>
        <v>0</v>
      </c>
    </row>
    <row r="67" spans="2:12">
      <c r="B67" s="14"/>
      <c r="C67" s="16"/>
      <c r="D67" s="16"/>
      <c r="E67" s="16"/>
      <c r="F67" s="11"/>
      <c r="G67" s="14"/>
      <c r="H67" s="15"/>
      <c r="I67" s="15"/>
      <c r="J67" s="15"/>
      <c r="K67" s="17"/>
      <c r="L67" s="12">
        <f t="shared" si="0"/>
        <v>0</v>
      </c>
    </row>
    <row r="68" spans="2:12">
      <c r="B68" s="14"/>
      <c r="C68" s="16"/>
      <c r="D68" s="16"/>
      <c r="E68" s="16"/>
      <c r="F68" s="11"/>
      <c r="G68" s="14"/>
      <c r="H68" s="15"/>
      <c r="I68" s="15"/>
      <c r="J68" s="15"/>
      <c r="K68" s="17"/>
      <c r="L68" s="12">
        <f t="shared" si="0"/>
        <v>0</v>
      </c>
    </row>
    <row r="69" spans="2:12">
      <c r="B69" s="14"/>
      <c r="C69" s="16"/>
      <c r="D69" s="16"/>
      <c r="E69" s="16"/>
      <c r="F69" s="11"/>
      <c r="G69" s="14"/>
      <c r="H69" s="15"/>
      <c r="I69" s="15"/>
      <c r="J69" s="15"/>
      <c r="K69" s="17"/>
      <c r="L69" s="12">
        <f t="shared" si="0"/>
        <v>0</v>
      </c>
    </row>
    <row r="70" spans="2:12">
      <c r="B70" s="14"/>
      <c r="C70" s="16"/>
      <c r="D70" s="16"/>
      <c r="E70" s="16"/>
      <c r="F70" s="11"/>
      <c r="G70" s="14"/>
      <c r="H70" s="15"/>
      <c r="I70" s="15"/>
      <c r="J70" s="15"/>
      <c r="K70" s="17"/>
      <c r="L70" s="12">
        <f t="shared" si="0"/>
        <v>0</v>
      </c>
    </row>
    <row r="71" spans="2:12">
      <c r="B71" s="14"/>
      <c r="C71" s="16"/>
      <c r="D71" s="16"/>
      <c r="E71" s="16"/>
      <c r="F71" s="11"/>
      <c r="G71" s="14"/>
      <c r="H71" s="15"/>
      <c r="I71" s="15"/>
      <c r="J71" s="15"/>
      <c r="K71" s="17"/>
      <c r="L71" s="12">
        <f t="shared" si="0"/>
        <v>0</v>
      </c>
    </row>
    <row r="72" spans="2:12">
      <c r="B72" s="14"/>
      <c r="C72" s="16"/>
      <c r="D72" s="16"/>
      <c r="E72" s="16"/>
      <c r="F72" s="11"/>
      <c r="G72" s="14"/>
      <c r="H72" s="15"/>
      <c r="I72" s="15"/>
      <c r="J72" s="15"/>
      <c r="K72" s="17"/>
      <c r="L72" s="12">
        <f t="shared" si="0"/>
        <v>0</v>
      </c>
    </row>
    <row r="73" spans="2:12">
      <c r="B73" s="14"/>
      <c r="C73" s="16"/>
      <c r="D73" s="16"/>
      <c r="E73" s="16"/>
      <c r="F73" s="11"/>
      <c r="G73" s="14"/>
      <c r="H73" s="15"/>
      <c r="I73" s="15"/>
      <c r="J73" s="15"/>
      <c r="K73" s="17"/>
      <c r="L73" s="12">
        <f t="shared" si="0"/>
        <v>0</v>
      </c>
    </row>
    <row r="74" spans="2:12">
      <c r="B74" s="14"/>
      <c r="C74" s="16"/>
      <c r="D74" s="16"/>
      <c r="E74" s="16"/>
      <c r="F74" s="11"/>
      <c r="G74" s="14"/>
      <c r="H74" s="15"/>
      <c r="I74" s="15"/>
      <c r="J74" s="15"/>
      <c r="K74" s="17"/>
      <c r="L74" s="12">
        <f t="shared" si="0"/>
        <v>0</v>
      </c>
    </row>
    <row r="75" spans="2:12">
      <c r="B75" s="14"/>
      <c r="C75" s="16"/>
      <c r="D75" s="16"/>
      <c r="E75" s="16"/>
      <c r="F75" s="11"/>
      <c r="G75" s="14"/>
      <c r="H75" s="15"/>
      <c r="I75" s="15"/>
      <c r="J75" s="15"/>
      <c r="K75" s="17"/>
      <c r="L75" s="12">
        <f t="shared" si="0"/>
        <v>0</v>
      </c>
    </row>
    <row r="76" spans="2:12">
      <c r="B76" s="14"/>
      <c r="C76" s="16"/>
      <c r="D76" s="16"/>
      <c r="E76" s="16"/>
      <c r="F76" s="11"/>
      <c r="G76" s="14"/>
      <c r="H76" s="15"/>
      <c r="I76" s="15"/>
      <c r="J76" s="15"/>
      <c r="K76" s="17"/>
      <c r="L76" s="12">
        <f t="shared" si="0"/>
        <v>0</v>
      </c>
    </row>
    <row r="77" spans="2:12">
      <c r="B77" s="14"/>
      <c r="C77" s="16"/>
      <c r="D77" s="16"/>
      <c r="E77" s="16"/>
      <c r="F77" s="11"/>
      <c r="G77" s="14"/>
      <c r="H77" s="15"/>
      <c r="I77" s="15"/>
      <c r="J77" s="15"/>
      <c r="K77" s="17"/>
      <c r="L77" s="12">
        <f t="shared" si="0"/>
        <v>0</v>
      </c>
    </row>
    <row r="78" spans="2:12">
      <c r="B78" s="14"/>
      <c r="C78" s="16"/>
      <c r="D78" s="16"/>
      <c r="E78" s="16"/>
      <c r="F78" s="11"/>
      <c r="G78" s="14"/>
      <c r="H78" s="15"/>
      <c r="I78" s="15"/>
      <c r="J78" s="15"/>
      <c r="K78" s="17"/>
      <c r="L78" s="12">
        <f t="shared" si="0"/>
        <v>0</v>
      </c>
    </row>
    <row r="79" spans="2:12">
      <c r="B79" s="14"/>
      <c r="C79" s="16"/>
      <c r="D79" s="16"/>
      <c r="E79" s="16"/>
      <c r="F79" s="11"/>
      <c r="G79" s="14"/>
      <c r="H79" s="15"/>
      <c r="I79" s="15"/>
      <c r="J79" s="15"/>
      <c r="K79" s="17"/>
      <c r="L79" s="12">
        <f t="shared" si="0"/>
        <v>0</v>
      </c>
    </row>
    <row r="80" spans="2:12">
      <c r="B80" s="14"/>
      <c r="C80" s="16"/>
      <c r="D80" s="16"/>
      <c r="E80" s="16"/>
      <c r="F80" s="11"/>
      <c r="G80" s="14"/>
      <c r="H80" s="15"/>
      <c r="I80" s="15"/>
      <c r="J80" s="15"/>
      <c r="K80" s="17"/>
      <c r="L80" s="12">
        <f t="shared" si="0"/>
        <v>0</v>
      </c>
    </row>
    <row r="81" spans="2:13">
      <c r="B81" s="14"/>
      <c r="C81" s="16"/>
      <c r="D81" s="16"/>
      <c r="E81" s="16"/>
      <c r="F81" s="11"/>
      <c r="G81" s="14"/>
      <c r="H81" s="15"/>
      <c r="I81" s="15"/>
      <c r="J81" s="15"/>
      <c r="K81" s="17"/>
      <c r="L81" s="12">
        <f t="shared" si="0"/>
        <v>0</v>
      </c>
    </row>
    <row r="82" spans="2:13">
      <c r="B82" s="14"/>
      <c r="C82" s="16"/>
      <c r="D82" s="16"/>
      <c r="E82" s="16"/>
      <c r="F82" s="11"/>
      <c r="G82" s="14"/>
      <c r="H82" s="15"/>
      <c r="I82" s="15"/>
      <c r="J82" s="15"/>
      <c r="K82" s="17"/>
      <c r="L82" s="12">
        <f t="shared" si="0"/>
        <v>0</v>
      </c>
    </row>
    <row r="83" spans="2:13">
      <c r="B83" s="14"/>
      <c r="C83" s="16"/>
      <c r="D83" s="16"/>
      <c r="E83" s="16"/>
      <c r="F83" s="11"/>
      <c r="G83" s="14"/>
      <c r="H83" s="15"/>
      <c r="I83" s="15"/>
      <c r="J83" s="15"/>
      <c r="K83" s="17"/>
      <c r="L83" s="12">
        <f t="shared" ref="L83:L146" si="1">+K83-H83</f>
        <v>0</v>
      </c>
    </row>
    <row r="84" spans="2:13">
      <c r="B84" s="14"/>
      <c r="C84" s="16"/>
      <c r="D84" s="16"/>
      <c r="E84" s="16"/>
      <c r="F84" s="11"/>
      <c r="G84" s="14"/>
      <c r="H84" s="15"/>
      <c r="I84" s="15"/>
      <c r="J84" s="15"/>
      <c r="K84" s="17"/>
      <c r="L84" s="12">
        <f t="shared" si="1"/>
        <v>0</v>
      </c>
    </row>
    <row r="85" spans="2:13">
      <c r="B85" s="14"/>
      <c r="C85" s="16"/>
      <c r="D85" s="16"/>
      <c r="E85" s="16"/>
      <c r="F85" s="11"/>
      <c r="G85" s="14"/>
      <c r="H85" s="15"/>
      <c r="I85" s="15"/>
      <c r="J85" s="15"/>
      <c r="K85" s="17"/>
      <c r="L85" s="12">
        <f t="shared" si="1"/>
        <v>0</v>
      </c>
    </row>
    <row r="86" spans="2:13">
      <c r="B86" s="14"/>
      <c r="C86" s="16"/>
      <c r="D86" s="16"/>
      <c r="E86" s="16"/>
      <c r="F86" s="11"/>
      <c r="G86" s="14"/>
      <c r="H86" s="15"/>
      <c r="I86" s="15"/>
      <c r="J86" s="15"/>
      <c r="K86" s="17"/>
      <c r="L86" s="12">
        <f t="shared" si="1"/>
        <v>0</v>
      </c>
    </row>
    <row r="87" spans="2:13">
      <c r="B87" s="14"/>
      <c r="C87" s="16"/>
      <c r="D87" s="16"/>
      <c r="E87" s="16"/>
      <c r="F87" s="11"/>
      <c r="G87" s="14"/>
      <c r="H87" s="15"/>
      <c r="I87" s="15"/>
      <c r="J87" s="15"/>
      <c r="K87" s="17"/>
      <c r="L87" s="12">
        <f t="shared" si="1"/>
        <v>0</v>
      </c>
    </row>
    <row r="88" spans="2:13">
      <c r="B88" s="14"/>
      <c r="C88" s="16"/>
      <c r="D88" s="16"/>
      <c r="E88" s="16"/>
      <c r="F88" s="11"/>
      <c r="G88" s="14"/>
      <c r="H88" s="15"/>
      <c r="I88" s="15"/>
      <c r="J88" s="15"/>
      <c r="K88" s="17"/>
      <c r="L88" s="12">
        <f t="shared" si="1"/>
        <v>0</v>
      </c>
    </row>
    <row r="89" spans="2:13">
      <c r="B89" s="14"/>
      <c r="C89" s="16"/>
      <c r="D89" s="16"/>
      <c r="E89" s="16"/>
      <c r="F89" s="11"/>
      <c r="G89" s="14"/>
      <c r="H89" s="15"/>
      <c r="I89" s="15"/>
      <c r="J89" s="15"/>
      <c r="K89" s="17"/>
      <c r="L89" s="12">
        <f t="shared" si="1"/>
        <v>0</v>
      </c>
    </row>
    <row r="90" spans="2:13">
      <c r="B90" s="14"/>
      <c r="C90" s="16"/>
      <c r="D90" s="16"/>
      <c r="E90" s="16"/>
      <c r="F90" s="11"/>
      <c r="G90" s="14"/>
      <c r="H90" s="15"/>
      <c r="I90" s="15"/>
      <c r="J90" s="15"/>
      <c r="K90" s="17"/>
      <c r="L90" s="12">
        <f t="shared" si="1"/>
        <v>0</v>
      </c>
    </row>
    <row r="91" spans="2:13">
      <c r="B91" s="14"/>
      <c r="C91" s="16"/>
      <c r="D91" s="16"/>
      <c r="E91" s="16"/>
      <c r="F91" s="11"/>
      <c r="G91" s="14"/>
      <c r="H91" s="15"/>
      <c r="I91" s="15"/>
      <c r="J91" s="15"/>
      <c r="K91" s="17"/>
      <c r="L91" s="12">
        <f t="shared" si="1"/>
        <v>0</v>
      </c>
    </row>
    <row r="92" spans="2:13">
      <c r="B92" s="14"/>
      <c r="C92" s="16"/>
      <c r="D92" s="16"/>
      <c r="E92" s="16"/>
      <c r="F92" s="11"/>
      <c r="G92" s="14"/>
      <c r="H92" s="15"/>
      <c r="I92" s="15"/>
      <c r="J92" s="15"/>
      <c r="K92" s="17"/>
      <c r="L92" s="12">
        <f t="shared" si="1"/>
        <v>0</v>
      </c>
    </row>
    <row r="93" spans="2:13">
      <c r="B93" s="14"/>
      <c r="C93" s="16"/>
      <c r="D93" s="16"/>
      <c r="E93" s="16"/>
      <c r="F93" s="11"/>
      <c r="G93" s="14"/>
      <c r="H93" s="15"/>
      <c r="I93" s="15"/>
      <c r="J93" s="15"/>
      <c r="K93" s="17"/>
      <c r="L93" s="12">
        <f t="shared" si="1"/>
        <v>0</v>
      </c>
    </row>
    <row r="94" spans="2:13">
      <c r="B94" s="14"/>
      <c r="C94" s="16"/>
      <c r="D94" s="16"/>
      <c r="E94" s="16"/>
      <c r="F94" s="11"/>
      <c r="G94" s="14"/>
      <c r="H94" s="15"/>
      <c r="I94" s="15"/>
      <c r="J94" s="15"/>
      <c r="K94" s="17"/>
      <c r="L94" s="12">
        <f t="shared" si="1"/>
        <v>0</v>
      </c>
      <c r="M94" s="13"/>
    </row>
    <row r="95" spans="2:13">
      <c r="B95" s="14"/>
      <c r="C95" s="16"/>
      <c r="D95" s="16"/>
      <c r="E95" s="16"/>
      <c r="F95" s="11"/>
      <c r="G95" s="14"/>
      <c r="H95" s="15"/>
      <c r="I95" s="15"/>
      <c r="J95" s="15"/>
      <c r="K95" s="17"/>
      <c r="L95" s="12">
        <f t="shared" si="1"/>
        <v>0</v>
      </c>
    </row>
    <row r="96" spans="2:13">
      <c r="B96" s="14"/>
      <c r="C96" s="16"/>
      <c r="D96" s="16"/>
      <c r="E96" s="16"/>
      <c r="F96" s="11"/>
      <c r="G96" s="14"/>
      <c r="H96" s="15"/>
      <c r="I96" s="15"/>
      <c r="J96" s="15"/>
      <c r="K96" s="17"/>
      <c r="L96" s="12">
        <f t="shared" si="1"/>
        <v>0</v>
      </c>
    </row>
    <row r="97" spans="2:12">
      <c r="B97" s="14"/>
      <c r="C97" s="16"/>
      <c r="D97" s="16"/>
      <c r="E97" s="16"/>
      <c r="F97" s="11"/>
      <c r="G97" s="14"/>
      <c r="H97" s="15"/>
      <c r="I97" s="15"/>
      <c r="J97" s="15"/>
      <c r="K97" s="17"/>
      <c r="L97" s="12">
        <f t="shared" si="1"/>
        <v>0</v>
      </c>
    </row>
    <row r="98" spans="2:12">
      <c r="B98" s="14"/>
      <c r="C98" s="16"/>
      <c r="D98" s="16"/>
      <c r="E98" s="16"/>
      <c r="F98" s="11"/>
      <c r="G98" s="14"/>
      <c r="H98" s="15"/>
      <c r="I98" s="15"/>
      <c r="J98" s="15"/>
      <c r="K98" s="17"/>
      <c r="L98" s="12">
        <f t="shared" si="1"/>
        <v>0</v>
      </c>
    </row>
    <row r="99" spans="2:12">
      <c r="B99" s="14"/>
      <c r="C99" s="16"/>
      <c r="D99" s="16"/>
      <c r="E99" s="16"/>
      <c r="F99" s="11"/>
      <c r="G99" s="14"/>
      <c r="H99" s="15"/>
      <c r="I99" s="15"/>
      <c r="J99" s="15"/>
      <c r="K99" s="17"/>
      <c r="L99" s="12">
        <f t="shared" si="1"/>
        <v>0</v>
      </c>
    </row>
    <row r="100" spans="2:12">
      <c r="B100" s="14"/>
      <c r="C100" s="16"/>
      <c r="D100" s="16"/>
      <c r="E100" s="16"/>
      <c r="F100" s="11"/>
      <c r="G100" s="14"/>
      <c r="H100" s="15"/>
      <c r="I100" s="15"/>
      <c r="J100" s="15"/>
      <c r="K100" s="17"/>
      <c r="L100" s="12">
        <f t="shared" si="1"/>
        <v>0</v>
      </c>
    </row>
    <row r="101" spans="2:12">
      <c r="B101" s="14"/>
      <c r="C101" s="16"/>
      <c r="D101" s="16"/>
      <c r="E101" s="16"/>
      <c r="F101" s="11"/>
      <c r="G101" s="14"/>
      <c r="H101" s="15"/>
      <c r="I101" s="15"/>
      <c r="J101" s="15"/>
      <c r="K101" s="17"/>
      <c r="L101" s="12">
        <f t="shared" si="1"/>
        <v>0</v>
      </c>
    </row>
    <row r="102" spans="2:12">
      <c r="B102" s="14"/>
      <c r="C102" s="16"/>
      <c r="D102" s="16"/>
      <c r="E102" s="16"/>
      <c r="F102" s="11"/>
      <c r="G102" s="14"/>
      <c r="H102" s="15"/>
      <c r="I102" s="15"/>
      <c r="J102" s="15"/>
      <c r="K102" s="17"/>
      <c r="L102" s="12">
        <f t="shared" si="1"/>
        <v>0</v>
      </c>
    </row>
    <row r="103" spans="2:12">
      <c r="B103" s="14"/>
      <c r="C103" s="16"/>
      <c r="D103" s="16"/>
      <c r="E103" s="16"/>
      <c r="F103" s="11"/>
      <c r="G103" s="14"/>
      <c r="H103" s="15"/>
      <c r="I103" s="15"/>
      <c r="J103" s="15"/>
      <c r="K103" s="17"/>
      <c r="L103" s="12">
        <f t="shared" si="1"/>
        <v>0</v>
      </c>
    </row>
    <row r="104" spans="2:12">
      <c r="B104" s="14"/>
      <c r="C104" s="16"/>
      <c r="D104" s="16"/>
      <c r="E104" s="16"/>
      <c r="F104" s="11"/>
      <c r="G104" s="14"/>
      <c r="H104" s="15"/>
      <c r="I104" s="15"/>
      <c r="J104" s="15"/>
      <c r="K104" s="17"/>
      <c r="L104" s="12">
        <f t="shared" si="1"/>
        <v>0</v>
      </c>
    </row>
    <row r="105" spans="2:12">
      <c r="B105" s="14"/>
      <c r="C105" s="16"/>
      <c r="D105" s="16"/>
      <c r="E105" s="16"/>
      <c r="F105" s="11"/>
      <c r="G105" s="14"/>
      <c r="H105" s="15"/>
      <c r="I105" s="15"/>
      <c r="J105" s="15"/>
      <c r="K105" s="17"/>
      <c r="L105" s="12">
        <f t="shared" si="1"/>
        <v>0</v>
      </c>
    </row>
    <row r="106" spans="2:12">
      <c r="B106" s="14"/>
      <c r="C106" s="16"/>
      <c r="D106" s="16"/>
      <c r="E106" s="16"/>
      <c r="F106" s="11"/>
      <c r="G106" s="14"/>
      <c r="H106" s="15"/>
      <c r="I106" s="15"/>
      <c r="J106" s="15"/>
      <c r="K106" s="17"/>
      <c r="L106" s="12">
        <f t="shared" si="1"/>
        <v>0</v>
      </c>
    </row>
    <row r="107" spans="2:12">
      <c r="B107" s="14"/>
      <c r="C107" s="16"/>
      <c r="D107" s="16"/>
      <c r="E107" s="16"/>
      <c r="F107" s="11"/>
      <c r="G107" s="14"/>
      <c r="H107" s="15"/>
      <c r="I107" s="15"/>
      <c r="J107" s="15"/>
      <c r="K107" s="17"/>
      <c r="L107" s="12">
        <f t="shared" si="1"/>
        <v>0</v>
      </c>
    </row>
    <row r="108" spans="2:12">
      <c r="B108" s="14"/>
      <c r="C108" s="16"/>
      <c r="D108" s="16"/>
      <c r="E108" s="16"/>
      <c r="F108" s="11"/>
      <c r="G108" s="14"/>
      <c r="H108" s="15"/>
      <c r="I108" s="15"/>
      <c r="J108" s="15"/>
      <c r="K108" s="17"/>
      <c r="L108" s="12">
        <f t="shared" si="1"/>
        <v>0</v>
      </c>
    </row>
    <row r="109" spans="2:12">
      <c r="B109" s="14"/>
      <c r="C109" s="16"/>
      <c r="D109" s="16"/>
      <c r="E109" s="16"/>
      <c r="F109" s="11"/>
      <c r="G109" s="14"/>
      <c r="H109" s="15"/>
      <c r="I109" s="15"/>
      <c r="J109" s="15"/>
      <c r="K109" s="17"/>
      <c r="L109" s="12">
        <f t="shared" si="1"/>
        <v>0</v>
      </c>
    </row>
    <row r="110" spans="2:12">
      <c r="B110" s="14"/>
      <c r="C110" s="16"/>
      <c r="D110" s="16"/>
      <c r="E110" s="16"/>
      <c r="F110" s="11"/>
      <c r="G110" s="14"/>
      <c r="H110" s="15"/>
      <c r="I110" s="15"/>
      <c r="J110" s="15"/>
      <c r="K110" s="17"/>
      <c r="L110" s="12">
        <f t="shared" si="1"/>
        <v>0</v>
      </c>
    </row>
    <row r="111" spans="2:12">
      <c r="B111" s="14"/>
      <c r="C111" s="16"/>
      <c r="D111" s="16"/>
      <c r="E111" s="16"/>
      <c r="F111" s="11"/>
      <c r="G111" s="14"/>
      <c r="H111" s="15"/>
      <c r="I111" s="15"/>
      <c r="J111" s="15"/>
      <c r="K111" s="17"/>
      <c r="L111" s="12">
        <f t="shared" si="1"/>
        <v>0</v>
      </c>
    </row>
    <row r="112" spans="2:12">
      <c r="B112" s="14"/>
      <c r="C112" s="16"/>
      <c r="D112" s="16"/>
      <c r="E112" s="16"/>
      <c r="F112" s="11"/>
      <c r="G112" s="14"/>
      <c r="H112" s="15"/>
      <c r="I112" s="15"/>
      <c r="J112" s="15"/>
      <c r="K112" s="17"/>
      <c r="L112" s="12">
        <f t="shared" si="1"/>
        <v>0</v>
      </c>
    </row>
    <row r="113" spans="2:12">
      <c r="B113" s="14"/>
      <c r="C113" s="16"/>
      <c r="D113" s="16"/>
      <c r="E113" s="16"/>
      <c r="F113" s="11"/>
      <c r="G113" s="14"/>
      <c r="H113" s="15"/>
      <c r="I113" s="15"/>
      <c r="J113" s="15"/>
      <c r="K113" s="17"/>
      <c r="L113" s="12">
        <f t="shared" si="1"/>
        <v>0</v>
      </c>
    </row>
    <row r="114" spans="2:12">
      <c r="B114" s="14"/>
      <c r="C114" s="16"/>
      <c r="D114" s="16"/>
      <c r="E114" s="16"/>
      <c r="F114" s="11"/>
      <c r="G114" s="14"/>
      <c r="H114" s="15"/>
      <c r="I114" s="15"/>
      <c r="J114" s="15"/>
      <c r="K114" s="17"/>
      <c r="L114" s="12">
        <f t="shared" si="1"/>
        <v>0</v>
      </c>
    </row>
    <row r="115" spans="2:12">
      <c r="B115" s="14"/>
      <c r="C115" s="16"/>
      <c r="D115" s="16"/>
      <c r="E115" s="16"/>
      <c r="F115" s="11"/>
      <c r="G115" s="14"/>
      <c r="H115" s="15"/>
      <c r="I115" s="15"/>
      <c r="J115" s="15"/>
      <c r="K115" s="17"/>
      <c r="L115" s="12">
        <f t="shared" si="1"/>
        <v>0</v>
      </c>
    </row>
    <row r="116" spans="2:12">
      <c r="B116" s="14"/>
      <c r="C116" s="16"/>
      <c r="D116" s="16"/>
      <c r="E116" s="16"/>
      <c r="F116" s="11"/>
      <c r="G116" s="14"/>
      <c r="H116" s="15"/>
      <c r="I116" s="15"/>
      <c r="J116" s="15"/>
      <c r="K116" s="17"/>
      <c r="L116" s="12">
        <f t="shared" si="1"/>
        <v>0</v>
      </c>
    </row>
    <row r="117" spans="2:12">
      <c r="B117" s="14"/>
      <c r="C117" s="16"/>
      <c r="D117" s="16"/>
      <c r="E117" s="16"/>
      <c r="F117" s="11"/>
      <c r="G117" s="14"/>
      <c r="H117" s="15"/>
      <c r="I117" s="15"/>
      <c r="J117" s="15"/>
      <c r="K117" s="17"/>
      <c r="L117" s="12">
        <f t="shared" si="1"/>
        <v>0</v>
      </c>
    </row>
    <row r="118" spans="2:12">
      <c r="B118" s="14"/>
      <c r="C118" s="16"/>
      <c r="D118" s="16"/>
      <c r="E118" s="16"/>
      <c r="F118" s="11"/>
      <c r="G118" s="14"/>
      <c r="H118" s="15"/>
      <c r="I118" s="15"/>
      <c r="J118" s="15"/>
      <c r="K118" s="17"/>
      <c r="L118" s="12">
        <f t="shared" si="1"/>
        <v>0</v>
      </c>
    </row>
    <row r="119" spans="2:12">
      <c r="B119" s="14"/>
      <c r="C119" s="16"/>
      <c r="D119" s="16"/>
      <c r="E119" s="16"/>
      <c r="F119" s="11"/>
      <c r="G119" s="14"/>
      <c r="H119" s="15"/>
      <c r="I119" s="15"/>
      <c r="J119" s="15"/>
      <c r="K119" s="17"/>
      <c r="L119" s="12">
        <f t="shared" si="1"/>
        <v>0</v>
      </c>
    </row>
    <row r="120" spans="2:12">
      <c r="B120" s="14"/>
      <c r="C120" s="16"/>
      <c r="D120" s="16"/>
      <c r="E120" s="16"/>
      <c r="F120" s="11"/>
      <c r="G120" s="14"/>
      <c r="H120" s="15"/>
      <c r="I120" s="15"/>
      <c r="J120" s="15"/>
      <c r="K120" s="17"/>
      <c r="L120" s="12">
        <f t="shared" si="1"/>
        <v>0</v>
      </c>
    </row>
    <row r="121" spans="2:12">
      <c r="B121" s="14"/>
      <c r="C121" s="16"/>
      <c r="D121" s="16"/>
      <c r="E121" s="16"/>
      <c r="F121" s="11"/>
      <c r="G121" s="14"/>
      <c r="H121" s="15"/>
      <c r="I121" s="15"/>
      <c r="J121" s="15"/>
      <c r="K121" s="17"/>
      <c r="L121" s="12">
        <f t="shared" si="1"/>
        <v>0</v>
      </c>
    </row>
    <row r="122" spans="2:12">
      <c r="B122" s="14"/>
      <c r="C122" s="16"/>
      <c r="D122" s="16"/>
      <c r="E122" s="16"/>
      <c r="F122" s="11"/>
      <c r="G122" s="14"/>
      <c r="H122" s="15"/>
      <c r="I122" s="15"/>
      <c r="J122" s="15"/>
      <c r="K122" s="17"/>
      <c r="L122" s="12">
        <f t="shared" si="1"/>
        <v>0</v>
      </c>
    </row>
    <row r="123" spans="2:12">
      <c r="B123" s="14"/>
      <c r="C123" s="16"/>
      <c r="D123" s="16"/>
      <c r="E123" s="16"/>
      <c r="F123" s="11"/>
      <c r="G123" s="14"/>
      <c r="H123" s="15"/>
      <c r="I123" s="15"/>
      <c r="J123" s="15"/>
      <c r="K123" s="17"/>
      <c r="L123" s="12">
        <f t="shared" si="1"/>
        <v>0</v>
      </c>
    </row>
    <row r="124" spans="2:12">
      <c r="B124" s="14"/>
      <c r="C124" s="16"/>
      <c r="D124" s="16"/>
      <c r="E124" s="16"/>
      <c r="F124" s="11"/>
      <c r="G124" s="14"/>
      <c r="H124" s="15"/>
      <c r="I124" s="15"/>
      <c r="J124" s="15"/>
      <c r="K124" s="17"/>
      <c r="L124" s="12">
        <f t="shared" si="1"/>
        <v>0</v>
      </c>
    </row>
    <row r="125" spans="2:12">
      <c r="B125" s="14"/>
      <c r="C125" s="16"/>
      <c r="D125" s="16"/>
      <c r="E125" s="16"/>
      <c r="F125" s="11"/>
      <c r="G125" s="14"/>
      <c r="H125" s="15"/>
      <c r="I125" s="15"/>
      <c r="J125" s="15"/>
      <c r="K125" s="17"/>
      <c r="L125" s="12">
        <f t="shared" si="1"/>
        <v>0</v>
      </c>
    </row>
    <row r="126" spans="2:12">
      <c r="B126" s="14"/>
      <c r="C126" s="16"/>
      <c r="D126" s="16"/>
      <c r="E126" s="16"/>
      <c r="F126" s="11"/>
      <c r="G126" s="14"/>
      <c r="H126" s="15"/>
      <c r="I126" s="15"/>
      <c r="J126" s="15"/>
      <c r="K126" s="17"/>
      <c r="L126" s="12">
        <f t="shared" si="1"/>
        <v>0</v>
      </c>
    </row>
    <row r="127" spans="2:12">
      <c r="B127" s="14"/>
      <c r="C127" s="16"/>
      <c r="D127" s="16"/>
      <c r="E127" s="16"/>
      <c r="F127" s="11"/>
      <c r="G127" s="14"/>
      <c r="H127" s="15"/>
      <c r="I127" s="15"/>
      <c r="J127" s="15"/>
      <c r="K127" s="17"/>
      <c r="L127" s="12">
        <f t="shared" si="1"/>
        <v>0</v>
      </c>
    </row>
    <row r="128" spans="2:12">
      <c r="B128" s="14"/>
      <c r="C128" s="16"/>
      <c r="D128" s="16"/>
      <c r="E128" s="16"/>
      <c r="F128" s="11"/>
      <c r="G128" s="14"/>
      <c r="H128" s="15"/>
      <c r="I128" s="15"/>
      <c r="J128" s="15"/>
      <c r="K128" s="17"/>
      <c r="L128" s="12">
        <f t="shared" si="1"/>
        <v>0</v>
      </c>
    </row>
    <row r="129" spans="2:12">
      <c r="B129" s="14"/>
      <c r="C129" s="16"/>
      <c r="D129" s="16"/>
      <c r="E129" s="16"/>
      <c r="F129" s="11"/>
      <c r="G129" s="14"/>
      <c r="H129" s="15"/>
      <c r="I129" s="15"/>
      <c r="J129" s="15"/>
      <c r="K129" s="17"/>
      <c r="L129" s="12">
        <f t="shared" si="1"/>
        <v>0</v>
      </c>
    </row>
    <row r="130" spans="2:12">
      <c r="B130" s="14"/>
      <c r="C130" s="16"/>
      <c r="D130" s="16"/>
      <c r="E130" s="16"/>
      <c r="F130" s="11"/>
      <c r="G130" s="14"/>
      <c r="H130" s="15"/>
      <c r="I130" s="15"/>
      <c r="J130" s="15"/>
      <c r="K130" s="17"/>
      <c r="L130" s="12">
        <f t="shared" si="1"/>
        <v>0</v>
      </c>
    </row>
    <row r="131" spans="2:12">
      <c r="B131" s="14"/>
      <c r="C131" s="16"/>
      <c r="D131" s="16"/>
      <c r="E131" s="16"/>
      <c r="F131" s="11"/>
      <c r="G131" s="14"/>
      <c r="H131" s="15"/>
      <c r="I131" s="15"/>
      <c r="J131" s="15"/>
      <c r="K131" s="17"/>
      <c r="L131" s="12">
        <f t="shared" si="1"/>
        <v>0</v>
      </c>
    </row>
    <row r="132" spans="2:12">
      <c r="B132" s="14"/>
      <c r="C132" s="16"/>
      <c r="D132" s="16"/>
      <c r="E132" s="16"/>
      <c r="F132" s="11"/>
      <c r="G132" s="14"/>
      <c r="H132" s="15"/>
      <c r="I132" s="15"/>
      <c r="J132" s="15"/>
      <c r="K132" s="17"/>
      <c r="L132" s="12">
        <f t="shared" si="1"/>
        <v>0</v>
      </c>
    </row>
    <row r="133" spans="2:12">
      <c r="B133" s="14"/>
      <c r="C133" s="16"/>
      <c r="D133" s="16"/>
      <c r="E133" s="16"/>
      <c r="F133" s="11"/>
      <c r="G133" s="14"/>
      <c r="H133" s="15"/>
      <c r="I133" s="15"/>
      <c r="J133" s="15"/>
      <c r="K133" s="17"/>
      <c r="L133" s="12">
        <f t="shared" si="1"/>
        <v>0</v>
      </c>
    </row>
    <row r="134" spans="2:12">
      <c r="B134" s="14"/>
      <c r="C134" s="16"/>
      <c r="D134" s="16"/>
      <c r="E134" s="16"/>
      <c r="F134" s="11"/>
      <c r="G134" s="14"/>
      <c r="H134" s="15"/>
      <c r="I134" s="15"/>
      <c r="J134" s="15"/>
      <c r="K134" s="17"/>
      <c r="L134" s="12">
        <f t="shared" si="1"/>
        <v>0</v>
      </c>
    </row>
    <row r="135" spans="2:12">
      <c r="B135" s="14"/>
      <c r="C135" s="16"/>
      <c r="D135" s="16"/>
      <c r="E135" s="16"/>
      <c r="F135" s="11"/>
      <c r="G135" s="14"/>
      <c r="H135" s="15"/>
      <c r="I135" s="15"/>
      <c r="J135" s="15"/>
      <c r="K135" s="17"/>
      <c r="L135" s="12">
        <f t="shared" si="1"/>
        <v>0</v>
      </c>
    </row>
    <row r="136" spans="2:12">
      <c r="B136" s="14"/>
      <c r="C136" s="16"/>
      <c r="D136" s="16"/>
      <c r="E136" s="16"/>
      <c r="F136" s="11"/>
      <c r="G136" s="14"/>
      <c r="H136" s="15"/>
      <c r="I136" s="15"/>
      <c r="J136" s="15"/>
      <c r="K136" s="17"/>
      <c r="L136" s="12">
        <f t="shared" si="1"/>
        <v>0</v>
      </c>
    </row>
    <row r="137" spans="2:12">
      <c r="B137" s="14"/>
      <c r="C137" s="16"/>
      <c r="D137" s="16"/>
      <c r="E137" s="16"/>
      <c r="F137" s="11"/>
      <c r="G137" s="14"/>
      <c r="H137" s="15"/>
      <c r="I137" s="15"/>
      <c r="J137" s="15"/>
      <c r="K137" s="17"/>
      <c r="L137" s="12">
        <f t="shared" si="1"/>
        <v>0</v>
      </c>
    </row>
    <row r="138" spans="2:12">
      <c r="B138" s="14"/>
      <c r="C138" s="16"/>
      <c r="D138" s="16"/>
      <c r="E138" s="16"/>
      <c r="F138" s="11"/>
      <c r="G138" s="14"/>
      <c r="H138" s="15"/>
      <c r="I138" s="15"/>
      <c r="J138" s="15"/>
      <c r="K138" s="17"/>
      <c r="L138" s="12">
        <f t="shared" si="1"/>
        <v>0</v>
      </c>
    </row>
    <row r="139" spans="2:12">
      <c r="B139" s="14"/>
      <c r="C139" s="16"/>
      <c r="D139" s="16"/>
      <c r="E139" s="16"/>
      <c r="F139" s="11"/>
      <c r="G139" s="14"/>
      <c r="H139" s="15"/>
      <c r="I139" s="15"/>
      <c r="J139" s="15"/>
      <c r="K139" s="15"/>
      <c r="L139" s="12">
        <f t="shared" si="1"/>
        <v>0</v>
      </c>
    </row>
    <row r="140" spans="2:12">
      <c r="B140" s="14"/>
      <c r="C140" s="16"/>
      <c r="D140" s="16"/>
      <c r="E140" s="16"/>
      <c r="F140" s="11"/>
      <c r="G140" s="14"/>
      <c r="H140" s="15"/>
      <c r="I140" s="15"/>
      <c r="J140" s="15"/>
      <c r="K140" s="15"/>
      <c r="L140" s="12">
        <f t="shared" si="1"/>
        <v>0</v>
      </c>
    </row>
    <row r="141" spans="2:12">
      <c r="B141" s="14"/>
      <c r="C141" s="16"/>
      <c r="D141" s="16"/>
      <c r="E141" s="16"/>
      <c r="F141" s="11"/>
      <c r="G141" s="14"/>
      <c r="H141" s="15"/>
      <c r="I141" s="15"/>
      <c r="J141" s="15"/>
      <c r="K141" s="15"/>
      <c r="L141" s="12">
        <f t="shared" si="1"/>
        <v>0</v>
      </c>
    </row>
    <row r="142" spans="2:12">
      <c r="B142" s="14"/>
      <c r="C142" s="16"/>
      <c r="D142" s="16"/>
      <c r="E142" s="16"/>
      <c r="F142" s="11"/>
      <c r="G142" s="14"/>
      <c r="H142" s="15"/>
      <c r="I142" s="15"/>
      <c r="J142" s="15"/>
      <c r="K142" s="15"/>
      <c r="L142" s="12">
        <f t="shared" si="1"/>
        <v>0</v>
      </c>
    </row>
    <row r="143" spans="2:12">
      <c r="B143" s="14"/>
      <c r="C143" s="16"/>
      <c r="D143" s="16"/>
      <c r="E143" s="16"/>
      <c r="F143" s="11"/>
      <c r="G143" s="14"/>
      <c r="H143" s="15"/>
      <c r="I143" s="15"/>
      <c r="J143" s="15"/>
      <c r="K143" s="15"/>
      <c r="L143" s="12">
        <f t="shared" si="1"/>
        <v>0</v>
      </c>
    </row>
    <row r="144" spans="2:12">
      <c r="B144" s="14"/>
      <c r="C144" s="16"/>
      <c r="D144" s="16"/>
      <c r="E144" s="16"/>
      <c r="F144" s="11"/>
      <c r="G144" s="14"/>
      <c r="H144" s="15"/>
      <c r="I144" s="15"/>
      <c r="J144" s="15"/>
      <c r="K144" s="15"/>
      <c r="L144" s="12">
        <f t="shared" si="1"/>
        <v>0</v>
      </c>
    </row>
    <row r="145" spans="2:12">
      <c r="B145" s="14"/>
      <c r="C145" s="16"/>
      <c r="D145" s="16"/>
      <c r="E145" s="16"/>
      <c r="F145" s="11"/>
      <c r="G145" s="14"/>
      <c r="H145" s="15"/>
      <c r="I145" s="15"/>
      <c r="J145" s="15"/>
      <c r="K145" s="15"/>
      <c r="L145" s="12">
        <f t="shared" si="1"/>
        <v>0</v>
      </c>
    </row>
    <row r="146" spans="2:12">
      <c r="B146" s="14"/>
      <c r="C146" s="16"/>
      <c r="D146" s="16"/>
      <c r="E146" s="16"/>
      <c r="F146" s="11"/>
      <c r="G146" s="14"/>
      <c r="H146" s="15"/>
      <c r="I146" s="15"/>
      <c r="J146" s="15"/>
      <c r="K146" s="15"/>
      <c r="L146" s="12">
        <f t="shared" si="1"/>
        <v>0</v>
      </c>
    </row>
    <row r="147" spans="2:12">
      <c r="B147" s="14"/>
      <c r="C147" s="16"/>
      <c r="D147" s="16"/>
      <c r="E147" s="16"/>
      <c r="F147" s="11"/>
      <c r="G147" s="14"/>
      <c r="H147" s="15"/>
      <c r="I147" s="15"/>
      <c r="J147" s="15"/>
      <c r="K147" s="15"/>
      <c r="L147" s="12">
        <f t="shared" ref="L147:L210" si="2">+K147-H147</f>
        <v>0</v>
      </c>
    </row>
    <row r="148" spans="2:12">
      <c r="B148" s="14"/>
      <c r="C148" s="16"/>
      <c r="D148" s="16"/>
      <c r="E148" s="16"/>
      <c r="F148" s="11"/>
      <c r="G148" s="14"/>
      <c r="H148" s="15"/>
      <c r="I148" s="15"/>
      <c r="J148" s="15"/>
      <c r="K148" s="15"/>
      <c r="L148" s="12">
        <f t="shared" si="2"/>
        <v>0</v>
      </c>
    </row>
    <row r="149" spans="2:12">
      <c r="B149" s="14"/>
      <c r="C149" s="16"/>
      <c r="D149" s="16"/>
      <c r="E149" s="16"/>
      <c r="F149" s="11"/>
      <c r="G149" s="14"/>
      <c r="H149" s="15"/>
      <c r="I149" s="15"/>
      <c r="J149" s="15"/>
      <c r="K149" s="15"/>
      <c r="L149" s="12">
        <f t="shared" si="2"/>
        <v>0</v>
      </c>
    </row>
    <row r="150" spans="2:12">
      <c r="B150" s="14"/>
      <c r="C150" s="16"/>
      <c r="D150" s="16"/>
      <c r="E150" s="16"/>
      <c r="F150" s="11"/>
      <c r="G150" s="14"/>
      <c r="H150" s="15"/>
      <c r="I150" s="15"/>
      <c r="J150" s="15"/>
      <c r="K150" s="15"/>
      <c r="L150" s="12">
        <f t="shared" si="2"/>
        <v>0</v>
      </c>
    </row>
    <row r="151" spans="2:12">
      <c r="B151" s="14"/>
      <c r="C151" s="16"/>
      <c r="D151" s="16"/>
      <c r="E151" s="16"/>
      <c r="F151" s="11"/>
      <c r="G151" s="14"/>
      <c r="H151" s="15"/>
      <c r="I151" s="15"/>
      <c r="J151" s="15"/>
      <c r="K151" s="15"/>
      <c r="L151" s="12">
        <f t="shared" si="2"/>
        <v>0</v>
      </c>
    </row>
    <row r="152" spans="2:12">
      <c r="B152" s="14"/>
      <c r="C152" s="16"/>
      <c r="D152" s="16"/>
      <c r="E152" s="16"/>
      <c r="F152" s="11"/>
      <c r="G152" s="14"/>
      <c r="H152" s="15"/>
      <c r="I152" s="15"/>
      <c r="J152" s="15"/>
      <c r="K152" s="15"/>
      <c r="L152" s="12">
        <f t="shared" si="2"/>
        <v>0</v>
      </c>
    </row>
    <row r="153" spans="2:12">
      <c r="B153" s="14"/>
      <c r="C153" s="16"/>
      <c r="D153" s="16"/>
      <c r="E153" s="16"/>
      <c r="F153" s="11"/>
      <c r="G153" s="14"/>
      <c r="H153" s="15"/>
      <c r="I153" s="15"/>
      <c r="J153" s="15"/>
      <c r="K153" s="15"/>
      <c r="L153" s="12">
        <f t="shared" si="2"/>
        <v>0</v>
      </c>
    </row>
    <row r="154" spans="2:12">
      <c r="B154" s="14"/>
      <c r="C154" s="16"/>
      <c r="D154" s="16"/>
      <c r="E154" s="16"/>
      <c r="F154" s="11"/>
      <c r="G154" s="14"/>
      <c r="H154" s="15"/>
      <c r="I154" s="15"/>
      <c r="J154" s="15"/>
      <c r="K154" s="15"/>
      <c r="L154" s="12">
        <f t="shared" si="2"/>
        <v>0</v>
      </c>
    </row>
    <row r="155" spans="2:12">
      <c r="B155" s="14"/>
      <c r="C155" s="16"/>
      <c r="D155" s="16"/>
      <c r="E155" s="16"/>
      <c r="F155" s="11"/>
      <c r="G155" s="14"/>
      <c r="H155" s="15"/>
      <c r="I155" s="15"/>
      <c r="J155" s="15"/>
      <c r="K155" s="15"/>
      <c r="L155" s="12">
        <f t="shared" si="2"/>
        <v>0</v>
      </c>
    </row>
    <row r="156" spans="2:12">
      <c r="B156" s="14"/>
      <c r="C156" s="16"/>
      <c r="D156" s="16"/>
      <c r="E156" s="16"/>
      <c r="F156" s="11"/>
      <c r="G156" s="14"/>
      <c r="H156" s="15"/>
      <c r="I156" s="15"/>
      <c r="J156" s="15"/>
      <c r="K156" s="15"/>
      <c r="L156" s="12">
        <f t="shared" si="2"/>
        <v>0</v>
      </c>
    </row>
    <row r="157" spans="2:12">
      <c r="B157" s="14"/>
      <c r="C157" s="16"/>
      <c r="D157" s="16"/>
      <c r="E157" s="16"/>
      <c r="F157" s="11"/>
      <c r="G157" s="14"/>
      <c r="H157" s="15"/>
      <c r="I157" s="15"/>
      <c r="J157" s="15"/>
      <c r="K157" s="15"/>
      <c r="L157" s="12">
        <f t="shared" si="2"/>
        <v>0</v>
      </c>
    </row>
    <row r="158" spans="2:12">
      <c r="B158" s="14"/>
      <c r="C158" s="16"/>
      <c r="D158" s="16"/>
      <c r="E158" s="16"/>
      <c r="F158" s="11"/>
      <c r="G158" s="14"/>
      <c r="H158" s="15"/>
      <c r="I158" s="15"/>
      <c r="J158" s="15"/>
      <c r="K158" s="15"/>
      <c r="L158" s="12">
        <f t="shared" si="2"/>
        <v>0</v>
      </c>
    </row>
    <row r="159" spans="2:12">
      <c r="B159" s="14"/>
      <c r="C159" s="16"/>
      <c r="D159" s="16"/>
      <c r="E159" s="16"/>
      <c r="F159" s="11"/>
      <c r="G159" s="14"/>
      <c r="H159" s="15"/>
      <c r="I159" s="15"/>
      <c r="J159" s="15"/>
      <c r="K159" s="15"/>
      <c r="L159" s="12">
        <f t="shared" si="2"/>
        <v>0</v>
      </c>
    </row>
    <row r="160" spans="2:12">
      <c r="B160" s="14"/>
      <c r="C160" s="16"/>
      <c r="D160" s="16"/>
      <c r="E160" s="16"/>
      <c r="F160" s="11"/>
      <c r="G160" s="14"/>
      <c r="H160" s="15"/>
      <c r="I160" s="15"/>
      <c r="J160" s="15"/>
      <c r="K160" s="15"/>
      <c r="L160" s="12">
        <f t="shared" si="2"/>
        <v>0</v>
      </c>
    </row>
    <row r="161" spans="2:12">
      <c r="B161" s="14"/>
      <c r="C161" s="16"/>
      <c r="D161" s="16"/>
      <c r="E161" s="16"/>
      <c r="F161" s="11"/>
      <c r="G161" s="14"/>
      <c r="H161" s="15"/>
      <c r="I161" s="15"/>
      <c r="J161" s="15"/>
      <c r="K161" s="15"/>
      <c r="L161" s="12">
        <f t="shared" si="2"/>
        <v>0</v>
      </c>
    </row>
    <row r="162" spans="2:12">
      <c r="B162" s="14"/>
      <c r="C162" s="16"/>
      <c r="D162" s="16"/>
      <c r="E162" s="16"/>
      <c r="F162" s="11"/>
      <c r="G162" s="14"/>
      <c r="H162" s="15"/>
      <c r="I162" s="15"/>
      <c r="J162" s="15"/>
      <c r="K162" s="15"/>
      <c r="L162" s="12">
        <f t="shared" si="2"/>
        <v>0</v>
      </c>
    </row>
    <row r="163" spans="2:12">
      <c r="B163" s="14"/>
      <c r="C163" s="16"/>
      <c r="D163" s="16"/>
      <c r="E163" s="16"/>
      <c r="F163" s="11"/>
      <c r="G163" s="14"/>
      <c r="H163" s="15"/>
      <c r="I163" s="15"/>
      <c r="J163" s="15"/>
      <c r="K163" s="15"/>
      <c r="L163" s="12">
        <f t="shared" si="2"/>
        <v>0</v>
      </c>
    </row>
    <row r="164" spans="2:12">
      <c r="B164" s="14"/>
      <c r="C164" s="16"/>
      <c r="D164" s="16"/>
      <c r="E164" s="16"/>
      <c r="F164" s="11"/>
      <c r="G164" s="14"/>
      <c r="H164" s="15"/>
      <c r="I164" s="15"/>
      <c r="J164" s="15"/>
      <c r="K164" s="15"/>
      <c r="L164" s="12">
        <f t="shared" si="2"/>
        <v>0</v>
      </c>
    </row>
    <row r="165" spans="2:12">
      <c r="B165" s="14"/>
      <c r="C165" s="16"/>
      <c r="D165" s="16"/>
      <c r="E165" s="16"/>
      <c r="F165" s="11"/>
      <c r="G165" s="14"/>
      <c r="H165" s="15"/>
      <c r="I165" s="15"/>
      <c r="J165" s="15"/>
      <c r="K165" s="15"/>
      <c r="L165" s="12">
        <f t="shared" si="2"/>
        <v>0</v>
      </c>
    </row>
    <row r="166" spans="2:12">
      <c r="B166" s="14"/>
      <c r="C166" s="16"/>
      <c r="D166" s="16"/>
      <c r="E166" s="16"/>
      <c r="F166" s="11"/>
      <c r="G166" s="14"/>
      <c r="H166" s="15"/>
      <c r="I166" s="15"/>
      <c r="J166" s="15"/>
      <c r="K166" s="15"/>
      <c r="L166" s="12">
        <f t="shared" si="2"/>
        <v>0</v>
      </c>
    </row>
    <row r="167" spans="2:12">
      <c r="B167" s="14"/>
      <c r="C167" s="16"/>
      <c r="D167" s="16"/>
      <c r="E167" s="16"/>
      <c r="F167" s="11"/>
      <c r="G167" s="14"/>
      <c r="H167" s="15"/>
      <c r="I167" s="15"/>
      <c r="J167" s="15"/>
      <c r="K167" s="15"/>
      <c r="L167" s="12">
        <f t="shared" si="2"/>
        <v>0</v>
      </c>
    </row>
    <row r="168" spans="2:12">
      <c r="B168" s="14"/>
      <c r="C168" s="16"/>
      <c r="D168" s="16"/>
      <c r="E168" s="16"/>
      <c r="F168" s="11"/>
      <c r="G168" s="14"/>
      <c r="H168" s="15"/>
      <c r="I168" s="15"/>
      <c r="J168" s="15"/>
      <c r="K168" s="15"/>
      <c r="L168" s="12">
        <f t="shared" si="2"/>
        <v>0</v>
      </c>
    </row>
    <row r="169" spans="2:12">
      <c r="B169" s="14"/>
      <c r="C169" s="16"/>
      <c r="D169" s="16"/>
      <c r="E169" s="16"/>
      <c r="F169" s="11"/>
      <c r="G169" s="14"/>
      <c r="H169" s="15"/>
      <c r="I169" s="15"/>
      <c r="J169" s="15"/>
      <c r="K169" s="15"/>
      <c r="L169" s="12">
        <f t="shared" si="2"/>
        <v>0</v>
      </c>
    </row>
    <row r="170" spans="2:12">
      <c r="B170" s="14"/>
      <c r="C170" s="16"/>
      <c r="D170" s="16"/>
      <c r="E170" s="16"/>
      <c r="F170" s="11"/>
      <c r="G170" s="14"/>
      <c r="H170" s="15"/>
      <c r="I170" s="15"/>
      <c r="J170" s="15"/>
      <c r="K170" s="15"/>
      <c r="L170" s="12">
        <f t="shared" si="2"/>
        <v>0</v>
      </c>
    </row>
    <row r="171" spans="2:12">
      <c r="B171" s="14"/>
      <c r="C171" s="16"/>
      <c r="D171" s="16"/>
      <c r="E171" s="16"/>
      <c r="F171" s="11"/>
      <c r="G171" s="14"/>
      <c r="H171" s="15"/>
      <c r="I171" s="15"/>
      <c r="J171" s="15"/>
      <c r="K171" s="15"/>
      <c r="L171" s="12">
        <f t="shared" si="2"/>
        <v>0</v>
      </c>
    </row>
    <row r="172" spans="2:12">
      <c r="B172" s="14"/>
      <c r="C172" s="16"/>
      <c r="D172" s="16"/>
      <c r="E172" s="16"/>
      <c r="F172" s="11"/>
      <c r="G172" s="14"/>
      <c r="H172" s="15"/>
      <c r="I172" s="15"/>
      <c r="J172" s="15"/>
      <c r="K172" s="15"/>
      <c r="L172" s="12">
        <f t="shared" si="2"/>
        <v>0</v>
      </c>
    </row>
    <row r="173" spans="2:12">
      <c r="B173" s="14"/>
      <c r="C173" s="16"/>
      <c r="D173" s="16"/>
      <c r="E173" s="16"/>
      <c r="F173" s="11"/>
      <c r="G173" s="14"/>
      <c r="H173" s="15"/>
      <c r="I173" s="15"/>
      <c r="J173" s="15"/>
      <c r="K173" s="15"/>
      <c r="L173" s="12">
        <f t="shared" si="2"/>
        <v>0</v>
      </c>
    </row>
    <row r="174" spans="2:12">
      <c r="B174" s="14"/>
      <c r="C174" s="16"/>
      <c r="D174" s="16"/>
      <c r="E174" s="16"/>
      <c r="F174" s="11"/>
      <c r="G174" s="14"/>
      <c r="H174" s="15"/>
      <c r="I174" s="15"/>
      <c r="J174" s="15"/>
      <c r="K174" s="15"/>
      <c r="L174" s="12">
        <f t="shared" si="2"/>
        <v>0</v>
      </c>
    </row>
    <row r="175" spans="2:12">
      <c r="B175" s="14"/>
      <c r="C175" s="16"/>
      <c r="D175" s="16"/>
      <c r="E175" s="16"/>
      <c r="F175" s="11"/>
      <c r="G175" s="14"/>
      <c r="H175" s="15"/>
      <c r="I175" s="15"/>
      <c r="J175" s="15"/>
      <c r="K175" s="15"/>
      <c r="L175" s="12">
        <f t="shared" si="2"/>
        <v>0</v>
      </c>
    </row>
    <row r="176" spans="2:12">
      <c r="B176" s="14"/>
      <c r="C176" s="16"/>
      <c r="D176" s="16"/>
      <c r="E176" s="16"/>
      <c r="F176" s="11"/>
      <c r="G176" s="14"/>
      <c r="H176" s="15"/>
      <c r="I176" s="15"/>
      <c r="J176" s="15"/>
      <c r="K176" s="15"/>
      <c r="L176" s="12">
        <f t="shared" si="2"/>
        <v>0</v>
      </c>
    </row>
    <row r="177" spans="2:12">
      <c r="B177" s="14"/>
      <c r="C177" s="16"/>
      <c r="D177" s="16"/>
      <c r="E177" s="16"/>
      <c r="F177" s="11"/>
      <c r="G177" s="14"/>
      <c r="H177" s="15"/>
      <c r="I177" s="15"/>
      <c r="J177" s="15"/>
      <c r="K177" s="15"/>
      <c r="L177" s="12">
        <f t="shared" si="2"/>
        <v>0</v>
      </c>
    </row>
    <row r="178" spans="2:12">
      <c r="B178" s="14"/>
      <c r="C178" s="16"/>
      <c r="D178" s="16"/>
      <c r="E178" s="16"/>
      <c r="F178" s="11"/>
      <c r="G178" s="14"/>
      <c r="H178" s="15"/>
      <c r="I178" s="15"/>
      <c r="J178" s="15"/>
      <c r="K178" s="15"/>
      <c r="L178" s="12">
        <f t="shared" si="2"/>
        <v>0</v>
      </c>
    </row>
    <row r="179" spans="2:12">
      <c r="B179" s="14"/>
      <c r="C179" s="16"/>
      <c r="D179" s="16"/>
      <c r="E179" s="16"/>
      <c r="F179" s="11"/>
      <c r="G179" s="14"/>
      <c r="H179" s="15"/>
      <c r="I179" s="15"/>
      <c r="J179" s="15"/>
      <c r="K179" s="15"/>
      <c r="L179" s="12">
        <f t="shared" si="2"/>
        <v>0</v>
      </c>
    </row>
    <row r="180" spans="2:12">
      <c r="B180" s="14"/>
      <c r="C180" s="16"/>
      <c r="D180" s="16"/>
      <c r="E180" s="16"/>
      <c r="F180" s="11"/>
      <c r="G180" s="14"/>
      <c r="H180" s="15"/>
      <c r="I180" s="15"/>
      <c r="J180" s="15"/>
      <c r="K180" s="15"/>
      <c r="L180" s="12">
        <f t="shared" si="2"/>
        <v>0</v>
      </c>
    </row>
    <row r="181" spans="2:12">
      <c r="B181" s="14"/>
      <c r="C181" s="16"/>
      <c r="D181" s="16"/>
      <c r="E181" s="16"/>
      <c r="F181" s="11"/>
      <c r="G181" s="14"/>
      <c r="H181" s="15"/>
      <c r="I181" s="15"/>
      <c r="J181" s="15"/>
      <c r="K181" s="15"/>
      <c r="L181" s="12">
        <f t="shared" si="2"/>
        <v>0</v>
      </c>
    </row>
    <row r="182" spans="2:12">
      <c r="B182" s="14"/>
      <c r="C182" s="16"/>
      <c r="D182" s="16"/>
      <c r="E182" s="16"/>
      <c r="F182" s="11"/>
      <c r="G182" s="14"/>
      <c r="H182" s="15"/>
      <c r="I182" s="15"/>
      <c r="J182" s="15"/>
      <c r="K182" s="15"/>
      <c r="L182" s="12">
        <f t="shared" si="2"/>
        <v>0</v>
      </c>
    </row>
    <row r="183" spans="2:12">
      <c r="B183" s="14"/>
      <c r="C183" s="16"/>
      <c r="D183" s="16"/>
      <c r="E183" s="16"/>
      <c r="F183" s="11"/>
      <c r="G183" s="14"/>
      <c r="H183" s="15"/>
      <c r="I183" s="15"/>
      <c r="J183" s="15"/>
      <c r="K183" s="15"/>
      <c r="L183" s="12">
        <f t="shared" si="2"/>
        <v>0</v>
      </c>
    </row>
    <row r="184" spans="2:12">
      <c r="B184" s="14"/>
      <c r="C184" s="16"/>
      <c r="D184" s="16"/>
      <c r="E184" s="16"/>
      <c r="F184" s="11"/>
      <c r="G184" s="14"/>
      <c r="H184" s="15"/>
      <c r="I184" s="15"/>
      <c r="J184" s="15"/>
      <c r="K184" s="15"/>
      <c r="L184" s="12">
        <f t="shared" si="2"/>
        <v>0</v>
      </c>
    </row>
    <row r="185" spans="2:12">
      <c r="B185" s="14"/>
      <c r="C185" s="16"/>
      <c r="D185" s="16"/>
      <c r="E185" s="16"/>
      <c r="F185" s="11"/>
      <c r="G185" s="14"/>
      <c r="H185" s="15"/>
      <c r="I185" s="15"/>
      <c r="J185" s="15"/>
      <c r="K185" s="15"/>
      <c r="L185" s="12">
        <f t="shared" si="2"/>
        <v>0</v>
      </c>
    </row>
    <row r="186" spans="2:12">
      <c r="B186" s="14"/>
      <c r="C186" s="16"/>
      <c r="D186" s="16"/>
      <c r="E186" s="16"/>
      <c r="F186" s="11"/>
      <c r="G186" s="14"/>
      <c r="H186" s="15"/>
      <c r="I186" s="15"/>
      <c r="J186" s="15"/>
      <c r="K186" s="15"/>
      <c r="L186" s="12">
        <f t="shared" si="2"/>
        <v>0</v>
      </c>
    </row>
    <row r="187" spans="2:12">
      <c r="B187" s="14"/>
      <c r="C187" s="16"/>
      <c r="D187" s="16"/>
      <c r="E187" s="16"/>
      <c r="F187" s="11"/>
      <c r="G187" s="14"/>
      <c r="H187" s="15"/>
      <c r="I187" s="15"/>
      <c r="J187" s="15"/>
      <c r="K187" s="15"/>
      <c r="L187" s="12">
        <f t="shared" si="2"/>
        <v>0</v>
      </c>
    </row>
    <row r="188" spans="2:12">
      <c r="B188" s="14"/>
      <c r="C188" s="16"/>
      <c r="D188" s="16"/>
      <c r="E188" s="16"/>
      <c r="F188" s="11"/>
      <c r="G188" s="14"/>
      <c r="H188" s="15"/>
      <c r="I188" s="15"/>
      <c r="J188" s="15"/>
      <c r="K188" s="15"/>
      <c r="L188" s="12">
        <f t="shared" si="2"/>
        <v>0</v>
      </c>
    </row>
    <row r="189" spans="2:12">
      <c r="B189" s="14"/>
      <c r="C189" s="16"/>
      <c r="D189" s="16"/>
      <c r="E189" s="16"/>
      <c r="F189" s="11"/>
      <c r="G189" s="14"/>
      <c r="H189" s="15"/>
      <c r="I189" s="15"/>
      <c r="J189" s="15"/>
      <c r="K189" s="15"/>
      <c r="L189" s="12">
        <f t="shared" si="2"/>
        <v>0</v>
      </c>
    </row>
    <row r="190" spans="2:12">
      <c r="B190" s="14"/>
      <c r="C190" s="16"/>
      <c r="D190" s="16"/>
      <c r="E190" s="16"/>
      <c r="F190" s="11"/>
      <c r="G190" s="14"/>
      <c r="H190" s="15"/>
      <c r="I190" s="15"/>
      <c r="J190" s="15"/>
      <c r="K190" s="15"/>
      <c r="L190" s="12">
        <f t="shared" si="2"/>
        <v>0</v>
      </c>
    </row>
    <row r="191" spans="2:12">
      <c r="B191" s="14"/>
      <c r="C191" s="16"/>
      <c r="D191" s="16"/>
      <c r="E191" s="16"/>
      <c r="F191" s="11"/>
      <c r="G191" s="14"/>
      <c r="H191" s="15"/>
      <c r="I191" s="15"/>
      <c r="J191" s="15"/>
      <c r="K191" s="15"/>
      <c r="L191" s="12">
        <f t="shared" si="2"/>
        <v>0</v>
      </c>
    </row>
    <row r="192" spans="2:12">
      <c r="B192" s="14"/>
      <c r="C192" s="16"/>
      <c r="D192" s="16"/>
      <c r="E192" s="16"/>
      <c r="F192" s="11"/>
      <c r="G192" s="14"/>
      <c r="H192" s="15"/>
      <c r="I192" s="15"/>
      <c r="J192" s="15"/>
      <c r="K192" s="15"/>
      <c r="L192" s="12">
        <f t="shared" si="2"/>
        <v>0</v>
      </c>
    </row>
    <row r="193" spans="2:12">
      <c r="B193" s="14"/>
      <c r="C193" s="16"/>
      <c r="D193" s="16"/>
      <c r="E193" s="16"/>
      <c r="F193" s="11"/>
      <c r="G193" s="14"/>
      <c r="H193" s="15"/>
      <c r="I193" s="15"/>
      <c r="J193" s="15"/>
      <c r="K193" s="15"/>
      <c r="L193" s="12">
        <f t="shared" si="2"/>
        <v>0</v>
      </c>
    </row>
    <row r="194" spans="2:12">
      <c r="B194" s="14"/>
      <c r="C194" s="16"/>
      <c r="D194" s="16"/>
      <c r="E194" s="16"/>
      <c r="F194" s="11"/>
      <c r="G194" s="14"/>
      <c r="H194" s="15"/>
      <c r="I194" s="15"/>
      <c r="J194" s="15"/>
      <c r="K194" s="15"/>
      <c r="L194" s="12">
        <f t="shared" si="2"/>
        <v>0</v>
      </c>
    </row>
    <row r="195" spans="2:12">
      <c r="B195" s="14"/>
      <c r="C195" s="16"/>
      <c r="D195" s="16"/>
      <c r="E195" s="16"/>
      <c r="F195" s="11"/>
      <c r="G195" s="14"/>
      <c r="H195" s="15"/>
      <c r="I195" s="15"/>
      <c r="J195" s="15"/>
      <c r="K195" s="15"/>
      <c r="L195" s="12">
        <f t="shared" si="2"/>
        <v>0</v>
      </c>
    </row>
    <row r="196" spans="2:12">
      <c r="B196" s="14"/>
      <c r="C196" s="16"/>
      <c r="D196" s="16"/>
      <c r="E196" s="16"/>
      <c r="F196" s="11"/>
      <c r="G196" s="14"/>
      <c r="H196" s="15"/>
      <c r="I196" s="15"/>
      <c r="J196" s="15"/>
      <c r="K196" s="15"/>
      <c r="L196" s="12">
        <f t="shared" si="2"/>
        <v>0</v>
      </c>
    </row>
    <row r="197" spans="2:12">
      <c r="B197" s="14"/>
      <c r="C197" s="16"/>
      <c r="D197" s="16"/>
      <c r="E197" s="16"/>
      <c r="F197" s="11"/>
      <c r="G197" s="14"/>
      <c r="H197" s="15"/>
      <c r="I197" s="15"/>
      <c r="J197" s="15"/>
      <c r="K197" s="15"/>
      <c r="L197" s="12">
        <f t="shared" si="2"/>
        <v>0</v>
      </c>
    </row>
    <row r="198" spans="2:12">
      <c r="B198" s="14"/>
      <c r="C198" s="16"/>
      <c r="D198" s="16"/>
      <c r="E198" s="16"/>
      <c r="F198" s="11"/>
      <c r="G198" s="14"/>
      <c r="H198" s="15"/>
      <c r="I198" s="15"/>
      <c r="J198" s="15"/>
      <c r="K198" s="15"/>
      <c r="L198" s="12">
        <f t="shared" si="2"/>
        <v>0</v>
      </c>
    </row>
    <row r="199" spans="2:12">
      <c r="B199" s="14"/>
      <c r="C199" s="16"/>
      <c r="D199" s="16"/>
      <c r="E199" s="16"/>
      <c r="F199" s="11"/>
      <c r="G199" s="14"/>
      <c r="H199" s="15"/>
      <c r="I199" s="15"/>
      <c r="J199" s="15"/>
      <c r="K199" s="15"/>
      <c r="L199" s="12">
        <f t="shared" si="2"/>
        <v>0</v>
      </c>
    </row>
    <row r="200" spans="2:12">
      <c r="B200" s="14"/>
      <c r="C200" s="16"/>
      <c r="D200" s="16"/>
      <c r="E200" s="16"/>
      <c r="F200" s="11"/>
      <c r="G200" s="14"/>
      <c r="H200" s="15"/>
      <c r="I200" s="15"/>
      <c r="J200" s="15"/>
      <c r="K200" s="15"/>
      <c r="L200" s="12">
        <f t="shared" si="2"/>
        <v>0</v>
      </c>
    </row>
    <row r="201" spans="2:12">
      <c r="B201" s="14"/>
      <c r="C201" s="16"/>
      <c r="D201" s="16"/>
      <c r="E201" s="16"/>
      <c r="F201" s="11"/>
      <c r="G201" s="14"/>
      <c r="H201" s="15"/>
      <c r="I201" s="15"/>
      <c r="J201" s="15"/>
      <c r="K201" s="15"/>
      <c r="L201" s="12">
        <f t="shared" si="2"/>
        <v>0</v>
      </c>
    </row>
    <row r="202" spans="2:12">
      <c r="B202" s="14"/>
      <c r="C202" s="16"/>
      <c r="D202" s="16"/>
      <c r="E202" s="16"/>
      <c r="F202" s="11"/>
      <c r="G202" s="14"/>
      <c r="H202" s="15"/>
      <c r="I202" s="15"/>
      <c r="J202" s="15"/>
      <c r="K202" s="15"/>
      <c r="L202" s="12">
        <f t="shared" si="2"/>
        <v>0</v>
      </c>
    </row>
    <row r="203" spans="2:12">
      <c r="B203" s="14"/>
      <c r="C203" s="16"/>
      <c r="D203" s="16"/>
      <c r="E203" s="16"/>
      <c r="F203" s="11"/>
      <c r="G203" s="14"/>
      <c r="H203" s="15"/>
      <c r="I203" s="15"/>
      <c r="J203" s="15"/>
      <c r="K203" s="15"/>
      <c r="L203" s="12">
        <f t="shared" si="2"/>
        <v>0</v>
      </c>
    </row>
    <row r="204" spans="2:12">
      <c r="B204" s="14"/>
      <c r="C204" s="16"/>
      <c r="D204" s="16"/>
      <c r="E204" s="16"/>
      <c r="F204" s="11"/>
      <c r="G204" s="14"/>
      <c r="H204" s="15"/>
      <c r="I204" s="15"/>
      <c r="J204" s="15"/>
      <c r="K204" s="15"/>
      <c r="L204" s="12">
        <f t="shared" si="2"/>
        <v>0</v>
      </c>
    </row>
    <row r="205" spans="2:12">
      <c r="B205" s="14"/>
      <c r="C205" s="16"/>
      <c r="D205" s="16"/>
      <c r="E205" s="16"/>
      <c r="F205" s="11"/>
      <c r="G205" s="14"/>
      <c r="H205" s="15"/>
      <c r="I205" s="15"/>
      <c r="J205" s="15"/>
      <c r="K205" s="15"/>
      <c r="L205" s="12">
        <f t="shared" si="2"/>
        <v>0</v>
      </c>
    </row>
    <row r="206" spans="2:12">
      <c r="B206" s="14"/>
      <c r="C206" s="16"/>
      <c r="D206" s="16"/>
      <c r="E206" s="16"/>
      <c r="F206" s="11"/>
      <c r="G206" s="14"/>
      <c r="H206" s="15"/>
      <c r="I206" s="15"/>
      <c r="J206" s="15"/>
      <c r="K206" s="15"/>
      <c r="L206" s="12">
        <f t="shared" si="2"/>
        <v>0</v>
      </c>
    </row>
    <row r="207" spans="2:12">
      <c r="B207" s="14"/>
      <c r="C207" s="16"/>
      <c r="D207" s="16"/>
      <c r="E207" s="16"/>
      <c r="F207" s="11"/>
      <c r="G207" s="14"/>
      <c r="H207" s="15"/>
      <c r="I207" s="15"/>
      <c r="J207" s="15"/>
      <c r="K207" s="15"/>
      <c r="L207" s="12">
        <f t="shared" si="2"/>
        <v>0</v>
      </c>
    </row>
    <row r="208" spans="2:12">
      <c r="B208" s="14"/>
      <c r="C208" s="16"/>
      <c r="D208" s="16"/>
      <c r="E208" s="16"/>
      <c r="F208" s="11"/>
      <c r="G208" s="14"/>
      <c r="H208" s="15"/>
      <c r="I208" s="15"/>
      <c r="J208" s="15"/>
      <c r="K208" s="15"/>
      <c r="L208" s="12">
        <f t="shared" si="2"/>
        <v>0</v>
      </c>
    </row>
    <row r="209" spans="2:12">
      <c r="B209" s="14"/>
      <c r="C209" s="16"/>
      <c r="D209" s="16"/>
      <c r="E209" s="16"/>
      <c r="F209" s="11"/>
      <c r="G209" s="14"/>
      <c r="H209" s="15"/>
      <c r="I209" s="15"/>
      <c r="J209" s="15"/>
      <c r="K209" s="15"/>
      <c r="L209" s="12">
        <f t="shared" si="2"/>
        <v>0</v>
      </c>
    </row>
    <row r="210" spans="2:12">
      <c r="B210" s="14"/>
      <c r="C210" s="16"/>
      <c r="D210" s="16"/>
      <c r="E210" s="16"/>
      <c r="F210" s="11"/>
      <c r="G210" s="14"/>
      <c r="H210" s="15"/>
      <c r="I210" s="15"/>
      <c r="J210" s="15"/>
      <c r="K210" s="15"/>
      <c r="L210" s="12">
        <f t="shared" si="2"/>
        <v>0</v>
      </c>
    </row>
    <row r="211" spans="2:12">
      <c r="B211" s="14"/>
      <c r="C211" s="16"/>
      <c r="D211" s="16"/>
      <c r="E211" s="16"/>
      <c r="F211" s="11"/>
      <c r="G211" s="14"/>
      <c r="H211" s="15"/>
      <c r="I211" s="15"/>
      <c r="J211" s="15"/>
      <c r="K211" s="15"/>
      <c r="L211" s="12">
        <f t="shared" ref="L211:L274" si="3">+K211-H211</f>
        <v>0</v>
      </c>
    </row>
    <row r="212" spans="2:12">
      <c r="B212" s="14"/>
      <c r="C212" s="16"/>
      <c r="D212" s="16"/>
      <c r="E212" s="16"/>
      <c r="F212" s="11"/>
      <c r="G212" s="14"/>
      <c r="H212" s="15"/>
      <c r="I212" s="15"/>
      <c r="J212" s="15"/>
      <c r="K212" s="15"/>
      <c r="L212" s="12">
        <f t="shared" si="3"/>
        <v>0</v>
      </c>
    </row>
    <row r="213" spans="2:12">
      <c r="B213" s="14"/>
      <c r="C213" s="16"/>
      <c r="D213" s="16"/>
      <c r="E213" s="16"/>
      <c r="F213" s="11"/>
      <c r="G213" s="14"/>
      <c r="H213" s="15"/>
      <c r="I213" s="15"/>
      <c r="J213" s="15"/>
      <c r="K213" s="15"/>
      <c r="L213" s="12">
        <f t="shared" si="3"/>
        <v>0</v>
      </c>
    </row>
    <row r="214" spans="2:12">
      <c r="B214" s="14"/>
      <c r="C214" s="16"/>
      <c r="D214" s="16"/>
      <c r="E214" s="16"/>
      <c r="F214" s="11"/>
      <c r="G214" s="14"/>
      <c r="H214" s="15"/>
      <c r="I214" s="15"/>
      <c r="J214" s="15"/>
      <c r="K214" s="15"/>
      <c r="L214" s="12">
        <f t="shared" si="3"/>
        <v>0</v>
      </c>
    </row>
    <row r="215" spans="2:12">
      <c r="B215" s="14"/>
      <c r="C215" s="16"/>
      <c r="D215" s="16"/>
      <c r="E215" s="16"/>
      <c r="F215" s="11"/>
      <c r="G215" s="14"/>
      <c r="H215" s="15"/>
      <c r="I215" s="15"/>
      <c r="J215" s="15"/>
      <c r="K215" s="15"/>
      <c r="L215" s="12">
        <f t="shared" si="3"/>
        <v>0</v>
      </c>
    </row>
    <row r="216" spans="2:12">
      <c r="B216" s="14"/>
      <c r="C216" s="16"/>
      <c r="D216" s="16"/>
      <c r="E216" s="16"/>
      <c r="F216" s="11"/>
      <c r="G216" s="14"/>
      <c r="H216" s="15"/>
      <c r="I216" s="15"/>
      <c r="J216" s="15"/>
      <c r="K216" s="15"/>
      <c r="L216" s="12">
        <f t="shared" si="3"/>
        <v>0</v>
      </c>
    </row>
    <row r="217" spans="2:12">
      <c r="B217" s="14"/>
      <c r="C217" s="16"/>
      <c r="D217" s="16"/>
      <c r="E217" s="16"/>
      <c r="F217" s="11"/>
      <c r="G217" s="14"/>
      <c r="H217" s="15"/>
      <c r="I217" s="15"/>
      <c r="J217" s="15"/>
      <c r="K217" s="15"/>
      <c r="L217" s="12">
        <f t="shared" si="3"/>
        <v>0</v>
      </c>
    </row>
    <row r="218" spans="2:12">
      <c r="B218" s="14"/>
      <c r="C218" s="16"/>
      <c r="D218" s="16"/>
      <c r="E218" s="16"/>
      <c r="F218" s="11"/>
      <c r="G218" s="14"/>
      <c r="H218" s="15"/>
      <c r="I218" s="15"/>
      <c r="J218" s="15"/>
      <c r="K218" s="15"/>
      <c r="L218" s="12">
        <f t="shared" si="3"/>
        <v>0</v>
      </c>
    </row>
    <row r="219" spans="2:12">
      <c r="B219" s="14"/>
      <c r="C219" s="16"/>
      <c r="D219" s="16"/>
      <c r="E219" s="16"/>
      <c r="F219" s="11"/>
      <c r="G219" s="14"/>
      <c r="H219" s="15"/>
      <c r="I219" s="15"/>
      <c r="J219" s="15"/>
      <c r="K219" s="15"/>
      <c r="L219" s="12">
        <f t="shared" si="3"/>
        <v>0</v>
      </c>
    </row>
    <row r="220" spans="2:12">
      <c r="B220" s="14"/>
      <c r="C220" s="16"/>
      <c r="D220" s="16"/>
      <c r="E220" s="16"/>
      <c r="F220" s="11"/>
      <c r="G220" s="14"/>
      <c r="H220" s="15"/>
      <c r="I220" s="15"/>
      <c r="J220" s="15"/>
      <c r="K220" s="15"/>
      <c r="L220" s="12">
        <f t="shared" si="3"/>
        <v>0</v>
      </c>
    </row>
    <row r="221" spans="2:12">
      <c r="B221" s="14"/>
      <c r="C221" s="16"/>
      <c r="D221" s="16"/>
      <c r="E221" s="16"/>
      <c r="F221" s="11"/>
      <c r="G221" s="14"/>
      <c r="H221" s="15"/>
      <c r="I221" s="15"/>
      <c r="J221" s="15"/>
      <c r="K221" s="15"/>
      <c r="L221" s="12">
        <f t="shared" si="3"/>
        <v>0</v>
      </c>
    </row>
    <row r="222" spans="2:12">
      <c r="B222" s="14"/>
      <c r="C222" s="16"/>
      <c r="D222" s="16"/>
      <c r="E222" s="16"/>
      <c r="F222" s="11"/>
      <c r="G222" s="14"/>
      <c r="H222" s="15"/>
      <c r="I222" s="15"/>
      <c r="J222" s="15"/>
      <c r="K222" s="15"/>
      <c r="L222" s="12">
        <f t="shared" si="3"/>
        <v>0</v>
      </c>
    </row>
    <row r="223" spans="2:12">
      <c r="B223" s="14"/>
      <c r="C223" s="16"/>
      <c r="D223" s="16"/>
      <c r="E223" s="16"/>
      <c r="F223" s="11"/>
      <c r="G223" s="14"/>
      <c r="H223" s="15"/>
      <c r="I223" s="15"/>
      <c r="J223" s="15"/>
      <c r="K223" s="15"/>
      <c r="L223" s="12">
        <f t="shared" si="3"/>
        <v>0</v>
      </c>
    </row>
    <row r="224" spans="2:12">
      <c r="B224" s="14"/>
      <c r="C224" s="16"/>
      <c r="D224" s="16"/>
      <c r="E224" s="16"/>
      <c r="F224" s="11"/>
      <c r="G224" s="14"/>
      <c r="H224" s="15"/>
      <c r="I224" s="15"/>
      <c r="J224" s="15"/>
      <c r="K224" s="15"/>
      <c r="L224" s="12">
        <f t="shared" si="3"/>
        <v>0</v>
      </c>
    </row>
    <row r="225" spans="2:12">
      <c r="B225" s="14"/>
      <c r="C225" s="16"/>
      <c r="D225" s="16"/>
      <c r="E225" s="16"/>
      <c r="F225" s="11"/>
      <c r="G225" s="14"/>
      <c r="H225" s="15"/>
      <c r="I225" s="15"/>
      <c r="J225" s="15"/>
      <c r="K225" s="15"/>
      <c r="L225" s="12">
        <f t="shared" si="3"/>
        <v>0</v>
      </c>
    </row>
    <row r="226" spans="2:12">
      <c r="B226" s="14"/>
      <c r="C226" s="16"/>
      <c r="D226" s="16"/>
      <c r="E226" s="16"/>
      <c r="F226" s="11"/>
      <c r="G226" s="14"/>
      <c r="H226" s="15"/>
      <c r="I226" s="15"/>
      <c r="J226" s="15"/>
      <c r="K226" s="15"/>
      <c r="L226" s="12">
        <f t="shared" si="3"/>
        <v>0</v>
      </c>
    </row>
    <row r="227" spans="2:12">
      <c r="B227" s="14"/>
      <c r="C227" s="16"/>
      <c r="D227" s="16"/>
      <c r="E227" s="16"/>
      <c r="F227" s="11"/>
      <c r="G227" s="14"/>
      <c r="H227" s="15"/>
      <c r="I227" s="15"/>
      <c r="J227" s="15"/>
      <c r="K227" s="15"/>
      <c r="L227" s="12">
        <f t="shared" si="3"/>
        <v>0</v>
      </c>
    </row>
    <row r="228" spans="2:12">
      <c r="B228" s="14"/>
      <c r="C228" s="16"/>
      <c r="D228" s="16"/>
      <c r="E228" s="16"/>
      <c r="F228" s="11"/>
      <c r="G228" s="14"/>
      <c r="H228" s="15"/>
      <c r="I228" s="15"/>
      <c r="J228" s="15"/>
      <c r="K228" s="15"/>
      <c r="L228" s="12">
        <f t="shared" si="3"/>
        <v>0</v>
      </c>
    </row>
    <row r="229" spans="2:12">
      <c r="B229" s="14"/>
      <c r="C229" s="16"/>
      <c r="D229" s="16"/>
      <c r="E229" s="16"/>
      <c r="F229" s="11"/>
      <c r="G229" s="14"/>
      <c r="H229" s="15"/>
      <c r="I229" s="15"/>
      <c r="J229" s="15"/>
      <c r="K229" s="15"/>
      <c r="L229" s="12">
        <f t="shared" si="3"/>
        <v>0</v>
      </c>
    </row>
    <row r="230" spans="2:12">
      <c r="B230" s="14"/>
      <c r="C230" s="16"/>
      <c r="D230" s="16"/>
      <c r="E230" s="16"/>
      <c r="F230" s="11"/>
      <c r="G230" s="14"/>
      <c r="H230" s="15"/>
      <c r="I230" s="15"/>
      <c r="J230" s="15"/>
      <c r="K230" s="15"/>
      <c r="L230" s="12">
        <f t="shared" si="3"/>
        <v>0</v>
      </c>
    </row>
    <row r="231" spans="2:12">
      <c r="B231" s="14"/>
      <c r="C231" s="16"/>
      <c r="D231" s="16"/>
      <c r="E231" s="16"/>
      <c r="F231" s="11"/>
      <c r="G231" s="14"/>
      <c r="H231" s="15"/>
      <c r="I231" s="15"/>
      <c r="J231" s="15"/>
      <c r="K231" s="15"/>
      <c r="L231" s="12">
        <f t="shared" si="3"/>
        <v>0</v>
      </c>
    </row>
    <row r="232" spans="2:12">
      <c r="B232" s="14"/>
      <c r="C232" s="16"/>
      <c r="D232" s="16"/>
      <c r="E232" s="16"/>
      <c r="F232" s="11"/>
      <c r="G232" s="14"/>
      <c r="H232" s="15"/>
      <c r="I232" s="15"/>
      <c r="J232" s="15"/>
      <c r="K232" s="15"/>
      <c r="L232" s="12">
        <f t="shared" si="3"/>
        <v>0</v>
      </c>
    </row>
    <row r="233" spans="2:12">
      <c r="B233" s="14"/>
      <c r="C233" s="16"/>
      <c r="D233" s="16"/>
      <c r="E233" s="16"/>
      <c r="F233" s="11"/>
      <c r="G233" s="14"/>
      <c r="H233" s="15"/>
      <c r="I233" s="15"/>
      <c r="J233" s="15"/>
      <c r="K233" s="15"/>
      <c r="L233" s="12">
        <f t="shared" si="3"/>
        <v>0</v>
      </c>
    </row>
    <row r="234" spans="2:12">
      <c r="B234" s="14"/>
      <c r="C234" s="16"/>
      <c r="D234" s="16"/>
      <c r="E234" s="16"/>
      <c r="F234" s="11"/>
      <c r="G234" s="14"/>
      <c r="H234" s="15"/>
      <c r="I234" s="15"/>
      <c r="J234" s="15"/>
      <c r="K234" s="15"/>
      <c r="L234" s="12">
        <f t="shared" si="3"/>
        <v>0</v>
      </c>
    </row>
    <row r="235" spans="2:12">
      <c r="B235" s="14"/>
      <c r="C235" s="16"/>
      <c r="D235" s="16"/>
      <c r="E235" s="16"/>
      <c r="F235" s="11"/>
      <c r="G235" s="14"/>
      <c r="H235" s="15"/>
      <c r="I235" s="15"/>
      <c r="J235" s="15"/>
      <c r="K235" s="15"/>
      <c r="L235" s="12">
        <f t="shared" si="3"/>
        <v>0</v>
      </c>
    </row>
    <row r="236" spans="2:12">
      <c r="B236" s="14"/>
      <c r="C236" s="16"/>
      <c r="D236" s="16"/>
      <c r="E236" s="16"/>
      <c r="F236" s="11"/>
      <c r="G236" s="14"/>
      <c r="H236" s="15"/>
      <c r="I236" s="15"/>
      <c r="J236" s="15"/>
      <c r="K236" s="15"/>
      <c r="L236" s="12">
        <f t="shared" si="3"/>
        <v>0</v>
      </c>
    </row>
    <row r="237" spans="2:12">
      <c r="B237" s="14"/>
      <c r="C237" s="16"/>
      <c r="D237" s="16"/>
      <c r="E237" s="16"/>
      <c r="F237" s="11"/>
      <c r="G237" s="14"/>
      <c r="H237" s="15"/>
      <c r="I237" s="15"/>
      <c r="J237" s="15"/>
      <c r="K237" s="15"/>
      <c r="L237" s="12">
        <f t="shared" si="3"/>
        <v>0</v>
      </c>
    </row>
    <row r="238" spans="2:12">
      <c r="B238" s="14"/>
      <c r="C238" s="16"/>
      <c r="D238" s="16"/>
      <c r="E238" s="16"/>
      <c r="F238" s="11"/>
      <c r="G238" s="14"/>
      <c r="H238" s="15"/>
      <c r="I238" s="15"/>
      <c r="J238" s="15"/>
      <c r="K238" s="15"/>
      <c r="L238" s="12">
        <f t="shared" si="3"/>
        <v>0</v>
      </c>
    </row>
    <row r="239" spans="2:12">
      <c r="B239" s="14"/>
      <c r="C239" s="16"/>
      <c r="D239" s="16"/>
      <c r="E239" s="16"/>
      <c r="F239" s="11"/>
      <c r="G239" s="14"/>
      <c r="H239" s="15"/>
      <c r="I239" s="15"/>
      <c r="J239" s="15"/>
      <c r="K239" s="15"/>
      <c r="L239" s="12">
        <f t="shared" si="3"/>
        <v>0</v>
      </c>
    </row>
    <row r="240" spans="2:12">
      <c r="B240" s="14"/>
      <c r="C240" s="16"/>
      <c r="D240" s="16"/>
      <c r="E240" s="16"/>
      <c r="F240" s="11"/>
      <c r="G240" s="14"/>
      <c r="H240" s="15"/>
      <c r="I240" s="15"/>
      <c r="J240" s="15"/>
      <c r="K240" s="15"/>
      <c r="L240" s="12">
        <f t="shared" si="3"/>
        <v>0</v>
      </c>
    </row>
    <row r="241" spans="2:12">
      <c r="B241" s="14"/>
      <c r="C241" s="16"/>
      <c r="D241" s="16"/>
      <c r="E241" s="16"/>
      <c r="F241" s="11"/>
      <c r="G241" s="14"/>
      <c r="H241" s="15"/>
      <c r="I241" s="15"/>
      <c r="J241" s="15"/>
      <c r="K241" s="15"/>
      <c r="L241" s="12">
        <f t="shared" si="3"/>
        <v>0</v>
      </c>
    </row>
    <row r="242" spans="2:12">
      <c r="B242" s="14"/>
      <c r="C242" s="16"/>
      <c r="D242" s="16"/>
      <c r="E242" s="16"/>
      <c r="F242" s="11"/>
      <c r="G242" s="14"/>
      <c r="H242" s="15"/>
      <c r="I242" s="15"/>
      <c r="J242" s="15"/>
      <c r="K242" s="15"/>
      <c r="L242" s="12">
        <f t="shared" si="3"/>
        <v>0</v>
      </c>
    </row>
    <row r="243" spans="2:12">
      <c r="B243" s="14"/>
      <c r="C243" s="16"/>
      <c r="D243" s="16"/>
      <c r="E243" s="16"/>
      <c r="F243" s="11"/>
      <c r="G243" s="14"/>
      <c r="H243" s="15"/>
      <c r="I243" s="15"/>
      <c r="J243" s="15"/>
      <c r="K243" s="15"/>
      <c r="L243" s="12">
        <f t="shared" si="3"/>
        <v>0</v>
      </c>
    </row>
    <row r="244" spans="2:12">
      <c r="B244" s="14"/>
      <c r="C244" s="16"/>
      <c r="D244" s="16"/>
      <c r="E244" s="16"/>
      <c r="F244" s="11"/>
      <c r="G244" s="14"/>
      <c r="H244" s="15"/>
      <c r="I244" s="15"/>
      <c r="J244" s="15"/>
      <c r="K244" s="15"/>
      <c r="L244" s="12">
        <f t="shared" si="3"/>
        <v>0</v>
      </c>
    </row>
    <row r="245" spans="2:12">
      <c r="B245" s="14"/>
      <c r="C245" s="16"/>
      <c r="D245" s="16"/>
      <c r="E245" s="16"/>
      <c r="F245" s="11"/>
      <c r="G245" s="14"/>
      <c r="H245" s="15"/>
      <c r="I245" s="15"/>
      <c r="J245" s="15"/>
      <c r="K245" s="15"/>
      <c r="L245" s="12">
        <f t="shared" si="3"/>
        <v>0</v>
      </c>
    </row>
    <row r="246" spans="2:12">
      <c r="B246" s="14"/>
      <c r="C246" s="16"/>
      <c r="D246" s="16"/>
      <c r="E246" s="16"/>
      <c r="F246" s="11"/>
      <c r="G246" s="14"/>
      <c r="H246" s="15"/>
      <c r="I246" s="15"/>
      <c r="J246" s="15"/>
      <c r="K246" s="15"/>
      <c r="L246" s="12">
        <f t="shared" si="3"/>
        <v>0</v>
      </c>
    </row>
    <row r="247" spans="2:12">
      <c r="B247" s="14"/>
      <c r="C247" s="16"/>
      <c r="D247" s="16"/>
      <c r="E247" s="16"/>
      <c r="F247" s="11"/>
      <c r="G247" s="14"/>
      <c r="H247" s="15"/>
      <c r="I247" s="15"/>
      <c r="J247" s="15"/>
      <c r="K247" s="15"/>
      <c r="L247" s="12">
        <f t="shared" si="3"/>
        <v>0</v>
      </c>
    </row>
    <row r="248" spans="2:12">
      <c r="B248" s="14"/>
      <c r="C248" s="16"/>
      <c r="D248" s="16"/>
      <c r="E248" s="16"/>
      <c r="F248" s="11"/>
      <c r="G248" s="14"/>
      <c r="H248" s="15"/>
      <c r="I248" s="15"/>
      <c r="J248" s="15"/>
      <c r="K248" s="15"/>
      <c r="L248" s="12">
        <f t="shared" si="3"/>
        <v>0</v>
      </c>
    </row>
    <row r="249" spans="2:12">
      <c r="B249" s="14"/>
      <c r="C249" s="16"/>
      <c r="D249" s="16"/>
      <c r="E249" s="16"/>
      <c r="F249" s="11"/>
      <c r="G249" s="14"/>
      <c r="H249" s="15"/>
      <c r="I249" s="15"/>
      <c r="J249" s="15"/>
      <c r="K249" s="15"/>
      <c r="L249" s="12">
        <f t="shared" si="3"/>
        <v>0</v>
      </c>
    </row>
    <row r="250" spans="2:12">
      <c r="B250" s="14"/>
      <c r="C250" s="16"/>
      <c r="D250" s="16"/>
      <c r="E250" s="16"/>
      <c r="F250" s="11"/>
      <c r="G250" s="14"/>
      <c r="H250" s="15"/>
      <c r="I250" s="15"/>
      <c r="J250" s="15"/>
      <c r="K250" s="15"/>
      <c r="L250" s="12">
        <f t="shared" si="3"/>
        <v>0</v>
      </c>
    </row>
    <row r="251" spans="2:12">
      <c r="B251" s="14"/>
      <c r="C251" s="16"/>
      <c r="D251" s="16"/>
      <c r="E251" s="16"/>
      <c r="F251" s="11"/>
      <c r="G251" s="14"/>
      <c r="H251" s="15"/>
      <c r="I251" s="15"/>
      <c r="J251" s="15"/>
      <c r="K251" s="15"/>
      <c r="L251" s="12">
        <f t="shared" si="3"/>
        <v>0</v>
      </c>
    </row>
    <row r="252" spans="2:12">
      <c r="B252" s="14"/>
      <c r="C252" s="16"/>
      <c r="D252" s="16"/>
      <c r="E252" s="16"/>
      <c r="F252" s="11"/>
      <c r="G252" s="14"/>
      <c r="H252" s="15"/>
      <c r="I252" s="15"/>
      <c r="J252" s="15"/>
      <c r="K252" s="15"/>
      <c r="L252" s="12">
        <f t="shared" si="3"/>
        <v>0</v>
      </c>
    </row>
    <row r="253" spans="2:12">
      <c r="B253" s="14"/>
      <c r="C253" s="16"/>
      <c r="D253" s="16"/>
      <c r="E253" s="16"/>
      <c r="F253" s="11"/>
      <c r="G253" s="14"/>
      <c r="H253" s="15"/>
      <c r="I253" s="15"/>
      <c r="J253" s="15"/>
      <c r="K253" s="15"/>
      <c r="L253" s="12">
        <f t="shared" si="3"/>
        <v>0</v>
      </c>
    </row>
    <row r="254" spans="2:12">
      <c r="B254" s="14"/>
      <c r="C254" s="16"/>
      <c r="D254" s="16"/>
      <c r="E254" s="16"/>
      <c r="F254" s="11"/>
      <c r="G254" s="14"/>
      <c r="H254" s="15"/>
      <c r="I254" s="15"/>
      <c r="J254" s="15"/>
      <c r="K254" s="15"/>
      <c r="L254" s="12">
        <f t="shared" si="3"/>
        <v>0</v>
      </c>
    </row>
    <row r="255" spans="2:12">
      <c r="B255" s="14"/>
      <c r="C255" s="16"/>
      <c r="D255" s="16"/>
      <c r="E255" s="16"/>
      <c r="F255" s="11"/>
      <c r="G255" s="14"/>
      <c r="H255" s="15"/>
      <c r="I255" s="15"/>
      <c r="J255" s="15"/>
      <c r="K255" s="15"/>
      <c r="L255" s="12">
        <f t="shared" si="3"/>
        <v>0</v>
      </c>
    </row>
    <row r="256" spans="2:12">
      <c r="B256" s="14"/>
      <c r="C256" s="16"/>
      <c r="D256" s="16"/>
      <c r="E256" s="16"/>
      <c r="F256" s="11"/>
      <c r="G256" s="14"/>
      <c r="H256" s="15"/>
      <c r="I256" s="15"/>
      <c r="J256" s="15"/>
      <c r="K256" s="15"/>
      <c r="L256" s="12">
        <f t="shared" si="3"/>
        <v>0</v>
      </c>
    </row>
    <row r="257" spans="2:12">
      <c r="B257" s="14"/>
      <c r="C257" s="16"/>
      <c r="D257" s="16"/>
      <c r="E257" s="16"/>
      <c r="F257" s="11"/>
      <c r="G257" s="14"/>
      <c r="H257" s="15"/>
      <c r="I257" s="15"/>
      <c r="J257" s="15"/>
      <c r="K257" s="15"/>
      <c r="L257" s="12">
        <f t="shared" si="3"/>
        <v>0</v>
      </c>
    </row>
    <row r="258" spans="2:12">
      <c r="B258" s="14"/>
      <c r="C258" s="16"/>
      <c r="D258" s="16"/>
      <c r="E258" s="16"/>
      <c r="F258" s="11"/>
      <c r="G258" s="14"/>
      <c r="H258" s="15"/>
      <c r="I258" s="15"/>
      <c r="J258" s="15"/>
      <c r="K258" s="15"/>
      <c r="L258" s="12">
        <f t="shared" si="3"/>
        <v>0</v>
      </c>
    </row>
    <row r="259" spans="2:12">
      <c r="B259" s="14"/>
      <c r="C259" s="16"/>
      <c r="D259" s="16"/>
      <c r="E259" s="16"/>
      <c r="F259" s="11"/>
      <c r="G259" s="14"/>
      <c r="H259" s="15"/>
      <c r="I259" s="15"/>
      <c r="J259" s="15"/>
      <c r="K259" s="15"/>
      <c r="L259" s="12">
        <f t="shared" si="3"/>
        <v>0</v>
      </c>
    </row>
    <row r="260" spans="2:12">
      <c r="B260" s="14"/>
      <c r="C260" s="16"/>
      <c r="D260" s="16"/>
      <c r="E260" s="16"/>
      <c r="F260" s="11"/>
      <c r="G260" s="14"/>
      <c r="H260" s="15"/>
      <c r="I260" s="15"/>
      <c r="J260" s="15"/>
      <c r="K260" s="15"/>
      <c r="L260" s="12">
        <f t="shared" si="3"/>
        <v>0</v>
      </c>
    </row>
    <row r="261" spans="2:12">
      <c r="B261" s="14"/>
      <c r="C261" s="16"/>
      <c r="D261" s="16"/>
      <c r="E261" s="16"/>
      <c r="F261" s="11"/>
      <c r="G261" s="14"/>
      <c r="H261" s="15"/>
      <c r="I261" s="15"/>
      <c r="J261" s="15"/>
      <c r="K261" s="15"/>
      <c r="L261" s="12">
        <f t="shared" si="3"/>
        <v>0</v>
      </c>
    </row>
    <row r="262" spans="2:12">
      <c r="B262" s="14"/>
      <c r="C262" s="16"/>
      <c r="D262" s="16"/>
      <c r="E262" s="16"/>
      <c r="F262" s="11"/>
      <c r="G262" s="14"/>
      <c r="H262" s="15"/>
      <c r="I262" s="15"/>
      <c r="J262" s="15"/>
      <c r="K262" s="15"/>
      <c r="L262" s="12">
        <f t="shared" si="3"/>
        <v>0</v>
      </c>
    </row>
    <row r="263" spans="2:12">
      <c r="B263" s="14"/>
      <c r="C263" s="16"/>
      <c r="D263" s="16"/>
      <c r="E263" s="16"/>
      <c r="F263" s="11"/>
      <c r="G263" s="14"/>
      <c r="H263" s="15"/>
      <c r="I263" s="15"/>
      <c r="J263" s="15"/>
      <c r="K263" s="15"/>
      <c r="L263" s="12">
        <f t="shared" si="3"/>
        <v>0</v>
      </c>
    </row>
    <row r="264" spans="2:12">
      <c r="B264" s="14"/>
      <c r="C264" s="16"/>
      <c r="D264" s="16"/>
      <c r="E264" s="16"/>
      <c r="F264" s="11"/>
      <c r="G264" s="14"/>
      <c r="H264" s="15"/>
      <c r="I264" s="15"/>
      <c r="J264" s="15"/>
      <c r="K264" s="15"/>
      <c r="L264" s="12">
        <f t="shared" si="3"/>
        <v>0</v>
      </c>
    </row>
    <row r="265" spans="2:12">
      <c r="B265" s="14"/>
      <c r="C265" s="16"/>
      <c r="D265" s="16"/>
      <c r="E265" s="16"/>
      <c r="F265" s="11"/>
      <c r="G265" s="14"/>
      <c r="H265" s="15"/>
      <c r="I265" s="15"/>
      <c r="J265" s="15"/>
      <c r="K265" s="15"/>
      <c r="L265" s="12">
        <f t="shared" si="3"/>
        <v>0</v>
      </c>
    </row>
    <row r="266" spans="2:12">
      <c r="B266" s="14"/>
      <c r="C266" s="16"/>
      <c r="D266" s="16"/>
      <c r="E266" s="16"/>
      <c r="F266" s="11"/>
      <c r="G266" s="14"/>
      <c r="H266" s="15"/>
      <c r="I266" s="15"/>
      <c r="J266" s="15"/>
      <c r="K266" s="15"/>
      <c r="L266" s="12">
        <f t="shared" si="3"/>
        <v>0</v>
      </c>
    </row>
    <row r="267" spans="2:12">
      <c r="B267" s="14"/>
      <c r="C267" s="16"/>
      <c r="D267" s="16"/>
      <c r="E267" s="16"/>
      <c r="F267" s="11"/>
      <c r="G267" s="14"/>
      <c r="H267" s="15"/>
      <c r="I267" s="15"/>
      <c r="J267" s="15"/>
      <c r="K267" s="15"/>
      <c r="L267" s="12">
        <f t="shared" si="3"/>
        <v>0</v>
      </c>
    </row>
    <row r="268" spans="2:12">
      <c r="B268" s="14"/>
      <c r="C268" s="16"/>
      <c r="D268" s="16"/>
      <c r="E268" s="16"/>
      <c r="F268" s="11"/>
      <c r="G268" s="14"/>
      <c r="H268" s="15"/>
      <c r="I268" s="15"/>
      <c r="J268" s="15"/>
      <c r="K268" s="15"/>
      <c r="L268" s="12">
        <f t="shared" si="3"/>
        <v>0</v>
      </c>
    </row>
    <row r="269" spans="2:12">
      <c r="B269" s="14"/>
      <c r="C269" s="16"/>
      <c r="D269" s="16"/>
      <c r="E269" s="16"/>
      <c r="F269" s="11"/>
      <c r="G269" s="14"/>
      <c r="H269" s="15"/>
      <c r="I269" s="15"/>
      <c r="J269" s="15"/>
      <c r="K269" s="15"/>
      <c r="L269" s="12">
        <f t="shared" si="3"/>
        <v>0</v>
      </c>
    </row>
    <row r="270" spans="2:12">
      <c r="B270" s="14"/>
      <c r="C270" s="16"/>
      <c r="D270" s="16"/>
      <c r="E270" s="16"/>
      <c r="F270" s="11"/>
      <c r="G270" s="14"/>
      <c r="H270" s="15"/>
      <c r="I270" s="15"/>
      <c r="J270" s="15"/>
      <c r="K270" s="15"/>
      <c r="L270" s="12">
        <f t="shared" si="3"/>
        <v>0</v>
      </c>
    </row>
    <row r="271" spans="2:12">
      <c r="B271" s="14"/>
      <c r="C271" s="16"/>
      <c r="D271" s="16"/>
      <c r="E271" s="16"/>
      <c r="F271" s="11"/>
      <c r="G271" s="14"/>
      <c r="H271" s="15"/>
      <c r="I271" s="15"/>
      <c r="J271" s="15"/>
      <c r="K271" s="15"/>
      <c r="L271" s="12">
        <f t="shared" si="3"/>
        <v>0</v>
      </c>
    </row>
    <row r="272" spans="2:12">
      <c r="B272" s="14"/>
      <c r="C272" s="16"/>
      <c r="D272" s="16"/>
      <c r="E272" s="16"/>
      <c r="F272" s="11"/>
      <c r="G272" s="14"/>
      <c r="H272" s="15"/>
      <c r="I272" s="15"/>
      <c r="J272" s="15"/>
      <c r="K272" s="15"/>
      <c r="L272" s="12">
        <f t="shared" si="3"/>
        <v>0</v>
      </c>
    </row>
    <row r="273" spans="2:12">
      <c r="B273" s="14"/>
      <c r="C273" s="16"/>
      <c r="D273" s="16"/>
      <c r="E273" s="16"/>
      <c r="F273" s="11"/>
      <c r="G273" s="14"/>
      <c r="H273" s="15"/>
      <c r="I273" s="15"/>
      <c r="J273" s="15"/>
      <c r="K273" s="15"/>
      <c r="L273" s="12">
        <f t="shared" si="3"/>
        <v>0</v>
      </c>
    </row>
    <row r="274" spans="2:12">
      <c r="B274" s="14"/>
      <c r="C274" s="16"/>
      <c r="D274" s="16"/>
      <c r="E274" s="16"/>
      <c r="F274" s="11"/>
      <c r="G274" s="14"/>
      <c r="H274" s="15"/>
      <c r="I274" s="15"/>
      <c r="J274" s="15"/>
      <c r="K274" s="15"/>
      <c r="L274" s="12">
        <f t="shared" si="3"/>
        <v>0</v>
      </c>
    </row>
    <row r="275" spans="2:12">
      <c r="B275" s="14"/>
      <c r="C275" s="16"/>
      <c r="D275" s="16"/>
      <c r="E275" s="16"/>
      <c r="F275" s="11"/>
      <c r="G275" s="14"/>
      <c r="H275" s="15"/>
      <c r="I275" s="15"/>
      <c r="J275" s="15"/>
      <c r="K275" s="15"/>
      <c r="L275" s="12">
        <f t="shared" ref="L275:L284" si="4">+K275-H275</f>
        <v>0</v>
      </c>
    </row>
    <row r="276" spans="2:12">
      <c r="B276" s="14"/>
      <c r="C276" s="16"/>
      <c r="D276" s="16"/>
      <c r="E276" s="16"/>
      <c r="F276" s="11"/>
      <c r="G276" s="14"/>
      <c r="H276" s="15"/>
      <c r="I276" s="15"/>
      <c r="J276" s="15"/>
      <c r="K276" s="15"/>
      <c r="L276" s="12">
        <f t="shared" si="4"/>
        <v>0</v>
      </c>
    </row>
    <row r="277" spans="2:12">
      <c r="B277" s="14"/>
      <c r="C277" s="16"/>
      <c r="D277" s="16"/>
      <c r="E277" s="16"/>
      <c r="F277" s="11"/>
      <c r="G277" s="14"/>
      <c r="H277" s="15"/>
      <c r="I277" s="15"/>
      <c r="J277" s="15"/>
      <c r="K277" s="15"/>
      <c r="L277" s="12">
        <f t="shared" si="4"/>
        <v>0</v>
      </c>
    </row>
    <row r="278" spans="2:12">
      <c r="B278" s="14"/>
      <c r="C278" s="16"/>
      <c r="D278" s="16"/>
      <c r="E278" s="16"/>
      <c r="F278" s="11"/>
      <c r="G278" s="14"/>
      <c r="H278" s="15"/>
      <c r="I278" s="15"/>
      <c r="J278" s="15"/>
      <c r="K278" s="15"/>
      <c r="L278" s="12">
        <f t="shared" si="4"/>
        <v>0</v>
      </c>
    </row>
    <row r="279" spans="2:12">
      <c r="B279" s="14"/>
      <c r="C279" s="16"/>
      <c r="D279" s="16"/>
      <c r="E279" s="16"/>
      <c r="F279" s="11"/>
      <c r="G279" s="14"/>
      <c r="H279" s="15"/>
      <c r="I279" s="15"/>
      <c r="J279" s="15"/>
      <c r="K279" s="15"/>
      <c r="L279" s="12">
        <f t="shared" si="4"/>
        <v>0</v>
      </c>
    </row>
    <row r="280" spans="2:12">
      <c r="B280" s="14"/>
      <c r="C280" s="16"/>
      <c r="D280" s="16"/>
      <c r="E280" s="16"/>
      <c r="F280" s="11"/>
      <c r="G280" s="14"/>
      <c r="H280" s="15"/>
      <c r="I280" s="15"/>
      <c r="J280" s="15"/>
      <c r="K280" s="15"/>
      <c r="L280" s="12">
        <f t="shared" si="4"/>
        <v>0</v>
      </c>
    </row>
    <row r="281" spans="2:12">
      <c r="B281" s="14"/>
      <c r="C281" s="16"/>
      <c r="D281" s="16"/>
      <c r="E281" s="16"/>
      <c r="F281" s="11"/>
      <c r="G281" s="14"/>
      <c r="H281" s="15"/>
      <c r="I281" s="15"/>
      <c r="J281" s="15"/>
      <c r="K281" s="15"/>
      <c r="L281" s="12">
        <f t="shared" si="4"/>
        <v>0</v>
      </c>
    </row>
    <row r="282" spans="2:12">
      <c r="B282" s="14"/>
      <c r="C282" s="16"/>
      <c r="D282" s="16"/>
      <c r="E282" s="16"/>
      <c r="F282" s="11"/>
      <c r="G282" s="14"/>
      <c r="H282" s="15"/>
      <c r="I282" s="15"/>
      <c r="J282" s="15"/>
      <c r="K282" s="15"/>
      <c r="L282" s="12">
        <f t="shared" si="4"/>
        <v>0</v>
      </c>
    </row>
    <row r="283" spans="2:12">
      <c r="B283" s="14"/>
      <c r="C283" s="16"/>
      <c r="D283" s="16"/>
      <c r="E283" s="16"/>
      <c r="F283" s="11"/>
      <c r="G283" s="14"/>
      <c r="H283" s="15"/>
      <c r="I283" s="15"/>
      <c r="J283" s="15"/>
      <c r="K283" s="15"/>
      <c r="L283" s="12">
        <f t="shared" si="4"/>
        <v>0</v>
      </c>
    </row>
    <row r="284" spans="2:12">
      <c r="B284" s="14"/>
      <c r="C284" s="16"/>
      <c r="D284" s="16"/>
      <c r="E284" s="16"/>
      <c r="F284" s="11"/>
      <c r="G284" s="14"/>
      <c r="H284" s="15"/>
      <c r="I284" s="15"/>
      <c r="J284" s="15"/>
      <c r="K284" s="15"/>
      <c r="L284" s="12">
        <f t="shared" si="4"/>
        <v>0</v>
      </c>
    </row>
    <row r="285" spans="2:12">
      <c r="B285" s="14"/>
      <c r="C285" s="16"/>
      <c r="D285" s="16"/>
      <c r="E285" s="14"/>
      <c r="F285" s="11"/>
      <c r="G285" s="14"/>
      <c r="H285" s="15"/>
      <c r="I285" s="15"/>
      <c r="J285" s="15"/>
      <c r="K285" s="15"/>
      <c r="L285" s="12"/>
    </row>
    <row r="286" spans="2:12">
      <c r="B286" s="14"/>
      <c r="C286" s="16"/>
      <c r="D286" s="16"/>
      <c r="E286" s="16"/>
      <c r="F286" s="11"/>
      <c r="G286" s="14"/>
      <c r="H286" s="15"/>
      <c r="I286" s="15"/>
      <c r="J286" s="15"/>
      <c r="K286" s="15"/>
      <c r="L286" s="12"/>
    </row>
    <row r="287" spans="2:12">
      <c r="B287" s="14"/>
      <c r="C287" s="16"/>
      <c r="D287" s="16"/>
      <c r="E287" s="16"/>
      <c r="F287" s="11"/>
      <c r="G287" s="14"/>
      <c r="H287" s="15"/>
      <c r="I287" s="15"/>
      <c r="J287" s="15"/>
      <c r="K287" s="15"/>
      <c r="L287" s="12"/>
    </row>
    <row r="288" spans="2:12">
      <c r="B288" s="14"/>
      <c r="C288" s="16"/>
      <c r="D288" s="16"/>
      <c r="E288" s="16"/>
      <c r="F288" s="11"/>
      <c r="G288" s="14"/>
      <c r="H288" s="15"/>
      <c r="I288" s="15"/>
      <c r="J288" s="15"/>
      <c r="K288" s="15"/>
      <c r="L288" s="12"/>
    </row>
    <row r="289" spans="2:12">
      <c r="B289" s="14"/>
      <c r="C289" s="16"/>
      <c r="D289" s="16"/>
      <c r="E289" s="16"/>
      <c r="F289" s="11"/>
      <c r="G289" s="14"/>
      <c r="H289" s="15"/>
      <c r="I289" s="15"/>
      <c r="J289" s="15"/>
      <c r="K289" s="15"/>
      <c r="L289" s="12"/>
    </row>
    <row r="290" spans="2:12">
      <c r="B290" s="14"/>
      <c r="C290" s="16"/>
      <c r="D290" s="16"/>
      <c r="E290" s="16"/>
      <c r="F290" s="11"/>
      <c r="G290" s="14"/>
      <c r="H290" s="15"/>
      <c r="I290" s="15"/>
      <c r="J290" s="15"/>
      <c r="K290" s="15"/>
      <c r="L290" s="12"/>
    </row>
    <row r="291" spans="2:12">
      <c r="B291" s="14"/>
      <c r="C291" s="16"/>
      <c r="D291" s="16"/>
      <c r="E291" s="16"/>
      <c r="F291" s="11"/>
      <c r="G291" s="14"/>
      <c r="H291" s="15"/>
      <c r="I291" s="15"/>
      <c r="J291" s="15"/>
      <c r="K291" s="15"/>
      <c r="L291" s="12"/>
    </row>
    <row r="292" spans="2:12">
      <c r="B292" s="14"/>
      <c r="C292" s="16"/>
      <c r="D292" s="16"/>
      <c r="E292" s="16"/>
      <c r="F292" s="11"/>
      <c r="G292" s="14"/>
      <c r="H292" s="15"/>
      <c r="I292" s="15"/>
      <c r="J292" s="15"/>
      <c r="K292" s="15"/>
      <c r="L292" s="12"/>
    </row>
    <row r="293" spans="2:12">
      <c r="B293" s="14"/>
      <c r="C293" s="16"/>
      <c r="D293" s="16"/>
      <c r="E293" s="16"/>
      <c r="F293" s="11"/>
      <c r="G293" s="14"/>
      <c r="H293" s="15"/>
      <c r="I293" s="15"/>
      <c r="J293" s="15"/>
      <c r="K293" s="15"/>
      <c r="L293" s="12"/>
    </row>
    <row r="294" spans="2:12">
      <c r="B294" s="14"/>
      <c r="C294" s="16"/>
      <c r="D294" s="16"/>
      <c r="E294" s="16"/>
      <c r="F294" s="11"/>
      <c r="G294" s="14"/>
      <c r="H294" s="15"/>
      <c r="I294" s="15"/>
      <c r="J294" s="15"/>
      <c r="K294" s="15"/>
      <c r="L294" s="12"/>
    </row>
    <row r="295" spans="2:12">
      <c r="B295" s="14"/>
      <c r="C295" s="16"/>
      <c r="D295" s="16"/>
      <c r="E295" s="16"/>
      <c r="F295" s="11"/>
      <c r="G295" s="14"/>
      <c r="H295" s="15"/>
      <c r="I295" s="15"/>
      <c r="J295" s="15"/>
      <c r="K295" s="15"/>
      <c r="L295" s="12"/>
    </row>
    <row r="296" spans="2:12">
      <c r="B296" s="14"/>
      <c r="C296" s="16"/>
      <c r="D296" s="16"/>
      <c r="E296" s="16"/>
      <c r="F296" s="11"/>
      <c r="G296" s="14"/>
      <c r="H296" s="15"/>
      <c r="I296" s="15"/>
      <c r="J296" s="15"/>
      <c r="K296" s="15"/>
      <c r="L296" s="12"/>
    </row>
    <row r="297" spans="2:12">
      <c r="B297" s="14"/>
      <c r="C297" s="16"/>
      <c r="D297" s="16"/>
      <c r="E297" s="16"/>
      <c r="F297" s="11"/>
      <c r="G297" s="14"/>
      <c r="H297" s="15"/>
      <c r="I297" s="15"/>
      <c r="J297" s="15"/>
      <c r="K297" s="15"/>
      <c r="L297" s="12"/>
    </row>
    <row r="298" spans="2:12">
      <c r="B298" s="14"/>
      <c r="C298" s="16"/>
      <c r="D298" s="16"/>
      <c r="E298" s="16"/>
      <c r="F298" s="11"/>
      <c r="G298" s="14"/>
      <c r="H298" s="15"/>
      <c r="I298" s="15"/>
      <c r="J298" s="15"/>
      <c r="K298" s="15"/>
      <c r="L298" s="12"/>
    </row>
    <row r="299" spans="2:12">
      <c r="B299" s="14"/>
      <c r="C299" s="16"/>
      <c r="D299" s="16"/>
      <c r="E299" s="16"/>
      <c r="F299" s="11"/>
      <c r="G299" s="14"/>
      <c r="H299" s="15"/>
      <c r="I299" s="15"/>
      <c r="J299" s="15"/>
      <c r="K299" s="15"/>
      <c r="L299" s="12"/>
    </row>
    <row r="300" spans="2:12">
      <c r="B300" s="14"/>
      <c r="C300" s="16"/>
      <c r="D300" s="16"/>
      <c r="E300" s="16"/>
      <c r="F300" s="11"/>
      <c r="G300" s="14"/>
      <c r="H300" s="15"/>
      <c r="I300" s="15"/>
      <c r="J300" s="15"/>
      <c r="K300" s="15"/>
      <c r="L300" s="12"/>
    </row>
    <row r="301" spans="2:12">
      <c r="B301" s="14"/>
      <c r="C301" s="16"/>
      <c r="D301" s="16"/>
      <c r="E301" s="16"/>
      <c r="F301" s="11"/>
      <c r="G301" s="14"/>
      <c r="H301" s="15"/>
      <c r="I301" s="15"/>
      <c r="J301" s="15"/>
      <c r="K301" s="15"/>
      <c r="L301" s="12"/>
    </row>
    <row r="302" spans="2:12">
      <c r="B302" s="14"/>
      <c r="C302" s="16"/>
      <c r="D302" s="16"/>
      <c r="E302" s="16"/>
      <c r="F302" s="11"/>
      <c r="G302" s="14"/>
      <c r="H302" s="15"/>
      <c r="I302" s="15"/>
      <c r="J302" s="15"/>
      <c r="K302" s="15"/>
      <c r="L302" s="12"/>
    </row>
    <row r="303" spans="2:12">
      <c r="B303" s="14"/>
      <c r="C303" s="16"/>
      <c r="D303" s="16"/>
      <c r="E303" s="16"/>
      <c r="F303" s="11"/>
      <c r="G303" s="14"/>
      <c r="H303" s="15"/>
      <c r="I303" s="15"/>
      <c r="J303" s="15"/>
      <c r="K303" s="15"/>
      <c r="L303" s="12"/>
    </row>
    <row r="304" spans="2:12">
      <c r="B304" s="14"/>
      <c r="C304" s="16"/>
      <c r="D304" s="16"/>
      <c r="E304" s="16"/>
      <c r="F304" s="11"/>
      <c r="G304" s="14"/>
      <c r="H304" s="15"/>
      <c r="I304" s="15"/>
      <c r="J304" s="15"/>
      <c r="K304" s="15"/>
      <c r="L304" s="12"/>
    </row>
    <row r="305" spans="2:12">
      <c r="B305" s="14"/>
      <c r="C305" s="16"/>
      <c r="D305" s="16"/>
      <c r="E305" s="16"/>
      <c r="F305" s="11"/>
      <c r="G305" s="14"/>
      <c r="H305" s="15"/>
      <c r="I305" s="15"/>
      <c r="J305" s="15"/>
      <c r="K305" s="15"/>
      <c r="L305" s="12"/>
    </row>
    <row r="306" spans="2:12">
      <c r="B306" s="14"/>
      <c r="C306" s="16"/>
      <c r="D306" s="16"/>
      <c r="E306" s="16"/>
      <c r="F306" s="11"/>
      <c r="G306" s="14"/>
      <c r="H306" s="15"/>
      <c r="I306" s="15"/>
      <c r="J306" s="15"/>
      <c r="K306" s="15"/>
      <c r="L306" s="12"/>
    </row>
    <row r="307" spans="2:12">
      <c r="B307" s="14"/>
      <c r="C307" s="16"/>
      <c r="D307" s="16"/>
      <c r="E307" s="16"/>
      <c r="F307" s="11"/>
      <c r="G307" s="14"/>
      <c r="H307" s="15"/>
      <c r="I307" s="15"/>
      <c r="J307" s="15"/>
      <c r="K307" s="15"/>
      <c r="L307" s="12"/>
    </row>
    <row r="308" spans="2:12">
      <c r="B308" s="14"/>
      <c r="C308" s="16"/>
      <c r="D308" s="16"/>
      <c r="E308" s="16"/>
      <c r="F308" s="11"/>
      <c r="G308" s="14"/>
      <c r="H308" s="15"/>
      <c r="I308" s="15"/>
      <c r="J308" s="15"/>
      <c r="K308" s="15"/>
      <c r="L308" s="12"/>
    </row>
    <row r="309" spans="2:12">
      <c r="B309" s="14"/>
      <c r="C309" s="16"/>
      <c r="D309" s="16"/>
      <c r="E309" s="16"/>
      <c r="F309" s="11"/>
      <c r="G309" s="14"/>
      <c r="H309" s="15"/>
      <c r="I309" s="15"/>
      <c r="J309" s="15"/>
      <c r="K309" s="15"/>
      <c r="L309" s="12"/>
    </row>
    <row r="310" spans="2:12">
      <c r="B310" s="14"/>
      <c r="C310" s="16"/>
      <c r="D310" s="16"/>
      <c r="E310" s="16"/>
      <c r="F310" s="11"/>
      <c r="G310" s="14"/>
      <c r="H310" s="15"/>
      <c r="I310" s="15"/>
      <c r="J310" s="15"/>
      <c r="K310" s="15"/>
      <c r="L310" s="12"/>
    </row>
    <row r="311" spans="2:12">
      <c r="B311" s="14"/>
      <c r="C311" s="16"/>
      <c r="D311" s="16"/>
      <c r="E311" s="16"/>
      <c r="F311" s="11"/>
      <c r="G311" s="14"/>
      <c r="H311" s="15"/>
      <c r="I311" s="15"/>
      <c r="J311" s="15"/>
      <c r="K311" s="15"/>
      <c r="L311" s="12"/>
    </row>
    <row r="312" spans="2:12">
      <c r="B312" s="14"/>
      <c r="C312" s="16"/>
      <c r="D312" s="16"/>
      <c r="E312" s="16"/>
      <c r="F312" s="11"/>
      <c r="G312" s="14"/>
      <c r="H312" s="15"/>
      <c r="I312" s="15"/>
      <c r="J312" s="15"/>
      <c r="K312" s="15"/>
      <c r="L312" s="12"/>
    </row>
    <row r="313" spans="2:12">
      <c r="B313" s="14"/>
      <c r="C313" s="16"/>
      <c r="D313" s="16"/>
      <c r="E313" s="16"/>
      <c r="F313" s="11"/>
      <c r="G313" s="14"/>
      <c r="H313" s="15"/>
      <c r="I313" s="15"/>
      <c r="J313" s="15"/>
      <c r="K313" s="15"/>
      <c r="L313" s="12"/>
    </row>
    <row r="314" spans="2:12">
      <c r="B314" s="14"/>
      <c r="C314" s="16"/>
      <c r="D314" s="16"/>
      <c r="E314" s="16"/>
      <c r="F314" s="11"/>
      <c r="G314" s="14"/>
      <c r="H314" s="15"/>
      <c r="I314" s="15"/>
      <c r="J314" s="15"/>
      <c r="K314" s="15"/>
      <c r="L314" s="12"/>
    </row>
    <row r="315" spans="2:12">
      <c r="B315" s="14"/>
      <c r="C315" s="16"/>
      <c r="D315" s="16"/>
      <c r="E315" s="16"/>
      <c r="F315" s="11"/>
      <c r="G315" s="14"/>
      <c r="H315" s="15"/>
      <c r="I315" s="15"/>
      <c r="J315" s="15"/>
      <c r="K315" s="15"/>
      <c r="L315" s="12"/>
    </row>
    <row r="316" spans="2:12">
      <c r="B316" s="14"/>
      <c r="C316" s="16"/>
      <c r="D316" s="16"/>
      <c r="E316" s="16"/>
      <c r="F316" s="11"/>
      <c r="G316" s="14"/>
      <c r="H316" s="15"/>
      <c r="I316" s="15"/>
      <c r="J316" s="15"/>
      <c r="K316" s="15"/>
      <c r="L316" s="12"/>
    </row>
    <row r="317" spans="2:12">
      <c r="B317" s="14"/>
      <c r="C317" s="16"/>
      <c r="D317" s="16"/>
      <c r="E317" s="16"/>
      <c r="F317" s="11"/>
      <c r="G317" s="14"/>
      <c r="H317" s="15"/>
      <c r="I317" s="15"/>
      <c r="J317" s="15"/>
      <c r="K317" s="15"/>
      <c r="L317" s="12"/>
    </row>
    <row r="318" spans="2:12">
      <c r="B318" s="14"/>
      <c r="C318" s="16"/>
      <c r="D318" s="16"/>
      <c r="E318" s="16"/>
      <c r="F318" s="11"/>
      <c r="G318" s="14"/>
      <c r="H318" s="15"/>
      <c r="I318" s="15"/>
      <c r="J318" s="15"/>
      <c r="K318" s="15"/>
      <c r="L318" s="12"/>
    </row>
    <row r="319" spans="2:12">
      <c r="B319" s="14"/>
      <c r="C319" s="16"/>
      <c r="D319" s="16"/>
      <c r="E319" s="16"/>
      <c r="F319" s="11"/>
      <c r="G319" s="14"/>
      <c r="H319" s="15"/>
      <c r="I319" s="15"/>
      <c r="J319" s="15"/>
      <c r="K319" s="15"/>
      <c r="L319" s="12"/>
    </row>
    <row r="320" spans="2:12">
      <c r="B320" s="14"/>
      <c r="C320" s="16"/>
      <c r="D320" s="16"/>
      <c r="E320" s="16"/>
      <c r="F320" s="11"/>
      <c r="G320" s="14"/>
      <c r="H320" s="15"/>
      <c r="I320" s="15"/>
      <c r="J320" s="15"/>
      <c r="K320" s="15"/>
      <c r="L320" s="12"/>
    </row>
    <row r="321" spans="2:12">
      <c r="B321" s="14"/>
      <c r="C321" s="16"/>
      <c r="D321" s="16"/>
      <c r="E321" s="16"/>
      <c r="F321" s="11"/>
      <c r="G321" s="14"/>
      <c r="H321" s="15"/>
      <c r="I321" s="15"/>
      <c r="J321" s="15"/>
      <c r="K321" s="15"/>
      <c r="L321" s="12"/>
    </row>
    <row r="322" spans="2:12">
      <c r="B322" s="14"/>
      <c r="C322" s="16"/>
      <c r="D322" s="16"/>
      <c r="E322" s="16"/>
      <c r="F322" s="11"/>
      <c r="G322" s="14"/>
      <c r="H322" s="15"/>
      <c r="I322" s="15"/>
      <c r="J322" s="15"/>
      <c r="K322" s="15"/>
      <c r="L322" s="12"/>
    </row>
    <row r="323" spans="2:12">
      <c r="B323" s="14"/>
      <c r="C323" s="16"/>
      <c r="D323" s="16"/>
      <c r="E323" s="16"/>
      <c r="F323" s="11"/>
      <c r="G323" s="14"/>
      <c r="H323" s="15"/>
      <c r="I323" s="15"/>
      <c r="J323" s="15"/>
      <c r="K323" s="15"/>
      <c r="L323" s="12"/>
    </row>
    <row r="324" spans="2:12">
      <c r="B324" s="14"/>
      <c r="C324" s="16"/>
      <c r="D324" s="16"/>
      <c r="E324" s="16"/>
      <c r="F324" s="11"/>
      <c r="G324" s="14"/>
      <c r="H324" s="15"/>
      <c r="I324" s="15"/>
      <c r="J324" s="15"/>
      <c r="K324" s="15"/>
      <c r="L324" s="12"/>
    </row>
    <row r="325" spans="2:12">
      <c r="B325" s="14"/>
      <c r="C325" s="16"/>
      <c r="D325" s="16"/>
      <c r="E325" s="16"/>
      <c r="F325" s="11"/>
      <c r="G325" s="14"/>
      <c r="H325" s="15"/>
      <c r="I325" s="15"/>
      <c r="J325" s="15"/>
      <c r="K325" s="15"/>
      <c r="L325" s="12"/>
    </row>
    <row r="326" spans="2:12">
      <c r="B326" s="14"/>
      <c r="C326" s="16"/>
      <c r="D326" s="16"/>
      <c r="E326" s="16"/>
      <c r="F326" s="11"/>
      <c r="G326" s="14"/>
      <c r="H326" s="15"/>
      <c r="I326" s="15"/>
      <c r="J326" s="15"/>
      <c r="K326" s="15"/>
      <c r="L326" s="12"/>
    </row>
    <row r="327" spans="2:12">
      <c r="B327" s="14"/>
      <c r="C327" s="16"/>
      <c r="D327" s="16"/>
      <c r="E327" s="16"/>
      <c r="F327" s="11"/>
      <c r="G327" s="14"/>
      <c r="H327" s="15"/>
      <c r="I327" s="15"/>
      <c r="J327" s="15"/>
      <c r="K327" s="15"/>
      <c r="L327" s="12"/>
    </row>
    <row r="328" spans="2:12">
      <c r="B328" s="14"/>
      <c r="C328" s="16"/>
      <c r="D328" s="16"/>
      <c r="E328" s="16"/>
      <c r="F328" s="11"/>
      <c r="G328" s="14"/>
      <c r="H328" s="15"/>
      <c r="I328" s="15"/>
      <c r="J328" s="15"/>
      <c r="K328" s="15"/>
      <c r="L328" s="12"/>
    </row>
    <row r="329" spans="2:12">
      <c r="B329" s="14"/>
      <c r="C329" s="16"/>
      <c r="D329" s="16"/>
      <c r="E329" s="16"/>
      <c r="F329" s="11"/>
      <c r="G329" s="14"/>
      <c r="H329" s="15"/>
      <c r="I329" s="15"/>
      <c r="J329" s="15"/>
      <c r="K329" s="15"/>
      <c r="L329" s="12"/>
    </row>
    <row r="330" spans="2:12">
      <c r="B330" s="14"/>
      <c r="C330" s="16"/>
      <c r="D330" s="16"/>
      <c r="E330" s="16"/>
      <c r="F330" s="11"/>
      <c r="G330" s="14"/>
      <c r="H330" s="15"/>
      <c r="I330" s="15"/>
      <c r="J330" s="15"/>
      <c r="K330" s="15"/>
      <c r="L330" s="12"/>
    </row>
    <row r="331" spans="2:12">
      <c r="B331" s="14"/>
      <c r="C331" s="16"/>
      <c r="D331" s="16"/>
      <c r="E331" s="16"/>
      <c r="F331" s="11"/>
      <c r="G331" s="14"/>
      <c r="H331" s="15"/>
      <c r="I331" s="15"/>
      <c r="J331" s="15"/>
      <c r="K331" s="15"/>
      <c r="L331" s="12"/>
    </row>
    <row r="332" spans="2:12">
      <c r="B332" s="14"/>
      <c r="C332" s="16"/>
      <c r="D332" s="16"/>
      <c r="E332" s="16"/>
      <c r="F332" s="11"/>
      <c r="G332" s="14"/>
      <c r="H332" s="15"/>
      <c r="I332" s="15"/>
      <c r="J332" s="15"/>
      <c r="K332" s="15"/>
      <c r="L332" s="12"/>
    </row>
    <row r="333" spans="2:12">
      <c r="B333" s="14"/>
      <c r="C333" s="16"/>
      <c r="D333" s="16"/>
      <c r="E333" s="16"/>
      <c r="F333" s="11"/>
      <c r="G333" s="14"/>
      <c r="H333" s="15"/>
      <c r="I333" s="15"/>
      <c r="J333" s="15"/>
      <c r="K333" s="15"/>
      <c r="L333" s="12"/>
    </row>
    <row r="334" spans="2:12">
      <c r="B334" s="14"/>
      <c r="C334" s="16"/>
      <c r="D334" s="16"/>
      <c r="E334" s="16"/>
      <c r="F334" s="11"/>
      <c r="G334" s="14"/>
      <c r="H334" s="15"/>
      <c r="I334" s="15"/>
      <c r="J334" s="15"/>
      <c r="K334" s="15"/>
      <c r="L334" s="12"/>
    </row>
    <row r="335" spans="2:12">
      <c r="B335" s="14"/>
      <c r="C335" s="16"/>
      <c r="D335" s="16"/>
      <c r="E335" s="16"/>
      <c r="F335" s="11"/>
      <c r="G335" s="14"/>
      <c r="H335" s="15"/>
      <c r="I335" s="15"/>
      <c r="J335" s="15"/>
      <c r="K335" s="15"/>
      <c r="L335" s="12"/>
    </row>
    <row r="336" spans="2:12">
      <c r="B336" s="14"/>
      <c r="C336" s="16"/>
      <c r="D336" s="16"/>
      <c r="E336" s="16"/>
      <c r="F336" s="11"/>
      <c r="G336" s="14"/>
      <c r="H336" s="15"/>
      <c r="I336" s="15"/>
      <c r="J336" s="15"/>
      <c r="K336" s="15"/>
      <c r="L336" s="12"/>
    </row>
    <row r="337" spans="2:12">
      <c r="B337" s="14"/>
      <c r="C337" s="16"/>
      <c r="D337" s="16"/>
      <c r="E337" s="16"/>
      <c r="F337" s="11"/>
      <c r="G337" s="14"/>
      <c r="H337" s="15"/>
      <c r="I337" s="15"/>
      <c r="J337" s="15"/>
      <c r="K337" s="15"/>
      <c r="L337" s="12"/>
    </row>
    <row r="338" spans="2:12">
      <c r="B338" s="14"/>
      <c r="C338" s="16"/>
      <c r="D338" s="16"/>
      <c r="E338" s="16"/>
      <c r="F338" s="11"/>
      <c r="G338" s="14"/>
      <c r="H338" s="15"/>
      <c r="I338" s="15"/>
      <c r="J338" s="15"/>
      <c r="K338" s="15"/>
      <c r="L338" s="12"/>
    </row>
    <row r="339" spans="2:12">
      <c r="B339" s="14"/>
      <c r="C339" s="16"/>
      <c r="D339" s="16"/>
      <c r="E339" s="16"/>
      <c r="F339" s="11"/>
      <c r="G339" s="14"/>
      <c r="H339" s="15"/>
      <c r="I339" s="15"/>
      <c r="J339" s="15"/>
      <c r="K339" s="15"/>
      <c r="L339" s="12"/>
    </row>
    <row r="340" spans="2:12">
      <c r="B340" s="14"/>
      <c r="C340" s="16"/>
      <c r="D340" s="16"/>
      <c r="E340" s="16"/>
      <c r="F340" s="11"/>
      <c r="G340" s="14"/>
      <c r="H340" s="15"/>
      <c r="I340" s="15"/>
      <c r="J340" s="15"/>
      <c r="K340" s="15"/>
      <c r="L340" s="12"/>
    </row>
    <row r="341" spans="2:12">
      <c r="B341" s="14"/>
      <c r="C341" s="16"/>
      <c r="D341" s="16"/>
      <c r="E341" s="16"/>
      <c r="F341" s="11"/>
      <c r="G341" s="14"/>
      <c r="H341" s="15"/>
      <c r="I341" s="15"/>
      <c r="J341" s="15"/>
      <c r="K341" s="15"/>
      <c r="L341" s="12"/>
    </row>
    <row r="342" spans="2:12">
      <c r="B342" s="14"/>
      <c r="C342" s="16"/>
      <c r="D342" s="16"/>
      <c r="E342" s="16"/>
      <c r="F342" s="11"/>
      <c r="G342" s="14"/>
      <c r="H342" s="15"/>
      <c r="I342" s="15"/>
      <c r="J342" s="15"/>
      <c r="K342" s="15"/>
      <c r="L342" s="12"/>
    </row>
    <row r="343" spans="2:12">
      <c r="B343" s="14"/>
      <c r="C343" s="16"/>
      <c r="D343" s="16"/>
      <c r="E343" s="16"/>
      <c r="F343" s="11"/>
      <c r="G343" s="14"/>
      <c r="H343" s="15"/>
      <c r="I343" s="15"/>
      <c r="J343" s="15"/>
      <c r="K343" s="15"/>
      <c r="L343" s="12"/>
    </row>
    <row r="344" spans="2:12">
      <c r="B344" s="14"/>
      <c r="C344" s="16"/>
      <c r="D344" s="16"/>
      <c r="E344" s="16"/>
      <c r="F344" s="11"/>
      <c r="G344" s="14"/>
      <c r="H344" s="15"/>
      <c r="I344" s="15"/>
      <c r="J344" s="15"/>
      <c r="K344" s="15"/>
      <c r="L344" s="12"/>
    </row>
    <row r="345" spans="2:12">
      <c r="B345" s="14"/>
      <c r="C345" s="16"/>
      <c r="D345" s="16"/>
      <c r="E345" s="16"/>
      <c r="F345" s="11"/>
      <c r="G345" s="14"/>
      <c r="H345" s="15"/>
      <c r="I345" s="15"/>
      <c r="J345" s="15"/>
      <c r="K345" s="15"/>
      <c r="L345" s="12"/>
    </row>
    <row r="346" spans="2:12">
      <c r="B346" s="14"/>
      <c r="C346" s="16"/>
      <c r="D346" s="16"/>
      <c r="E346" s="16"/>
      <c r="F346" s="11"/>
      <c r="G346" s="14"/>
      <c r="H346" s="15"/>
      <c r="I346" s="15"/>
      <c r="J346" s="15"/>
      <c r="K346" s="15"/>
      <c r="L346" s="12"/>
    </row>
    <row r="347" spans="2:12">
      <c r="B347" s="14"/>
      <c r="C347" s="16"/>
      <c r="D347" s="16"/>
      <c r="E347" s="16"/>
      <c r="F347" s="11"/>
      <c r="G347" s="14"/>
      <c r="H347" s="15"/>
      <c r="I347" s="15"/>
      <c r="J347" s="15"/>
      <c r="K347" s="15"/>
      <c r="L347" s="12"/>
    </row>
    <row r="348" spans="2:12">
      <c r="B348" s="14"/>
      <c r="C348" s="16"/>
      <c r="D348" s="16"/>
      <c r="E348" s="16"/>
      <c r="F348" s="11"/>
      <c r="G348" s="14"/>
      <c r="H348" s="15"/>
      <c r="I348" s="15"/>
      <c r="J348" s="15"/>
      <c r="K348" s="15"/>
      <c r="L348" s="12"/>
    </row>
    <row r="349" spans="2:12">
      <c r="B349" s="14"/>
      <c r="C349" s="16"/>
      <c r="D349" s="16"/>
      <c r="E349" s="16"/>
      <c r="F349" s="11"/>
      <c r="G349" s="14"/>
      <c r="H349" s="15"/>
      <c r="I349" s="15"/>
      <c r="J349" s="15"/>
      <c r="K349" s="15"/>
      <c r="L349" s="12"/>
    </row>
    <row r="350" spans="2:12">
      <c r="B350" s="14"/>
      <c r="C350" s="16"/>
      <c r="D350" s="16"/>
      <c r="E350" s="16"/>
      <c r="F350" s="11"/>
      <c r="G350" s="14"/>
      <c r="H350" s="15"/>
      <c r="I350" s="15"/>
      <c r="J350" s="15"/>
      <c r="K350" s="15"/>
      <c r="L350" s="12"/>
    </row>
    <row r="351" spans="2:12">
      <c r="B351" s="14"/>
      <c r="C351" s="16"/>
      <c r="D351" s="16"/>
      <c r="E351" s="16"/>
      <c r="F351" s="11"/>
      <c r="G351" s="14"/>
      <c r="H351" s="15"/>
      <c r="I351" s="15"/>
      <c r="J351" s="15"/>
      <c r="K351" s="15"/>
      <c r="L351" s="12"/>
    </row>
    <row r="352" spans="2:12">
      <c r="B352" s="14"/>
      <c r="C352" s="16"/>
      <c r="D352" s="16"/>
      <c r="E352" s="16"/>
      <c r="F352" s="11"/>
      <c r="G352" s="14"/>
      <c r="H352" s="15"/>
      <c r="I352" s="15"/>
      <c r="J352" s="15"/>
      <c r="K352" s="15"/>
      <c r="L352" s="12"/>
    </row>
    <row r="353" spans="2:12">
      <c r="B353" s="14"/>
      <c r="C353" s="16"/>
      <c r="D353" s="16"/>
      <c r="E353" s="16"/>
      <c r="F353" s="11"/>
      <c r="G353" s="14"/>
      <c r="H353" s="15"/>
      <c r="I353" s="15"/>
      <c r="J353" s="15"/>
      <c r="K353" s="15"/>
      <c r="L353" s="12"/>
    </row>
    <row r="354" spans="2:12">
      <c r="B354" s="14"/>
      <c r="C354" s="16"/>
      <c r="D354" s="16"/>
      <c r="E354" s="16"/>
      <c r="F354" s="11"/>
      <c r="G354" s="14"/>
      <c r="H354" s="15"/>
      <c r="I354" s="15"/>
      <c r="J354" s="15"/>
      <c r="K354" s="15"/>
      <c r="L354" s="12"/>
    </row>
    <row r="355" spans="2:12">
      <c r="B355" s="14"/>
      <c r="C355" s="16"/>
      <c r="D355" s="16"/>
      <c r="E355" s="16"/>
      <c r="F355" s="11"/>
      <c r="G355" s="14"/>
      <c r="H355" s="15"/>
      <c r="I355" s="15"/>
      <c r="J355" s="15"/>
      <c r="K355" s="15"/>
      <c r="L355" s="12"/>
    </row>
    <row r="356" spans="2:12">
      <c r="B356" s="14"/>
      <c r="C356" s="16"/>
      <c r="D356" s="16"/>
      <c r="E356" s="16"/>
      <c r="F356" s="11"/>
      <c r="G356" s="14"/>
      <c r="H356" s="15"/>
      <c r="I356" s="15"/>
      <c r="J356" s="15"/>
      <c r="K356" s="15"/>
      <c r="L356" s="12"/>
    </row>
    <row r="357" spans="2:12">
      <c r="B357" s="14"/>
      <c r="C357" s="16"/>
      <c r="D357" s="16"/>
      <c r="E357" s="16"/>
      <c r="F357" s="11"/>
      <c r="G357" s="14"/>
      <c r="H357" s="15"/>
      <c r="I357" s="15"/>
      <c r="J357" s="15"/>
      <c r="K357" s="15"/>
      <c r="L357" s="12"/>
    </row>
    <row r="358" spans="2:12">
      <c r="B358" s="14"/>
      <c r="C358" s="16"/>
      <c r="D358" s="16"/>
      <c r="E358" s="16"/>
      <c r="F358" s="11"/>
      <c r="G358" s="14"/>
      <c r="H358" s="15"/>
      <c r="I358" s="15"/>
      <c r="J358" s="15"/>
      <c r="K358" s="15"/>
      <c r="L358" s="12"/>
    </row>
    <row r="359" spans="2:12">
      <c r="B359" s="14"/>
      <c r="C359" s="16"/>
      <c r="D359" s="16"/>
      <c r="E359" s="16"/>
      <c r="F359" s="11"/>
      <c r="G359" s="14"/>
      <c r="H359" s="15"/>
      <c r="I359" s="15"/>
      <c r="J359" s="15"/>
      <c r="K359" s="15"/>
      <c r="L359" s="12"/>
    </row>
    <row r="360" spans="2:12">
      <c r="B360" s="14"/>
      <c r="C360" s="16"/>
      <c r="D360" s="16"/>
      <c r="E360" s="16"/>
      <c r="F360" s="11"/>
      <c r="G360" s="14"/>
      <c r="H360" s="15"/>
      <c r="I360" s="15"/>
      <c r="J360" s="15"/>
      <c r="K360" s="15"/>
      <c r="L360" s="12"/>
    </row>
    <row r="361" spans="2:12">
      <c r="B361" s="14"/>
      <c r="C361" s="16"/>
      <c r="D361" s="16"/>
      <c r="E361" s="16"/>
      <c r="F361" s="11"/>
      <c r="G361" s="14"/>
      <c r="H361" s="15"/>
      <c r="I361" s="15"/>
      <c r="J361" s="15"/>
      <c r="K361" s="15"/>
      <c r="L361" s="12"/>
    </row>
    <row r="362" spans="2:12">
      <c r="B362" s="14"/>
      <c r="C362" s="16"/>
      <c r="D362" s="16"/>
      <c r="E362" s="16"/>
      <c r="F362" s="11"/>
      <c r="G362" s="14"/>
      <c r="H362" s="15"/>
      <c r="I362" s="15"/>
      <c r="J362" s="15"/>
      <c r="K362" s="15"/>
      <c r="L362" s="12"/>
    </row>
    <row r="363" spans="2:12">
      <c r="B363" s="14"/>
      <c r="C363" s="16"/>
      <c r="D363" s="16"/>
      <c r="E363" s="16"/>
      <c r="F363" s="11"/>
      <c r="G363" s="14"/>
      <c r="H363" s="15"/>
      <c r="I363" s="15"/>
      <c r="J363" s="15"/>
      <c r="K363" s="15"/>
      <c r="L363" s="12"/>
    </row>
    <row r="364" spans="2:12">
      <c r="B364" s="14"/>
      <c r="C364" s="16"/>
      <c r="D364" s="16"/>
      <c r="E364" s="16"/>
      <c r="F364" s="11"/>
      <c r="G364" s="14"/>
      <c r="H364" s="15"/>
      <c r="I364" s="15"/>
      <c r="J364" s="15"/>
      <c r="K364" s="15"/>
      <c r="L364" s="12"/>
    </row>
    <row r="365" spans="2:12">
      <c r="B365" s="14"/>
      <c r="C365" s="16"/>
      <c r="D365" s="16"/>
      <c r="E365" s="16"/>
      <c r="F365" s="11"/>
      <c r="G365" s="14"/>
      <c r="H365" s="15"/>
      <c r="I365" s="15"/>
      <c r="J365" s="15"/>
      <c r="K365" s="15"/>
      <c r="L365" s="12"/>
    </row>
    <row r="366" spans="2:12">
      <c r="B366" s="14"/>
      <c r="C366" s="16"/>
      <c r="D366" s="16"/>
      <c r="E366" s="16"/>
      <c r="F366" s="11"/>
      <c r="G366" s="14"/>
      <c r="H366" s="15"/>
      <c r="I366" s="15"/>
      <c r="J366" s="15"/>
      <c r="K366" s="15"/>
      <c r="L366" s="12"/>
    </row>
    <row r="367" spans="2:12">
      <c r="B367" s="14"/>
      <c r="C367" s="16"/>
      <c r="D367" s="16"/>
      <c r="E367" s="16"/>
      <c r="F367" s="11"/>
      <c r="G367" s="14"/>
      <c r="H367" s="15"/>
      <c r="I367" s="15"/>
      <c r="J367" s="15"/>
      <c r="K367" s="15"/>
      <c r="L367" s="12"/>
    </row>
    <row r="368" spans="2:12">
      <c r="B368" s="14"/>
      <c r="C368" s="16"/>
      <c r="D368" s="16"/>
      <c r="E368" s="16"/>
      <c r="F368" s="11"/>
      <c r="G368" s="14"/>
      <c r="H368" s="15"/>
      <c r="I368" s="15"/>
      <c r="J368" s="15"/>
      <c r="K368" s="15"/>
      <c r="L368" s="12"/>
    </row>
    <row r="369" spans="2:12">
      <c r="B369" s="14"/>
      <c r="C369" s="16"/>
      <c r="D369" s="16"/>
      <c r="E369" s="16"/>
      <c r="F369" s="11"/>
      <c r="G369" s="14"/>
      <c r="H369" s="15"/>
      <c r="I369" s="15"/>
      <c r="J369" s="15"/>
      <c r="K369" s="15"/>
      <c r="L369" s="12"/>
    </row>
    <row r="370" spans="2:12">
      <c r="B370" s="14"/>
      <c r="C370" s="16"/>
      <c r="D370" s="16"/>
      <c r="E370" s="16"/>
      <c r="F370" s="11"/>
      <c r="G370" s="14"/>
      <c r="H370" s="15"/>
      <c r="I370" s="15"/>
      <c r="J370" s="15"/>
      <c r="K370" s="15"/>
      <c r="L370" s="12"/>
    </row>
    <row r="371" spans="2:12">
      <c r="B371" s="14"/>
      <c r="C371" s="16"/>
      <c r="D371" s="16"/>
      <c r="E371" s="16"/>
      <c r="F371" s="11"/>
      <c r="G371" s="14"/>
      <c r="H371" s="15"/>
      <c r="I371" s="15"/>
      <c r="J371" s="15"/>
      <c r="K371" s="15"/>
      <c r="L371" s="12"/>
    </row>
    <row r="372" spans="2:12">
      <c r="B372" s="14"/>
      <c r="C372" s="16"/>
      <c r="D372" s="16"/>
      <c r="E372" s="16"/>
      <c r="F372" s="11"/>
      <c r="G372" s="14"/>
      <c r="H372" s="15"/>
      <c r="I372" s="15"/>
      <c r="J372" s="15"/>
      <c r="K372" s="15"/>
      <c r="L372" s="12"/>
    </row>
    <row r="373" spans="2:12">
      <c r="B373" s="14"/>
      <c r="C373" s="16"/>
      <c r="D373" s="16"/>
      <c r="E373" s="16"/>
      <c r="F373" s="11"/>
      <c r="G373" s="14"/>
      <c r="H373" s="15"/>
      <c r="I373" s="15"/>
      <c r="J373" s="15"/>
      <c r="K373" s="15"/>
      <c r="L373" s="12"/>
    </row>
    <row r="374" spans="2:12">
      <c r="B374" s="14"/>
      <c r="C374" s="16"/>
      <c r="D374" s="16"/>
      <c r="E374" s="16"/>
      <c r="F374" s="11"/>
      <c r="G374" s="14"/>
      <c r="H374" s="15"/>
      <c r="I374" s="15"/>
      <c r="J374" s="15"/>
      <c r="K374" s="15"/>
      <c r="L374" s="12"/>
    </row>
    <row r="375" spans="2:12">
      <c r="B375" s="14"/>
      <c r="C375" s="16"/>
      <c r="D375" s="16"/>
      <c r="E375" s="16"/>
      <c r="F375" s="11"/>
      <c r="G375" s="14"/>
      <c r="H375" s="15"/>
      <c r="I375" s="15"/>
      <c r="J375" s="15"/>
      <c r="K375" s="15"/>
      <c r="L375" s="12"/>
    </row>
    <row r="376" spans="2:12">
      <c r="B376" s="14"/>
      <c r="C376" s="16"/>
      <c r="D376" s="16"/>
      <c r="E376" s="16"/>
      <c r="F376" s="11"/>
      <c r="G376" s="14"/>
      <c r="H376" s="15"/>
      <c r="I376" s="15"/>
      <c r="J376" s="15"/>
      <c r="K376" s="15"/>
      <c r="L376" s="12"/>
    </row>
    <row r="377" spans="2:12">
      <c r="B377" s="14"/>
      <c r="C377" s="16"/>
      <c r="D377" s="16"/>
      <c r="E377" s="16"/>
      <c r="F377" s="11"/>
      <c r="G377" s="14"/>
      <c r="H377" s="15"/>
      <c r="I377" s="15"/>
      <c r="J377" s="15"/>
      <c r="K377" s="15"/>
      <c r="L377" s="12"/>
    </row>
    <row r="378" spans="2:12">
      <c r="B378" s="14"/>
      <c r="C378" s="16"/>
      <c r="D378" s="16"/>
      <c r="E378" s="16"/>
      <c r="F378" s="11"/>
      <c r="G378" s="14"/>
      <c r="H378" s="15"/>
      <c r="I378" s="15"/>
      <c r="J378" s="15"/>
      <c r="K378" s="15"/>
      <c r="L378" s="12"/>
    </row>
    <row r="379" spans="2:12">
      <c r="B379" s="14"/>
      <c r="C379" s="16"/>
      <c r="D379" s="16"/>
      <c r="E379" s="16"/>
      <c r="F379" s="11"/>
      <c r="G379" s="14"/>
      <c r="H379" s="15"/>
      <c r="I379" s="15"/>
      <c r="J379" s="15"/>
      <c r="K379" s="15"/>
      <c r="L379" s="12"/>
    </row>
    <row r="380" spans="2:12">
      <c r="B380" s="14"/>
      <c r="C380" s="16"/>
      <c r="D380" s="16"/>
      <c r="E380" s="16"/>
      <c r="F380" s="11"/>
      <c r="G380" s="14"/>
      <c r="H380" s="15"/>
      <c r="I380" s="15"/>
      <c r="J380" s="15"/>
      <c r="K380" s="15"/>
      <c r="L380" s="12"/>
    </row>
    <row r="381" spans="2:12">
      <c r="B381" s="14"/>
      <c r="C381" s="16"/>
      <c r="D381" s="16"/>
      <c r="E381" s="16"/>
      <c r="F381" s="11"/>
      <c r="G381" s="14"/>
      <c r="H381" s="15"/>
      <c r="I381" s="15"/>
      <c r="J381" s="15"/>
      <c r="K381" s="15"/>
      <c r="L381" s="12"/>
    </row>
    <row r="382" spans="2:12">
      <c r="B382" s="14"/>
      <c r="C382" s="16"/>
      <c r="D382" s="16"/>
      <c r="E382" s="16"/>
      <c r="F382" s="11"/>
      <c r="G382" s="14"/>
      <c r="H382" s="15"/>
      <c r="I382" s="15"/>
      <c r="J382" s="15"/>
      <c r="K382" s="15"/>
      <c r="L382" s="12"/>
    </row>
    <row r="383" spans="2:12">
      <c r="B383" s="14"/>
      <c r="C383" s="16"/>
      <c r="D383" s="16"/>
      <c r="E383" s="16"/>
      <c r="F383" s="11"/>
      <c r="G383" s="14"/>
      <c r="H383" s="15"/>
      <c r="I383" s="15"/>
      <c r="J383" s="15"/>
      <c r="K383" s="15"/>
      <c r="L383" s="12"/>
    </row>
    <row r="384" spans="2:12">
      <c r="B384" s="14"/>
      <c r="C384" s="16"/>
      <c r="D384" s="16"/>
      <c r="E384" s="16"/>
      <c r="F384" s="11"/>
      <c r="G384" s="14"/>
      <c r="H384" s="15"/>
      <c r="I384" s="15"/>
      <c r="J384" s="15"/>
      <c r="K384" s="15"/>
      <c r="L384" s="12"/>
    </row>
    <row r="385" spans="2:12">
      <c r="B385" s="14"/>
      <c r="C385" s="16"/>
      <c r="D385" s="16"/>
      <c r="E385" s="16"/>
      <c r="F385" s="11"/>
      <c r="G385" s="14"/>
      <c r="H385" s="15"/>
      <c r="I385" s="15"/>
      <c r="J385" s="15"/>
      <c r="K385" s="15"/>
      <c r="L385" s="12"/>
    </row>
    <row r="386" spans="2:12">
      <c r="B386" s="14"/>
      <c r="C386" s="16"/>
      <c r="D386" s="16"/>
      <c r="E386" s="16"/>
      <c r="F386" s="11"/>
      <c r="G386" s="14"/>
      <c r="H386" s="15"/>
      <c r="I386" s="15"/>
      <c r="J386" s="15"/>
      <c r="K386" s="15"/>
      <c r="L386" s="12"/>
    </row>
    <row r="387" spans="2:12">
      <c r="B387" s="14"/>
      <c r="C387" s="16"/>
      <c r="D387" s="16"/>
      <c r="E387" s="16"/>
      <c r="F387" s="11"/>
      <c r="G387" s="14"/>
      <c r="H387" s="15"/>
      <c r="I387" s="15"/>
      <c r="J387" s="15"/>
      <c r="K387" s="15"/>
      <c r="L387" s="12"/>
    </row>
    <row r="388" spans="2:12">
      <c r="B388" s="14"/>
      <c r="C388" s="16"/>
      <c r="D388" s="16"/>
      <c r="E388" s="16"/>
      <c r="F388" s="11"/>
      <c r="G388" s="14"/>
      <c r="H388" s="15"/>
      <c r="I388" s="15"/>
      <c r="J388" s="15"/>
      <c r="K388" s="15"/>
      <c r="L388" s="12"/>
    </row>
    <row r="389" spans="2:12">
      <c r="B389" s="14"/>
      <c r="C389" s="16"/>
      <c r="D389" s="16"/>
      <c r="E389" s="16"/>
      <c r="F389" s="11"/>
      <c r="G389" s="14"/>
      <c r="H389" s="15"/>
      <c r="I389" s="15"/>
      <c r="J389" s="15"/>
      <c r="K389" s="15"/>
      <c r="L389" s="12"/>
    </row>
    <row r="390" spans="2:12">
      <c r="B390" s="14"/>
      <c r="C390" s="16"/>
      <c r="D390" s="16"/>
      <c r="E390" s="16"/>
      <c r="F390" s="11"/>
      <c r="G390" s="14"/>
      <c r="H390" s="15"/>
      <c r="I390" s="15"/>
      <c r="J390" s="15"/>
      <c r="K390" s="15"/>
      <c r="L390" s="12"/>
    </row>
    <row r="391" spans="2:12">
      <c r="B391" s="14"/>
      <c r="C391" s="16"/>
      <c r="D391" s="16"/>
      <c r="E391" s="16"/>
      <c r="F391" s="11"/>
      <c r="G391" s="14"/>
      <c r="H391" s="15"/>
      <c r="I391" s="15"/>
      <c r="J391" s="15"/>
      <c r="K391" s="15"/>
      <c r="L391" s="12"/>
    </row>
    <row r="392" spans="2:12">
      <c r="B392" s="14"/>
      <c r="C392" s="16"/>
      <c r="D392" s="16"/>
      <c r="E392" s="16"/>
      <c r="F392" s="11"/>
      <c r="G392" s="14"/>
      <c r="H392" s="15"/>
      <c r="I392" s="15"/>
      <c r="J392" s="15"/>
      <c r="K392" s="15"/>
      <c r="L392" s="12"/>
    </row>
    <row r="393" spans="2:12">
      <c r="B393" s="14"/>
      <c r="C393" s="16"/>
      <c r="D393" s="16"/>
      <c r="E393" s="16"/>
      <c r="F393" s="11"/>
      <c r="G393" s="14"/>
      <c r="H393" s="15"/>
      <c r="I393" s="15"/>
      <c r="J393" s="15"/>
      <c r="K393" s="15"/>
      <c r="L393" s="12"/>
    </row>
    <row r="394" spans="2:12">
      <c r="B394" s="14"/>
      <c r="C394" s="16"/>
      <c r="D394" s="16"/>
      <c r="E394" s="16"/>
      <c r="F394" s="11"/>
      <c r="G394" s="14"/>
      <c r="H394" s="15"/>
      <c r="I394" s="15"/>
      <c r="J394" s="15"/>
      <c r="K394" s="15"/>
      <c r="L394" s="12"/>
    </row>
    <row r="395" spans="2:12">
      <c r="B395" s="14"/>
      <c r="C395" s="16"/>
      <c r="D395" s="16"/>
      <c r="E395" s="16"/>
      <c r="F395" s="11"/>
      <c r="G395" s="14"/>
      <c r="H395" s="15"/>
      <c r="I395" s="15"/>
      <c r="J395" s="15"/>
      <c r="K395" s="15"/>
      <c r="L395" s="12"/>
    </row>
    <row r="396" spans="2:12">
      <c r="B396" s="14"/>
      <c r="C396" s="16"/>
      <c r="D396" s="16"/>
      <c r="E396" s="16"/>
      <c r="F396" s="11"/>
      <c r="G396" s="14"/>
      <c r="H396" s="15"/>
      <c r="I396" s="15"/>
      <c r="J396" s="15"/>
      <c r="K396" s="15"/>
      <c r="L396" s="12"/>
    </row>
    <row r="397" spans="2:12">
      <c r="B397" s="14"/>
      <c r="C397" s="16"/>
      <c r="D397" s="16"/>
      <c r="E397" s="16"/>
      <c r="F397" s="11"/>
      <c r="G397" s="14"/>
      <c r="H397" s="15"/>
      <c r="I397" s="15"/>
      <c r="J397" s="15"/>
      <c r="K397" s="15"/>
      <c r="L397" s="12"/>
    </row>
    <row r="398" spans="2:12">
      <c r="B398" s="14"/>
      <c r="C398" s="16"/>
      <c r="D398" s="16"/>
      <c r="E398" s="16"/>
      <c r="F398" s="11"/>
      <c r="G398" s="14"/>
      <c r="H398" s="15"/>
      <c r="I398" s="15"/>
      <c r="J398" s="15"/>
      <c r="K398" s="15"/>
      <c r="L398" s="12"/>
    </row>
    <row r="399" spans="2:12">
      <c r="B399" s="14"/>
      <c r="C399" s="16"/>
      <c r="D399" s="16"/>
      <c r="E399" s="16"/>
      <c r="F399" s="11"/>
      <c r="G399" s="14"/>
      <c r="H399" s="15"/>
      <c r="I399" s="15"/>
      <c r="J399" s="15"/>
      <c r="K399" s="15"/>
      <c r="L399" s="12"/>
    </row>
    <row r="400" spans="2:12">
      <c r="B400" s="14"/>
      <c r="C400" s="16"/>
      <c r="D400" s="16"/>
      <c r="E400" s="16"/>
      <c r="F400" s="11"/>
      <c r="G400" s="14"/>
      <c r="H400" s="15"/>
      <c r="I400" s="15"/>
      <c r="J400" s="15"/>
      <c r="K400" s="15"/>
      <c r="L400" s="12"/>
    </row>
    <row r="401" spans="2:12">
      <c r="B401" s="14"/>
      <c r="C401" s="16"/>
      <c r="D401" s="16"/>
      <c r="E401" s="16"/>
      <c r="F401" s="11"/>
      <c r="G401" s="14"/>
      <c r="H401" s="15"/>
      <c r="I401" s="15"/>
      <c r="J401" s="15"/>
      <c r="K401" s="15"/>
      <c r="L401" s="12"/>
    </row>
    <row r="402" spans="2:12">
      <c r="B402" s="14"/>
      <c r="C402" s="16"/>
      <c r="D402" s="16"/>
      <c r="E402" s="16"/>
      <c r="F402" s="11"/>
      <c r="G402" s="14"/>
      <c r="H402" s="15"/>
      <c r="I402" s="15"/>
      <c r="J402" s="15"/>
      <c r="K402" s="15"/>
      <c r="L402" s="12"/>
    </row>
    <row r="403" spans="2:12">
      <c r="B403" s="14"/>
      <c r="C403" s="16"/>
      <c r="D403" s="16"/>
      <c r="E403" s="16"/>
      <c r="F403" s="11"/>
      <c r="G403" s="14"/>
      <c r="H403" s="15"/>
      <c r="I403" s="15"/>
      <c r="J403" s="15"/>
      <c r="K403" s="15"/>
      <c r="L403" s="12"/>
    </row>
    <row r="404" spans="2:12">
      <c r="B404" s="14"/>
      <c r="C404" s="16"/>
      <c r="D404" s="16"/>
      <c r="E404" s="16"/>
      <c r="F404" s="11"/>
      <c r="G404" s="14"/>
      <c r="H404" s="15"/>
      <c r="I404" s="15"/>
      <c r="J404" s="15"/>
      <c r="K404" s="15"/>
      <c r="L404" s="12"/>
    </row>
    <row r="405" spans="2:12">
      <c r="B405" s="14"/>
      <c r="C405" s="16"/>
      <c r="D405" s="16"/>
      <c r="E405" s="16"/>
      <c r="F405" s="11"/>
      <c r="G405" s="14"/>
      <c r="H405" s="15"/>
      <c r="I405" s="15"/>
      <c r="J405" s="15"/>
      <c r="K405" s="15"/>
      <c r="L405" s="12"/>
    </row>
    <row r="406" spans="2:12">
      <c r="B406" s="14"/>
      <c r="C406" s="16"/>
      <c r="D406" s="16"/>
      <c r="E406" s="16"/>
      <c r="F406" s="11"/>
      <c r="G406" s="14"/>
      <c r="H406" s="15"/>
      <c r="I406" s="15"/>
      <c r="J406" s="15"/>
      <c r="K406" s="15"/>
      <c r="L406" s="12"/>
    </row>
    <row r="407" spans="2:12">
      <c r="B407" s="14"/>
      <c r="C407" s="16"/>
      <c r="D407" s="16"/>
      <c r="E407" s="16"/>
      <c r="F407" s="11"/>
      <c r="G407" s="14"/>
      <c r="H407" s="15"/>
      <c r="I407" s="15"/>
      <c r="J407" s="15"/>
      <c r="K407" s="15"/>
      <c r="L407" s="12"/>
    </row>
    <row r="408" spans="2:12">
      <c r="B408" s="14"/>
      <c r="C408" s="16"/>
      <c r="D408" s="16"/>
      <c r="E408" s="16"/>
      <c r="F408" s="11"/>
      <c r="G408" s="14"/>
      <c r="H408" s="15"/>
      <c r="I408" s="15"/>
      <c r="J408" s="15"/>
      <c r="K408" s="15"/>
      <c r="L408" s="12"/>
    </row>
    <row r="409" spans="2:12">
      <c r="B409" s="14"/>
      <c r="C409" s="16"/>
      <c r="D409" s="16"/>
      <c r="E409" s="16"/>
      <c r="F409" s="11"/>
      <c r="G409" s="14"/>
      <c r="H409" s="15"/>
      <c r="I409" s="15"/>
      <c r="J409" s="15"/>
      <c r="K409" s="15"/>
      <c r="L409" s="12"/>
    </row>
    <row r="410" spans="2:12">
      <c r="B410" s="14"/>
      <c r="C410" s="16"/>
      <c r="D410" s="16"/>
      <c r="E410" s="16"/>
      <c r="F410" s="11"/>
      <c r="G410" s="14"/>
      <c r="H410" s="15"/>
      <c r="I410" s="15"/>
      <c r="J410" s="15"/>
      <c r="K410" s="15"/>
      <c r="L410" s="12"/>
    </row>
    <row r="411" spans="2:12">
      <c r="B411" s="14"/>
      <c r="C411" s="16"/>
      <c r="D411" s="16"/>
      <c r="E411" s="16"/>
      <c r="F411" s="11"/>
      <c r="G411" s="14"/>
      <c r="H411" s="15"/>
      <c r="I411" s="15"/>
      <c r="J411" s="15"/>
      <c r="K411" s="15"/>
      <c r="L411" s="12"/>
    </row>
    <row r="412" spans="2:12">
      <c r="B412" s="14"/>
      <c r="C412" s="16"/>
      <c r="D412" s="16"/>
      <c r="E412" s="16"/>
      <c r="F412" s="11"/>
      <c r="G412" s="14"/>
      <c r="H412" s="15"/>
      <c r="I412" s="15"/>
      <c r="J412" s="15"/>
      <c r="K412" s="15"/>
      <c r="L412" s="12"/>
    </row>
    <row r="413" spans="2:12">
      <c r="B413" s="14"/>
      <c r="C413" s="16"/>
      <c r="D413" s="16"/>
      <c r="E413" s="16"/>
      <c r="F413" s="11"/>
      <c r="G413" s="14"/>
      <c r="H413" s="15"/>
      <c r="I413" s="15"/>
      <c r="J413" s="15"/>
      <c r="K413" s="15"/>
      <c r="L413" s="12"/>
    </row>
    <row r="414" spans="2:12">
      <c r="B414" s="14"/>
      <c r="C414" s="16"/>
      <c r="D414" s="16"/>
      <c r="E414" s="16"/>
      <c r="F414" s="11"/>
      <c r="G414" s="14"/>
      <c r="H414" s="15"/>
      <c r="I414" s="15"/>
      <c r="J414" s="15"/>
      <c r="K414" s="15"/>
      <c r="L414" s="12"/>
    </row>
    <row r="415" spans="2:12">
      <c r="B415" s="14"/>
      <c r="C415" s="16"/>
      <c r="D415" s="16"/>
      <c r="E415" s="16"/>
      <c r="F415" s="11"/>
      <c r="G415" s="14"/>
      <c r="H415" s="15"/>
      <c r="I415" s="15"/>
      <c r="J415" s="15"/>
      <c r="K415" s="15"/>
      <c r="L415" s="12"/>
    </row>
    <row r="416" spans="2:12">
      <c r="B416" s="14"/>
      <c r="C416" s="16"/>
      <c r="D416" s="16"/>
      <c r="E416" s="16"/>
      <c r="F416" s="11"/>
      <c r="G416" s="14"/>
      <c r="H416" s="15"/>
      <c r="I416" s="15"/>
      <c r="J416" s="15"/>
      <c r="K416" s="15"/>
      <c r="L416" s="12"/>
    </row>
    <row r="417" spans="2:12">
      <c r="B417" s="14"/>
      <c r="C417" s="16"/>
      <c r="D417" s="16"/>
      <c r="E417" s="16"/>
      <c r="F417" s="11"/>
      <c r="G417" s="14"/>
      <c r="H417" s="15"/>
      <c r="I417" s="15"/>
      <c r="J417" s="15"/>
      <c r="K417" s="15"/>
      <c r="L417" s="12"/>
    </row>
    <row r="418" spans="2:12">
      <c r="B418" s="14"/>
      <c r="C418" s="16"/>
      <c r="D418" s="16"/>
      <c r="E418" s="16"/>
      <c r="F418" s="11"/>
      <c r="G418" s="14"/>
      <c r="H418" s="15"/>
      <c r="I418" s="15"/>
      <c r="J418" s="15"/>
      <c r="K418" s="15"/>
      <c r="L418" s="12"/>
    </row>
    <row r="419" spans="2:12">
      <c r="B419" s="14"/>
      <c r="C419" s="16"/>
      <c r="D419" s="16"/>
      <c r="E419" s="16"/>
      <c r="F419" s="11"/>
      <c r="G419" s="14"/>
      <c r="H419" s="15"/>
      <c r="I419" s="15"/>
      <c r="J419" s="15"/>
      <c r="K419" s="15"/>
      <c r="L419" s="12"/>
    </row>
    <row r="420" spans="2:12">
      <c r="B420" s="14"/>
      <c r="C420" s="16"/>
      <c r="D420" s="16"/>
      <c r="E420" s="16"/>
      <c r="F420" s="11"/>
      <c r="G420" s="14"/>
      <c r="H420" s="15"/>
      <c r="I420" s="15"/>
      <c r="J420" s="15"/>
      <c r="K420" s="15"/>
      <c r="L420" s="12"/>
    </row>
    <row r="421" spans="2:12">
      <c r="B421" s="14"/>
      <c r="C421" s="16"/>
      <c r="D421" s="16"/>
      <c r="E421" s="16"/>
      <c r="F421" s="11"/>
      <c r="G421" s="14"/>
      <c r="H421" s="15"/>
      <c r="I421" s="15"/>
      <c r="J421" s="15"/>
      <c r="K421" s="15"/>
      <c r="L421" s="12"/>
    </row>
    <row r="422" spans="2:12">
      <c r="B422" s="14"/>
      <c r="C422" s="16"/>
      <c r="D422" s="16"/>
      <c r="E422" s="16"/>
      <c r="F422" s="11"/>
      <c r="G422" s="14"/>
      <c r="H422" s="15"/>
      <c r="I422" s="15"/>
      <c r="J422" s="15"/>
      <c r="K422" s="15"/>
      <c r="L422" s="12"/>
    </row>
    <row r="423" spans="2:12">
      <c r="B423" s="14"/>
      <c r="C423" s="16"/>
      <c r="D423" s="16"/>
      <c r="E423" s="16"/>
      <c r="F423" s="11"/>
      <c r="G423" s="14"/>
      <c r="H423" s="15"/>
      <c r="I423" s="15"/>
      <c r="J423" s="15"/>
      <c r="K423" s="15"/>
      <c r="L423" s="12"/>
    </row>
    <row r="424" spans="2:12">
      <c r="B424" s="14"/>
      <c r="C424" s="16"/>
      <c r="D424" s="16"/>
      <c r="E424" s="16"/>
    </row>
    <row r="1048574" spans="2:2">
      <c r="B1048574" s="14"/>
    </row>
  </sheetData>
  <autoFilter ref="B18:L94"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B1048574:B1048576 E285 B19:B424</xm:sqref>
        </x14:dataValidation>
        <x14:dataValidation type="list" allowBlank="1" showInputMessage="1" showErrorMessage="1" xr:uid="{CA04D2EA-4498-4F08-B281-0B782CD811BA}">
          <x14:formula1>
            <xm:f>Clasificaciones!$H$3:$H$130</xm:f>
          </x14:formula1>
          <xm:sqref>E286:E424 E19:E284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workbookViewId="0"/>
  </sheetViews>
  <sheetFormatPr baseColWidth="10" defaultColWidth="11.42578125" defaultRowHeight="12.7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337</v>
      </c>
      <c r="D2" s="23" t="s">
        <v>303</v>
      </c>
      <c r="F2" s="23" t="s">
        <v>317</v>
      </c>
      <c r="H2" s="227" t="s">
        <v>520</v>
      </c>
      <c r="J2" s="227"/>
    </row>
    <row r="3" spans="1:10">
      <c r="A3" s="118" t="s">
        <v>351</v>
      </c>
      <c r="B3" s="18" t="s">
        <v>254</v>
      </c>
      <c r="D3" s="18" t="s">
        <v>304</v>
      </c>
      <c r="F3" s="18" t="s">
        <v>318</v>
      </c>
      <c r="H3" s="18" t="s">
        <v>454</v>
      </c>
    </row>
    <row r="4" spans="1:10">
      <c r="A4" s="118" t="s">
        <v>351</v>
      </c>
      <c r="B4" s="18" t="s">
        <v>255</v>
      </c>
      <c r="D4" s="18" t="s">
        <v>305</v>
      </c>
      <c r="F4" s="18" t="s">
        <v>133</v>
      </c>
      <c r="H4" s="18" t="s">
        <v>110</v>
      </c>
    </row>
    <row r="5" spans="1:10">
      <c r="A5" s="118" t="s">
        <v>351</v>
      </c>
      <c r="B5" s="18" t="s">
        <v>7</v>
      </c>
      <c r="D5" s="18" t="s">
        <v>306</v>
      </c>
      <c r="F5" s="18" t="s">
        <v>138</v>
      </c>
      <c r="H5" s="18" t="s">
        <v>455</v>
      </c>
    </row>
    <row r="6" spans="1:10">
      <c r="A6" s="118" t="s">
        <v>351</v>
      </c>
      <c r="B6" s="18" t="s">
        <v>256</v>
      </c>
      <c r="D6" s="18" t="s">
        <v>307</v>
      </c>
      <c r="F6" s="18" t="s">
        <v>134</v>
      </c>
      <c r="H6" s="18" t="s">
        <v>456</v>
      </c>
    </row>
    <row r="7" spans="1:10">
      <c r="A7" s="118" t="s">
        <v>351</v>
      </c>
      <c r="B7" s="18" t="s">
        <v>15</v>
      </c>
      <c r="D7" s="18" t="s">
        <v>308</v>
      </c>
      <c r="F7" s="18" t="s">
        <v>139</v>
      </c>
      <c r="H7" s="18" t="s">
        <v>457</v>
      </c>
    </row>
    <row r="8" spans="1:10">
      <c r="A8" s="118" t="s">
        <v>351</v>
      </c>
      <c r="B8" s="18" t="s">
        <v>257</v>
      </c>
      <c r="D8" s="18" t="s">
        <v>309</v>
      </c>
      <c r="F8" s="18" t="s">
        <v>319</v>
      </c>
      <c r="H8" s="18" t="s">
        <v>458</v>
      </c>
    </row>
    <row r="9" spans="1:10">
      <c r="A9" s="118" t="s">
        <v>351</v>
      </c>
      <c r="B9" s="18" t="s">
        <v>372</v>
      </c>
      <c r="D9" s="18" t="s">
        <v>310</v>
      </c>
      <c r="F9" s="18" t="s">
        <v>320</v>
      </c>
      <c r="H9" s="18" t="s">
        <v>459</v>
      </c>
    </row>
    <row r="10" spans="1:10">
      <c r="A10" s="118" t="s">
        <v>351</v>
      </c>
      <c r="B10" s="18" t="s">
        <v>258</v>
      </c>
      <c r="D10" s="18" t="s">
        <v>311</v>
      </c>
      <c r="F10" s="18" t="s">
        <v>321</v>
      </c>
      <c r="H10" s="18" t="s">
        <v>460</v>
      </c>
    </row>
    <row r="11" spans="1:10">
      <c r="A11" s="118" t="s">
        <v>351</v>
      </c>
      <c r="B11" s="18" t="s">
        <v>135</v>
      </c>
      <c r="D11" s="18" t="s">
        <v>312</v>
      </c>
      <c r="F11" s="18" t="s">
        <v>322</v>
      </c>
      <c r="H11" s="18" t="s">
        <v>107</v>
      </c>
    </row>
    <row r="12" spans="1:10">
      <c r="A12" s="118" t="s">
        <v>351</v>
      </c>
      <c r="B12" s="18" t="s">
        <v>259</v>
      </c>
      <c r="D12" s="18" t="s">
        <v>313</v>
      </c>
      <c r="F12" s="18" t="s">
        <v>323</v>
      </c>
      <c r="H12" s="18" t="s">
        <v>106</v>
      </c>
    </row>
    <row r="13" spans="1:10">
      <c r="A13" s="118" t="s">
        <v>351</v>
      </c>
      <c r="B13" s="18" t="s">
        <v>543</v>
      </c>
      <c r="D13" s="18" t="s">
        <v>314</v>
      </c>
      <c r="H13" s="18" t="s">
        <v>109</v>
      </c>
    </row>
    <row r="14" spans="1:10">
      <c r="A14" s="118" t="s">
        <v>351</v>
      </c>
      <c r="B14" s="18" t="s">
        <v>260</v>
      </c>
      <c r="D14" s="18" t="s">
        <v>315</v>
      </c>
      <c r="H14" s="18" t="s">
        <v>108</v>
      </c>
    </row>
    <row r="15" spans="1:10">
      <c r="A15" s="118" t="s">
        <v>352</v>
      </c>
      <c r="B15" s="18" t="s">
        <v>261</v>
      </c>
      <c r="D15" s="18" t="s">
        <v>316</v>
      </c>
      <c r="H15" s="18" t="s">
        <v>471</v>
      </c>
    </row>
    <row r="16" spans="1:10">
      <c r="A16" s="118" t="s">
        <v>352</v>
      </c>
      <c r="B16" s="18" t="s">
        <v>364</v>
      </c>
      <c r="H16" s="18" t="s">
        <v>118</v>
      </c>
    </row>
    <row r="17" spans="1:8">
      <c r="A17" s="118" t="s">
        <v>352</v>
      </c>
      <c r="B17" s="18" t="s">
        <v>262</v>
      </c>
      <c r="H17" s="18" t="s">
        <v>117</v>
      </c>
    </row>
    <row r="18" spans="1:8">
      <c r="A18" s="118" t="s">
        <v>352</v>
      </c>
      <c r="B18" s="18" t="s">
        <v>200</v>
      </c>
      <c r="H18" s="18" t="s">
        <v>470</v>
      </c>
    </row>
    <row r="19" spans="1:8">
      <c r="A19" s="118" t="s">
        <v>352</v>
      </c>
      <c r="B19" s="18" t="s">
        <v>263</v>
      </c>
      <c r="H19" s="18" t="s">
        <v>469</v>
      </c>
    </row>
    <row r="20" spans="1:8">
      <c r="A20" s="118" t="s">
        <v>352</v>
      </c>
      <c r="B20" s="18" t="s">
        <v>201</v>
      </c>
      <c r="H20" s="18" t="s">
        <v>461</v>
      </c>
    </row>
    <row r="21" spans="1:8">
      <c r="A21" s="118" t="s">
        <v>352</v>
      </c>
      <c r="B21" s="18" t="s">
        <v>264</v>
      </c>
      <c r="H21" s="18" t="s">
        <v>462</v>
      </c>
    </row>
    <row r="22" spans="1:8">
      <c r="A22" s="118" t="s">
        <v>352</v>
      </c>
      <c r="B22" s="18" t="s">
        <v>265</v>
      </c>
      <c r="H22" s="18" t="s">
        <v>463</v>
      </c>
    </row>
    <row r="23" spans="1:8">
      <c r="A23" s="118" t="s">
        <v>352</v>
      </c>
      <c r="B23" s="18" t="s">
        <v>542</v>
      </c>
      <c r="H23" s="18" t="s">
        <v>92</v>
      </c>
    </row>
    <row r="24" spans="1:8">
      <c r="A24" s="118" t="s">
        <v>353</v>
      </c>
      <c r="B24" s="18" t="s">
        <v>266</v>
      </c>
      <c r="H24" s="18" t="s">
        <v>91</v>
      </c>
    </row>
    <row r="25" spans="1:8">
      <c r="A25" s="118" t="s">
        <v>353</v>
      </c>
      <c r="B25" s="18" t="s">
        <v>202</v>
      </c>
      <c r="H25" s="18" t="s">
        <v>464</v>
      </c>
    </row>
    <row r="26" spans="1:8">
      <c r="A26" s="118" t="s">
        <v>353</v>
      </c>
      <c r="B26" s="18" t="s">
        <v>267</v>
      </c>
      <c r="H26" s="18" t="s">
        <v>465</v>
      </c>
    </row>
    <row r="27" spans="1:8">
      <c r="A27" s="118" t="s">
        <v>353</v>
      </c>
      <c r="B27" s="18" t="s">
        <v>268</v>
      </c>
      <c r="H27" s="18" t="s">
        <v>468</v>
      </c>
    </row>
    <row r="28" spans="1:8">
      <c r="A28" s="118" t="s">
        <v>353</v>
      </c>
      <c r="B28" s="18" t="s">
        <v>16</v>
      </c>
      <c r="H28" s="18" t="s">
        <v>466</v>
      </c>
    </row>
    <row r="29" spans="1:8">
      <c r="A29" s="118" t="s">
        <v>353</v>
      </c>
      <c r="B29" s="18" t="s">
        <v>269</v>
      </c>
      <c r="H29" s="18" t="s">
        <v>467</v>
      </c>
    </row>
    <row r="30" spans="1:8">
      <c r="A30" s="118" t="s">
        <v>353</v>
      </c>
      <c r="B30" s="18" t="s">
        <v>270</v>
      </c>
      <c r="H30" s="18" t="s">
        <v>515</v>
      </c>
    </row>
    <row r="31" spans="1:8">
      <c r="A31" s="118" t="s">
        <v>353</v>
      </c>
      <c r="B31" s="18" t="s">
        <v>271</v>
      </c>
      <c r="H31" s="20" t="s">
        <v>12</v>
      </c>
    </row>
    <row r="32" spans="1:8">
      <c r="A32" s="118" t="s">
        <v>353</v>
      </c>
      <c r="B32" s="18" t="s">
        <v>272</v>
      </c>
      <c r="H32" s="20" t="s">
        <v>193</v>
      </c>
    </row>
    <row r="33" spans="1:8">
      <c r="A33" s="118" t="s">
        <v>353</v>
      </c>
      <c r="B33" s="18" t="s">
        <v>544</v>
      </c>
      <c r="H33" s="20" t="s">
        <v>13</v>
      </c>
    </row>
    <row r="34" spans="1:8">
      <c r="A34" s="118" t="s">
        <v>354</v>
      </c>
      <c r="B34" s="18" t="s">
        <v>273</v>
      </c>
      <c r="H34" s="20" t="s">
        <v>14</v>
      </c>
    </row>
    <row r="35" spans="1:8">
      <c r="A35" s="118" t="s">
        <v>354</v>
      </c>
      <c r="B35" s="18" t="s">
        <v>205</v>
      </c>
      <c r="H35" s="20" t="s">
        <v>335</v>
      </c>
    </row>
    <row r="36" spans="1:8">
      <c r="A36" s="118" t="s">
        <v>354</v>
      </c>
      <c r="B36" s="18" t="s">
        <v>274</v>
      </c>
      <c r="H36" s="20" t="s">
        <v>336</v>
      </c>
    </row>
    <row r="37" spans="1:8">
      <c r="A37" s="118" t="s">
        <v>355</v>
      </c>
      <c r="B37" s="18" t="s">
        <v>136</v>
      </c>
      <c r="H37" s="20" t="s">
        <v>519</v>
      </c>
    </row>
    <row r="38" spans="1:8">
      <c r="A38" s="118" t="s">
        <v>354</v>
      </c>
      <c r="B38" s="18" t="s">
        <v>275</v>
      </c>
      <c r="H38" s="18" t="s">
        <v>5</v>
      </c>
    </row>
    <row r="39" spans="1:8">
      <c r="A39" s="118" t="s">
        <v>354</v>
      </c>
      <c r="B39" s="18" t="s">
        <v>276</v>
      </c>
      <c r="H39" s="18" t="s">
        <v>516</v>
      </c>
    </row>
    <row r="40" spans="1:8">
      <c r="A40" s="118" t="s">
        <v>354</v>
      </c>
      <c r="B40" s="18" t="s">
        <v>277</v>
      </c>
      <c r="H40" s="18" t="s">
        <v>472</v>
      </c>
    </row>
    <row r="41" spans="1:8">
      <c r="A41" s="118" t="s">
        <v>355</v>
      </c>
      <c r="B41" s="18" t="s">
        <v>209</v>
      </c>
      <c r="H41" s="18" t="s">
        <v>59</v>
      </c>
    </row>
    <row r="42" spans="1:8">
      <c r="A42" s="118" t="s">
        <v>355</v>
      </c>
      <c r="B42" s="18" t="s">
        <v>138</v>
      </c>
      <c r="H42" s="18" t="s">
        <v>473</v>
      </c>
    </row>
    <row r="43" spans="1:8">
      <c r="A43" s="118" t="s">
        <v>355</v>
      </c>
      <c r="B43" s="18" t="s">
        <v>139</v>
      </c>
      <c r="H43" s="18" t="s">
        <v>55</v>
      </c>
    </row>
    <row r="44" spans="1:8">
      <c r="A44" s="118" t="s">
        <v>355</v>
      </c>
      <c r="B44" s="18" t="s">
        <v>240</v>
      </c>
      <c r="H44" s="18" t="s">
        <v>60</v>
      </c>
    </row>
    <row r="45" spans="1:8">
      <c r="A45" s="118" t="s">
        <v>355</v>
      </c>
      <c r="B45" s="18" t="s">
        <v>278</v>
      </c>
      <c r="H45" s="18" t="s">
        <v>474</v>
      </c>
    </row>
    <row r="46" spans="1:8">
      <c r="A46" s="118" t="s">
        <v>355</v>
      </c>
      <c r="B46" s="18" t="s">
        <v>279</v>
      </c>
      <c r="H46" s="18" t="s">
        <v>61</v>
      </c>
    </row>
    <row r="47" spans="1:8">
      <c r="A47" s="118" t="s">
        <v>350</v>
      </c>
      <c r="B47" s="18" t="s">
        <v>91</v>
      </c>
      <c r="H47" s="18" t="s">
        <v>62</v>
      </c>
    </row>
    <row r="48" spans="1:8">
      <c r="A48" s="118" t="s">
        <v>350</v>
      </c>
      <c r="B48" s="18" t="s">
        <v>92</v>
      </c>
      <c r="H48" s="18" t="s">
        <v>475</v>
      </c>
    </row>
    <row r="49" spans="1:8">
      <c r="A49" s="118" t="s">
        <v>350</v>
      </c>
      <c r="B49" s="18" t="s">
        <v>93</v>
      </c>
      <c r="H49" s="18" t="s">
        <v>63</v>
      </c>
    </row>
    <row r="50" spans="1:8">
      <c r="A50" s="118" t="s">
        <v>350</v>
      </c>
      <c r="B50" s="18" t="s">
        <v>94</v>
      </c>
      <c r="H50" s="18" t="s">
        <v>56</v>
      </c>
    </row>
    <row r="51" spans="1:8">
      <c r="A51" s="118" t="s">
        <v>350</v>
      </c>
      <c r="B51" s="18" t="s">
        <v>96</v>
      </c>
      <c r="H51" s="18" t="s">
        <v>57</v>
      </c>
    </row>
    <row r="52" spans="1:8">
      <c r="A52" s="118" t="s">
        <v>350</v>
      </c>
      <c r="B52" s="18" t="s">
        <v>97</v>
      </c>
      <c r="H52" s="18" t="s">
        <v>64</v>
      </c>
    </row>
    <row r="53" spans="1:8">
      <c r="A53" s="118" t="s">
        <v>350</v>
      </c>
      <c r="B53" s="18" t="s">
        <v>98</v>
      </c>
      <c r="H53" s="18" t="s">
        <v>65</v>
      </c>
    </row>
    <row r="54" spans="1:8">
      <c r="A54" s="118" t="s">
        <v>350</v>
      </c>
      <c r="B54" s="18" t="s">
        <v>99</v>
      </c>
      <c r="H54" s="18" t="s">
        <v>476</v>
      </c>
    </row>
    <row r="55" spans="1:8">
      <c r="A55" s="118" t="s">
        <v>350</v>
      </c>
      <c r="B55" s="18" t="s">
        <v>101</v>
      </c>
      <c r="H55" s="18" t="s">
        <v>477</v>
      </c>
    </row>
    <row r="56" spans="1:8">
      <c r="A56" s="118" t="s">
        <v>350</v>
      </c>
      <c r="B56" s="18" t="s">
        <v>102</v>
      </c>
      <c r="H56" s="18" t="s">
        <v>66</v>
      </c>
    </row>
    <row r="57" spans="1:8">
      <c r="A57" s="118" t="s">
        <v>350</v>
      </c>
      <c r="B57" s="18" t="s">
        <v>103</v>
      </c>
      <c r="H57" s="18" t="s">
        <v>67</v>
      </c>
    </row>
    <row r="58" spans="1:8">
      <c r="A58" s="118" t="s">
        <v>350</v>
      </c>
      <c r="B58" s="18" t="s">
        <v>105</v>
      </c>
      <c r="H58" s="18" t="s">
        <v>504</v>
      </c>
    </row>
    <row r="59" spans="1:8">
      <c r="A59" s="118" t="s">
        <v>350</v>
      </c>
      <c r="B59" s="18" t="s">
        <v>301</v>
      </c>
      <c r="H59" s="18" t="s">
        <v>478</v>
      </c>
    </row>
    <row r="60" spans="1:8">
      <c r="A60" s="118" t="s">
        <v>350</v>
      </c>
      <c r="B60" s="18" t="s">
        <v>302</v>
      </c>
      <c r="H60" s="18" t="s">
        <v>479</v>
      </c>
    </row>
    <row r="61" spans="1:8">
      <c r="A61" s="118" t="s">
        <v>350</v>
      </c>
      <c r="B61" s="18" t="s">
        <v>106</v>
      </c>
      <c r="H61" s="18" t="s">
        <v>68</v>
      </c>
    </row>
    <row r="62" spans="1:8">
      <c r="A62" s="118" t="s">
        <v>350</v>
      </c>
      <c r="B62" s="18" t="s">
        <v>107</v>
      </c>
      <c r="H62" s="18" t="s">
        <v>75</v>
      </c>
    </row>
    <row r="63" spans="1:8">
      <c r="A63" s="118" t="s">
        <v>350</v>
      </c>
      <c r="B63" s="18" t="s">
        <v>108</v>
      </c>
      <c r="H63" s="18" t="s">
        <v>69</v>
      </c>
    </row>
    <row r="64" spans="1:8">
      <c r="A64" s="118" t="s">
        <v>350</v>
      </c>
      <c r="B64" s="18" t="s">
        <v>109</v>
      </c>
      <c r="H64" s="18" t="s">
        <v>70</v>
      </c>
    </row>
    <row r="65" spans="1:8">
      <c r="A65" s="118" t="s">
        <v>350</v>
      </c>
      <c r="B65" s="18" t="s">
        <v>110</v>
      </c>
      <c r="H65" s="18" t="s">
        <v>71</v>
      </c>
    </row>
    <row r="66" spans="1:8">
      <c r="A66" s="118" t="s">
        <v>350</v>
      </c>
      <c r="B66" s="18" t="s">
        <v>111</v>
      </c>
      <c r="H66" s="18" t="s">
        <v>72</v>
      </c>
    </row>
    <row r="67" spans="1:8">
      <c r="A67" s="118" t="s">
        <v>350</v>
      </c>
      <c r="B67" s="18" t="s">
        <v>112</v>
      </c>
      <c r="H67" s="18" t="s">
        <v>73</v>
      </c>
    </row>
    <row r="68" spans="1:8">
      <c r="A68" s="118" t="s">
        <v>350</v>
      </c>
      <c r="B68" s="18" t="s">
        <v>113</v>
      </c>
      <c r="H68" s="18" t="s">
        <v>74</v>
      </c>
    </row>
    <row r="69" spans="1:8">
      <c r="A69" s="118" t="s">
        <v>350</v>
      </c>
      <c r="B69" s="18" t="s">
        <v>114</v>
      </c>
      <c r="H69" s="18" t="s">
        <v>76</v>
      </c>
    </row>
    <row r="70" spans="1:8">
      <c r="A70" s="118" t="s">
        <v>350</v>
      </c>
      <c r="B70" s="18" t="s">
        <v>75</v>
      </c>
      <c r="H70" s="18" t="s">
        <v>77</v>
      </c>
    </row>
    <row r="71" spans="1:8">
      <c r="A71" s="118" t="s">
        <v>350</v>
      </c>
      <c r="B71" s="18" t="s">
        <v>115</v>
      </c>
      <c r="H71" s="18" t="s">
        <v>480</v>
      </c>
    </row>
    <row r="72" spans="1:8">
      <c r="A72" s="118" t="s">
        <v>350</v>
      </c>
      <c r="B72" s="18" t="s">
        <v>116</v>
      </c>
      <c r="H72" s="18" t="s">
        <v>545</v>
      </c>
    </row>
    <row r="73" spans="1:8">
      <c r="A73" s="118" t="s">
        <v>350</v>
      </c>
      <c r="B73" s="18" t="s">
        <v>117</v>
      </c>
      <c r="H73" s="18" t="s">
        <v>482</v>
      </c>
    </row>
    <row r="74" spans="1:8">
      <c r="A74" s="118" t="s">
        <v>350</v>
      </c>
      <c r="B74" s="18" t="s">
        <v>118</v>
      </c>
      <c r="H74" s="18" t="s">
        <v>483</v>
      </c>
    </row>
    <row r="75" spans="1:8">
      <c r="A75" s="118" t="s">
        <v>350</v>
      </c>
      <c r="B75" s="18" t="s">
        <v>358</v>
      </c>
      <c r="H75" s="18" t="s">
        <v>484</v>
      </c>
    </row>
    <row r="76" spans="1:8">
      <c r="A76" s="118" t="s">
        <v>350</v>
      </c>
      <c r="B76" s="18" t="s">
        <v>120</v>
      </c>
      <c r="H76" s="18" t="s">
        <v>485</v>
      </c>
    </row>
    <row r="77" spans="1:8">
      <c r="A77" s="118" t="s">
        <v>350</v>
      </c>
      <c r="B77" s="18" t="s">
        <v>121</v>
      </c>
      <c r="H77" s="18" t="s">
        <v>486</v>
      </c>
    </row>
    <row r="78" spans="1:8">
      <c r="A78" s="118" t="s">
        <v>350</v>
      </c>
      <c r="B78" s="18" t="s">
        <v>122</v>
      </c>
      <c r="H78" s="18" t="s">
        <v>487</v>
      </c>
    </row>
    <row r="79" spans="1:8">
      <c r="A79" s="118" t="s">
        <v>350</v>
      </c>
      <c r="B79" s="18" t="s">
        <v>123</v>
      </c>
      <c r="H79" s="18" t="s">
        <v>488</v>
      </c>
    </row>
    <row r="80" spans="1:8">
      <c r="A80" s="118" t="s">
        <v>350</v>
      </c>
      <c r="B80" s="18" t="s">
        <v>124</v>
      </c>
      <c r="H80" s="18" t="s">
        <v>489</v>
      </c>
    </row>
    <row r="81" spans="1:8">
      <c r="A81" s="118" t="s">
        <v>350</v>
      </c>
      <c r="B81" s="18" t="s">
        <v>125</v>
      </c>
      <c r="H81" s="18" t="s">
        <v>490</v>
      </c>
    </row>
    <row r="82" spans="1:8">
      <c r="A82" s="118" t="s">
        <v>350</v>
      </c>
      <c r="B82" s="18" t="s">
        <v>126</v>
      </c>
      <c r="H82" s="18" t="s">
        <v>491</v>
      </c>
    </row>
    <row r="83" spans="1:8">
      <c r="A83" s="118" t="s">
        <v>350</v>
      </c>
      <c r="B83" s="18" t="s">
        <v>64</v>
      </c>
      <c r="H83" s="18" t="s">
        <v>492</v>
      </c>
    </row>
    <row r="84" spans="1:8">
      <c r="A84" s="118" t="s">
        <v>350</v>
      </c>
      <c r="B84" s="18" t="s">
        <v>127</v>
      </c>
      <c r="H84" s="18" t="s">
        <v>493</v>
      </c>
    </row>
    <row r="85" spans="1:8">
      <c r="A85" s="118" t="s">
        <v>350</v>
      </c>
      <c r="B85" s="18" t="s">
        <v>128</v>
      </c>
      <c r="H85" s="18" t="s">
        <v>494</v>
      </c>
    </row>
    <row r="86" spans="1:8">
      <c r="A86" s="118" t="s">
        <v>350</v>
      </c>
      <c r="B86" s="18" t="s">
        <v>129</v>
      </c>
      <c r="H86" s="18" t="s">
        <v>495</v>
      </c>
    </row>
    <row r="87" spans="1:8">
      <c r="A87" s="118" t="s">
        <v>350</v>
      </c>
      <c r="B87" s="18" t="s">
        <v>130</v>
      </c>
      <c r="H87" s="18" t="s">
        <v>496</v>
      </c>
    </row>
    <row r="88" spans="1:8">
      <c r="A88" s="118" t="s">
        <v>350</v>
      </c>
      <c r="B88" s="18" t="s">
        <v>131</v>
      </c>
      <c r="H88" s="18" t="s">
        <v>540</v>
      </c>
    </row>
    <row r="89" spans="1:8">
      <c r="A89" s="118" t="s">
        <v>350</v>
      </c>
      <c r="B89" s="18" t="s">
        <v>132</v>
      </c>
      <c r="H89" s="18" t="s">
        <v>65</v>
      </c>
    </row>
    <row r="90" spans="1:8">
      <c r="H90" s="18" t="s">
        <v>497</v>
      </c>
    </row>
    <row r="91" spans="1:8">
      <c r="H91" s="18" t="s">
        <v>498</v>
      </c>
    </row>
    <row r="92" spans="1:8">
      <c r="H92" s="18" t="s">
        <v>499</v>
      </c>
    </row>
    <row r="93" spans="1:8">
      <c r="H93" s="18" t="s">
        <v>500</v>
      </c>
    </row>
    <row r="94" spans="1:8">
      <c r="H94" s="18" t="s">
        <v>501</v>
      </c>
    </row>
    <row r="95" spans="1:8">
      <c r="H95" s="18" t="s">
        <v>502</v>
      </c>
    </row>
    <row r="96" spans="1:8">
      <c r="H96" s="18" t="s">
        <v>503</v>
      </c>
    </row>
    <row r="97" spans="8:8">
      <c r="H97" s="18" t="s">
        <v>508</v>
      </c>
    </row>
    <row r="98" spans="8:8">
      <c r="H98" s="18" t="s">
        <v>78</v>
      </c>
    </row>
    <row r="99" spans="8:8">
      <c r="H99" s="18" t="s">
        <v>79</v>
      </c>
    </row>
    <row r="100" spans="8:8">
      <c r="H100" s="18" t="s">
        <v>505</v>
      </c>
    </row>
    <row r="101" spans="8:8">
      <c r="H101" s="18" t="s">
        <v>80</v>
      </c>
    </row>
    <row r="102" spans="8:8">
      <c r="H102" s="18" t="s">
        <v>81</v>
      </c>
    </row>
    <row r="103" spans="8:8">
      <c r="H103" s="18" t="s">
        <v>506</v>
      </c>
    </row>
    <row r="104" spans="8:8">
      <c r="H104" s="18" t="s">
        <v>82</v>
      </c>
    </row>
    <row r="105" spans="8:8">
      <c r="H105" s="18" t="s">
        <v>507</v>
      </c>
    </row>
    <row r="106" spans="8:8">
      <c r="H106" s="18" t="s">
        <v>83</v>
      </c>
    </row>
    <row r="107" spans="8:8">
      <c r="H107" s="18" t="s">
        <v>521</v>
      </c>
    </row>
    <row r="108" spans="8:8">
      <c r="H108" s="18" t="s">
        <v>84</v>
      </c>
    </row>
    <row r="109" spans="8:8">
      <c r="H109" s="18" t="s">
        <v>522</v>
      </c>
    </row>
    <row r="110" spans="8:8">
      <c r="H110" s="18" t="s">
        <v>11</v>
      </c>
    </row>
    <row r="111" spans="8:8">
      <c r="H111" s="18" t="s">
        <v>523</v>
      </c>
    </row>
    <row r="112" spans="8:8">
      <c r="H112" s="18" t="s">
        <v>524</v>
      </c>
    </row>
    <row r="113" spans="8:8">
      <c r="H113" s="18" t="s">
        <v>525</v>
      </c>
    </row>
    <row r="114" spans="8:8">
      <c r="H114" s="18" t="s">
        <v>526</v>
      </c>
    </row>
    <row r="115" spans="8:8">
      <c r="H115" s="18" t="s">
        <v>527</v>
      </c>
    </row>
    <row r="116" spans="8:8">
      <c r="H116" s="18" t="s">
        <v>528</v>
      </c>
    </row>
    <row r="117" spans="8:8">
      <c r="H117" s="18" t="s">
        <v>529</v>
      </c>
    </row>
    <row r="118" spans="8:8">
      <c r="H118" s="18" t="s">
        <v>530</v>
      </c>
    </row>
    <row r="119" spans="8:8">
      <c r="H119" s="18" t="s">
        <v>531</v>
      </c>
    </row>
    <row r="120" spans="8:8">
      <c r="H120" s="18" t="s">
        <v>532</v>
      </c>
    </row>
    <row r="121" spans="8:8">
      <c r="H121" s="18" t="s">
        <v>533</v>
      </c>
    </row>
    <row r="122" spans="8:8">
      <c r="H122" s="18" t="s">
        <v>534</v>
      </c>
    </row>
    <row r="123" spans="8:8">
      <c r="H123" s="18" t="s">
        <v>85</v>
      </c>
    </row>
    <row r="124" spans="8:8">
      <c r="H124" s="18" t="s">
        <v>509</v>
      </c>
    </row>
    <row r="125" spans="8:8">
      <c r="H125" s="18" t="s">
        <v>510</v>
      </c>
    </row>
    <row r="126" spans="8:8">
      <c r="H126" s="18" t="s">
        <v>102</v>
      </c>
    </row>
    <row r="127" spans="8:8">
      <c r="H127" s="18" t="s">
        <v>511</v>
      </c>
    </row>
    <row r="128" spans="8:8">
      <c r="H128" s="18" t="s">
        <v>512</v>
      </c>
    </row>
    <row r="129" spans="8:8">
      <c r="H129" s="18" t="s">
        <v>513</v>
      </c>
    </row>
    <row r="130" spans="8:8">
      <c r="H130" s="18" t="s">
        <v>514</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A37" workbookViewId="0">
      <selection activeCell="H36" sqref="H36"/>
    </sheetView>
  </sheetViews>
  <sheetFormatPr baseColWidth="10" defaultColWidth="9.140625" defaultRowHeight="12.7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3.85546875" style="19"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70" t="str">
        <f>+Portada!B12</f>
        <v xml:space="preserve">CADALA S.A DE C.V </v>
      </c>
      <c r="D11" s="270"/>
      <c r="E11" s="270"/>
      <c r="F11" s="270"/>
      <c r="G11" s="270"/>
      <c r="H11" s="270"/>
      <c r="I11" s="270"/>
      <c r="J11" s="270"/>
      <c r="K11" s="270"/>
    </row>
    <row r="12" spans="3:13">
      <c r="C12" s="271" t="s">
        <v>338</v>
      </c>
      <c r="D12" s="271"/>
      <c r="E12" s="271"/>
      <c r="F12" s="271"/>
      <c r="G12" s="271"/>
      <c r="H12" s="271"/>
      <c r="I12" s="271"/>
      <c r="J12" s="271"/>
      <c r="K12" s="271"/>
    </row>
    <row r="13" spans="3:13">
      <c r="L13" s="22"/>
      <c r="M13" s="22"/>
    </row>
    <row r="15" spans="3:13">
      <c r="D15" s="22" t="s">
        <v>452</v>
      </c>
      <c r="E15" s="22" t="s">
        <v>451</v>
      </c>
      <c r="F15" s="220" t="s">
        <v>0</v>
      </c>
      <c r="I15" s="22" t="s">
        <v>452</v>
      </c>
      <c r="J15" s="22" t="s">
        <v>451</v>
      </c>
      <c r="K15" s="220" t="s">
        <v>0</v>
      </c>
    </row>
    <row r="16" spans="3:13">
      <c r="F16" s="221"/>
      <c r="I16" s="18"/>
      <c r="J16" s="18"/>
      <c r="K16" s="221"/>
    </row>
    <row r="17" spans="3:13">
      <c r="C17" s="23" t="s">
        <v>339</v>
      </c>
      <c r="D17" s="23"/>
      <c r="E17" s="23"/>
      <c r="F17" s="222"/>
      <c r="H17" s="24" t="s">
        <v>341</v>
      </c>
      <c r="I17" s="24"/>
      <c r="J17" s="24"/>
      <c r="K17" s="222"/>
      <c r="L17" s="25"/>
      <c r="M17" s="25"/>
    </row>
    <row r="18" spans="3:13">
      <c r="C18" s="23"/>
      <c r="D18" s="23"/>
      <c r="E18" s="23"/>
      <c r="F18" s="222"/>
      <c r="H18" s="24"/>
      <c r="I18" s="24"/>
      <c r="J18" s="24"/>
      <c r="K18" s="222"/>
      <c r="L18" s="25"/>
      <c r="M18" s="25"/>
    </row>
    <row r="19" spans="3:13">
      <c r="C19" s="23" t="s">
        <v>340</v>
      </c>
      <c r="D19" s="23"/>
      <c r="E19" s="23"/>
      <c r="F19" s="221"/>
      <c r="H19" s="23" t="s">
        <v>342</v>
      </c>
      <c r="I19" s="23"/>
      <c r="J19" s="23"/>
      <c r="K19" s="221"/>
    </row>
    <row r="20" spans="3:13">
      <c r="C20" s="26" t="s">
        <v>254</v>
      </c>
      <c r="D20" s="26">
        <f>SUMIFS(BZ!$K:$K,BZ!$B:$B,C20,BZ!$D:$D,"PR")</f>
        <v>0</v>
      </c>
      <c r="E20" s="245">
        <f>SUMIFS(BZ!$K:$K,BZ!$B:$B,C20,BZ!$D:$D,"PNR")</f>
        <v>112199.96</v>
      </c>
      <c r="F20" s="248">
        <f>D20+E20</f>
        <v>112199.96</v>
      </c>
      <c r="H20" s="27" t="s">
        <v>266</v>
      </c>
      <c r="I20" s="26">
        <f>SUMIFS(BZ!$K:$K,BZ!$B:$B,H20,BZ!$D:$D,"PR")</f>
        <v>0</v>
      </c>
      <c r="J20" s="245">
        <f>SUMIFS(BZ!$K:$K,BZ!$B:$B,H20,BZ!$D:$D,"PNR")</f>
        <v>0</v>
      </c>
      <c r="K20" s="248">
        <f t="shared" ref="K20:K29" si="0">I20+J20</f>
        <v>0</v>
      </c>
    </row>
    <row r="21" spans="3:13">
      <c r="C21" s="26" t="s">
        <v>255</v>
      </c>
      <c r="D21" s="26">
        <f>SUMIFS(BZ!$K:$K,BZ!$B:$B,C21,BZ!$D:$D,"PR")</f>
        <v>0</v>
      </c>
      <c r="E21" s="245">
        <f>SUMIFS(BZ!$K:$K,BZ!$B:$B,C21,BZ!$D:$D,"PNR")</f>
        <v>0</v>
      </c>
      <c r="F21" s="248">
        <f>D21+E21</f>
        <v>0</v>
      </c>
      <c r="H21" s="27" t="s">
        <v>202</v>
      </c>
      <c r="I21" s="26">
        <f>SUMIFS(BZ!$K:$K,BZ!$B:$B,H21,BZ!$D:$D,"PR")</f>
        <v>0</v>
      </c>
      <c r="J21" s="245">
        <f>SUMIFS(BZ!$K:$K,BZ!$B:$B,H21,BZ!$D:$D,"PNR")</f>
        <v>0</v>
      </c>
      <c r="K21" s="248">
        <f t="shared" si="0"/>
        <v>0</v>
      </c>
    </row>
    <row r="22" spans="3:13">
      <c r="C22" s="26" t="s">
        <v>7</v>
      </c>
      <c r="D22" s="26">
        <f>SUMIFS(BZ!$K:$K,BZ!$B:$B,C22,BZ!$D:$D,"PR")</f>
        <v>0</v>
      </c>
      <c r="E22" s="245">
        <f>SUMIFS(BZ!$K:$K,BZ!$B:$B,C22,BZ!$D:$D,"PNR")</f>
        <v>0</v>
      </c>
      <c r="F22" s="248">
        <f t="shared" ref="F22:F27" si="1">D22+E22</f>
        <v>0</v>
      </c>
      <c r="H22" s="27" t="s">
        <v>267</v>
      </c>
      <c r="I22" s="26">
        <f>SUMIFS(BZ!$K:$K,BZ!$B:$B,H22,BZ!$D:$D,"PR")</f>
        <v>0</v>
      </c>
      <c r="J22" s="245">
        <f>SUMIFS(BZ!$K:$K,BZ!$B:$B,H22,BZ!$D:$D,"PNR")</f>
        <v>0</v>
      </c>
      <c r="K22" s="248">
        <f t="shared" si="0"/>
        <v>0</v>
      </c>
    </row>
    <row r="23" spans="3:13">
      <c r="C23" s="26" t="s">
        <v>256</v>
      </c>
      <c r="D23" s="26">
        <f>SUMIFS(BZ!$K:$K,BZ!$B:$B,C23,BZ!$D:$D,"PR")</f>
        <v>0</v>
      </c>
      <c r="E23" s="245">
        <f>SUMIFS(BZ!$K:$K,BZ!$B:$B,C23,BZ!$D:$D,"PNR")</f>
        <v>0</v>
      </c>
      <c r="F23" s="248">
        <f t="shared" si="1"/>
        <v>0</v>
      </c>
      <c r="H23" s="27" t="s">
        <v>268</v>
      </c>
      <c r="I23" s="26">
        <f>SUMIFS(BZ!$K:$K,BZ!$B:$B,H23,BZ!$D:$D,"PR")</f>
        <v>0</v>
      </c>
      <c r="J23" s="245">
        <f>SUMIFS(BZ!$K:$K,BZ!$B:$B,H23,BZ!$D:$D,"PNR")</f>
        <v>0</v>
      </c>
      <c r="K23" s="248">
        <f t="shared" si="0"/>
        <v>0</v>
      </c>
    </row>
    <row r="24" spans="3:13">
      <c r="C24" s="26" t="s">
        <v>15</v>
      </c>
      <c r="D24" s="26">
        <f>SUMIFS(BZ!$K:$K,BZ!$B:$B,C24,BZ!$D:$D,"PR")</f>
        <v>0</v>
      </c>
      <c r="E24" s="245">
        <f>SUMIFS(BZ!$K:$K,BZ!$B:$B,C24,BZ!$D:$D,"PNR")</f>
        <v>0</v>
      </c>
      <c r="F24" s="248">
        <f t="shared" si="1"/>
        <v>0</v>
      </c>
      <c r="H24" s="19" t="s">
        <v>16</v>
      </c>
      <c r="I24" s="26">
        <f>SUMIFS(BZ!$K:$K,BZ!$B:$B,H24,BZ!$D:$D,"PR")</f>
        <v>0</v>
      </c>
      <c r="J24" s="245">
        <f>SUMIFS(BZ!$K:$K,BZ!$B:$B,H24,BZ!$D:$D,"PNR")</f>
        <v>0</v>
      </c>
      <c r="K24" s="248">
        <f t="shared" si="0"/>
        <v>0</v>
      </c>
    </row>
    <row r="25" spans="3:13">
      <c r="C25" s="26" t="s">
        <v>257</v>
      </c>
      <c r="D25" s="26">
        <f>SUMIFS(BZ!$K:$K,BZ!$B:$B,C25,BZ!$D:$D,"PR")</f>
        <v>0</v>
      </c>
      <c r="E25" s="245">
        <f>SUMIFS(BZ!$K:$K,BZ!$B:$B,C25,BZ!$D:$D,"PNR")</f>
        <v>0</v>
      </c>
      <c r="F25" s="248">
        <f t="shared" si="1"/>
        <v>0</v>
      </c>
      <c r="H25" s="19" t="s">
        <v>269</v>
      </c>
      <c r="I25" s="26">
        <f>SUMIFS(BZ!$K:$K,BZ!$B:$B,H25,BZ!$D:$D,"PR")</f>
        <v>0</v>
      </c>
      <c r="J25" s="245">
        <f>SUMIFS(BZ!$K:$K,BZ!$B:$B,H25,BZ!$D:$D,"PNR")</f>
        <v>0</v>
      </c>
      <c r="K25" s="248">
        <f t="shared" si="0"/>
        <v>0</v>
      </c>
    </row>
    <row r="26" spans="3:13">
      <c r="C26" s="26" t="s">
        <v>258</v>
      </c>
      <c r="D26" s="26">
        <f>SUMIFS(BZ!$K:$K,BZ!$B:$B,C26,BZ!$D:$D,"PR")</f>
        <v>0</v>
      </c>
      <c r="E26" s="245">
        <f>SUMIFS(BZ!$K:$K,BZ!$B:$B,C26,BZ!$D:$D,"PNR")</f>
        <v>63076.219999999994</v>
      </c>
      <c r="F26" s="248">
        <f t="shared" si="1"/>
        <v>63076.219999999994</v>
      </c>
      <c r="H26" s="19" t="s">
        <v>270</v>
      </c>
      <c r="I26" s="26">
        <f>SUMIFS(BZ!$K:$K,BZ!$B:$B,H26,BZ!$D:$D,"PR")</f>
        <v>0</v>
      </c>
      <c r="J26" s="245">
        <f>SUMIFS(BZ!$K:$K,BZ!$B:$B,H26,BZ!$D:$D,"PNR")</f>
        <v>0</v>
      </c>
      <c r="K26" s="248">
        <f t="shared" si="0"/>
        <v>0</v>
      </c>
    </row>
    <row r="27" spans="3:13">
      <c r="C27" s="18" t="s">
        <v>372</v>
      </c>
      <c r="D27" s="26">
        <f>SUMIFS(BZ!$K:$K,BZ!$B:$B,C27,BZ!$D:$D,"PR")</f>
        <v>0</v>
      </c>
      <c r="E27" s="245">
        <f>SUMIFS(BZ!$K:$K,BZ!$B:$B,C27,BZ!$D:$D,"PNR")</f>
        <v>0</v>
      </c>
      <c r="F27" s="248">
        <f t="shared" si="1"/>
        <v>0</v>
      </c>
      <c r="H27" s="19" t="s">
        <v>271</v>
      </c>
      <c r="I27" s="26">
        <f>SUMIFS(BZ!$K:$K,BZ!$B:$B,H27,BZ!$D:$D,"PR")</f>
        <v>0</v>
      </c>
      <c r="J27" s="245">
        <f>SUMIFS(BZ!$K:$K,BZ!$B:$B,H27,BZ!$D:$D,"PNR")</f>
        <v>456358.83999999997</v>
      </c>
      <c r="K27" s="248">
        <f t="shared" si="0"/>
        <v>456358.83999999997</v>
      </c>
    </row>
    <row r="28" spans="3:13">
      <c r="C28" s="26" t="s">
        <v>135</v>
      </c>
      <c r="D28" s="26">
        <f>SUMIFS(BZ!$K:$K,BZ!$B:$B,C28,BZ!$D:$D,"PR")</f>
        <v>0</v>
      </c>
      <c r="E28" s="245">
        <f>SUMIFS(BZ!$K:$K,BZ!$B:$B,C28,BZ!$D:$D,"PNR")</f>
        <v>0</v>
      </c>
      <c r="F28" s="248">
        <f>D28+E28</f>
        <v>0</v>
      </c>
      <c r="H28" s="19" t="s">
        <v>272</v>
      </c>
      <c r="I28" s="26">
        <f>SUMIFS(BZ!$K:$K,BZ!$B:$B,H28,BZ!$D:$D,"PR")</f>
        <v>0</v>
      </c>
      <c r="J28" s="245">
        <f>SUMIFS(BZ!$K:$K,BZ!$B:$B,H28,BZ!$D:$D,"PNR")</f>
        <v>318310.32</v>
      </c>
      <c r="K28" s="248">
        <f t="shared" si="0"/>
        <v>318310.32</v>
      </c>
    </row>
    <row r="29" spans="3:13">
      <c r="C29" s="18" t="s">
        <v>259</v>
      </c>
      <c r="D29" s="26">
        <f>SUMIFS(BZ!$K:$K,BZ!$B:$B,C29,BZ!$D:$D,"PR")</f>
        <v>0</v>
      </c>
      <c r="E29" s="245">
        <f>SUMIFS(BZ!$K:$K,BZ!$B:$B,C29,BZ!$D:$D,"PNR")</f>
        <v>0</v>
      </c>
      <c r="F29" s="248">
        <f>D29+E29</f>
        <v>0</v>
      </c>
      <c r="H29" s="19" t="s">
        <v>544</v>
      </c>
      <c r="I29" s="26">
        <f>SUMIFS(BZ!$K:$K,BZ!$B:$B,H29,BZ!$D:$D,"PR")</f>
        <v>0</v>
      </c>
      <c r="J29" s="245">
        <f>SUMIFS(BZ!$K:$K,BZ!$B:$B,H29,BZ!$D:$D,"PNR")</f>
        <v>0</v>
      </c>
      <c r="K29" s="248">
        <f t="shared" si="0"/>
        <v>0</v>
      </c>
    </row>
    <row r="30" spans="3:13">
      <c r="C30" s="18" t="s">
        <v>543</v>
      </c>
      <c r="D30" s="26">
        <f>SUMIFS(BZ!$K:$K,BZ!$B:$B,C30,BZ!$D:$D,"PR")</f>
        <v>0</v>
      </c>
      <c r="E30" s="245">
        <f>SUMIFS(BZ!$K:$K,BZ!$B:$B,C30,BZ!$D:$D,"PNR")</f>
        <v>0</v>
      </c>
      <c r="F30" s="248">
        <f>D30+E30</f>
        <v>0</v>
      </c>
      <c r="J30" s="233"/>
      <c r="K30" s="71"/>
    </row>
    <row r="31" spans="3:13">
      <c r="C31" s="18" t="s">
        <v>260</v>
      </c>
      <c r="D31" s="26">
        <f>SUMIFS(BZ!$K:$K,BZ!$B:$B,C31,BZ!$D:$D,"PR")</f>
        <v>0</v>
      </c>
      <c r="E31" s="245">
        <f>SUMIFS(BZ!$K:$K,BZ!$B:$B,C31,BZ!$D:$D,"PNR")</f>
        <v>164335.35999999999</v>
      </c>
      <c r="F31" s="248">
        <f>D31+E31</f>
        <v>164335.35999999999</v>
      </c>
      <c r="H31" s="23" t="s">
        <v>344</v>
      </c>
      <c r="I31" s="23"/>
      <c r="J31" s="128"/>
      <c r="K31" s="248"/>
    </row>
    <row r="32" spans="3:13">
      <c r="E32" s="71"/>
      <c r="F32" s="248"/>
      <c r="H32" s="19" t="s">
        <v>273</v>
      </c>
      <c r="I32" s="26">
        <f>SUMIFS(BZ!$K:$K,BZ!$B:$B,H32,BZ!$D:$D,"PR")</f>
        <v>0</v>
      </c>
      <c r="J32" s="245">
        <f>SUMIFS(BZ!$K:$K,BZ!$B:$B,H32,BZ!$D:$D,"PNR")</f>
        <v>0</v>
      </c>
      <c r="K32" s="248">
        <f t="shared" ref="K32:K38" si="2">I32+J32</f>
        <v>0</v>
      </c>
    </row>
    <row r="33" spans="3:11">
      <c r="C33" s="23" t="s">
        <v>343</v>
      </c>
      <c r="D33" s="23"/>
      <c r="E33" s="128"/>
      <c r="F33" s="248"/>
      <c r="H33" s="19" t="s">
        <v>205</v>
      </c>
      <c r="I33" s="26">
        <f>SUMIFS(BZ!$K:$K,BZ!$B:$B,H33,BZ!$D:$D,"PR")</f>
        <v>0</v>
      </c>
      <c r="J33" s="245">
        <f>SUMIFS(BZ!$K:$K,BZ!$B:$B,H33,BZ!$D:$D,"PNR")</f>
        <v>0</v>
      </c>
      <c r="K33" s="248">
        <f t="shared" si="2"/>
        <v>0</v>
      </c>
    </row>
    <row r="34" spans="3:11">
      <c r="C34" s="18" t="s">
        <v>261</v>
      </c>
      <c r="D34" s="26">
        <f>SUMIFS(BZ!$K:$K,BZ!$B:$B,C34,BZ!$D:$D,"PR")</f>
        <v>0</v>
      </c>
      <c r="E34" s="245">
        <f>SUMIFS(BZ!$K:$K,BZ!$B:$B,C34,BZ!$D:$D,"PNR")</f>
        <v>0</v>
      </c>
      <c r="F34" s="248">
        <f t="shared" ref="F34:F41" si="3">D34+E34</f>
        <v>0</v>
      </c>
      <c r="H34" s="19" t="s">
        <v>274</v>
      </c>
      <c r="I34" s="26">
        <f>SUMIFS(BZ!$K:$K,BZ!$B:$B,H34,BZ!$D:$D,"PR")</f>
        <v>0</v>
      </c>
      <c r="J34" s="245">
        <f>SUMIFS(BZ!$K:$K,BZ!$B:$B,H34,BZ!$D:$D,"PNR")</f>
        <v>0</v>
      </c>
      <c r="K34" s="248">
        <f t="shared" si="2"/>
        <v>0</v>
      </c>
    </row>
    <row r="35" spans="3:11">
      <c r="C35" s="18" t="s">
        <v>364</v>
      </c>
      <c r="D35" s="26">
        <f>-SUMIFS(BZ!$K:$K,BZ!$B:$B,C35,BZ!$D:$D,"PR")</f>
        <v>0</v>
      </c>
      <c r="E35" s="245">
        <f>-SUMIFS(BZ!$K:$K,BZ!$B:$B,C35,BZ!$D:$D,"PNR")</f>
        <v>-34962.81</v>
      </c>
      <c r="F35" s="248">
        <f t="shared" si="3"/>
        <v>-34962.81</v>
      </c>
      <c r="H35" s="19" t="s">
        <v>136</v>
      </c>
      <c r="I35" s="26">
        <f>SUMIFS(BZ!$K:$K,BZ!$B:$B,H35,BZ!$D:$D,"PR")</f>
        <v>0</v>
      </c>
      <c r="J35" s="245">
        <f>SUMIFS(BZ!$K:$K,BZ!$B:$B,H35,BZ!$D:$D,"PNR")</f>
        <v>0</v>
      </c>
      <c r="K35" s="248">
        <f t="shared" si="2"/>
        <v>0</v>
      </c>
    </row>
    <row r="36" spans="3:11">
      <c r="C36" s="18" t="s">
        <v>262</v>
      </c>
      <c r="D36" s="26">
        <f>SUMIFS(BZ!$K:$K,BZ!$B:$B,C36,BZ!$D:$D,"PR")</f>
        <v>0</v>
      </c>
      <c r="E36" s="245">
        <f>SUMIFS(BZ!$K:$K,BZ!$B:$B,C36,BZ!$D:$D,"PNR")</f>
        <v>0</v>
      </c>
      <c r="F36" s="248">
        <f t="shared" si="3"/>
        <v>0</v>
      </c>
      <c r="H36" s="19" t="s">
        <v>275</v>
      </c>
      <c r="I36" s="26">
        <f>SUMIFS(BZ!$K:$K,BZ!$B:$B,H36,BZ!$D:$D,"PR")</f>
        <v>0</v>
      </c>
      <c r="J36" s="245">
        <f>SUMIFS(BZ!$K:$K,BZ!$B:$B,H36,BZ!$D:$D,"PNR")</f>
        <v>0</v>
      </c>
      <c r="K36" s="248">
        <f t="shared" si="2"/>
        <v>0</v>
      </c>
    </row>
    <row r="37" spans="3:11">
      <c r="C37" s="18" t="s">
        <v>200</v>
      </c>
      <c r="D37" s="26">
        <f>SUMIFS(BZ!$K:$K,BZ!$B:$B,C37,BZ!$D:$D,"PR")</f>
        <v>0</v>
      </c>
      <c r="E37" s="245">
        <f>SUMIFS(BZ!$K:$K,BZ!$B:$B,C37,BZ!$D:$D,"PNR")</f>
        <v>0</v>
      </c>
      <c r="F37" s="248">
        <f t="shared" si="3"/>
        <v>0</v>
      </c>
      <c r="H37" s="19" t="s">
        <v>276</v>
      </c>
      <c r="I37" s="26">
        <f>SUMIFS(BZ!$K:$K,BZ!$B:$B,H37,BZ!$D:$D,"PR")</f>
        <v>0</v>
      </c>
      <c r="J37" s="245">
        <f>SUMIFS(BZ!$K:$K,BZ!$B:$B,H37,BZ!$D:$D,"PNR")</f>
        <v>0</v>
      </c>
      <c r="K37" s="248">
        <f t="shared" si="2"/>
        <v>0</v>
      </c>
    </row>
    <row r="38" spans="3:11">
      <c r="C38" s="18" t="s">
        <v>263</v>
      </c>
      <c r="D38" s="26">
        <f>SUMIFS(BZ!$K:$K,BZ!$B:$B,C38,BZ!$D:$D,"PR")</f>
        <v>0</v>
      </c>
      <c r="E38" s="245">
        <f>SUMIFS(BZ!$K:$K,BZ!$B:$B,C38,BZ!$D:$D,"PNR")</f>
        <v>0</v>
      </c>
      <c r="F38" s="248">
        <f t="shared" si="3"/>
        <v>0</v>
      </c>
      <c r="H38" s="19" t="s">
        <v>277</v>
      </c>
      <c r="I38" s="26">
        <f>SUMIFS(BZ!$K:$K,BZ!$B:$B,H38,BZ!$D:$D,"PR")</f>
        <v>0</v>
      </c>
      <c r="J38" s="245">
        <f>SUMIFS(BZ!$K:$K,BZ!$B:$B,H38,BZ!$D:$D,"PNR")</f>
        <v>0</v>
      </c>
      <c r="K38" s="248">
        <f t="shared" si="2"/>
        <v>0</v>
      </c>
    </row>
    <row r="39" spans="3:11">
      <c r="C39" s="18" t="s">
        <v>201</v>
      </c>
      <c r="D39" s="26">
        <f>SUMIFS(BZ!$K:$K,BZ!$B:$B,C39,BZ!$D:$D,"PR")</f>
        <v>0</v>
      </c>
      <c r="E39" s="245">
        <f>SUMIFS(BZ!$K:$K,BZ!$B:$B,C39,BZ!$D:$D,"PNR")</f>
        <v>0</v>
      </c>
      <c r="F39" s="248">
        <f t="shared" si="3"/>
        <v>0</v>
      </c>
      <c r="J39" s="233"/>
      <c r="K39" s="248"/>
    </row>
    <row r="40" spans="3:11">
      <c r="C40" s="18" t="s">
        <v>264</v>
      </c>
      <c r="D40" s="26">
        <f>SUMIFS(BZ!$K:$K,BZ!$B:$B,C40,BZ!$D:$D,"PR")</f>
        <v>0</v>
      </c>
      <c r="E40" s="245">
        <f>SUMIFS(BZ!$K:$K,BZ!$B:$B,C40,BZ!$D:$D,"PNR")</f>
        <v>0</v>
      </c>
      <c r="F40" s="248">
        <f t="shared" si="3"/>
        <v>0</v>
      </c>
      <c r="H40" s="24" t="s">
        <v>346</v>
      </c>
      <c r="I40" s="28">
        <f>SUM(I20:I29,I32:I38)</f>
        <v>0</v>
      </c>
      <c r="J40" s="90">
        <f>SUM(J20:J29,J32:J38)</f>
        <v>774669.15999999992</v>
      </c>
      <c r="K40" s="248">
        <f>I40+J40</f>
        <v>774669.15999999992</v>
      </c>
    </row>
    <row r="41" spans="3:11">
      <c r="C41" s="18" t="s">
        <v>265</v>
      </c>
      <c r="D41" s="26">
        <f>SUMIFS(BZ!$K:$K,BZ!$B:$B,C41,BZ!$D:$D,"PR")</f>
        <v>0</v>
      </c>
      <c r="E41" s="245">
        <f>SUMIFS(BZ!$K:$K,BZ!$B:$B,C41,BZ!$D:$D,"PNR")</f>
        <v>0</v>
      </c>
      <c r="F41" s="248">
        <f t="shared" si="3"/>
        <v>0</v>
      </c>
      <c r="J41" s="233"/>
      <c r="K41" s="248"/>
    </row>
    <row r="42" spans="3:11">
      <c r="C42" s="18" t="s">
        <v>542</v>
      </c>
      <c r="D42" s="26">
        <f>SUMIFS(BZ!$K:$K,BZ!$B:$B,C42,BZ!$D:$D,"PR")</f>
        <v>0</v>
      </c>
      <c r="E42" s="245">
        <f>SUMIFS(BZ!$K:$K,BZ!$B:$B,C42,BZ!$D:$D,"PNR")</f>
        <v>0</v>
      </c>
      <c r="F42" s="248">
        <f t="shared" ref="F42" si="4">D42+E42</f>
        <v>0</v>
      </c>
      <c r="H42" s="24" t="s">
        <v>137</v>
      </c>
      <c r="I42" s="24"/>
      <c r="J42" s="247"/>
      <c r="K42" s="248"/>
    </row>
    <row r="43" spans="3:11">
      <c r="E43" s="71"/>
      <c r="F43" s="71"/>
      <c r="J43" s="233"/>
      <c r="K43" s="248"/>
    </row>
    <row r="44" spans="3:11">
      <c r="C44" s="23" t="s">
        <v>345</v>
      </c>
      <c r="D44" s="28">
        <f>SUM(D20:D31,D34:D42)</f>
        <v>0</v>
      </c>
      <c r="E44" s="90">
        <f>SUM(E20:E31,E34:E42)</f>
        <v>304648.73</v>
      </c>
      <c r="F44" s="248">
        <f>D44+E44</f>
        <v>304648.73</v>
      </c>
      <c r="H44" s="19" t="s">
        <v>209</v>
      </c>
      <c r="I44" s="26">
        <f>SUMIFS(BZ!$K:$K,BZ!$B:$B,H44,BZ!$D:$D,"PR")</f>
        <v>10000</v>
      </c>
      <c r="J44" s="245">
        <f>SUMIFS(BZ!$K:$K,BZ!$B:$B,H44,BZ!$D:$D,"PNR")</f>
        <v>0</v>
      </c>
      <c r="K44" s="248">
        <f t="shared" ref="K44:K45" si="5">I44+J44</f>
        <v>10000</v>
      </c>
    </row>
    <row r="45" spans="3:11">
      <c r="F45" s="28"/>
      <c r="H45" s="19" t="s">
        <v>138</v>
      </c>
      <c r="I45" s="26">
        <f>SUMIFS(BZ!$K:$K,BZ!$B:$B,H45,BZ!$D:$D,"PR")</f>
        <v>-75105.05</v>
      </c>
      <c r="J45" s="245">
        <f>SUMIFS(BZ!$K:$K,BZ!$B:$B,H45,BZ!$D:$D,"PNR")</f>
        <v>0</v>
      </c>
      <c r="K45" s="248">
        <f t="shared" si="5"/>
        <v>-75105.05</v>
      </c>
    </row>
    <row r="46" spans="3:11">
      <c r="F46" s="28"/>
      <c r="H46" s="19" t="s">
        <v>139</v>
      </c>
      <c r="I46" s="26">
        <f>SUMIFS(BZ!$K:$K,BZ!$B:$B,H46,BZ!$D:$D,"PR")</f>
        <v>0</v>
      </c>
      <c r="J46" s="245">
        <f>SUMIFS(BZ!$K:$K,BZ!$B:$B,H46,BZ!$D:$D,"PNR")</f>
        <v>0</v>
      </c>
      <c r="K46" s="248">
        <f t="shared" ref="K46" si="6">I46+J46</f>
        <v>0</v>
      </c>
    </row>
    <row r="47" spans="3:11">
      <c r="F47" s="28"/>
      <c r="H47" s="19" t="s">
        <v>541</v>
      </c>
      <c r="I47" s="26">
        <f>ER!C73</f>
        <v>0</v>
      </c>
      <c r="J47" s="250">
        <f>ER!D73</f>
        <v>-404915.38000000163</v>
      </c>
      <c r="K47" s="248">
        <f>I47+J47</f>
        <v>-404915.38000000163</v>
      </c>
    </row>
    <row r="48" spans="3:11">
      <c r="F48" s="28"/>
      <c r="H48" s="19" t="s">
        <v>240</v>
      </c>
      <c r="I48" s="26">
        <f>SUMIFS(BZ!$K:$K,BZ!$B:$B,H48,BZ!$D:$D,"PR")</f>
        <v>0</v>
      </c>
      <c r="J48" s="245">
        <f>SUMIFS(BZ!$K:$K,BZ!$B:$B,H48,BZ!$D:$D,"PNR")</f>
        <v>0</v>
      </c>
      <c r="K48" s="248">
        <f>I48+J48</f>
        <v>0</v>
      </c>
    </row>
    <row r="49" spans="6:13">
      <c r="F49" s="28"/>
      <c r="H49" s="19" t="s">
        <v>278</v>
      </c>
      <c r="I49" s="26">
        <f>SUMIFS(BZ!$K:$K,BZ!$B:$B,H49,BZ!$D:$D,"PR")</f>
        <v>0</v>
      </c>
      <c r="J49" s="245">
        <f>SUMIFS(BZ!$K:$K,BZ!$B:$B,H49,BZ!$D:$D,"PNR")</f>
        <v>0</v>
      </c>
      <c r="K49" s="248">
        <f>I49+J49</f>
        <v>0</v>
      </c>
    </row>
    <row r="50" spans="6:13">
      <c r="F50" s="28"/>
      <c r="H50" s="19" t="s">
        <v>279</v>
      </c>
      <c r="I50" s="26">
        <f>SUMIFS(BZ!$K:$K,BZ!$B:$B,H50,BZ!$D:$D,"PR")</f>
        <v>0</v>
      </c>
      <c r="J50" s="245">
        <f>SUMIFS(BZ!$K:$K,BZ!$B:$B,H50,BZ!$D:$D,"PNR")</f>
        <v>0</v>
      </c>
      <c r="K50" s="248">
        <f>I50+J50</f>
        <v>0</v>
      </c>
      <c r="M50" s="30"/>
    </row>
    <row r="51" spans="6:13">
      <c r="F51" s="28"/>
      <c r="J51" s="233"/>
      <c r="K51" s="248"/>
      <c r="L51" s="30"/>
      <c r="M51" s="30"/>
    </row>
    <row r="52" spans="6:13">
      <c r="F52" s="115"/>
      <c r="H52" s="24" t="s">
        <v>347</v>
      </c>
      <c r="I52" s="20">
        <f>SUM(I44:I50)</f>
        <v>-65105.05</v>
      </c>
      <c r="J52" s="71">
        <f>SUM(J44:J50)</f>
        <v>-404915.38000000163</v>
      </c>
      <c r="K52" s="248">
        <f>I52+J52</f>
        <v>-470020.43000000162</v>
      </c>
      <c r="L52" s="30"/>
      <c r="M52" s="30"/>
    </row>
    <row r="53" spans="6:13">
      <c r="F53" s="116"/>
      <c r="J53" s="233"/>
      <c r="K53" s="248"/>
      <c r="L53" s="30"/>
    </row>
    <row r="54" spans="6:13">
      <c r="F54" s="115"/>
      <c r="H54" s="24" t="s">
        <v>348</v>
      </c>
      <c r="I54" s="28">
        <f>I40+I52</f>
        <v>-65105.05</v>
      </c>
      <c r="J54" s="90">
        <f>J40+J52</f>
        <v>369753.77999999828</v>
      </c>
      <c r="K54" s="248">
        <f>I54+J54</f>
        <v>304648.72999999829</v>
      </c>
      <c r="L54" s="31"/>
    </row>
    <row r="55" spans="6:13">
      <c r="F55" s="115"/>
      <c r="J55" s="233"/>
      <c r="K55" s="249"/>
      <c r="L55" s="29"/>
    </row>
    <row r="56" spans="6:13">
      <c r="F56" s="115"/>
      <c r="J56" s="233"/>
      <c r="K56" s="246">
        <f>F44-K54</f>
        <v>1.6880221664905548E-9</v>
      </c>
      <c r="L56" s="29"/>
      <c r="M56" s="30"/>
    </row>
    <row r="57" spans="6:13">
      <c r="F57" s="115"/>
      <c r="K57" s="29"/>
      <c r="L57" s="31"/>
      <c r="M57" s="30"/>
    </row>
    <row r="58" spans="6:13">
      <c r="F58" s="115"/>
      <c r="K58" s="31"/>
      <c r="L58" s="31"/>
      <c r="M58" s="30"/>
    </row>
    <row r="59" spans="6:13">
      <c r="F59" s="115"/>
      <c r="K59" s="29"/>
      <c r="L59" s="31"/>
      <c r="M59" s="30"/>
    </row>
    <row r="60" spans="6:13">
      <c r="F60" s="115"/>
      <c r="K60" s="29"/>
      <c r="L60" s="31"/>
      <c r="M60" s="30"/>
    </row>
    <row r="61" spans="6:13">
      <c r="F61" s="115"/>
      <c r="K61" s="29"/>
      <c r="L61" s="31"/>
      <c r="M61" s="30"/>
    </row>
    <row r="62" spans="6:13">
      <c r="F62" s="115"/>
      <c r="H62" s="32"/>
      <c r="I62" s="32"/>
      <c r="J62" s="32"/>
      <c r="K62" s="31"/>
      <c r="L62" s="31"/>
      <c r="M62" s="30"/>
    </row>
    <row r="63" spans="6:13">
      <c r="F63" s="115"/>
      <c r="K63" s="29"/>
      <c r="L63" s="31"/>
      <c r="M63" s="30"/>
    </row>
    <row r="64" spans="6:13">
      <c r="F64" s="115"/>
      <c r="K64" s="29"/>
      <c r="L64" s="31"/>
      <c r="M64" s="33"/>
    </row>
    <row r="65" spans="3:13">
      <c r="F65" s="116"/>
      <c r="K65" s="29"/>
      <c r="L65" s="34"/>
      <c r="M65" s="33"/>
    </row>
    <row r="66" spans="3:13">
      <c r="F66" s="116"/>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30" workbookViewId="0">
      <selection activeCell="D77" sqref="D77"/>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349</v>
      </c>
    </row>
    <row r="3" spans="2:8" ht="15">
      <c r="B3" s="3" t="s">
        <v>373</v>
      </c>
      <c r="C3" s="101" t="s">
        <v>374</v>
      </c>
    </row>
    <row r="4" spans="2:8">
      <c r="B4" s="3" t="s">
        <v>375</v>
      </c>
    </row>
    <row r="5" spans="2:8">
      <c r="B5" s="3" t="s">
        <v>376</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70" t="str">
        <f>+Portada!B12</f>
        <v xml:space="preserve">CADALA S.A DE C.V </v>
      </c>
      <c r="C19" s="270"/>
      <c r="D19" s="270"/>
      <c r="E19" s="270"/>
    </row>
    <row r="20" spans="1:8">
      <c r="B20" s="271" t="s">
        <v>548</v>
      </c>
      <c r="C20" s="271"/>
      <c r="D20" s="271"/>
      <c r="E20" s="271"/>
    </row>
    <row r="22" spans="1:8">
      <c r="C22" s="41" t="s">
        <v>452</v>
      </c>
      <c r="D22" s="41" t="s">
        <v>451</v>
      </c>
      <c r="E22" s="42" t="s">
        <v>0</v>
      </c>
    </row>
    <row r="23" spans="1:8" outlineLevel="1">
      <c r="A23" s="21" t="s">
        <v>6</v>
      </c>
      <c r="B23" s="18" t="s">
        <v>91</v>
      </c>
      <c r="C23" s="90">
        <f>SUMIFS(BZ!$K:$K,BZ!$B:$B,B23,BZ!$D:$D,"PR")</f>
        <v>0</v>
      </c>
      <c r="D23" s="90">
        <f>SUMIFS(BZ!$K:$K,BZ!$B:$B,B23,BZ!$D:$D,"PNR")</f>
        <v>0</v>
      </c>
      <c r="E23" s="44">
        <f>SUM(C23:D23)</f>
        <v>0</v>
      </c>
    </row>
    <row r="24" spans="1:8" outlineLevel="1">
      <c r="A24" s="21"/>
      <c r="B24" s="18" t="s">
        <v>92</v>
      </c>
      <c r="C24" s="90">
        <f>SUMIFS(BZ!$K:$K,BZ!$B:$B,B24,BZ!$D:$D,"PR")</f>
        <v>0</v>
      </c>
      <c r="D24" s="90">
        <f>SUMIFS(BZ!$K:$K,BZ!$B:$B,B24,BZ!$D:$D,"PNR")</f>
        <v>9300000.3599999994</v>
      </c>
      <c r="E24" s="44">
        <f t="shared" ref="E24:E72" si="0">SUM(C24:D24)</f>
        <v>9300000.3599999994</v>
      </c>
      <c r="G24" s="45"/>
    </row>
    <row r="25" spans="1:8" outlineLevel="1">
      <c r="A25" s="21"/>
      <c r="B25" s="18" t="s">
        <v>93</v>
      </c>
      <c r="C25" s="90">
        <f>SUMIFS(BZ!$K:$K,BZ!$B:$B,B25,BZ!$D:$D,"PR")</f>
        <v>0</v>
      </c>
      <c r="D25" s="90">
        <f>SUMIFS(BZ!$K:$K,BZ!$B:$B,B25,BZ!$D:$D,"PNR")</f>
        <v>0</v>
      </c>
      <c r="E25" s="44">
        <f t="shared" si="0"/>
        <v>0</v>
      </c>
      <c r="G25" s="45"/>
    </row>
    <row r="26" spans="1:8" outlineLevel="1">
      <c r="A26" s="21"/>
      <c r="B26" s="18" t="s">
        <v>94</v>
      </c>
      <c r="C26" s="90">
        <f>SUMIFS(BZ!$K:$K,BZ!$B:$B,B26,BZ!$D:$D,"PR")</f>
        <v>0</v>
      </c>
      <c r="D26" s="90">
        <f>SUMIFS(BZ!$K:$K,BZ!$B:$B,B26,BZ!$D:$D,"PNR")</f>
        <v>0</v>
      </c>
      <c r="E26" s="44">
        <f t="shared" si="0"/>
        <v>0</v>
      </c>
    </row>
    <row r="27" spans="1:8">
      <c r="A27" s="21"/>
      <c r="B27" s="23" t="s">
        <v>95</v>
      </c>
      <c r="C27" s="225">
        <f>C23+C24-C25-C26</f>
        <v>0</v>
      </c>
      <c r="D27" s="225">
        <f>D23+D24-D25-D26</f>
        <v>9300000.3599999994</v>
      </c>
      <c r="E27" s="48">
        <f>C27+D27</f>
        <v>9300000.3599999994</v>
      </c>
    </row>
    <row r="28" spans="1:8" outlineLevel="1">
      <c r="A28" s="21"/>
      <c r="B28" s="18" t="s">
        <v>96</v>
      </c>
      <c r="C28" s="226">
        <f>SUMIFS(BZ!$K:$K,BZ!$B:$B,B28,BZ!$D:$D,"PR")</f>
        <v>0</v>
      </c>
      <c r="D28" s="226">
        <f>SUMIFS(BZ!$K:$K,BZ!$B:$B,B28,BZ!$D:$D,"PNR")</f>
        <v>0</v>
      </c>
      <c r="E28" s="44">
        <f t="shared" si="0"/>
        <v>0</v>
      </c>
    </row>
    <row r="29" spans="1:8" outlineLevel="1">
      <c r="A29" s="21"/>
      <c r="B29" s="18" t="s">
        <v>97</v>
      </c>
      <c r="C29" s="226">
        <f>SUMIFS(BZ!$K:$K,BZ!$B:$B,B29,BZ!$D:$D,"PR")</f>
        <v>0</v>
      </c>
      <c r="D29" s="226">
        <f>SUMIFS(BZ!$K:$K,BZ!$B:$B,B29,BZ!$D:$D,"PNR")</f>
        <v>0</v>
      </c>
      <c r="E29" s="44">
        <f t="shared" si="0"/>
        <v>0</v>
      </c>
    </row>
    <row r="30" spans="1:8" outlineLevel="1">
      <c r="A30" s="21"/>
      <c r="B30" s="18" t="s">
        <v>98</v>
      </c>
      <c r="C30" s="226">
        <f>SUMIFS(BZ!$K:$K,BZ!$B:$B,B30,BZ!$D:$D,"PR")</f>
        <v>0</v>
      </c>
      <c r="D30" s="226">
        <f>SUMIFS(BZ!$K:$K,BZ!$B:$B,B30,BZ!$D:$D,"PNR")</f>
        <v>0</v>
      </c>
      <c r="E30" s="44">
        <f t="shared" si="0"/>
        <v>0</v>
      </c>
    </row>
    <row r="31" spans="1:8" outlineLevel="1">
      <c r="A31" s="21"/>
      <c r="B31" s="18" t="s">
        <v>99</v>
      </c>
      <c r="C31" s="226">
        <f>SUMIFS(BZ!$K:$K,BZ!$B:$B,B31,BZ!$D:$D,"PR")</f>
        <v>0</v>
      </c>
      <c r="D31" s="226">
        <f>SUMIFS(BZ!$K:$K,BZ!$B:$B,B31,BZ!$D:$D,"PNR")</f>
        <v>0</v>
      </c>
      <c r="E31" s="44">
        <f t="shared" si="0"/>
        <v>0</v>
      </c>
    </row>
    <row r="32" spans="1:8">
      <c r="A32" s="21"/>
      <c r="B32" s="23" t="s">
        <v>100</v>
      </c>
      <c r="C32" s="225">
        <f>C28+C29+C30-C31</f>
        <v>0</v>
      </c>
      <c r="D32" s="225">
        <f>D28+D29+D30-D31</f>
        <v>0</v>
      </c>
      <c r="E32" s="48">
        <f>C32+D32</f>
        <v>0</v>
      </c>
    </row>
    <row r="33" spans="1:7" outlineLevel="1">
      <c r="A33" s="21"/>
      <c r="B33" s="18" t="s">
        <v>101</v>
      </c>
      <c r="C33" s="226">
        <f>SUMIFS(BZ!$K:$K,BZ!$B:$B,B33,BZ!$D:$D,"PR")</f>
        <v>0</v>
      </c>
      <c r="D33" s="226">
        <f>SUMIFS(BZ!$K:$K,BZ!$B:$B,B33,BZ!$D:$D,"PNR")</f>
        <v>0</v>
      </c>
      <c r="E33" s="44">
        <f t="shared" si="0"/>
        <v>0</v>
      </c>
    </row>
    <row r="34" spans="1:7" outlineLevel="1">
      <c r="A34" s="21"/>
      <c r="B34" s="18" t="s">
        <v>102</v>
      </c>
      <c r="C34" s="226">
        <f>SUMIFS(BZ!$K:$K,BZ!$B:$B,B34,BZ!$D:$D,"PR")</f>
        <v>0</v>
      </c>
      <c r="D34" s="226">
        <f>SUMIFS(BZ!$K:$K,BZ!$B:$B,B34,BZ!$D:$D,"PNR")</f>
        <v>0</v>
      </c>
      <c r="E34" s="44">
        <f t="shared" si="0"/>
        <v>0</v>
      </c>
    </row>
    <row r="35" spans="1:7" outlineLevel="1">
      <c r="A35" s="21"/>
      <c r="B35" s="18" t="s">
        <v>103</v>
      </c>
      <c r="C35" s="226">
        <f>SUMIFS(BZ!$K:$K,BZ!$B:$B,B35,BZ!$D:$D,"PR")</f>
        <v>0</v>
      </c>
      <c r="D35" s="226">
        <f>SUMIFS(BZ!$K:$K,BZ!$B:$B,B35,BZ!$D:$D,"PNR")</f>
        <v>0</v>
      </c>
      <c r="E35" s="44">
        <f t="shared" si="0"/>
        <v>0</v>
      </c>
    </row>
    <row r="36" spans="1:7">
      <c r="A36" s="21"/>
      <c r="B36" s="23" t="s">
        <v>104</v>
      </c>
      <c r="C36" s="225">
        <f>C33+C34+C35</f>
        <v>0</v>
      </c>
      <c r="D36" s="225">
        <f>D33+D34+D35</f>
        <v>0</v>
      </c>
      <c r="E36" s="48">
        <f>C36+D36</f>
        <v>0</v>
      </c>
    </row>
    <row r="37" spans="1:7">
      <c r="A37" s="21"/>
      <c r="B37" s="23" t="s">
        <v>356</v>
      </c>
      <c r="C37" s="225">
        <f>C27-C32-C36</f>
        <v>0</v>
      </c>
      <c r="D37" s="225">
        <f>D27-D32-D36</f>
        <v>9300000.3599999994</v>
      </c>
      <c r="E37" s="48">
        <f>C37+D37</f>
        <v>9300000.3599999994</v>
      </c>
    </row>
    <row r="38" spans="1:7" outlineLevel="1">
      <c r="A38" s="21"/>
      <c r="B38" s="18" t="s">
        <v>105</v>
      </c>
      <c r="C38" s="226">
        <f>SUMIFS(BZ!$K:$K,BZ!$B:$B,B38,BZ!$D:$D,"PR")</f>
        <v>0</v>
      </c>
      <c r="D38" s="226">
        <f>SUMIFS(BZ!$K:$K,BZ!$B:$B,B38,BZ!$D:$D,"PNR")</f>
        <v>0</v>
      </c>
      <c r="E38" s="44">
        <f t="shared" si="0"/>
        <v>0</v>
      </c>
      <c r="G38" s="20"/>
    </row>
    <row r="39" spans="1:7" outlineLevel="1">
      <c r="A39" s="21"/>
      <c r="B39" s="18" t="s">
        <v>301</v>
      </c>
      <c r="C39" s="226">
        <f>SUMIFS(BZ!$K:$K,BZ!$B:$B,B39,BZ!$D:$D,"PR")</f>
        <v>0</v>
      </c>
      <c r="D39" s="226">
        <f>SUMIFS(BZ!$K:$K,BZ!$B:$B,B39,BZ!$D:$D,"PNR")</f>
        <v>0</v>
      </c>
      <c r="E39" s="44">
        <f t="shared" si="0"/>
        <v>0</v>
      </c>
      <c r="F39" s="46"/>
      <c r="G39" s="46"/>
    </row>
    <row r="40" spans="1:7" outlineLevel="1">
      <c r="A40" s="21"/>
      <c r="B40" s="18" t="s">
        <v>302</v>
      </c>
      <c r="C40" s="226">
        <f>SUMIFS(BZ!$K:$K,BZ!$B:$B,B40,BZ!$D:$D,"PR")</f>
        <v>0</v>
      </c>
      <c r="D40" s="226">
        <f>SUMIFS(BZ!$K:$K,BZ!$B:$B,B40,BZ!$D:$D,"PNR")</f>
        <v>9693724.370000001</v>
      </c>
      <c r="E40" s="44">
        <f t="shared" si="0"/>
        <v>9693724.370000001</v>
      </c>
    </row>
    <row r="41" spans="1:7">
      <c r="A41" s="21"/>
      <c r="B41" s="23" t="s">
        <v>357</v>
      </c>
      <c r="C41" s="225">
        <f>C37-C38-C39-C40</f>
        <v>0</v>
      </c>
      <c r="D41" s="225">
        <f>D37-D38-D39-D40</f>
        <v>-393724.01000000164</v>
      </c>
      <c r="E41" s="48">
        <f>C41+D41</f>
        <v>-393724.01000000164</v>
      </c>
    </row>
    <row r="42" spans="1:7" hidden="1" outlineLevel="1">
      <c r="A42" s="21"/>
      <c r="B42" s="18" t="s">
        <v>106</v>
      </c>
      <c r="C42" s="226">
        <f>SUMIFS(BZ!$K:$K,BZ!$B:$B,B42,BZ!$D:$D,"PR")</f>
        <v>0</v>
      </c>
      <c r="D42" s="226">
        <f>SUMIFS(BZ!$K:$K,BZ!$B:$B,B42,BZ!$D:$D,"PNR")</f>
        <v>0</v>
      </c>
      <c r="E42" s="44">
        <f t="shared" si="0"/>
        <v>0</v>
      </c>
    </row>
    <row r="43" spans="1:7" hidden="1" outlineLevel="1">
      <c r="A43" s="21"/>
      <c r="B43" s="18" t="s">
        <v>107</v>
      </c>
      <c r="C43" s="226">
        <f>SUMIFS(BZ!$K:$K,BZ!$B:$B,B43,BZ!$D:$D,"PR")</f>
        <v>0</v>
      </c>
      <c r="D43" s="226">
        <f>SUMIFS(BZ!$K:$K,BZ!$B:$B,B43,BZ!$D:$D,"PNR")</f>
        <v>0</v>
      </c>
      <c r="E43" s="44">
        <f t="shared" si="0"/>
        <v>0</v>
      </c>
    </row>
    <row r="44" spans="1:7" hidden="1" outlineLevel="1">
      <c r="A44" s="21"/>
      <c r="B44" s="18" t="s">
        <v>108</v>
      </c>
      <c r="C44" s="226">
        <f>SUMIFS(BZ!$K:$K,BZ!$B:$B,B44,BZ!$D:$D,"PR")</f>
        <v>0</v>
      </c>
      <c r="D44" s="226">
        <f>SUMIFS(BZ!$K:$K,BZ!$B:$B,B44,BZ!$D:$D,"PNR")</f>
        <v>0</v>
      </c>
      <c r="E44" s="44">
        <f t="shared" si="0"/>
        <v>0</v>
      </c>
    </row>
    <row r="45" spans="1:7" hidden="1" outlineLevel="1">
      <c r="A45" s="21"/>
      <c r="B45" s="18" t="s">
        <v>109</v>
      </c>
      <c r="C45" s="226">
        <f>SUMIFS(BZ!$K:$K,BZ!$B:$B,B45,BZ!$D:$D,"PR")</f>
        <v>0</v>
      </c>
      <c r="D45" s="226">
        <f>SUMIFS(BZ!$K:$K,BZ!$B:$B,B45,BZ!$D:$D,"PNR")</f>
        <v>0</v>
      </c>
      <c r="E45" s="44">
        <f t="shared" si="0"/>
        <v>0</v>
      </c>
    </row>
    <row r="46" spans="1:7" hidden="1" outlineLevel="1">
      <c r="A46" s="21"/>
      <c r="B46" s="18" t="s">
        <v>110</v>
      </c>
      <c r="C46" s="226">
        <f>SUMIFS(BZ!$K:$K,BZ!$B:$B,B46,BZ!$D:$D,"PR")</f>
        <v>0</v>
      </c>
      <c r="D46" s="226">
        <f>SUMIFS(BZ!$K:$K,BZ!$B:$B,B46,BZ!$D:$D,"PNR")</f>
        <v>0</v>
      </c>
      <c r="E46" s="44">
        <f t="shared" si="0"/>
        <v>0</v>
      </c>
    </row>
    <row r="47" spans="1:7" hidden="1" outlineLevel="1">
      <c r="A47" s="21"/>
      <c r="B47" s="18" t="s">
        <v>111</v>
      </c>
      <c r="C47" s="226">
        <f>SUMIFS(BZ!$K:$K,BZ!$B:$B,B47,BZ!$D:$D,"PR")</f>
        <v>0</v>
      </c>
      <c r="D47" s="226">
        <f>SUMIFS(BZ!$K:$K,BZ!$B:$B,B47,BZ!$D:$D,"PNR")</f>
        <v>0</v>
      </c>
      <c r="E47" s="44">
        <f t="shared" si="0"/>
        <v>0</v>
      </c>
    </row>
    <row r="48" spans="1:7" hidden="1" outlineLevel="1">
      <c r="A48" s="21"/>
      <c r="B48" s="18" t="s">
        <v>112</v>
      </c>
      <c r="C48" s="226">
        <f>SUMIFS(BZ!$K:$K,BZ!$B:$B,B48,BZ!$D:$D,"PR")</f>
        <v>0</v>
      </c>
      <c r="D48" s="226">
        <f>SUMIFS(BZ!$K:$K,BZ!$B:$B,B48,BZ!$D:$D,"PNR")</f>
        <v>0</v>
      </c>
      <c r="E48" s="44">
        <f t="shared" si="0"/>
        <v>0</v>
      </c>
    </row>
    <row r="49" spans="1:6" hidden="1" outlineLevel="1">
      <c r="A49" s="21"/>
      <c r="B49" s="18" t="s">
        <v>113</v>
      </c>
      <c r="C49" s="226">
        <f>SUMIFS(BZ!$K:$K,BZ!$B:$B,B49,BZ!$D:$D,"PR")</f>
        <v>0</v>
      </c>
      <c r="D49" s="226">
        <f>SUMIFS(BZ!$K:$K,BZ!$B:$B,B49,BZ!$D:$D,"PNR")</f>
        <v>0</v>
      </c>
      <c r="E49" s="44">
        <f t="shared" si="0"/>
        <v>0</v>
      </c>
    </row>
    <row r="50" spans="1:6" hidden="1" outlineLevel="1">
      <c r="A50" s="21"/>
      <c r="B50" s="18" t="s">
        <v>114</v>
      </c>
      <c r="C50" s="226">
        <f>SUMIFS(BZ!$K:$K,BZ!$B:$B,B50,BZ!$D:$D,"PR")</f>
        <v>0</v>
      </c>
      <c r="D50" s="226">
        <f>SUMIFS(BZ!$K:$K,BZ!$B:$B,B50,BZ!$D:$D,"PNR")</f>
        <v>0</v>
      </c>
      <c r="E50" s="44">
        <f t="shared" si="0"/>
        <v>0</v>
      </c>
    </row>
    <row r="51" spans="1:6" hidden="1" outlineLevel="1">
      <c r="A51" s="21"/>
      <c r="B51" s="18" t="s">
        <v>75</v>
      </c>
      <c r="C51" s="226">
        <f>SUMIFS(BZ!$K:$K,BZ!$B:$B,B51,BZ!$D:$D,"PR")</f>
        <v>0</v>
      </c>
      <c r="D51" s="226">
        <f>SUMIFS(BZ!$K:$K,BZ!$B:$B,B51,BZ!$D:$D,"PNR")</f>
        <v>0</v>
      </c>
      <c r="E51" s="44">
        <f t="shared" si="0"/>
        <v>0</v>
      </c>
      <c r="F51" s="45"/>
    </row>
    <row r="52" spans="1:6" hidden="1" outlineLevel="1">
      <c r="A52" s="21"/>
      <c r="B52" s="18" t="s">
        <v>115</v>
      </c>
      <c r="C52" s="226">
        <f>SUMIFS(BZ!$K:$K,BZ!$B:$B,B52,BZ!$D:$D,"PR")</f>
        <v>0</v>
      </c>
      <c r="D52" s="226">
        <f>SUMIFS(BZ!$K:$K,BZ!$B:$B,B52,BZ!$D:$D,"PNR")</f>
        <v>0</v>
      </c>
      <c r="E52" s="44">
        <f t="shared" si="0"/>
        <v>0</v>
      </c>
    </row>
    <row r="53" spans="1:6" hidden="1" outlineLevel="1">
      <c r="A53" s="21"/>
      <c r="B53" s="18" t="s">
        <v>116</v>
      </c>
      <c r="C53" s="226">
        <f>SUMIFS(BZ!$K:$K,BZ!$B:$B,B53,BZ!$D:$D,"PR")</f>
        <v>0</v>
      </c>
      <c r="D53" s="226">
        <f>SUMIFS(BZ!$K:$K,BZ!$B:$B,B53,BZ!$D:$D,"PNR")</f>
        <v>0</v>
      </c>
      <c r="E53" s="44">
        <f t="shared" si="0"/>
        <v>0</v>
      </c>
    </row>
    <row r="54" spans="1:6" hidden="1" outlineLevel="1">
      <c r="A54" s="21"/>
      <c r="B54" s="18" t="s">
        <v>117</v>
      </c>
      <c r="C54" s="226">
        <f>SUMIFS(BZ!$K:$K,BZ!$B:$B,B54,BZ!$D:$D,"PR")</f>
        <v>0</v>
      </c>
      <c r="D54" s="226">
        <f>SUMIFS(BZ!$K:$K,BZ!$B:$B,B54,BZ!$D:$D,"PNR")</f>
        <v>0</v>
      </c>
      <c r="E54" s="44">
        <f t="shared" si="0"/>
        <v>0</v>
      </c>
    </row>
    <row r="55" spans="1:6" hidden="1" outlineLevel="1">
      <c r="A55" s="21"/>
      <c r="B55" s="18" t="s">
        <v>118</v>
      </c>
      <c r="C55" s="226">
        <f>SUMIFS(BZ!$K:$K,BZ!$B:$B,B55,BZ!$D:$D,"PR")</f>
        <v>0</v>
      </c>
      <c r="D55" s="226">
        <f>SUMIFS(BZ!$K:$K,BZ!$B:$B,B55,BZ!$D:$D,"PNR")</f>
        <v>0</v>
      </c>
      <c r="E55" s="44">
        <f t="shared" si="0"/>
        <v>0</v>
      </c>
    </row>
    <row r="56" spans="1:6" hidden="1" outlineLevel="1">
      <c r="A56" s="21"/>
      <c r="B56" s="18" t="s">
        <v>358</v>
      </c>
      <c r="C56" s="226">
        <f>SUMIFS(BZ!$K:$K,BZ!$B:$B,B56,BZ!$D:$D,"PR")</f>
        <v>0</v>
      </c>
      <c r="D56" s="226">
        <f>SUMIFS(BZ!$K:$K,BZ!$B:$B,B56,BZ!$D:$D,"PNR")</f>
        <v>11191.5</v>
      </c>
      <c r="E56" s="44">
        <f t="shared" si="0"/>
        <v>11191.5</v>
      </c>
    </row>
    <row r="57" spans="1:6" collapsed="1">
      <c r="A57" s="21"/>
      <c r="B57" s="23" t="s">
        <v>119</v>
      </c>
      <c r="C57" s="225">
        <f>SUM(C47:C56)-SUM(C42:C46)</f>
        <v>0</v>
      </c>
      <c r="D57" s="225">
        <f>SUM(D47:D56)-SUM(D42:D46)</f>
        <v>11191.5</v>
      </c>
      <c r="E57" s="48">
        <f>C57+D57</f>
        <v>11191.5</v>
      </c>
    </row>
    <row r="58" spans="1:6" hidden="1" outlineLevel="1">
      <c r="A58" s="21"/>
      <c r="B58" s="18" t="s">
        <v>120</v>
      </c>
      <c r="C58" s="226">
        <f>SUMIFS(BZ!$K:$K,BZ!$B:$B,B58,BZ!$D:$D,"PR")</f>
        <v>0</v>
      </c>
      <c r="D58" s="226">
        <f>SUMIFS(BZ!$K:$K,BZ!$B:$B,B58,BZ!$D:$D,"PNR")</f>
        <v>0</v>
      </c>
      <c r="E58" s="44">
        <f t="shared" si="0"/>
        <v>0</v>
      </c>
    </row>
    <row r="59" spans="1:6" hidden="1" outlineLevel="1">
      <c r="A59" s="21"/>
      <c r="B59" s="18" t="s">
        <v>121</v>
      </c>
      <c r="C59" s="226">
        <f>SUMIFS(BZ!$K:$K,BZ!$B:$B,B59,BZ!$D:$D,"PR")</f>
        <v>0</v>
      </c>
      <c r="D59" s="226">
        <f>SUMIFS(BZ!$K:$K,BZ!$B:$B,B59,BZ!$D:$D,"PNR")</f>
        <v>0</v>
      </c>
      <c r="E59" s="44">
        <f t="shared" si="0"/>
        <v>0</v>
      </c>
    </row>
    <row r="60" spans="1:6" hidden="1" outlineLevel="1">
      <c r="A60" s="21"/>
      <c r="B60" s="18" t="s">
        <v>122</v>
      </c>
      <c r="C60" s="226">
        <f>SUMIFS(BZ!$K:$K,BZ!$B:$B,B60,BZ!$D:$D,"PR")</f>
        <v>0</v>
      </c>
      <c r="D60" s="226">
        <f>SUMIFS(BZ!$K:$K,BZ!$B:$B,B60,BZ!$D:$D,"PNR")</f>
        <v>0</v>
      </c>
      <c r="E60" s="44">
        <f t="shared" si="0"/>
        <v>0</v>
      </c>
    </row>
    <row r="61" spans="1:6" hidden="1" outlineLevel="1">
      <c r="A61" s="21"/>
      <c r="B61" s="18" t="s">
        <v>123</v>
      </c>
      <c r="C61" s="226">
        <f>SUMIFS(BZ!$K:$K,BZ!$B:$B,B61,BZ!$D:$D,"PR")</f>
        <v>0</v>
      </c>
      <c r="D61" s="226">
        <f>SUMIFS(BZ!$K:$K,BZ!$B:$B,B61,BZ!$D:$D,"PNR")</f>
        <v>0</v>
      </c>
      <c r="E61" s="44">
        <f t="shared" si="0"/>
        <v>0</v>
      </c>
    </row>
    <row r="62" spans="1:6" hidden="1" outlineLevel="1">
      <c r="A62" s="21"/>
      <c r="B62" s="18" t="s">
        <v>124</v>
      </c>
      <c r="C62" s="226">
        <f>SUMIFS(BZ!$K:$K,BZ!$B:$B,B62,BZ!$D:$D,"PR")</f>
        <v>0</v>
      </c>
      <c r="D62" s="226">
        <f>SUMIFS(BZ!$K:$K,BZ!$B:$B,B62,BZ!$D:$D,"PNR")</f>
        <v>0</v>
      </c>
      <c r="E62" s="44">
        <f t="shared" si="0"/>
        <v>0</v>
      </c>
    </row>
    <row r="63" spans="1:6" hidden="1" outlineLevel="1">
      <c r="A63" s="21"/>
      <c r="B63" s="18" t="s">
        <v>125</v>
      </c>
      <c r="C63" s="226">
        <f>SUMIFS(BZ!$K:$K,BZ!$B:$B,B63,BZ!$D:$D,"PR")</f>
        <v>0</v>
      </c>
      <c r="D63" s="226">
        <f>SUMIFS(BZ!$K:$K,BZ!$B:$B,B63,BZ!$D:$D,"PNR")</f>
        <v>0</v>
      </c>
      <c r="E63" s="44">
        <f t="shared" si="0"/>
        <v>0</v>
      </c>
    </row>
    <row r="64" spans="1:6" hidden="1" outlineLevel="1">
      <c r="A64" s="21"/>
      <c r="B64" s="18" t="s">
        <v>126</v>
      </c>
      <c r="C64" s="226">
        <f>SUMIFS(BZ!$K:$K,BZ!$B:$B,B64,BZ!$D:$D,"PR")</f>
        <v>0</v>
      </c>
      <c r="D64" s="226">
        <f>SUMIFS(BZ!$K:$K,BZ!$B:$B,B64,BZ!$D:$D,"PNR")</f>
        <v>0.13</v>
      </c>
      <c r="E64" s="44">
        <f t="shared" si="0"/>
        <v>0.13</v>
      </c>
    </row>
    <row r="65" spans="1:6" hidden="1" outlineLevel="1">
      <c r="A65" s="21"/>
      <c r="B65" s="18" t="s">
        <v>64</v>
      </c>
      <c r="C65" s="226">
        <f>SUMIFS(BZ!$K:$K,BZ!$B:$B,B65,BZ!$D:$D,"PR")</f>
        <v>0</v>
      </c>
      <c r="D65" s="226">
        <f>SUMIFS(BZ!$K:$K,BZ!$B:$B,B65,BZ!$D:$D,"PNR")</f>
        <v>0</v>
      </c>
      <c r="E65" s="44">
        <f t="shared" si="0"/>
        <v>0</v>
      </c>
    </row>
    <row r="66" spans="1:6" collapsed="1">
      <c r="A66" s="21"/>
      <c r="B66" s="23" t="s">
        <v>359</v>
      </c>
      <c r="C66" s="225">
        <f>C41-C57-SUM(C58:C60,C65)+SUM(C61:C64)</f>
        <v>0</v>
      </c>
      <c r="D66" s="225">
        <f>D41-D57-SUM(D58:D60,D65)+SUM(D61:D64)</f>
        <v>-404915.38000000163</v>
      </c>
      <c r="E66" s="48">
        <f>C66+D66</f>
        <v>-404915.38000000163</v>
      </c>
      <c r="F66" s="45"/>
    </row>
    <row r="67" spans="1:6" hidden="1" outlineLevel="1">
      <c r="A67" s="21"/>
      <c r="B67" s="18" t="s">
        <v>127</v>
      </c>
      <c r="C67" s="226">
        <f>SUMIFS(BZ!$K:$K,BZ!$B:$B,B67,BZ!$D:$D,"PR")</f>
        <v>0</v>
      </c>
      <c r="D67" s="226">
        <f>SUMIFS(BZ!$K:$K,BZ!$B:$B,B67,BZ!$D:$D,"PNR")</f>
        <v>0</v>
      </c>
      <c r="E67" s="44">
        <f t="shared" si="0"/>
        <v>0</v>
      </c>
    </row>
    <row r="68" spans="1:6" hidden="1" outlineLevel="1">
      <c r="A68" s="21"/>
      <c r="B68" s="18" t="s">
        <v>128</v>
      </c>
      <c r="C68" s="226">
        <f>SUMIFS(BZ!$K:$K,BZ!$B:$B,B68,BZ!$D:$D,"PR")</f>
        <v>0</v>
      </c>
      <c r="D68" s="226">
        <f>SUMIFS(BZ!$K:$K,BZ!$B:$B,B68,BZ!$D:$D,"PNR")</f>
        <v>0</v>
      </c>
      <c r="E68" s="44">
        <f t="shared" si="0"/>
        <v>0</v>
      </c>
    </row>
    <row r="69" spans="1:6" hidden="1" outlineLevel="1">
      <c r="A69" s="21"/>
      <c r="B69" s="18" t="s">
        <v>129</v>
      </c>
      <c r="C69" s="226">
        <f>SUMIFS(BZ!$K:$K,BZ!$B:$B,B69,BZ!$D:$D,"PR")</f>
        <v>0</v>
      </c>
      <c r="D69" s="226">
        <f>SUMIFS(BZ!$K:$K,BZ!$B:$B,B69,BZ!$D:$D,"PNR")</f>
        <v>0</v>
      </c>
      <c r="E69" s="44">
        <f t="shared" si="0"/>
        <v>0</v>
      </c>
    </row>
    <row r="70" spans="1:6" hidden="1" outlineLevel="1">
      <c r="A70" s="21"/>
      <c r="B70" s="18" t="s">
        <v>130</v>
      </c>
      <c r="C70" s="226">
        <f>SUMIFS(BZ!$K:$K,BZ!$B:$B,B70,BZ!$D:$D,"PR")</f>
        <v>0</v>
      </c>
      <c r="D70" s="226">
        <f>SUMIFS(BZ!$K:$K,BZ!$B:$B,B70,BZ!$D:$D,"PNR")</f>
        <v>0</v>
      </c>
      <c r="E70" s="44">
        <f t="shared" si="0"/>
        <v>0</v>
      </c>
    </row>
    <row r="71" spans="1:6" hidden="1" outlineLevel="1">
      <c r="A71" s="21"/>
      <c r="B71" s="18" t="s">
        <v>131</v>
      </c>
      <c r="C71" s="226">
        <f>SUMIFS(BZ!$K:$K,BZ!$B:$B,B71,BZ!$D:$D,"PR")</f>
        <v>0</v>
      </c>
      <c r="D71" s="226">
        <f>SUMIFS(BZ!$K:$K,BZ!$B:$B,B71,BZ!$D:$D,"PNR")</f>
        <v>0</v>
      </c>
      <c r="E71" s="44">
        <f t="shared" si="0"/>
        <v>0</v>
      </c>
    </row>
    <row r="72" spans="1:6" hidden="1" outlineLevel="1">
      <c r="A72" s="21"/>
      <c r="B72" s="18" t="s">
        <v>132</v>
      </c>
      <c r="C72" s="226">
        <f>SUMIFS(BZ!$K:$K,BZ!$B:$B,B72,BZ!$D:$D,"PR")</f>
        <v>0</v>
      </c>
      <c r="D72" s="226">
        <f>SUMIFS(BZ!$K:$K,BZ!$B:$B,B72,BZ!$D:$D,"PNR")</f>
        <v>0</v>
      </c>
      <c r="E72" s="44">
        <f t="shared" si="0"/>
        <v>0</v>
      </c>
    </row>
    <row r="73" spans="1:6" collapsed="1">
      <c r="A73" s="21"/>
      <c r="B73" s="23" t="s">
        <v>360</v>
      </c>
      <c r="C73" s="225">
        <f>C66-C67-C68+C69-C70+C71-C72</f>
        <v>0</v>
      </c>
      <c r="D73" s="225">
        <f>D66-D67-D68+D69-D70+D71-D72</f>
        <v>-404915.38000000163</v>
      </c>
      <c r="E73" s="48">
        <f>C73+D73</f>
        <v>-404915.38000000163</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19"/>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72" t="str">
        <f>Portada!B12</f>
        <v xml:space="preserve">CADALA S.A DE C.V </v>
      </c>
      <c r="C1" s="273"/>
      <c r="D1" s="273"/>
      <c r="E1" s="273"/>
      <c r="F1" s="273"/>
      <c r="G1" s="273"/>
      <c r="H1" s="273"/>
      <c r="I1" s="273"/>
      <c r="J1" s="273"/>
      <c r="K1" s="50"/>
      <c r="L1" s="50"/>
      <c r="M1" s="50"/>
      <c r="N1" s="50"/>
    </row>
    <row r="2" spans="2:14">
      <c r="B2" s="272" t="s">
        <v>196</v>
      </c>
      <c r="C2" s="273"/>
      <c r="D2" s="273"/>
      <c r="E2" s="273"/>
      <c r="F2" s="273"/>
      <c r="G2" s="273"/>
      <c r="H2" s="273"/>
      <c r="I2" s="273"/>
      <c r="J2" s="273"/>
      <c r="K2" s="50"/>
      <c r="L2" s="50"/>
      <c r="M2" s="50"/>
      <c r="N2" s="50"/>
    </row>
    <row r="3" spans="2:14">
      <c r="B3" s="274" t="s">
        <v>197</v>
      </c>
      <c r="C3" s="273"/>
      <c r="D3" s="273"/>
      <c r="E3" s="273"/>
      <c r="F3" s="273"/>
      <c r="G3" s="273"/>
      <c r="H3" s="273"/>
      <c r="I3" s="273"/>
      <c r="J3" s="273"/>
      <c r="K3" s="50"/>
      <c r="L3" s="50"/>
      <c r="M3" s="50"/>
      <c r="N3" s="50"/>
    </row>
    <row r="4" spans="2:14">
      <c r="B4" s="51"/>
      <c r="C4" s="51"/>
      <c r="D4" s="51"/>
      <c r="E4" s="51"/>
      <c r="F4" s="51"/>
      <c r="G4" s="51"/>
      <c r="H4" s="51"/>
      <c r="I4" s="51"/>
      <c r="J4" s="51"/>
      <c r="K4" s="50"/>
      <c r="L4" s="50"/>
      <c r="M4" s="50"/>
      <c r="N4" s="50"/>
    </row>
    <row r="5" spans="2:14">
      <c r="B5" s="274" t="s">
        <v>361</v>
      </c>
      <c r="C5" s="273"/>
      <c r="D5" s="273"/>
      <c r="E5" s="273"/>
      <c r="F5" s="273"/>
      <c r="G5" s="273"/>
      <c r="H5" s="273"/>
      <c r="I5" s="273"/>
      <c r="J5" s="273"/>
      <c r="K5" s="50"/>
      <c r="L5" s="50"/>
      <c r="M5" s="50"/>
      <c r="N5" s="50"/>
    </row>
    <row r="6" spans="2:14">
      <c r="B6" s="51"/>
      <c r="C6" s="51"/>
      <c r="D6" s="51"/>
      <c r="E6" s="51"/>
      <c r="F6" s="51"/>
      <c r="G6" s="51"/>
      <c r="H6" s="51"/>
      <c r="I6" s="51"/>
      <c r="J6" s="51"/>
      <c r="K6" s="50"/>
      <c r="L6" s="50"/>
      <c r="M6" s="50"/>
      <c r="N6" s="50"/>
    </row>
    <row r="7" spans="2:14">
      <c r="B7" s="274" t="s">
        <v>198</v>
      </c>
      <c r="C7" s="273"/>
      <c r="D7" s="273"/>
      <c r="E7" s="273"/>
      <c r="F7" s="273"/>
      <c r="G7" s="273"/>
      <c r="H7" s="273"/>
      <c r="I7" s="273"/>
      <c r="J7" s="273"/>
      <c r="K7" s="50"/>
      <c r="L7" s="50"/>
      <c r="M7" s="50"/>
      <c r="N7" s="50"/>
    </row>
    <row r="8" spans="2:14">
      <c r="B8" s="51"/>
      <c r="C8" s="51"/>
      <c r="D8" s="51"/>
      <c r="E8" s="51"/>
      <c r="F8" s="51"/>
      <c r="G8" s="51"/>
      <c r="H8" s="51"/>
      <c r="I8" s="51"/>
      <c r="J8" s="51"/>
      <c r="K8" s="50"/>
      <c r="L8" s="50"/>
      <c r="M8" s="50"/>
      <c r="N8" s="50"/>
    </row>
    <row r="9" spans="2:14">
      <c r="B9" s="125" t="s">
        <v>199</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-404915.38000000163</v>
      </c>
      <c r="K10" s="50"/>
      <c r="L10" s="54"/>
      <c r="M10" s="50"/>
      <c r="N10" s="50"/>
    </row>
    <row r="11" spans="2:14">
      <c r="B11" s="50"/>
      <c r="C11" s="52" t="s">
        <v>364</v>
      </c>
      <c r="D11" s="50"/>
      <c r="E11" s="50"/>
      <c r="F11" s="50"/>
      <c r="G11" s="50"/>
      <c r="H11" s="50"/>
      <c r="I11" s="50"/>
      <c r="J11" s="53">
        <f>-SUMIF(BZ!$B:$B,C11,BZ!$L:$L)</f>
        <v>-33444.81</v>
      </c>
      <c r="K11" s="50"/>
      <c r="L11" s="54"/>
      <c r="M11" s="50"/>
      <c r="N11" s="50"/>
    </row>
    <row r="12" spans="2:14">
      <c r="B12" s="50"/>
      <c r="C12" s="52" t="s">
        <v>255</v>
      </c>
      <c r="D12" s="50"/>
      <c r="E12" s="50"/>
      <c r="F12" s="50"/>
      <c r="G12" s="50"/>
      <c r="H12" s="50"/>
      <c r="I12" s="50"/>
      <c r="J12" s="53">
        <f>-SUMIF(BZ!$B:$B,C12,BZ!$L:$L)</f>
        <v>0</v>
      </c>
      <c r="K12" s="50"/>
      <c r="L12" s="50"/>
      <c r="M12" s="50"/>
      <c r="N12" s="50"/>
    </row>
    <row r="13" spans="2:14">
      <c r="B13" s="50"/>
      <c r="C13" s="52" t="s">
        <v>7</v>
      </c>
      <c r="D13" s="50"/>
      <c r="E13" s="50"/>
      <c r="F13" s="50"/>
      <c r="G13" s="50"/>
      <c r="H13" s="50"/>
      <c r="I13" s="50"/>
      <c r="J13" s="53">
        <f>-SUMIF(BZ!$B:$B,C13,BZ!$L:$L)</f>
        <v>0</v>
      </c>
      <c r="K13" s="50"/>
      <c r="L13" s="50"/>
      <c r="M13" s="50"/>
      <c r="N13" s="50"/>
    </row>
    <row r="14" spans="2:14">
      <c r="B14" s="50"/>
      <c r="C14" s="52" t="s">
        <v>256</v>
      </c>
      <c r="D14" s="50"/>
      <c r="E14" s="50"/>
      <c r="F14" s="50"/>
      <c r="G14" s="50"/>
      <c r="H14" s="50"/>
      <c r="I14" s="50"/>
      <c r="J14" s="53">
        <f>-SUMIF(BZ!$B:$B,C14,BZ!$L:$L)</f>
        <v>0</v>
      </c>
      <c r="K14" s="50"/>
      <c r="L14" s="50"/>
      <c r="M14" s="50"/>
      <c r="N14" s="50"/>
    </row>
    <row r="15" spans="2:14">
      <c r="B15" s="50"/>
      <c r="C15" s="52" t="s">
        <v>15</v>
      </c>
      <c r="D15" s="50"/>
      <c r="E15" s="50"/>
      <c r="F15" s="50"/>
      <c r="G15" s="50"/>
      <c r="H15" s="50"/>
      <c r="I15" s="50"/>
      <c r="J15" s="53">
        <f>-SUMIF(BZ!$B:$B,C15,BZ!$L:$L)</f>
        <v>0</v>
      </c>
      <c r="K15" s="50"/>
      <c r="L15" s="50"/>
      <c r="M15" s="50"/>
      <c r="N15" s="50"/>
    </row>
    <row r="16" spans="2:14">
      <c r="B16" s="50"/>
      <c r="C16" s="52" t="s">
        <v>257</v>
      </c>
      <c r="D16" s="50"/>
      <c r="E16" s="50"/>
      <c r="F16" s="50"/>
      <c r="G16" s="50"/>
      <c r="H16" s="50"/>
      <c r="I16" s="50"/>
      <c r="J16" s="53">
        <f>-SUMIF(BZ!$B:$B,C16,BZ!$L:$L)</f>
        <v>0</v>
      </c>
      <c r="K16" s="50"/>
      <c r="L16" s="50"/>
      <c r="M16" s="50"/>
      <c r="N16" s="50"/>
    </row>
    <row r="17" spans="2:14">
      <c r="B17" s="50"/>
      <c r="C17" s="52" t="s">
        <v>258</v>
      </c>
      <c r="D17" s="50"/>
      <c r="E17" s="50"/>
      <c r="F17" s="50"/>
      <c r="G17" s="50"/>
      <c r="H17" s="50"/>
      <c r="I17" s="50"/>
      <c r="J17" s="53">
        <f>-SUMIF(BZ!$B:$B,C17,BZ!$L:$L)</f>
        <v>-40240.679999999993</v>
      </c>
      <c r="K17" s="50"/>
      <c r="L17" s="50"/>
      <c r="M17" s="50"/>
      <c r="N17" s="50"/>
    </row>
    <row r="18" spans="2:14">
      <c r="B18" s="50"/>
      <c r="C18" s="52" t="s">
        <v>135</v>
      </c>
      <c r="D18" s="50"/>
      <c r="E18" s="50"/>
      <c r="F18" s="50"/>
      <c r="G18" s="50"/>
      <c r="H18" s="50"/>
      <c r="I18" s="50"/>
      <c r="J18" s="53">
        <f>-SUMIF(BZ!$B:$B,C18,BZ!$L:$L)</f>
        <v>0</v>
      </c>
      <c r="K18" s="50"/>
      <c r="L18" s="50"/>
      <c r="M18" s="50"/>
      <c r="N18" s="50"/>
    </row>
    <row r="19" spans="2:14">
      <c r="B19" s="50"/>
      <c r="C19" s="52" t="s">
        <v>259</v>
      </c>
      <c r="D19" s="50"/>
      <c r="E19" s="50"/>
      <c r="F19" s="50"/>
      <c r="G19" s="50"/>
      <c r="H19" s="50"/>
      <c r="I19" s="50"/>
      <c r="J19" s="53">
        <f>-SUMIF(BZ!$B:$B,C19,BZ!$L:$L)</f>
        <v>0</v>
      </c>
      <c r="K19" s="50"/>
      <c r="L19" s="50"/>
      <c r="M19" s="50"/>
      <c r="N19" s="50"/>
    </row>
    <row r="20" spans="2:14">
      <c r="B20" s="50"/>
      <c r="C20" s="52" t="s">
        <v>260</v>
      </c>
      <c r="D20" s="50"/>
      <c r="E20" s="50"/>
      <c r="F20" s="50"/>
      <c r="G20" s="50"/>
      <c r="H20" s="50"/>
      <c r="I20" s="50"/>
      <c r="J20" s="53">
        <f>-SUMIF(BZ!$B:$B,C20,BZ!$L:$L)</f>
        <v>-81200.849999999991</v>
      </c>
      <c r="K20" s="50"/>
      <c r="L20" s="50"/>
      <c r="M20" s="50"/>
      <c r="N20" s="50"/>
    </row>
    <row r="21" spans="2:14">
      <c r="B21" s="50"/>
      <c r="C21" s="52" t="s">
        <v>200</v>
      </c>
      <c r="D21" s="50"/>
      <c r="E21" s="50"/>
      <c r="F21" s="50"/>
      <c r="G21" s="50"/>
      <c r="H21" s="50"/>
      <c r="I21" s="50"/>
      <c r="J21" s="53">
        <f>-SUMIF(BZ!$B:$B,C21,BZ!$L:$L)</f>
        <v>0</v>
      </c>
      <c r="K21" s="50"/>
      <c r="L21" s="50"/>
      <c r="M21" s="50"/>
      <c r="N21" s="50"/>
    </row>
    <row r="22" spans="2:14">
      <c r="B22" s="50"/>
      <c r="C22" s="52" t="s">
        <v>202</v>
      </c>
      <c r="D22" s="50"/>
      <c r="E22" s="50"/>
      <c r="F22" s="50"/>
      <c r="G22" s="50"/>
      <c r="H22" s="50"/>
      <c r="I22" s="50"/>
      <c r="J22" s="53">
        <f>SUMIF(BZ!$B:$B,C22,BZ!$L:$L)</f>
        <v>0</v>
      </c>
      <c r="K22" s="50"/>
      <c r="L22" s="50"/>
      <c r="M22" s="50"/>
      <c r="N22" s="50"/>
    </row>
    <row r="23" spans="2:14">
      <c r="B23" s="50"/>
      <c r="C23" s="52" t="s">
        <v>267</v>
      </c>
      <c r="D23" s="50"/>
      <c r="E23" s="50"/>
      <c r="F23" s="50"/>
      <c r="G23" s="50"/>
      <c r="H23" s="50"/>
      <c r="I23" s="50"/>
      <c r="J23" s="53">
        <f>SUMIF(BZ!$B:$B,C23,BZ!$L:$L)</f>
        <v>0</v>
      </c>
      <c r="K23" s="50"/>
      <c r="L23" s="50"/>
      <c r="M23" s="50"/>
      <c r="N23" s="50"/>
    </row>
    <row r="24" spans="2:14">
      <c r="B24" s="50"/>
      <c r="C24" s="52" t="s">
        <v>268</v>
      </c>
      <c r="D24" s="50"/>
      <c r="E24" s="50"/>
      <c r="F24" s="50"/>
      <c r="G24" s="50"/>
      <c r="H24" s="50"/>
      <c r="I24" s="50"/>
      <c r="J24" s="53">
        <f>SUMIF(BZ!$B:$B,C24,BZ!$L:$L)</f>
        <v>0</v>
      </c>
      <c r="K24" s="50"/>
      <c r="L24" s="50"/>
      <c r="M24" s="50"/>
      <c r="N24" s="50"/>
    </row>
    <row r="25" spans="2:14">
      <c r="B25" s="50"/>
      <c r="C25" s="52" t="s">
        <v>16</v>
      </c>
      <c r="D25" s="50"/>
      <c r="E25" s="50"/>
      <c r="F25" s="50"/>
      <c r="G25" s="50"/>
      <c r="H25" s="50"/>
      <c r="I25" s="50"/>
      <c r="J25" s="53">
        <f>SUMIF(BZ!$B:$B,C25,BZ!$L:$L)</f>
        <v>0</v>
      </c>
      <c r="K25" s="50"/>
      <c r="L25" s="50"/>
      <c r="M25" s="50"/>
      <c r="N25" s="50"/>
    </row>
    <row r="26" spans="2:14">
      <c r="B26" s="50"/>
      <c r="C26" s="52" t="s">
        <v>269</v>
      </c>
      <c r="D26" s="50"/>
      <c r="E26" s="50"/>
      <c r="F26" s="50"/>
      <c r="G26" s="50"/>
      <c r="H26" s="50"/>
      <c r="I26" s="50"/>
      <c r="J26" s="53">
        <f>SUMIF(BZ!$B:$B,C26,BZ!$L:$L)</f>
        <v>0</v>
      </c>
      <c r="K26" s="50"/>
      <c r="L26" s="50"/>
      <c r="M26" s="50"/>
      <c r="N26" s="50"/>
    </row>
    <row r="27" spans="2:14">
      <c r="B27" s="50"/>
      <c r="C27" s="52" t="s">
        <v>270</v>
      </c>
      <c r="D27" s="50"/>
      <c r="E27" s="50"/>
      <c r="F27" s="50"/>
      <c r="G27" s="50"/>
      <c r="H27" s="50"/>
      <c r="I27" s="50"/>
      <c r="J27" s="53">
        <f>SUMIF(BZ!$B:$B,C27,BZ!$L:$L)</f>
        <v>0</v>
      </c>
      <c r="K27" s="50"/>
      <c r="L27" s="50"/>
      <c r="M27" s="50"/>
      <c r="N27" s="50"/>
    </row>
    <row r="28" spans="2:14">
      <c r="B28" s="50"/>
      <c r="C28" s="52" t="s">
        <v>271</v>
      </c>
      <c r="D28" s="50"/>
      <c r="E28" s="50"/>
      <c r="F28" s="50"/>
      <c r="G28" s="50"/>
      <c r="H28" s="50"/>
      <c r="I28" s="50"/>
      <c r="J28" s="53">
        <f>SUMIF(BZ!$B:$B,C28,BZ!$L:$L)</f>
        <v>352358.75000000006</v>
      </c>
      <c r="K28" s="50"/>
      <c r="L28" s="50"/>
      <c r="M28" s="50"/>
      <c r="N28" s="50"/>
    </row>
    <row r="29" spans="2:14">
      <c r="B29" s="50"/>
      <c r="C29" s="52" t="s">
        <v>272</v>
      </c>
      <c r="D29" s="50"/>
      <c r="E29" s="50"/>
      <c r="F29" s="50"/>
      <c r="G29" s="50"/>
      <c r="H29" s="50"/>
      <c r="I29" s="50"/>
      <c r="J29" s="53">
        <f>SUMIF(BZ!$B:$B,C29,BZ!$L:$L)</f>
        <v>217733.02</v>
      </c>
      <c r="K29" s="50"/>
      <c r="L29" s="50"/>
      <c r="M29" s="50"/>
      <c r="N29" s="50"/>
    </row>
    <row r="30" spans="2:14">
      <c r="B30" s="50"/>
      <c r="C30" s="55"/>
      <c r="E30" s="50"/>
      <c r="F30" s="50"/>
      <c r="G30" s="50"/>
      <c r="H30" s="50"/>
      <c r="I30" s="50"/>
      <c r="J30" s="56"/>
      <c r="K30" s="50"/>
      <c r="L30" s="50"/>
      <c r="M30" s="50"/>
      <c r="N30" s="50"/>
    </row>
    <row r="31" spans="2:14">
      <c r="B31" s="50"/>
      <c r="C31" s="50"/>
      <c r="D31" s="122" t="s">
        <v>203</v>
      </c>
      <c r="E31" s="123"/>
      <c r="F31" s="123"/>
      <c r="G31" s="123"/>
      <c r="H31" s="123"/>
      <c r="I31" s="123"/>
      <c r="J31" s="120">
        <f>SUM(J10:J29)</f>
        <v>10290.049999998446</v>
      </c>
      <c r="K31" s="50"/>
      <c r="L31" s="50"/>
      <c r="M31" s="50"/>
      <c r="N31" s="50"/>
    </row>
    <row r="32" spans="2:14">
      <c r="B32" s="50"/>
      <c r="C32" s="50"/>
      <c r="D32" s="52"/>
      <c r="E32" s="50"/>
      <c r="F32" s="50"/>
      <c r="G32" s="50"/>
      <c r="H32" s="50"/>
      <c r="I32" s="50"/>
      <c r="J32" s="121"/>
      <c r="K32" s="50"/>
      <c r="L32" s="50"/>
      <c r="M32" s="50"/>
      <c r="N32" s="50"/>
    </row>
    <row r="33" spans="2:14">
      <c r="B33" s="125" t="s">
        <v>204</v>
      </c>
      <c r="C33" s="50"/>
      <c r="D33" s="50"/>
      <c r="E33" s="50"/>
      <c r="F33" s="50"/>
      <c r="G33" s="50"/>
      <c r="H33" s="50"/>
      <c r="I33" s="50"/>
      <c r="J33" s="50"/>
      <c r="K33" s="50"/>
      <c r="L33" s="50"/>
      <c r="M33" s="50"/>
      <c r="N33" s="50"/>
    </row>
    <row r="34" spans="2:14">
      <c r="B34" s="52"/>
      <c r="C34" s="55" t="s">
        <v>261</v>
      </c>
      <c r="D34" s="50"/>
      <c r="E34" s="50"/>
      <c r="F34" s="50"/>
      <c r="G34" s="50"/>
      <c r="H34" s="50"/>
      <c r="I34" s="50"/>
      <c r="J34" s="53">
        <f>-SUMIF(BZ!$B:$B,C34,BZ!$L:$L)</f>
        <v>0</v>
      </c>
      <c r="K34" s="50"/>
      <c r="L34" s="50"/>
      <c r="M34" s="50"/>
      <c r="N34" s="50"/>
    </row>
    <row r="35" spans="2:14">
      <c r="B35" s="50"/>
      <c r="C35" s="52" t="s">
        <v>262</v>
      </c>
      <c r="D35" s="50"/>
      <c r="E35" s="50"/>
      <c r="F35" s="50"/>
      <c r="G35" s="50"/>
      <c r="H35" s="50"/>
      <c r="I35" s="50"/>
      <c r="J35" s="53">
        <f>-SUMIF(BZ!$B:$B,C35,BZ!$L:$L)</f>
        <v>0</v>
      </c>
      <c r="K35" s="50"/>
      <c r="L35" s="50"/>
      <c r="M35" s="50"/>
      <c r="N35" s="50"/>
    </row>
    <row r="36" spans="2:14">
      <c r="B36" s="50"/>
      <c r="C36" s="52" t="s">
        <v>263</v>
      </c>
      <c r="D36" s="50"/>
      <c r="E36" s="50"/>
      <c r="F36" s="50"/>
      <c r="G36" s="50"/>
      <c r="H36" s="50"/>
      <c r="I36" s="50"/>
      <c r="J36" s="53">
        <f>-SUMIF(BZ!$B:$B,C36,BZ!$L:$L)</f>
        <v>0</v>
      </c>
      <c r="K36" s="50"/>
      <c r="L36" s="50"/>
      <c r="M36" s="50"/>
      <c r="N36" s="50"/>
    </row>
    <row r="37" spans="2:14">
      <c r="B37" s="50"/>
      <c r="C37" s="52" t="s">
        <v>201</v>
      </c>
      <c r="D37" s="50"/>
      <c r="E37" s="50"/>
      <c r="F37" s="50"/>
      <c r="G37" s="50"/>
      <c r="H37" s="50"/>
      <c r="I37" s="50"/>
      <c r="J37" s="53">
        <f>-SUMIF(BZ!$B:$B,C37,BZ!$L:$L)</f>
        <v>0</v>
      </c>
      <c r="K37" s="50"/>
      <c r="L37" s="50"/>
      <c r="M37" s="50"/>
      <c r="N37" s="50"/>
    </row>
    <row r="38" spans="2:14">
      <c r="B38" s="50"/>
      <c r="C38" s="52" t="s">
        <v>264</v>
      </c>
      <c r="D38" s="50"/>
      <c r="E38" s="50"/>
      <c r="F38" s="50"/>
      <c r="G38" s="50"/>
      <c r="H38" s="50"/>
      <c r="I38" s="50"/>
      <c r="J38" s="53">
        <f>-SUMIF(BZ!$B:$B,C38,BZ!$L:$L)</f>
        <v>0</v>
      </c>
      <c r="K38" s="50"/>
      <c r="L38" s="50"/>
      <c r="M38" s="50"/>
      <c r="N38" s="50"/>
    </row>
    <row r="39" spans="2:14">
      <c r="B39" s="50"/>
      <c r="C39" s="52" t="s">
        <v>265</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22" t="s">
        <v>206</v>
      </c>
      <c r="E41" s="123"/>
      <c r="F41" s="123"/>
      <c r="G41" s="123"/>
      <c r="H41" s="123"/>
      <c r="I41" s="123"/>
      <c r="J41" s="124">
        <f>SUM(J34:J39)</f>
        <v>0</v>
      </c>
      <c r="K41" s="50"/>
      <c r="L41" s="50"/>
      <c r="M41" s="50"/>
      <c r="N41" s="50"/>
    </row>
    <row r="42" spans="2:14">
      <c r="B42" s="50"/>
      <c r="C42" s="50"/>
      <c r="D42" s="50"/>
      <c r="E42" s="50"/>
      <c r="F42" s="50"/>
      <c r="G42" s="50"/>
      <c r="H42" s="50"/>
      <c r="I42" s="50"/>
      <c r="J42" s="50"/>
      <c r="K42" s="50"/>
      <c r="L42" s="50"/>
      <c r="M42" s="50"/>
      <c r="N42" s="50"/>
    </row>
    <row r="43" spans="2:14">
      <c r="B43" s="125" t="s">
        <v>207</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266</v>
      </c>
      <c r="D45" s="50"/>
      <c r="E45" s="50"/>
      <c r="F45" s="50"/>
      <c r="G45" s="50"/>
      <c r="H45" s="50"/>
      <c r="I45" s="50"/>
      <c r="J45" s="53">
        <f>SUMIF(BZ!$B:$B,C45,BZ!$L:$L)</f>
        <v>0</v>
      </c>
      <c r="K45" s="50"/>
      <c r="L45" s="50"/>
      <c r="M45" s="50"/>
      <c r="N45" s="50"/>
    </row>
    <row r="46" spans="2:14">
      <c r="B46" s="52"/>
      <c r="C46" s="55" t="s">
        <v>273</v>
      </c>
      <c r="D46" s="50"/>
      <c r="E46" s="50"/>
      <c r="F46" s="50"/>
      <c r="G46" s="50"/>
      <c r="H46" s="50"/>
      <c r="I46" s="50"/>
      <c r="J46" s="53">
        <f>SUMIF(BZ!$B:$B,C46,BZ!$L:$L)</f>
        <v>0</v>
      </c>
      <c r="K46" s="50"/>
      <c r="L46" s="50"/>
      <c r="M46" s="50"/>
      <c r="N46" s="50"/>
    </row>
    <row r="47" spans="2:14">
      <c r="B47" s="52"/>
      <c r="C47" s="55" t="s">
        <v>205</v>
      </c>
      <c r="D47" s="50"/>
      <c r="E47" s="50"/>
      <c r="F47" s="50"/>
      <c r="G47" s="50"/>
      <c r="H47" s="50"/>
      <c r="I47" s="50"/>
      <c r="J47" s="53">
        <f>SUMIF(BZ!$B:$B,C47,BZ!$L:$L)</f>
        <v>0</v>
      </c>
      <c r="K47" s="50"/>
      <c r="L47" s="50"/>
      <c r="M47" s="50"/>
      <c r="N47" s="50"/>
    </row>
    <row r="48" spans="2:14">
      <c r="B48" s="52"/>
      <c r="C48" s="55" t="s">
        <v>274</v>
      </c>
      <c r="D48" s="50"/>
      <c r="E48" s="50"/>
      <c r="F48" s="50"/>
      <c r="G48" s="50"/>
      <c r="H48" s="50"/>
      <c r="I48" s="50"/>
      <c r="J48" s="53">
        <f>SUMIF(BZ!$B:$B,C48,BZ!$L:$L)</f>
        <v>0</v>
      </c>
      <c r="K48" s="50"/>
      <c r="L48" s="50"/>
      <c r="M48" s="50"/>
      <c r="N48" s="50"/>
    </row>
    <row r="49" spans="2:14">
      <c r="B49" s="52"/>
      <c r="C49" s="55" t="s">
        <v>136</v>
      </c>
      <c r="D49" s="50"/>
      <c r="E49" s="50"/>
      <c r="F49" s="50"/>
      <c r="G49" s="50"/>
      <c r="H49" s="50"/>
      <c r="I49" s="50"/>
      <c r="J49" s="53">
        <f>SUMIF(BZ!$B:$B,C49,BZ!$L:$L)</f>
        <v>0</v>
      </c>
      <c r="K49" s="50"/>
      <c r="L49" s="50"/>
      <c r="M49" s="50"/>
      <c r="N49" s="50"/>
    </row>
    <row r="50" spans="2:14">
      <c r="B50" s="52"/>
      <c r="C50" s="55" t="s">
        <v>275</v>
      </c>
      <c r="D50" s="50"/>
      <c r="E50" s="50"/>
      <c r="F50" s="50"/>
      <c r="G50" s="50"/>
      <c r="H50" s="50"/>
      <c r="I50" s="50"/>
      <c r="J50" s="53">
        <f>SUMIF(BZ!$B:$B,C50,BZ!$L:$L)</f>
        <v>0</v>
      </c>
      <c r="K50" s="50"/>
      <c r="L50" s="50"/>
      <c r="M50" s="50"/>
      <c r="N50" s="50"/>
    </row>
    <row r="51" spans="2:14">
      <c r="B51" s="52"/>
      <c r="C51" s="55" t="s">
        <v>276</v>
      </c>
      <c r="D51" s="50"/>
      <c r="E51" s="50"/>
      <c r="F51" s="50"/>
      <c r="G51" s="50"/>
      <c r="H51" s="50"/>
      <c r="I51" s="50"/>
      <c r="J51" s="53">
        <f>SUMIF(BZ!$B:$B,C51,BZ!$L:$L)</f>
        <v>0</v>
      </c>
      <c r="K51" s="50"/>
      <c r="L51" s="50"/>
      <c r="M51" s="50"/>
      <c r="N51" s="50"/>
    </row>
    <row r="52" spans="2:14">
      <c r="B52" s="52"/>
      <c r="C52" s="55" t="s">
        <v>277</v>
      </c>
      <c r="D52" s="50"/>
      <c r="E52" s="50"/>
      <c r="F52" s="50"/>
      <c r="G52" s="50"/>
      <c r="H52" s="50"/>
      <c r="I52" s="50"/>
      <c r="J52" s="53">
        <f>SUMIF(BZ!$B:$B,C52,BZ!$L:$L)</f>
        <v>0</v>
      </c>
      <c r="K52" s="50"/>
      <c r="L52" s="50"/>
      <c r="M52" s="50"/>
      <c r="N52" s="50"/>
    </row>
    <row r="53" spans="2:14">
      <c r="B53" s="52"/>
      <c r="C53" s="55" t="s">
        <v>209</v>
      </c>
      <c r="D53" s="50"/>
      <c r="E53" s="50"/>
      <c r="F53" s="50"/>
      <c r="G53" s="50"/>
      <c r="H53" s="50"/>
      <c r="I53" s="50"/>
      <c r="J53" s="53">
        <f>SUMIF(BZ!$B:$B,C53,BZ!$L:$L)</f>
        <v>0</v>
      </c>
      <c r="K53" s="50"/>
      <c r="L53" s="50"/>
      <c r="M53" s="50"/>
      <c r="N53" s="50"/>
    </row>
    <row r="54" spans="2:14">
      <c r="B54" s="52"/>
      <c r="C54" s="55" t="s">
        <v>138</v>
      </c>
      <c r="D54" s="50"/>
      <c r="E54" s="50"/>
      <c r="F54" s="50"/>
      <c r="G54" s="50"/>
      <c r="H54" s="50"/>
      <c r="I54" s="50"/>
      <c r="J54" s="53">
        <f>SUMIF(BZ!$B:$B,C54,BZ!$L:$L)</f>
        <v>0</v>
      </c>
      <c r="K54" s="50"/>
      <c r="L54" s="50"/>
      <c r="M54" s="50"/>
      <c r="N54" s="50"/>
    </row>
    <row r="55" spans="2:14">
      <c r="B55" s="52"/>
      <c r="C55" s="55" t="s">
        <v>240</v>
      </c>
      <c r="D55" s="50"/>
      <c r="E55" s="50"/>
      <c r="F55" s="50"/>
      <c r="G55" s="50"/>
      <c r="H55" s="50"/>
      <c r="I55" s="50"/>
      <c r="J55" s="53">
        <f>SUMIF(BZ!$B:$B,C55,BZ!$L:$L)</f>
        <v>0</v>
      </c>
      <c r="K55" s="50"/>
      <c r="L55" s="50"/>
      <c r="M55" s="50"/>
      <c r="N55" s="50"/>
    </row>
    <row r="56" spans="2:14">
      <c r="B56" s="52"/>
      <c r="C56" s="55" t="s">
        <v>278</v>
      </c>
      <c r="D56" s="50"/>
      <c r="E56" s="50"/>
      <c r="F56" s="50"/>
      <c r="G56" s="50"/>
      <c r="H56" s="50"/>
      <c r="I56" s="50"/>
      <c r="J56" s="53">
        <f>SUMIF(BZ!$B:$B,C56,BZ!$L:$L)</f>
        <v>0</v>
      </c>
      <c r="K56" s="50"/>
      <c r="L56" s="50"/>
      <c r="M56" s="50"/>
      <c r="N56" s="50"/>
    </row>
    <row r="57" spans="2:14">
      <c r="B57" s="50"/>
      <c r="C57" s="52" t="s">
        <v>279</v>
      </c>
      <c r="D57" s="50"/>
      <c r="E57" s="50"/>
      <c r="F57" s="50"/>
      <c r="G57" s="50"/>
      <c r="H57" s="50"/>
      <c r="I57" s="50"/>
      <c r="J57" s="53">
        <f>SUMIF(BZ!$B:$B,C57,BZ!$L:$L)</f>
        <v>0</v>
      </c>
      <c r="K57" s="50"/>
      <c r="L57" s="50"/>
      <c r="M57" s="50"/>
      <c r="N57" s="50"/>
    </row>
    <row r="58" spans="2:14">
      <c r="B58" s="50"/>
      <c r="C58" s="52" t="s">
        <v>208</v>
      </c>
      <c r="D58" s="50"/>
      <c r="E58" s="50"/>
      <c r="F58" s="50"/>
      <c r="G58" s="50"/>
      <c r="H58" s="50"/>
      <c r="I58" s="50"/>
      <c r="J58" s="53">
        <f>SUMIF(BZ!$B:$B,C58,BZ!$L:$L)</f>
        <v>0</v>
      </c>
      <c r="K58" s="50"/>
      <c r="L58" s="50"/>
      <c r="M58" s="50"/>
      <c r="N58" s="50"/>
    </row>
    <row r="59" spans="2:14">
      <c r="B59" s="50"/>
      <c r="C59" s="55" t="s">
        <v>209</v>
      </c>
      <c r="D59" s="50"/>
      <c r="E59" s="50"/>
      <c r="F59" s="50"/>
      <c r="G59" s="50"/>
      <c r="H59" s="50"/>
      <c r="I59" s="50"/>
      <c r="J59" s="53">
        <f>SUMIF(BZ!$B:$B,C59,BZ!$L:$L)</f>
        <v>0</v>
      </c>
      <c r="K59" s="50"/>
      <c r="L59" s="50"/>
      <c r="M59" s="50"/>
      <c r="N59" s="50"/>
    </row>
    <row r="60" spans="2:14">
      <c r="B60" s="50"/>
      <c r="D60" s="50"/>
      <c r="E60" s="50"/>
      <c r="F60" s="50"/>
      <c r="G60" s="50"/>
      <c r="H60" s="50"/>
      <c r="I60" s="50"/>
      <c r="K60" s="50"/>
      <c r="L60" s="50"/>
      <c r="M60" s="50"/>
      <c r="N60" s="50"/>
    </row>
    <row r="61" spans="2:14">
      <c r="B61" s="50"/>
      <c r="C61" s="50"/>
      <c r="D61" s="122" t="s">
        <v>210</v>
      </c>
      <c r="E61" s="123"/>
      <c r="F61" s="123"/>
      <c r="G61" s="123"/>
      <c r="H61" s="123"/>
      <c r="I61" s="123"/>
      <c r="J61" s="124">
        <f>SUM(J45:J59)</f>
        <v>0</v>
      </c>
      <c r="K61" s="50"/>
      <c r="L61" s="50"/>
      <c r="M61" s="50"/>
      <c r="N61" s="50"/>
    </row>
    <row r="62" spans="2:14">
      <c r="B62" s="50"/>
      <c r="C62" s="50"/>
      <c r="D62" s="50"/>
      <c r="E62" s="50"/>
      <c r="F62" s="50"/>
      <c r="G62" s="50"/>
      <c r="H62" s="50"/>
      <c r="I62" s="50"/>
      <c r="J62" s="50"/>
      <c r="K62" s="50"/>
      <c r="L62" s="50"/>
      <c r="M62" s="50"/>
      <c r="N62" s="50"/>
    </row>
    <row r="63" spans="2:14">
      <c r="B63" s="50"/>
      <c r="C63" s="50"/>
      <c r="D63" s="52" t="s">
        <v>211</v>
      </c>
      <c r="E63" s="50"/>
      <c r="F63" s="50"/>
      <c r="G63" s="50"/>
      <c r="H63" s="50"/>
      <c r="I63" s="50"/>
      <c r="J63" s="53">
        <f>J31+J41+J61</f>
        <v>10290.049999998446</v>
      </c>
      <c r="K63" s="50"/>
      <c r="L63" s="50"/>
      <c r="M63" s="50"/>
      <c r="N63" s="50"/>
    </row>
    <row r="64" spans="2:14">
      <c r="B64" s="50"/>
      <c r="C64" s="50"/>
      <c r="D64" s="50"/>
      <c r="E64" s="50"/>
      <c r="F64" s="50"/>
      <c r="G64" s="50"/>
      <c r="H64" s="50"/>
      <c r="I64" s="50"/>
      <c r="J64" s="50"/>
      <c r="K64" s="50"/>
      <c r="L64" s="50"/>
      <c r="M64" s="50"/>
      <c r="N64" s="50"/>
    </row>
    <row r="65" spans="2:14">
      <c r="B65" s="52" t="s">
        <v>212</v>
      </c>
      <c r="C65" s="50"/>
      <c r="D65" s="50"/>
      <c r="E65" s="50"/>
      <c r="F65" s="50"/>
      <c r="G65" s="50"/>
      <c r="H65" s="50"/>
      <c r="I65" s="50"/>
      <c r="J65" s="50"/>
      <c r="K65" s="50"/>
      <c r="L65" s="50"/>
      <c r="M65" s="50"/>
      <c r="N65" s="50"/>
    </row>
    <row r="66" spans="2:14">
      <c r="B66" s="50"/>
      <c r="C66" s="52" t="s">
        <v>362</v>
      </c>
      <c r="D66" s="50"/>
      <c r="E66" s="50"/>
      <c r="F66" s="50"/>
      <c r="G66" s="50"/>
      <c r="H66" s="50"/>
      <c r="I66" s="50"/>
      <c r="J66" s="53">
        <f>BZ!H19</f>
        <v>10000</v>
      </c>
      <c r="K66" s="50"/>
      <c r="L66" s="54"/>
      <c r="M66" s="50"/>
      <c r="N66" s="50"/>
    </row>
    <row r="67" spans="2:14">
      <c r="B67" s="50"/>
      <c r="C67" s="50"/>
      <c r="D67" s="50"/>
      <c r="E67" s="50"/>
      <c r="F67" s="50"/>
      <c r="G67" s="50"/>
      <c r="H67" s="50"/>
      <c r="I67" s="50"/>
      <c r="J67" s="50"/>
      <c r="K67" s="50"/>
      <c r="L67" s="50"/>
      <c r="M67" s="50"/>
      <c r="N67" s="50"/>
    </row>
    <row r="68" spans="2:14">
      <c r="B68" s="50"/>
      <c r="C68" s="52" t="s">
        <v>363</v>
      </c>
      <c r="D68" s="50"/>
      <c r="E68" s="50"/>
      <c r="F68" s="50"/>
      <c r="G68" s="50"/>
      <c r="H68" s="50"/>
      <c r="I68" s="50"/>
      <c r="J68" s="57">
        <f>BZ!K19</f>
        <v>10000</v>
      </c>
      <c r="K68" s="50"/>
      <c r="L68" s="50"/>
      <c r="M68" s="50"/>
      <c r="N68" s="50"/>
    </row>
    <row r="69" spans="2:14" hidden="1">
      <c r="B69" s="50"/>
      <c r="D69" s="50"/>
      <c r="E69" s="50"/>
      <c r="F69" s="50"/>
      <c r="G69" s="50"/>
      <c r="H69" s="50"/>
      <c r="I69" s="50"/>
      <c r="J69" s="53">
        <f t="array" ref="J69:K69">'[1]Balanza de Comprobación'!E3:F3</f>
        <v>6415420.4199999999</v>
      </c>
      <c r="K69" s="58">
        <v>0</v>
      </c>
      <c r="L69" s="54" t="s">
        <v>213</v>
      </c>
      <c r="M69" s="50"/>
      <c r="N69" s="50"/>
    </row>
    <row r="70" spans="2:14">
      <c r="B70" s="50"/>
      <c r="C70" s="50"/>
      <c r="D70" s="50"/>
      <c r="E70" s="50"/>
      <c r="F70" s="50"/>
      <c r="G70" s="50"/>
      <c r="H70" s="50"/>
      <c r="I70" s="50"/>
      <c r="J70" s="50"/>
      <c r="K70" s="50"/>
      <c r="L70" s="50"/>
      <c r="M70" s="50"/>
      <c r="N70" s="50"/>
    </row>
    <row r="71" spans="2:14">
      <c r="B71" s="50"/>
      <c r="C71" s="55" t="s">
        <v>214</v>
      </c>
      <c r="D71" s="50"/>
      <c r="E71" s="50"/>
      <c r="F71" s="50"/>
      <c r="G71" s="50"/>
      <c r="H71" s="50"/>
      <c r="I71" s="50"/>
      <c r="J71" s="53">
        <f>J63+J66-J68</f>
        <v>10290.049999998446</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215</v>
      </c>
      <c r="C2" s="61"/>
      <c r="D2" s="61"/>
      <c r="E2" s="61"/>
      <c r="F2" s="61"/>
      <c r="G2" s="61"/>
      <c r="H2" s="61"/>
      <c r="I2" s="61"/>
      <c r="J2" s="61"/>
      <c r="K2" s="61"/>
      <c r="L2" s="61"/>
      <c r="M2" s="61"/>
    </row>
    <row r="3" spans="1:26" ht="16.5" customHeight="1">
      <c r="B3" s="60" t="str">
        <f>Portada!B12</f>
        <v xml:space="preserve">CADALA S.A DE C.V </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c r="B6" s="65" t="s">
        <v>226</v>
      </c>
      <c r="C6" s="66"/>
      <c r="D6" s="66"/>
      <c r="E6" s="66"/>
      <c r="F6" s="66"/>
      <c r="G6" s="66"/>
      <c r="H6" s="66"/>
      <c r="I6" s="66"/>
      <c r="J6" s="66"/>
      <c r="K6" s="66"/>
      <c r="L6" s="66"/>
      <c r="M6" s="66"/>
    </row>
    <row r="7" spans="1:26" ht="16.5" customHeight="1">
      <c r="B7" s="65" t="s">
        <v>227</v>
      </c>
      <c r="C7" s="67"/>
      <c r="D7" s="67"/>
      <c r="E7" s="67"/>
      <c r="F7" s="67"/>
      <c r="G7" s="67"/>
      <c r="H7" s="67"/>
      <c r="I7" s="67"/>
      <c r="J7" s="67"/>
      <c r="K7" s="67"/>
      <c r="L7" s="67"/>
      <c r="M7" s="67">
        <f>SUM(C7:L7)</f>
        <v>0</v>
      </c>
    </row>
    <row r="8" spans="1:26" ht="16.5" customHeight="1">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229</v>
      </c>
      <c r="C9" s="67"/>
      <c r="D9" s="67"/>
      <c r="E9" s="67"/>
      <c r="F9" s="67"/>
      <c r="G9" s="67"/>
      <c r="H9" s="67"/>
      <c r="I9" s="67"/>
      <c r="J9" s="67"/>
      <c r="K9" s="67"/>
      <c r="L9" s="67"/>
      <c r="M9" s="67">
        <f>SUM(C9:L9)</f>
        <v>0</v>
      </c>
    </row>
    <row r="10" spans="1:26" ht="16.5" customHeight="1">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243</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227</v>
      </c>
      <c r="C13" s="61"/>
      <c r="D13" s="61"/>
      <c r="E13" s="61"/>
      <c r="F13" s="61"/>
      <c r="G13" s="61"/>
      <c r="H13" s="61"/>
      <c r="I13" s="61"/>
      <c r="J13" s="61"/>
      <c r="K13" s="61"/>
      <c r="L13" s="61"/>
      <c r="M13" s="61"/>
    </row>
    <row r="14" spans="1:26" ht="16.5" customHeight="1">
      <c r="B14" s="69" t="s">
        <v>231</v>
      </c>
      <c r="C14" s="61"/>
      <c r="D14" s="61"/>
      <c r="E14" s="61"/>
      <c r="F14" s="61"/>
      <c r="G14" s="70"/>
      <c r="H14" s="61"/>
      <c r="I14" s="61"/>
      <c r="J14" s="61"/>
      <c r="K14" s="61"/>
      <c r="L14" s="61"/>
      <c r="M14" s="61"/>
    </row>
    <row r="15" spans="1:26" ht="16.5" customHeight="1">
      <c r="B15" s="69" t="s">
        <v>232</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233</v>
      </c>
      <c r="C17" s="61"/>
      <c r="D17" s="61"/>
      <c r="E17" s="61"/>
      <c r="F17" s="61"/>
      <c r="G17" s="61"/>
      <c r="H17" s="61"/>
      <c r="I17" s="61"/>
      <c r="J17" s="61"/>
      <c r="K17" s="61"/>
      <c r="L17" s="61"/>
      <c r="M17" s="61"/>
    </row>
    <row r="18" spans="2:13" ht="16.5" customHeight="1">
      <c r="B18" s="69" t="s">
        <v>234</v>
      </c>
      <c r="C18" s="61"/>
      <c r="D18" s="61"/>
      <c r="E18" s="61"/>
      <c r="F18" s="61"/>
      <c r="G18" s="61"/>
      <c r="H18" s="61"/>
      <c r="I18" s="61"/>
      <c r="J18" s="61"/>
      <c r="K18" s="61"/>
      <c r="L18" s="61"/>
      <c r="M18" s="61"/>
    </row>
    <row r="19" spans="2:13" ht="16.5" customHeight="1">
      <c r="B19" s="69" t="s">
        <v>235</v>
      </c>
      <c r="C19" s="61"/>
      <c r="D19" s="61"/>
      <c r="E19" s="61"/>
      <c r="F19" s="61"/>
      <c r="G19" s="61"/>
      <c r="H19" s="61"/>
      <c r="I19" s="61"/>
      <c r="J19" s="61"/>
      <c r="K19" s="61"/>
      <c r="L19" s="61"/>
      <c r="M19" s="61"/>
    </row>
    <row r="20" spans="2:13" ht="16.5" customHeight="1">
      <c r="B20" s="69" t="s">
        <v>236</v>
      </c>
      <c r="C20" s="61"/>
      <c r="D20" s="61"/>
      <c r="E20" s="61"/>
      <c r="F20" s="61"/>
      <c r="G20" s="61"/>
      <c r="H20" s="61"/>
      <c r="I20" s="61"/>
      <c r="J20" s="61"/>
      <c r="K20" s="61"/>
      <c r="L20" s="61"/>
      <c r="M20" s="61"/>
    </row>
    <row r="21" spans="2:13" ht="16.5" customHeight="1">
      <c r="B21" s="69" t="s">
        <v>237</v>
      </c>
      <c r="C21" s="61"/>
      <c r="D21" s="61"/>
      <c r="E21" s="61"/>
      <c r="F21" s="61"/>
      <c r="G21" s="61"/>
      <c r="H21" s="61"/>
      <c r="I21" s="61"/>
      <c r="J21" s="61"/>
      <c r="K21" s="61"/>
      <c r="L21" s="61"/>
      <c r="M21" s="61"/>
    </row>
    <row r="22" spans="2:13" ht="16.5" customHeight="1">
      <c r="B22" s="69" t="s">
        <v>238</v>
      </c>
      <c r="C22" s="61"/>
      <c r="D22" s="61"/>
      <c r="E22" s="61"/>
      <c r="F22" s="61"/>
      <c r="G22" s="61"/>
      <c r="H22" s="61"/>
      <c r="I22" s="61"/>
      <c r="J22" s="61"/>
      <c r="K22" s="61"/>
      <c r="L22" s="61"/>
      <c r="M22" s="61"/>
    </row>
    <row r="23" spans="2:13" ht="16.5" customHeight="1">
      <c r="B23" s="69" t="s">
        <v>239</v>
      </c>
      <c r="C23" s="61"/>
      <c r="D23" s="61"/>
      <c r="E23" s="61"/>
      <c r="F23" s="61"/>
      <c r="G23" s="61"/>
      <c r="H23" s="61"/>
      <c r="I23" s="61"/>
      <c r="J23" s="61"/>
      <c r="K23" s="61"/>
      <c r="L23" s="61"/>
      <c r="M23" s="61"/>
    </row>
    <row r="24" spans="2:13" ht="16.5" customHeight="1">
      <c r="B24" s="69" t="s">
        <v>240</v>
      </c>
      <c r="C24" s="61"/>
      <c r="D24" s="61"/>
      <c r="E24" s="61"/>
      <c r="F24" s="61"/>
      <c r="G24" s="61"/>
      <c r="H24" s="61"/>
      <c r="I24" s="61"/>
      <c r="J24" s="61"/>
      <c r="K24" s="61"/>
      <c r="L24" s="61"/>
      <c r="M24" s="61"/>
    </row>
    <row r="25" spans="2:13" ht="16.5" customHeight="1">
      <c r="B25" s="69" t="s">
        <v>241</v>
      </c>
      <c r="C25" s="61"/>
      <c r="D25" s="61"/>
      <c r="E25" s="61"/>
      <c r="F25" s="61"/>
      <c r="G25" s="61"/>
      <c r="H25" s="61"/>
      <c r="I25" s="61"/>
      <c r="J25" s="61"/>
      <c r="K25" s="61"/>
      <c r="L25" s="61"/>
      <c r="M25" s="61"/>
    </row>
    <row r="26" spans="2:13" ht="16.5" customHeight="1">
      <c r="B26" s="69" t="s">
        <v>242</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243</v>
      </c>
      <c r="C28" s="61"/>
      <c r="D28" s="61"/>
      <c r="E28" s="61"/>
      <c r="F28" s="61"/>
      <c r="G28" s="61"/>
      <c r="H28" s="61"/>
      <c r="I28" s="61"/>
      <c r="J28" s="61"/>
      <c r="K28" s="61"/>
      <c r="L28" s="61"/>
      <c r="M28" s="61"/>
    </row>
    <row r="29" spans="2:13" ht="16.5" customHeight="1">
      <c r="B29" s="69" t="s">
        <v>242</v>
      </c>
      <c r="C29" s="61"/>
      <c r="D29" s="61"/>
      <c r="E29" s="61"/>
      <c r="F29" s="61"/>
      <c r="G29" s="61"/>
      <c r="H29" s="61"/>
      <c r="I29" s="61"/>
      <c r="J29" s="61"/>
      <c r="K29" s="61"/>
      <c r="L29" s="61"/>
      <c r="M29" s="61"/>
    </row>
    <row r="30" spans="2:13" ht="16.5" customHeight="1">
      <c r="B30" s="69" t="s">
        <v>236</v>
      </c>
      <c r="C30" s="61"/>
      <c r="D30" s="61"/>
      <c r="E30" s="61"/>
      <c r="F30" s="61"/>
      <c r="G30" s="61"/>
      <c r="H30" s="61"/>
      <c r="I30" s="61"/>
      <c r="J30" s="61"/>
      <c r="K30" s="61"/>
      <c r="L30" s="61"/>
      <c r="M30" s="61"/>
    </row>
    <row r="31" spans="2:13" ht="16.5" customHeight="1">
      <c r="B31" s="69" t="s">
        <v>237</v>
      </c>
      <c r="C31" s="61"/>
      <c r="D31" s="61"/>
      <c r="E31" s="61"/>
      <c r="F31" s="61"/>
      <c r="G31" s="61"/>
      <c r="H31" s="61"/>
      <c r="I31" s="61"/>
      <c r="J31" s="61"/>
      <c r="K31" s="61"/>
      <c r="L31" s="61"/>
      <c r="M31" s="61"/>
    </row>
    <row r="32" spans="2:13" ht="16.5" customHeight="1">
      <c r="B32" s="69" t="s">
        <v>238</v>
      </c>
      <c r="C32" s="61"/>
      <c r="D32" s="61"/>
      <c r="E32" s="61"/>
      <c r="F32" s="61"/>
      <c r="G32" s="61"/>
      <c r="H32" s="61"/>
      <c r="I32" s="61"/>
      <c r="J32" s="61"/>
      <c r="K32" s="61"/>
      <c r="L32" s="61"/>
      <c r="M32" s="61"/>
    </row>
    <row r="33" spans="2:13" ht="16.5" customHeight="1">
      <c r="B33" s="69" t="s">
        <v>239</v>
      </c>
      <c r="C33" s="61"/>
      <c r="D33" s="61"/>
      <c r="E33" s="61"/>
      <c r="F33" s="61"/>
      <c r="G33" s="61"/>
      <c r="H33" s="61"/>
      <c r="I33" s="61"/>
      <c r="J33" s="61"/>
      <c r="K33" s="61"/>
      <c r="L33" s="61"/>
      <c r="M33" s="61"/>
    </row>
    <row r="34" spans="2:13" ht="16.5" customHeight="1">
      <c r="B34" s="69" t="s">
        <v>240</v>
      </c>
      <c r="C34" s="61"/>
      <c r="D34" s="61"/>
      <c r="E34" s="61"/>
      <c r="F34" s="61"/>
      <c r="G34" s="61"/>
      <c r="H34" s="61"/>
      <c r="I34" s="61"/>
      <c r="J34" s="61"/>
      <c r="K34" s="61"/>
      <c r="L34" s="61"/>
      <c r="M34" s="61"/>
    </row>
    <row r="35" spans="2:13" ht="16.5" customHeight="1">
      <c r="B35" s="69" t="s">
        <v>241</v>
      </c>
      <c r="C35" s="61"/>
      <c r="D35" s="61"/>
      <c r="E35" s="61"/>
      <c r="F35" s="61"/>
      <c r="G35" s="61"/>
      <c r="H35" s="61"/>
      <c r="I35" s="61"/>
      <c r="J35" s="61"/>
      <c r="K35" s="61"/>
      <c r="L35" s="61"/>
      <c r="M35" s="61"/>
    </row>
    <row r="36" spans="2:13" ht="16.5" customHeight="1">
      <c r="B36" s="69" t="s">
        <v>234</v>
      </c>
      <c r="C36" s="61"/>
      <c r="D36" s="61"/>
      <c r="E36" s="61"/>
      <c r="F36" s="61"/>
      <c r="G36" s="61"/>
      <c r="H36" s="61"/>
      <c r="I36" s="61"/>
      <c r="J36" s="61"/>
      <c r="K36" s="61"/>
      <c r="L36" s="61"/>
      <c r="M36" s="61"/>
    </row>
    <row r="37" spans="2:13" ht="16.5" customHeight="1">
      <c r="B37" s="69" t="s">
        <v>235</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workbookViewId="0">
      <selection activeCell="I13" sqref="I13"/>
    </sheetView>
  </sheetViews>
  <sheetFormatPr baseColWidth="10" defaultColWidth="11.42578125" defaultRowHeight="12.75"/>
  <cols>
    <col min="1" max="1" width="3.28515625" style="19" customWidth="1"/>
    <col min="2" max="2" width="23.42578125" style="19" customWidth="1"/>
    <col min="3" max="3" width="16.28515625" style="19" customWidth="1"/>
    <col min="4" max="4" width="17" style="19" customWidth="1"/>
    <col min="5" max="5" width="15.28515625" style="19" customWidth="1"/>
    <col min="6" max="6" width="17.42578125" style="19" customWidth="1"/>
    <col min="7" max="7" width="15.7109375" style="19" customWidth="1"/>
    <col min="8" max="8" width="18.85546875" style="19" customWidth="1"/>
    <col min="9" max="9" width="15.42578125" style="19" customWidth="1"/>
    <col min="10" max="10" width="16.85546875" style="19" bestFit="1" customWidth="1"/>
    <col min="11" max="16" width="15.42578125" style="19" customWidth="1"/>
    <col min="17" max="17" width="15.5703125" style="19" bestFit="1" customWidth="1"/>
    <col min="18" max="18" width="11.42578125" style="19" customWidth="1"/>
    <col min="19" max="16384" width="11.42578125" style="19"/>
  </cols>
  <sheetData>
    <row r="2" spans="2:6">
      <c r="B2" s="276" t="s">
        <v>325</v>
      </c>
      <c r="C2" s="276"/>
    </row>
    <row r="4" spans="2:6">
      <c r="B4" s="97" t="s">
        <v>282</v>
      </c>
      <c r="C4" s="97" t="s">
        <v>283</v>
      </c>
      <c r="D4" s="97" t="s">
        <v>280</v>
      </c>
    </row>
    <row r="5" spans="2:6">
      <c r="B5" s="129" t="s">
        <v>281</v>
      </c>
      <c r="C5" s="98">
        <v>2024</v>
      </c>
      <c r="D5" s="100">
        <v>137.94900000000001</v>
      </c>
    </row>
    <row r="6" spans="2:6">
      <c r="B6" s="98" t="s">
        <v>281</v>
      </c>
      <c r="C6" s="98">
        <v>2023</v>
      </c>
      <c r="D6" s="100">
        <f>VLOOKUP(C6,INPC!A24:M78,HLOOKUP(B6,INPC!B3:M23,2,FALSE),FALSE)</f>
        <v>132.37299999999999</v>
      </c>
      <c r="E6" s="99"/>
    </row>
    <row r="7" spans="2:6" ht="15">
      <c r="B7" s="277" t="s">
        <v>284</v>
      </c>
      <c r="C7" s="277"/>
      <c r="D7" s="100">
        <f>TRUNC(D5/D6,4)</f>
        <v>1.0421</v>
      </c>
      <c r="E7" s="101" t="s">
        <v>324</v>
      </c>
    </row>
    <row r="8" spans="2:6">
      <c r="B8" s="277" t="s">
        <v>285</v>
      </c>
      <c r="C8" s="277"/>
      <c r="D8" s="102">
        <f>+D7-1</f>
        <v>4.2100000000000026E-2</v>
      </c>
      <c r="E8" s="99"/>
    </row>
    <row r="9" spans="2:6">
      <c r="B9" s="103"/>
      <c r="C9" s="103"/>
      <c r="D9" s="103"/>
      <c r="E9" s="104"/>
      <c r="F9" s="105"/>
    </row>
    <row r="10" spans="2:6">
      <c r="B10" s="276" t="s">
        <v>326</v>
      </c>
      <c r="C10" s="276"/>
      <c r="D10" s="103"/>
      <c r="E10" s="104"/>
      <c r="F10" s="105"/>
    </row>
    <row r="11" spans="2:6">
      <c r="B11" s="103"/>
      <c r="C11" s="103"/>
      <c r="D11" s="106"/>
      <c r="E11" s="104"/>
    </row>
    <row r="12" spans="2:6" ht="15">
      <c r="B12" s="275" t="s">
        <v>40</v>
      </c>
      <c r="C12" s="275"/>
      <c r="D12" s="107">
        <f>Q38</f>
        <v>153454.5625</v>
      </c>
      <c r="E12" s="101" t="s">
        <v>328</v>
      </c>
    </row>
    <row r="13" spans="2:6" ht="15">
      <c r="B13" s="275" t="s">
        <v>41</v>
      </c>
      <c r="C13" s="275"/>
      <c r="D13" s="107">
        <f>Q30</f>
        <v>267236.86583333329</v>
      </c>
      <c r="E13" s="101" t="s">
        <v>327</v>
      </c>
    </row>
    <row r="14" spans="2:6" ht="15">
      <c r="B14" s="275" t="s">
        <v>286</v>
      </c>
      <c r="C14" s="275"/>
      <c r="D14" s="107">
        <f>D12-D13</f>
        <v>-113782.30333333329</v>
      </c>
      <c r="E14" s="101"/>
    </row>
    <row r="15" spans="2:6" ht="15">
      <c r="B15" s="275" t="s">
        <v>42</v>
      </c>
      <c r="C15" s="275"/>
      <c r="D15" s="107">
        <f>D14*D8</f>
        <v>-4790.2349703333348</v>
      </c>
      <c r="E15" s="101" t="s">
        <v>329</v>
      </c>
    </row>
    <row r="16" spans="2:6">
      <c r="B16" s="275" t="s">
        <v>43</v>
      </c>
      <c r="C16" s="275"/>
      <c r="D16" s="107">
        <f>D15*0.3</f>
        <v>-1437.0704911000005</v>
      </c>
      <c r="E16" s="103"/>
    </row>
    <row r="17" spans="2:17">
      <c r="B17" s="106"/>
      <c r="C17" s="106"/>
      <c r="D17" s="108"/>
      <c r="E17" s="103"/>
    </row>
    <row r="18" spans="2:17">
      <c r="B18" s="276" t="s">
        <v>330</v>
      </c>
      <c r="C18" s="276"/>
      <c r="D18" s="108"/>
      <c r="E18" s="103"/>
    </row>
    <row r="20" spans="2:17">
      <c r="B20" s="19" t="s">
        <v>1</v>
      </c>
      <c r="D20" s="244" t="s">
        <v>45</v>
      </c>
      <c r="E20" s="244" t="s">
        <v>46</v>
      </c>
      <c r="F20" s="244" t="s">
        <v>47</v>
      </c>
      <c r="G20" s="244" t="s">
        <v>48</v>
      </c>
      <c r="H20" s="244" t="s">
        <v>49</v>
      </c>
      <c r="I20" s="244" t="s">
        <v>50</v>
      </c>
      <c r="J20" s="244" t="s">
        <v>287</v>
      </c>
      <c r="K20" s="244" t="s">
        <v>288</v>
      </c>
      <c r="L20" s="244" t="s">
        <v>289</v>
      </c>
      <c r="M20" s="244" t="s">
        <v>290</v>
      </c>
      <c r="N20" s="244" t="s">
        <v>291</v>
      </c>
      <c r="O20" s="244" t="s">
        <v>281</v>
      </c>
    </row>
    <row r="21" spans="2:17">
      <c r="D21" s="108"/>
      <c r="E21" s="108"/>
      <c r="F21" s="108"/>
      <c r="G21" s="108"/>
      <c r="H21" s="108"/>
      <c r="I21" s="108"/>
      <c r="J21" s="108"/>
      <c r="K21" s="108"/>
      <c r="L21" s="108"/>
      <c r="M21" s="108"/>
      <c r="N21" s="108"/>
      <c r="O21" s="108"/>
    </row>
    <row r="22" spans="2:17">
      <c r="B22" s="24" t="s">
        <v>292</v>
      </c>
      <c r="D22" s="108"/>
      <c r="E22" s="108"/>
      <c r="F22" s="108"/>
      <c r="G22" s="108"/>
      <c r="H22" s="108"/>
      <c r="I22" s="108"/>
      <c r="J22" s="108"/>
      <c r="K22" s="108"/>
      <c r="L22" s="108"/>
      <c r="M22" s="108"/>
      <c r="N22" s="108"/>
      <c r="O22" s="108"/>
    </row>
    <row r="23" spans="2:17">
      <c r="B23" s="19" t="s">
        <v>1</v>
      </c>
      <c r="D23" s="251"/>
      <c r="E23" s="251"/>
      <c r="F23" s="251"/>
      <c r="G23" s="251"/>
      <c r="H23" s="251"/>
      <c r="I23" s="251"/>
      <c r="J23" s="251"/>
      <c r="K23" s="251"/>
      <c r="L23" s="251"/>
      <c r="M23" s="251"/>
      <c r="N23" s="108"/>
      <c r="O23" s="108"/>
    </row>
    <row r="24" spans="2:17">
      <c r="B24" s="19" t="s">
        <v>294</v>
      </c>
      <c r="D24" s="251">
        <v>244935.33</v>
      </c>
      <c r="E24" s="251">
        <v>260846.24</v>
      </c>
      <c r="F24" s="251">
        <v>130132.74</v>
      </c>
      <c r="G24" s="251">
        <v>193644.56</v>
      </c>
      <c r="H24" s="251">
        <v>248941.44</v>
      </c>
      <c r="I24" s="251">
        <v>353029.28</v>
      </c>
      <c r="J24" s="251">
        <v>418816.48</v>
      </c>
      <c r="K24" s="251">
        <v>142173.49</v>
      </c>
      <c r="L24" s="251">
        <v>213305.47</v>
      </c>
      <c r="M24" s="251">
        <v>177107.48</v>
      </c>
      <c r="N24" s="108">
        <v>214570.03</v>
      </c>
      <c r="O24" s="108">
        <v>112199.96</v>
      </c>
    </row>
    <row r="25" spans="2:17">
      <c r="B25" s="19" t="s">
        <v>7</v>
      </c>
      <c r="D25" s="251">
        <v>0</v>
      </c>
      <c r="E25" s="251">
        <v>0</v>
      </c>
      <c r="F25" s="251">
        <v>0</v>
      </c>
      <c r="G25" s="251">
        <v>0</v>
      </c>
      <c r="H25" s="251">
        <v>0</v>
      </c>
      <c r="I25" s="251">
        <v>0</v>
      </c>
      <c r="J25" s="251">
        <v>0</v>
      </c>
      <c r="K25" s="251">
        <v>0</v>
      </c>
      <c r="L25" s="251">
        <v>0</v>
      </c>
      <c r="M25" s="251">
        <v>0</v>
      </c>
      <c r="N25" s="251">
        <v>0</v>
      </c>
      <c r="O25" s="251">
        <v>0</v>
      </c>
    </row>
    <row r="26" spans="2:17">
      <c r="B26" s="19" t="s">
        <v>295</v>
      </c>
      <c r="D26" s="251">
        <v>0</v>
      </c>
      <c r="E26" s="251">
        <v>0</v>
      </c>
      <c r="F26" s="251">
        <v>0</v>
      </c>
      <c r="G26" s="251">
        <v>0</v>
      </c>
      <c r="H26" s="251">
        <v>0</v>
      </c>
      <c r="I26" s="251">
        <v>0</v>
      </c>
      <c r="J26" s="251">
        <v>0</v>
      </c>
      <c r="K26" s="251">
        <v>0</v>
      </c>
      <c r="L26" s="251">
        <v>0</v>
      </c>
      <c r="M26" s="251">
        <v>0</v>
      </c>
      <c r="N26" s="251">
        <v>0</v>
      </c>
      <c r="O26" s="251">
        <v>0</v>
      </c>
    </row>
    <row r="27" spans="2:17">
      <c r="B27" s="19" t="s">
        <v>296</v>
      </c>
      <c r="D27" s="251">
        <v>0</v>
      </c>
      <c r="E27" s="251">
        <v>0</v>
      </c>
      <c r="F27" s="251">
        <v>0</v>
      </c>
      <c r="G27" s="251">
        <v>0</v>
      </c>
      <c r="H27" s="251">
        <v>0</v>
      </c>
      <c r="I27" s="251">
        <v>0</v>
      </c>
      <c r="J27" s="251">
        <v>0</v>
      </c>
      <c r="K27" s="251">
        <v>0</v>
      </c>
      <c r="L27" s="251">
        <v>0</v>
      </c>
      <c r="M27" s="251">
        <v>0</v>
      </c>
      <c r="N27" s="251">
        <v>0</v>
      </c>
      <c r="O27" s="251">
        <v>0</v>
      </c>
    </row>
    <row r="28" spans="2:17">
      <c r="B28" s="19" t="s">
        <v>8</v>
      </c>
      <c r="D28" s="251">
        <v>24659.54</v>
      </c>
      <c r="E28" s="251">
        <v>26483.54</v>
      </c>
      <c r="F28" s="251">
        <v>30995.97</v>
      </c>
      <c r="G28" s="251">
        <v>32883.97</v>
      </c>
      <c r="H28" s="251">
        <v>34771.97</v>
      </c>
      <c r="I28" s="251">
        <v>36211.97</v>
      </c>
      <c r="J28" s="251">
        <v>43720.800000000003</v>
      </c>
      <c r="K28" s="251">
        <v>45800.800000000003</v>
      </c>
      <c r="L28" s="251">
        <v>50142.6</v>
      </c>
      <c r="M28" s="251">
        <v>52437.68</v>
      </c>
      <c r="N28" s="108">
        <v>56107.35</v>
      </c>
      <c r="O28" s="108">
        <v>62923.7</v>
      </c>
      <c r="P28" s="233"/>
    </row>
    <row r="29" spans="2:17">
      <c r="B29" s="19" t="s">
        <v>297</v>
      </c>
      <c r="D29" s="251">
        <v>0</v>
      </c>
      <c r="E29" s="251">
        <v>0</v>
      </c>
      <c r="F29" s="251">
        <v>0</v>
      </c>
      <c r="G29" s="251">
        <v>0</v>
      </c>
      <c r="H29" s="251">
        <v>0</v>
      </c>
      <c r="I29" s="251">
        <v>0</v>
      </c>
      <c r="J29" s="251">
        <v>0</v>
      </c>
      <c r="K29" s="251">
        <v>0</v>
      </c>
      <c r="L29" s="251">
        <v>0</v>
      </c>
      <c r="M29" s="251">
        <v>0</v>
      </c>
      <c r="N29" s="251">
        <v>0</v>
      </c>
      <c r="O29" s="251">
        <v>0</v>
      </c>
    </row>
    <row r="30" spans="2:17" s="24" customFormat="1" ht="13.5" thickBot="1">
      <c r="B30" s="19" t="s">
        <v>0</v>
      </c>
      <c r="D30" s="111">
        <f>SUM(D24:D29)</f>
        <v>269594.87</v>
      </c>
      <c r="E30" s="111">
        <f t="shared" ref="E30" si="0">SUM(E24:E29)</f>
        <v>287329.77999999997</v>
      </c>
      <c r="F30" s="111">
        <f>SUM(F24:F29)</f>
        <v>161128.71000000002</v>
      </c>
      <c r="G30" s="111">
        <f>SUM(G24:G29)</f>
        <v>226528.53</v>
      </c>
      <c r="H30" s="111">
        <f>SUM(H24:H29)</f>
        <v>283713.41000000003</v>
      </c>
      <c r="I30" s="111">
        <f>SUM(I24:I29)</f>
        <v>389241.25</v>
      </c>
      <c r="J30" s="111">
        <f t="shared" ref="J30:O30" si="1">SUM(J24:J29)</f>
        <v>462537.27999999997</v>
      </c>
      <c r="K30" s="111">
        <f t="shared" si="1"/>
        <v>187974.28999999998</v>
      </c>
      <c r="L30" s="111">
        <f t="shared" si="1"/>
        <v>263448.07</v>
      </c>
      <c r="M30" s="111">
        <f t="shared" si="1"/>
        <v>229545.16</v>
      </c>
      <c r="N30" s="111">
        <f t="shared" si="1"/>
        <v>270677.38</v>
      </c>
      <c r="O30" s="111">
        <f t="shared" si="1"/>
        <v>175123.66</v>
      </c>
      <c r="Q30" s="113">
        <f>AVERAGE(D30:O30)</f>
        <v>267236.86583333329</v>
      </c>
    </row>
    <row r="31" spans="2:17" ht="13.5" thickTop="1">
      <c r="D31" s="110"/>
      <c r="E31" s="110"/>
      <c r="F31" s="110"/>
      <c r="G31" s="110"/>
      <c r="H31" s="110"/>
      <c r="I31" s="110"/>
      <c r="J31" s="110"/>
      <c r="K31" s="110"/>
      <c r="L31" s="110"/>
      <c r="M31" s="110"/>
      <c r="N31" s="110"/>
      <c r="O31" s="110"/>
    </row>
    <row r="32" spans="2:17">
      <c r="B32" s="24" t="s">
        <v>293</v>
      </c>
      <c r="D32" s="110"/>
      <c r="E32" s="110"/>
      <c r="F32" s="110"/>
      <c r="G32" s="110"/>
      <c r="H32" s="110"/>
      <c r="I32" s="110"/>
      <c r="J32" s="110"/>
      <c r="K32" s="110"/>
      <c r="L32" s="110"/>
      <c r="M32" s="110"/>
      <c r="N32" s="110"/>
      <c r="O32" s="110"/>
    </row>
    <row r="33" spans="2:17">
      <c r="B33" s="19" t="s">
        <v>1</v>
      </c>
      <c r="C33" s="233"/>
      <c r="D33" s="252"/>
      <c r="E33" s="252"/>
      <c r="F33" s="252"/>
      <c r="G33" s="252"/>
      <c r="H33" s="252"/>
      <c r="I33" s="252"/>
      <c r="J33" s="252"/>
      <c r="K33" s="252"/>
      <c r="L33" s="252"/>
      <c r="M33" s="252"/>
      <c r="N33" s="110"/>
      <c r="O33" s="110"/>
    </row>
    <row r="34" spans="2:17">
      <c r="B34" s="19" t="s">
        <v>202</v>
      </c>
      <c r="C34" s="233"/>
      <c r="D34" s="252">
        <v>0</v>
      </c>
      <c r="E34" s="252">
        <v>0</v>
      </c>
      <c r="F34" s="252">
        <v>0</v>
      </c>
      <c r="G34" s="252">
        <v>0</v>
      </c>
      <c r="H34" s="252">
        <v>0</v>
      </c>
      <c r="I34" s="252">
        <v>29498</v>
      </c>
      <c r="J34" s="252">
        <v>0</v>
      </c>
      <c r="K34" s="252">
        <v>0</v>
      </c>
      <c r="L34" s="252">
        <v>0</v>
      </c>
      <c r="M34" s="252">
        <v>1766.78</v>
      </c>
      <c r="N34" s="110">
        <v>0</v>
      </c>
      <c r="O34" s="110">
        <v>0</v>
      </c>
    </row>
    <row r="35" spans="2:17">
      <c r="B35" s="19" t="s">
        <v>298</v>
      </c>
      <c r="C35" s="233"/>
      <c r="D35" s="252">
        <v>0</v>
      </c>
      <c r="E35" s="252">
        <v>0</v>
      </c>
      <c r="F35" s="252">
        <v>0</v>
      </c>
      <c r="G35" s="252">
        <v>0</v>
      </c>
      <c r="H35" s="252">
        <v>0</v>
      </c>
      <c r="I35" s="252">
        <v>0</v>
      </c>
      <c r="J35" s="252">
        <v>0</v>
      </c>
      <c r="K35" s="252">
        <v>0</v>
      </c>
      <c r="L35" s="252">
        <v>0</v>
      </c>
      <c r="M35" s="252">
        <v>0</v>
      </c>
      <c r="N35" s="110">
        <v>0</v>
      </c>
      <c r="O35" s="110">
        <v>0</v>
      </c>
    </row>
    <row r="36" spans="2:17">
      <c r="B36" s="19" t="s">
        <v>299</v>
      </c>
      <c r="C36" s="233"/>
      <c r="D36" s="252">
        <v>100577.3</v>
      </c>
      <c r="E36" s="252">
        <v>138038.70000000001</v>
      </c>
      <c r="F36" s="252">
        <v>142930.79999999999</v>
      </c>
      <c r="G36" s="252">
        <v>139073.79</v>
      </c>
      <c r="H36" s="252">
        <v>160877.67000000001</v>
      </c>
      <c r="I36" s="252">
        <v>138317.44</v>
      </c>
      <c r="J36" s="252">
        <v>143060.10999999999</v>
      </c>
      <c r="K36" s="252">
        <v>156650.66</v>
      </c>
      <c r="L36" s="252">
        <v>266014.58</v>
      </c>
      <c r="M36" s="252">
        <v>140106.23999999999</v>
      </c>
      <c r="N36" s="110">
        <v>145493.49</v>
      </c>
      <c r="O36" s="110">
        <v>139049.19</v>
      </c>
      <c r="P36" s="233"/>
    </row>
    <row r="37" spans="2:17">
      <c r="B37" s="19" t="s">
        <v>300</v>
      </c>
      <c r="C37" s="233"/>
      <c r="D37" s="252">
        <v>0</v>
      </c>
      <c r="E37" s="252">
        <v>0</v>
      </c>
      <c r="F37" s="252">
        <v>0</v>
      </c>
      <c r="G37" s="252">
        <v>0</v>
      </c>
      <c r="H37" s="252">
        <v>0</v>
      </c>
      <c r="I37" s="252">
        <v>0</v>
      </c>
      <c r="J37" s="252">
        <v>0</v>
      </c>
      <c r="K37" s="252">
        <v>0</v>
      </c>
      <c r="L37" s="252">
        <v>0</v>
      </c>
      <c r="M37" s="252">
        <v>0</v>
      </c>
      <c r="N37" s="252">
        <v>0</v>
      </c>
      <c r="O37" s="252">
        <v>0</v>
      </c>
    </row>
    <row r="38" spans="2:17" s="24" customFormat="1" ht="13.5" thickBot="1">
      <c r="B38" s="19" t="s">
        <v>0</v>
      </c>
      <c r="D38" s="112">
        <f>SUM(D34:D37)</f>
        <v>100577.3</v>
      </c>
      <c r="E38" s="112">
        <f>SUM(E34:E37)</f>
        <v>138038.70000000001</v>
      </c>
      <c r="F38" s="112">
        <f t="shared" ref="F38:O38" si="2">SUM(F34:F37)</f>
        <v>142930.79999999999</v>
      </c>
      <c r="G38" s="112">
        <f t="shared" si="2"/>
        <v>139073.79</v>
      </c>
      <c r="H38" s="112">
        <f t="shared" si="2"/>
        <v>160877.67000000001</v>
      </c>
      <c r="I38" s="112">
        <f t="shared" si="2"/>
        <v>167815.44</v>
      </c>
      <c r="J38" s="112">
        <f t="shared" si="2"/>
        <v>143060.10999999999</v>
      </c>
      <c r="K38" s="112">
        <f t="shared" si="2"/>
        <v>156650.66</v>
      </c>
      <c r="L38" s="112">
        <f t="shared" si="2"/>
        <v>266014.58</v>
      </c>
      <c r="M38" s="112">
        <f t="shared" si="2"/>
        <v>141873.01999999999</v>
      </c>
      <c r="N38" s="112">
        <f t="shared" si="2"/>
        <v>145493.49</v>
      </c>
      <c r="O38" s="112">
        <f t="shared" si="2"/>
        <v>139049.19</v>
      </c>
      <c r="Q38" s="113">
        <f>AVERAGE(D38:O38)</f>
        <v>153454.5625</v>
      </c>
    </row>
    <row r="39" spans="2:17" ht="13.5" thickTop="1">
      <c r="B39" s="109"/>
      <c r="C39" s="110"/>
      <c r="D39" s="110"/>
      <c r="E39" s="110"/>
      <c r="F39" s="110"/>
      <c r="G39" s="110"/>
      <c r="H39" s="110"/>
      <c r="I39" s="110"/>
    </row>
    <row r="40" spans="2:17">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607E3-D6C3-4B43-A084-717CC2B449F3}">
  <dimension ref="C1:E11"/>
  <sheetViews>
    <sheetView workbookViewId="0">
      <selection activeCell="D3" sqref="D3"/>
    </sheetView>
  </sheetViews>
  <sheetFormatPr baseColWidth="10" defaultRowHeight="15"/>
  <cols>
    <col min="3" max="3" width="35" style="253" bestFit="1" customWidth="1"/>
    <col min="4" max="4" width="12.5703125" bestFit="1" customWidth="1"/>
    <col min="5" max="5" width="13.28515625" bestFit="1" customWidth="1"/>
  </cols>
  <sheetData>
    <row r="1" spans="3:5" ht="15.75" thickBot="1">
      <c r="C1" s="258" t="s">
        <v>653</v>
      </c>
      <c r="D1" s="258" t="s">
        <v>654</v>
      </c>
      <c r="E1" s="258" t="s">
        <v>652</v>
      </c>
    </row>
    <row r="2" spans="3:5" ht="15.75" thickBot="1">
      <c r="C2" s="259" t="s">
        <v>649</v>
      </c>
      <c r="D2" s="260">
        <v>48670.59</v>
      </c>
      <c r="E2" s="261">
        <v>174063.42</v>
      </c>
    </row>
    <row r="3" spans="3:5" ht="15.75" thickBot="1">
      <c r="C3" s="259" t="s">
        <v>650</v>
      </c>
      <c r="D3" s="260">
        <v>519220.45</v>
      </c>
      <c r="E3" s="262">
        <v>38036.260000000009</v>
      </c>
    </row>
    <row r="4" spans="3:5" ht="15.75" thickBot="1">
      <c r="C4" s="259" t="s">
        <v>651</v>
      </c>
      <c r="D4" s="260">
        <v>51866.63</v>
      </c>
      <c r="E4" s="262">
        <v>4134.8399999999965</v>
      </c>
    </row>
    <row r="5" spans="3:5" ht="15.75" thickBot="1">
      <c r="C5" s="259" t="s">
        <v>648</v>
      </c>
      <c r="D5" s="260">
        <v>42283.93</v>
      </c>
      <c r="E5" s="260">
        <v>37497.07</v>
      </c>
    </row>
    <row r="6" spans="3:5" ht="15.75" thickBot="1">
      <c r="C6" s="263" t="s">
        <v>655</v>
      </c>
      <c r="D6" s="264">
        <f>SUM(D2:D5)</f>
        <v>662041.60000000009</v>
      </c>
      <c r="E6" s="265">
        <f>SUM(E2:E5)</f>
        <v>253731.59000000003</v>
      </c>
    </row>
    <row r="11" spans="3:5">
      <c r="C11" s="253" t="s">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10" workbookViewId="0">
      <selection activeCell="J20" sqref="H19:J20"/>
    </sheetView>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09"/>
      <c r="C2" s="110"/>
      <c r="D2" s="110"/>
      <c r="E2" s="110"/>
      <c r="F2" s="110"/>
      <c r="G2" s="110"/>
      <c r="H2" s="110"/>
      <c r="I2" s="110"/>
    </row>
    <row r="3" spans="2:16">
      <c r="B3" s="280" t="s">
        <v>332</v>
      </c>
      <c r="C3" s="280"/>
      <c r="D3" s="280"/>
      <c r="E3" s="24"/>
      <c r="F3" s="110"/>
      <c r="G3" s="110"/>
      <c r="H3" s="110"/>
      <c r="I3" s="110"/>
    </row>
    <row r="4" spans="2:16">
      <c r="B4" s="109"/>
      <c r="C4" s="110"/>
      <c r="D4" s="110"/>
      <c r="E4" s="110"/>
      <c r="F4" s="110"/>
      <c r="G4" s="110"/>
      <c r="H4" s="110"/>
      <c r="I4" s="278"/>
      <c r="J4" s="278"/>
    </row>
    <row r="5" spans="2:16">
      <c r="B5" s="97" t="s">
        <v>282</v>
      </c>
      <c r="C5" s="97" t="s">
        <v>283</v>
      </c>
      <c r="D5" s="97" t="s">
        <v>280</v>
      </c>
      <c r="E5" s="110"/>
      <c r="F5" s="137"/>
      <c r="G5" s="278"/>
      <c r="H5" s="278"/>
      <c r="I5" s="139"/>
      <c r="J5" s="139"/>
      <c r="K5" s="137"/>
      <c r="L5" s="137"/>
      <c r="N5" s="137"/>
      <c r="O5" s="137"/>
      <c r="P5" s="137"/>
    </row>
    <row r="6" spans="2:16">
      <c r="B6" s="114" t="s">
        <v>281</v>
      </c>
      <c r="C6" s="114">
        <v>2022</v>
      </c>
      <c r="D6" s="224">
        <f>VLOOKUP(C6,INPC!$A$24:$M$80,HLOOKUP(B6,INPC!$B$3:$M$24,2,FALSE),FALSE)</f>
        <v>126.47799999999999</v>
      </c>
      <c r="E6" s="110"/>
      <c r="F6" s="139"/>
      <c r="G6" s="281"/>
      <c r="H6" s="281"/>
      <c r="I6" s="138"/>
      <c r="J6" s="138"/>
      <c r="K6" s="138"/>
      <c r="L6" s="138"/>
      <c r="M6" s="138"/>
      <c r="N6" s="138"/>
      <c r="O6" s="138"/>
      <c r="P6" s="138"/>
    </row>
    <row r="7" spans="2:16">
      <c r="B7" s="114" t="s">
        <v>287</v>
      </c>
      <c r="C7" s="114">
        <v>2022</v>
      </c>
      <c r="D7" s="224">
        <f>VLOOKUP(C7,INPC!$A$24:$M$80,HLOOKUP(B7,INPC!$B$3:$M$24,2,FALSE),FALSE)</f>
        <v>122.94799999999999</v>
      </c>
      <c r="E7" s="110"/>
      <c r="F7" s="139"/>
      <c r="G7" s="281"/>
      <c r="H7" s="281"/>
      <c r="I7" s="138"/>
      <c r="J7" s="138"/>
      <c r="K7" s="138"/>
      <c r="L7" s="138"/>
      <c r="M7" s="138"/>
      <c r="N7" s="138"/>
      <c r="O7" s="138"/>
      <c r="P7" s="138"/>
    </row>
    <row r="8" spans="2:16">
      <c r="B8" s="114" t="s">
        <v>50</v>
      </c>
      <c r="C8" s="114">
        <v>2023</v>
      </c>
      <c r="D8" s="224">
        <f>VLOOKUP(C8,INPC!$A$24:$M$80,HLOOKUP(B8,INPC!$B$3:$M$24,2,FALSE),FALSE)</f>
        <v>128.214</v>
      </c>
      <c r="E8" s="110"/>
      <c r="F8" s="139"/>
      <c r="G8" s="281"/>
      <c r="H8" s="281"/>
      <c r="I8" s="138"/>
      <c r="J8" s="138"/>
      <c r="K8" s="138"/>
      <c r="L8" s="138"/>
      <c r="M8" s="138"/>
      <c r="N8" s="138"/>
      <c r="O8" s="138"/>
      <c r="P8" s="138"/>
    </row>
    <row r="9" spans="2:16">
      <c r="B9" s="114" t="s">
        <v>281</v>
      </c>
      <c r="C9" s="114">
        <v>2023</v>
      </c>
      <c r="D9" s="224">
        <f>VLOOKUP(C9,INPC!$A$24:$M$80,HLOOKUP(B9,INPC!$B$3:$M$24,2,FALSE),FALSE)</f>
        <v>132.37299999999999</v>
      </c>
      <c r="E9" s="110"/>
      <c r="F9" s="110"/>
      <c r="G9" s="110"/>
      <c r="H9" s="110"/>
      <c r="I9" s="110"/>
    </row>
    <row r="10" spans="2:16">
      <c r="B10" s="114" t="s">
        <v>50</v>
      </c>
      <c r="C10" s="114">
        <v>2024</v>
      </c>
      <c r="D10" s="224">
        <f>VLOOKUP(C10,INPC!$A$24:$M$80,HLOOKUP(B10,INPC!$B$3:$M$24,2,FALSE),FALSE)</f>
        <v>134.59399999999999</v>
      </c>
      <c r="E10" s="110"/>
      <c r="G10" s="110"/>
      <c r="H10" s="110"/>
      <c r="I10" s="110"/>
    </row>
    <row r="11" spans="2:16">
      <c r="B11" s="114" t="s">
        <v>281</v>
      </c>
      <c r="C11" s="114">
        <v>2023</v>
      </c>
      <c r="D11" s="224">
        <f>VLOOKUP(C11,INPC!$A$24:$M$78,HLOOKUP(B11,INPC!$B$3:$M$23,2,FALSE),FALSE)</f>
        <v>132.37299999999999</v>
      </c>
      <c r="E11" s="110"/>
      <c r="G11" s="110"/>
      <c r="H11" s="110"/>
      <c r="I11" s="110"/>
    </row>
    <row r="12" spans="2:16">
      <c r="B12" s="114" t="s">
        <v>287</v>
      </c>
      <c r="C12" s="114">
        <v>2024</v>
      </c>
      <c r="D12" s="224" t="e">
        <f>VLOOKUP(C12,INPC!$A$24:$M$78,HLOOKUP(B12,INPC!$B$3:$M$23,2,FALSE),FALSE)</f>
        <v>#N/A</v>
      </c>
      <c r="E12" s="110"/>
      <c r="G12" s="110"/>
      <c r="H12" s="110"/>
      <c r="I12" s="110"/>
    </row>
    <row r="13" spans="2:16">
      <c r="B13" s="114" t="s">
        <v>281</v>
      </c>
      <c r="C13" s="114">
        <v>2024</v>
      </c>
      <c r="D13" s="224">
        <v>137.94900000000001</v>
      </c>
      <c r="E13" s="110"/>
      <c r="G13" s="110"/>
      <c r="H13" s="110"/>
      <c r="I13" s="110"/>
    </row>
    <row r="14" spans="2:16">
      <c r="B14" s="114"/>
      <c r="C14" s="114"/>
      <c r="D14" s="224" t="e">
        <f>VLOOKUP(C14,INPC!$A$24:$M$78,HLOOKUP(B14,INPC!$B$3:$M$23,2,FALSE),FALSE)</f>
        <v>#N/A</v>
      </c>
      <c r="E14" s="110"/>
      <c r="F14" s="110"/>
      <c r="G14" s="110"/>
      <c r="H14" s="110"/>
      <c r="I14" s="110"/>
    </row>
    <row r="15" spans="2:16">
      <c r="B15" s="109"/>
      <c r="C15" s="110"/>
      <c r="D15" s="110"/>
      <c r="E15" s="110"/>
      <c r="F15" s="110"/>
      <c r="G15" s="110"/>
      <c r="H15" s="110"/>
      <c r="I15" s="110"/>
    </row>
    <row r="17" spans="2:10">
      <c r="B17" s="282" t="s">
        <v>283</v>
      </c>
      <c r="C17" s="282" t="s">
        <v>331</v>
      </c>
      <c r="D17" s="282"/>
      <c r="E17" s="282" t="s">
        <v>402</v>
      </c>
      <c r="F17" s="282"/>
      <c r="G17" s="282" t="s">
        <v>406</v>
      </c>
      <c r="H17" s="282"/>
      <c r="I17" s="282" t="s">
        <v>407</v>
      </c>
      <c r="J17" s="282"/>
    </row>
    <row r="18" spans="2:10">
      <c r="B18" s="282"/>
      <c r="C18" s="282"/>
      <c r="D18" s="282"/>
      <c r="E18" s="140" t="s">
        <v>408</v>
      </c>
      <c r="F18" s="140" t="s">
        <v>409</v>
      </c>
      <c r="G18" s="140" t="s">
        <v>408</v>
      </c>
      <c r="H18" s="140" t="s">
        <v>409</v>
      </c>
      <c r="I18" s="140" t="s">
        <v>408</v>
      </c>
      <c r="J18" s="140" t="s">
        <v>409</v>
      </c>
    </row>
    <row r="19" spans="2:10">
      <c r="B19" s="140">
        <v>2023</v>
      </c>
      <c r="C19" s="279">
        <v>75105.05</v>
      </c>
      <c r="D19" s="279"/>
      <c r="E19" s="141">
        <f>+D13/D10</f>
        <v>1.0249268169457779</v>
      </c>
      <c r="F19" s="236">
        <f>+C19*E19</f>
        <v>76977.179833053495</v>
      </c>
      <c r="G19" s="141"/>
      <c r="H19" s="141">
        <f>+F19*G19</f>
        <v>0</v>
      </c>
      <c r="I19" s="141">
        <v>1</v>
      </c>
      <c r="J19" s="141">
        <f>+H19*I19</f>
        <v>0</v>
      </c>
    </row>
    <row r="20" spans="2:10">
      <c r="B20" s="140"/>
      <c r="C20" s="279"/>
      <c r="D20" s="279"/>
      <c r="E20" s="141"/>
      <c r="F20" s="141"/>
      <c r="G20" s="141"/>
      <c r="H20" s="141"/>
      <c r="I20" s="141"/>
      <c r="J20" s="141"/>
    </row>
    <row r="21" spans="2:10">
      <c r="B21" s="140"/>
      <c r="C21" s="279"/>
      <c r="D21" s="279"/>
      <c r="E21" s="141"/>
      <c r="F21" s="141"/>
      <c r="G21" s="141"/>
      <c r="H21" s="141"/>
      <c r="I21" s="141"/>
      <c r="J21" s="141"/>
    </row>
    <row r="22" spans="2:10">
      <c r="B22" s="140"/>
      <c r="C22" s="279"/>
      <c r="D22" s="279"/>
      <c r="E22" s="141"/>
      <c r="F22" s="141"/>
      <c r="G22" s="141"/>
      <c r="H22" s="141"/>
      <c r="I22" s="141"/>
      <c r="J22" s="141"/>
    </row>
    <row r="23" spans="2:10">
      <c r="B23" s="140"/>
      <c r="C23" s="279"/>
      <c r="D23" s="279"/>
      <c r="E23" s="141"/>
      <c r="F23" s="141"/>
      <c r="G23" s="141"/>
      <c r="H23" s="141"/>
      <c r="I23" s="141"/>
      <c r="J23" s="141"/>
    </row>
    <row r="24" spans="2:10">
      <c r="B24" s="140"/>
      <c r="C24" s="279"/>
      <c r="D24" s="279"/>
      <c r="E24" s="141"/>
      <c r="F24" s="141"/>
      <c r="G24" s="141"/>
      <c r="H24" s="141"/>
      <c r="I24" s="141"/>
      <c r="J24" s="141"/>
    </row>
    <row r="25" spans="2:10">
      <c r="B25" s="140"/>
      <c r="C25" s="279"/>
      <c r="D25" s="279"/>
      <c r="E25" s="141"/>
      <c r="F25" s="141"/>
      <c r="G25" s="141"/>
      <c r="H25" s="141"/>
      <c r="I25" s="141"/>
      <c r="J25" s="141"/>
    </row>
    <row r="27" spans="2:10">
      <c r="B27" s="136"/>
      <c r="C27" s="24"/>
    </row>
    <row r="28" spans="2:10">
      <c r="B28" s="135" t="s">
        <v>403</v>
      </c>
      <c r="C28" s="24"/>
    </row>
    <row r="29" spans="2:10" ht="86.1" customHeight="1">
      <c r="B29" s="283" t="s">
        <v>404</v>
      </c>
      <c r="C29" s="283"/>
      <c r="D29" s="283"/>
      <c r="E29" s="283"/>
      <c r="F29" s="283"/>
      <c r="G29" s="283"/>
      <c r="H29" s="283"/>
      <c r="I29" s="283"/>
      <c r="J29" s="283"/>
    </row>
    <row r="30" spans="2:10" ht="48" customHeight="1">
      <c r="B30" s="283" t="s">
        <v>405</v>
      </c>
      <c r="C30" s="283"/>
      <c r="D30" s="283"/>
      <c r="E30" s="283"/>
      <c r="F30" s="283"/>
      <c r="G30" s="283"/>
      <c r="H30" s="283"/>
      <c r="I30" s="283"/>
      <c r="J30" s="283"/>
    </row>
  </sheetData>
  <mergeCells count="20">
    <mergeCell ref="B29:J29"/>
    <mergeCell ref="B30:J30"/>
    <mergeCell ref="B17:B18"/>
    <mergeCell ref="C17:D18"/>
    <mergeCell ref="G17:H17"/>
    <mergeCell ref="I17:J17"/>
    <mergeCell ref="C21:D21"/>
    <mergeCell ref="C22:D22"/>
    <mergeCell ref="I4:J4"/>
    <mergeCell ref="C19:D19"/>
    <mergeCell ref="C20:D20"/>
    <mergeCell ref="C25:D25"/>
    <mergeCell ref="B3:D3"/>
    <mergeCell ref="G5:H5"/>
    <mergeCell ref="G6:H6"/>
    <mergeCell ref="G7:H7"/>
    <mergeCell ref="G8:H8"/>
    <mergeCell ref="E17:F17"/>
    <mergeCell ref="C23:D23"/>
    <mergeCell ref="C24:D24"/>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94"/>
  <sheetViews>
    <sheetView topLeftCell="A15" workbookViewId="0"/>
  </sheetViews>
  <sheetFormatPr baseColWidth="10" defaultColWidth="11.42578125" defaultRowHeight="11.25"/>
  <cols>
    <col min="1" max="1" width="5.140625" style="185" customWidth="1"/>
    <col min="2" max="2" width="11.42578125" style="183"/>
    <col min="3" max="3" width="21.85546875" style="183" customWidth="1"/>
    <col min="4" max="4" width="13.28515625" style="183" customWidth="1"/>
    <col min="5" max="5" width="13.140625" style="184" customWidth="1"/>
    <col min="6" max="6" width="14.7109375" style="184" customWidth="1"/>
    <col min="7" max="7" width="13.85546875" style="184" customWidth="1"/>
    <col min="8" max="8" width="15.140625" style="183" customWidth="1"/>
    <col min="9" max="9" width="14.7109375" style="183" customWidth="1"/>
    <col min="10" max="10" width="14.28515625" style="183" customWidth="1"/>
    <col min="11" max="13" width="11.42578125" style="183"/>
    <col min="14" max="16384" width="11.42578125" style="185"/>
  </cols>
  <sheetData>
    <row r="2" spans="2:10" s="183" customFormat="1">
      <c r="B2" s="284" t="s">
        <v>410</v>
      </c>
      <c r="C2" s="284"/>
      <c r="D2" s="284"/>
      <c r="E2" s="284"/>
      <c r="F2" s="284"/>
      <c r="G2" s="284"/>
      <c r="H2" s="284"/>
      <c r="I2" s="284"/>
      <c r="J2" s="284"/>
    </row>
    <row r="3" spans="2:10" s="183" customFormat="1">
      <c r="B3" s="284" t="s">
        <v>411</v>
      </c>
      <c r="C3" s="284"/>
      <c r="D3" s="284"/>
      <c r="E3" s="284"/>
      <c r="F3" s="284"/>
      <c r="G3" s="284"/>
      <c r="H3" s="284"/>
      <c r="I3" s="284"/>
      <c r="J3" s="284"/>
    </row>
    <row r="6" spans="2:10" s="183" customFormat="1" ht="22.5">
      <c r="B6" s="201" t="s">
        <v>412</v>
      </c>
      <c r="C6" s="201" t="s">
        <v>413</v>
      </c>
      <c r="D6" s="202" t="s">
        <v>414</v>
      </c>
      <c r="E6" s="201" t="s">
        <v>415</v>
      </c>
      <c r="F6" s="201" t="s">
        <v>416</v>
      </c>
      <c r="G6" s="201" t="s">
        <v>417</v>
      </c>
      <c r="H6" s="201" t="s">
        <v>418</v>
      </c>
      <c r="I6" s="201" t="s">
        <v>419</v>
      </c>
      <c r="J6" s="201" t="s">
        <v>420</v>
      </c>
    </row>
    <row r="7" spans="2:10" s="183" customFormat="1">
      <c r="B7" s="203"/>
      <c r="C7" s="203"/>
      <c r="D7" s="204"/>
      <c r="E7" s="203"/>
      <c r="F7" s="203"/>
      <c r="G7" s="203"/>
      <c r="H7" s="203"/>
      <c r="I7" s="203"/>
      <c r="J7" s="203"/>
    </row>
    <row r="8" spans="2:10" s="183" customFormat="1">
      <c r="B8" s="205">
        <v>45200</v>
      </c>
      <c r="C8" s="206" t="s">
        <v>547</v>
      </c>
      <c r="D8" s="207">
        <v>0</v>
      </c>
      <c r="E8" s="191">
        <f t="shared" ref="E8:E10" si="0">VLOOKUP(YEAR(B8),INPC,MONTH(B8)+1)</f>
        <v>130.60900000000001</v>
      </c>
      <c r="F8" s="208">
        <f>+E8</f>
        <v>130.60900000000001</v>
      </c>
      <c r="G8" s="209">
        <f t="shared" ref="G8:G10" si="1">TRUNC(E8/F8,4)</f>
        <v>1</v>
      </c>
      <c r="H8" s="210">
        <f>D8*G8</f>
        <v>0</v>
      </c>
      <c r="I8" s="234">
        <v>10000</v>
      </c>
      <c r="J8" s="211">
        <f t="shared" ref="J8:J10" si="2">H8+I8</f>
        <v>10000</v>
      </c>
    </row>
    <row r="9" spans="2:10" s="183" customFormat="1">
      <c r="B9" s="205">
        <v>45261</v>
      </c>
      <c r="C9" s="206"/>
      <c r="D9" s="207">
        <f t="shared" ref="D9" si="3">J8</f>
        <v>10000</v>
      </c>
      <c r="E9" s="191">
        <f t="shared" si="0"/>
        <v>132.37299999999999</v>
      </c>
      <c r="F9" s="208">
        <f t="shared" ref="F9:F10" si="4">E8</f>
        <v>130.60900000000001</v>
      </c>
      <c r="G9" s="209">
        <f t="shared" si="1"/>
        <v>1.0135000000000001</v>
      </c>
      <c r="H9" s="210">
        <f t="shared" ref="H9:H10" si="5">D9*G9</f>
        <v>10135</v>
      </c>
      <c r="I9" s="234"/>
      <c r="J9" s="211">
        <f t="shared" si="2"/>
        <v>10135</v>
      </c>
    </row>
    <row r="10" spans="2:10" s="183" customFormat="1">
      <c r="B10" s="205">
        <v>45627</v>
      </c>
      <c r="C10" s="206"/>
      <c r="D10" s="207">
        <f>J9</f>
        <v>10135</v>
      </c>
      <c r="E10" s="191">
        <f t="shared" si="0"/>
        <v>132.37299999999999</v>
      </c>
      <c r="F10" s="208">
        <f t="shared" si="4"/>
        <v>132.37299999999999</v>
      </c>
      <c r="G10" s="209">
        <f t="shared" si="1"/>
        <v>1</v>
      </c>
      <c r="H10" s="210">
        <f t="shared" si="5"/>
        <v>10135</v>
      </c>
      <c r="I10" s="234"/>
      <c r="J10" s="211">
        <f t="shared" si="2"/>
        <v>10135</v>
      </c>
    </row>
    <row r="11" spans="2:10" s="183" customFormat="1">
      <c r="B11" s="205">
        <v>43159</v>
      </c>
      <c r="C11" s="206"/>
      <c r="D11" s="207">
        <f t="shared" ref="D11:D44" si="6">J10</f>
        <v>10135</v>
      </c>
      <c r="E11" s="191">
        <v>137.94900000000001</v>
      </c>
      <c r="F11" s="208">
        <f t="shared" ref="F11:F44" si="7">E10</f>
        <v>132.37299999999999</v>
      </c>
      <c r="G11" s="209">
        <f t="shared" ref="G11:G44" si="8">TRUNC(E11/F11,4)</f>
        <v>1.0421</v>
      </c>
      <c r="H11" s="210">
        <f t="shared" ref="H11:H44" si="9">D11*G11</f>
        <v>10561.683500000001</v>
      </c>
      <c r="I11" s="234"/>
      <c r="J11" s="211">
        <f t="shared" ref="J11:J44" si="10">H11+I11</f>
        <v>10561.683500000001</v>
      </c>
    </row>
    <row r="12" spans="2:10" s="183" customFormat="1">
      <c r="B12" s="205">
        <v>43190</v>
      </c>
      <c r="C12" s="206"/>
      <c r="D12" s="207">
        <f t="shared" si="6"/>
        <v>10561.683500000001</v>
      </c>
      <c r="E12" s="191">
        <f t="shared" ref="E12:E44" si="11">VLOOKUP(YEAR(B12),INPC,MONTH(B12)+1)</f>
        <v>99.492156980588007</v>
      </c>
      <c r="F12" s="208">
        <f t="shared" si="7"/>
        <v>137.94900000000001</v>
      </c>
      <c r="G12" s="209">
        <f t="shared" si="8"/>
        <v>0.72119999999999995</v>
      </c>
      <c r="H12" s="210">
        <f t="shared" si="9"/>
        <v>7617.0861402</v>
      </c>
      <c r="I12" s="234"/>
      <c r="J12" s="211">
        <f t="shared" si="10"/>
        <v>7617.0861402</v>
      </c>
    </row>
    <row r="13" spans="2:10" s="183" customFormat="1">
      <c r="B13" s="205">
        <v>43220</v>
      </c>
      <c r="C13" s="206"/>
      <c r="D13" s="207">
        <f t="shared" si="6"/>
        <v>7617.0861402</v>
      </c>
      <c r="E13" s="191">
        <f t="shared" si="11"/>
        <v>99.154847046097004</v>
      </c>
      <c r="F13" s="208">
        <f t="shared" si="7"/>
        <v>99.492156980588007</v>
      </c>
      <c r="G13" s="209">
        <f t="shared" si="8"/>
        <v>0.99660000000000004</v>
      </c>
      <c r="H13" s="210">
        <f t="shared" si="9"/>
        <v>7591.1880473233205</v>
      </c>
      <c r="I13" s="234"/>
      <c r="J13" s="211">
        <f t="shared" si="10"/>
        <v>7591.1880473233205</v>
      </c>
    </row>
    <row r="14" spans="2:10" s="183" customFormat="1">
      <c r="B14" s="205">
        <v>43251</v>
      </c>
      <c r="C14" s="206"/>
      <c r="D14" s="207">
        <f t="shared" si="6"/>
        <v>7591.1880473233205</v>
      </c>
      <c r="E14" s="191">
        <f t="shared" si="11"/>
        <v>98.994080173086999</v>
      </c>
      <c r="F14" s="208">
        <f t="shared" si="7"/>
        <v>99.154847046097004</v>
      </c>
      <c r="G14" s="209">
        <f t="shared" si="8"/>
        <v>0.99829999999999997</v>
      </c>
      <c r="H14" s="210">
        <f t="shared" si="9"/>
        <v>7578.2830276428704</v>
      </c>
      <c r="I14" s="234"/>
      <c r="J14" s="211">
        <f t="shared" si="10"/>
        <v>7578.2830276428704</v>
      </c>
    </row>
    <row r="15" spans="2:10" s="183" customFormat="1">
      <c r="B15" s="205">
        <v>43281</v>
      </c>
      <c r="C15" s="206"/>
      <c r="D15" s="207">
        <f t="shared" si="6"/>
        <v>7578.2830276428704</v>
      </c>
      <c r="E15" s="191">
        <f t="shared" si="11"/>
        <v>99.376464931786998</v>
      </c>
      <c r="F15" s="208">
        <f t="shared" si="7"/>
        <v>98.994080173086999</v>
      </c>
      <c r="G15" s="209">
        <f t="shared" si="8"/>
        <v>1.0038</v>
      </c>
      <c r="H15" s="210">
        <f t="shared" si="9"/>
        <v>7607.0805031479131</v>
      </c>
      <c r="I15" s="234"/>
      <c r="J15" s="211">
        <f t="shared" si="10"/>
        <v>7607.0805031479131</v>
      </c>
    </row>
    <row r="16" spans="2:10" s="183" customFormat="1">
      <c r="B16" s="205">
        <v>43312</v>
      </c>
      <c r="C16" s="206"/>
      <c r="D16" s="207">
        <f t="shared" si="6"/>
        <v>7607.0805031479131</v>
      </c>
      <c r="E16" s="191">
        <f t="shared" si="11"/>
        <v>99.909099104513999</v>
      </c>
      <c r="F16" s="208">
        <f t="shared" si="7"/>
        <v>99.376464931786998</v>
      </c>
      <c r="G16" s="209">
        <f t="shared" si="8"/>
        <v>1.0053000000000001</v>
      </c>
      <c r="H16" s="210">
        <f t="shared" si="9"/>
        <v>7647.398029814598</v>
      </c>
      <c r="I16" s="234"/>
      <c r="J16" s="211">
        <f t="shared" si="10"/>
        <v>7647.398029814598</v>
      </c>
    </row>
    <row r="17" spans="2:10" s="183" customFormat="1">
      <c r="B17" s="205">
        <v>43343</v>
      </c>
      <c r="C17" s="206"/>
      <c r="D17" s="207">
        <f t="shared" si="6"/>
        <v>7647.398029814598</v>
      </c>
      <c r="E17" s="191">
        <f t="shared" si="11"/>
        <v>100.492</v>
      </c>
      <c r="F17" s="208">
        <f t="shared" si="7"/>
        <v>99.909099104513999</v>
      </c>
      <c r="G17" s="209">
        <f t="shared" si="8"/>
        <v>1.0058</v>
      </c>
      <c r="H17" s="210">
        <f t="shared" si="9"/>
        <v>7691.7529383875226</v>
      </c>
      <c r="I17" s="234"/>
      <c r="J17" s="211">
        <f t="shared" si="10"/>
        <v>7691.7529383875226</v>
      </c>
    </row>
    <row r="18" spans="2:10">
      <c r="B18" s="205">
        <v>43373</v>
      </c>
      <c r="C18" s="206"/>
      <c r="D18" s="207">
        <f t="shared" si="6"/>
        <v>7691.7529383875226</v>
      </c>
      <c r="E18" s="191">
        <f t="shared" si="11"/>
        <v>100.917</v>
      </c>
      <c r="F18" s="208">
        <f t="shared" si="7"/>
        <v>100.492</v>
      </c>
      <c r="G18" s="209">
        <f t="shared" si="8"/>
        <v>1.0042</v>
      </c>
      <c r="H18" s="210">
        <f t="shared" si="9"/>
        <v>7724.0583007287496</v>
      </c>
      <c r="I18" s="234"/>
      <c r="J18" s="211">
        <f t="shared" si="10"/>
        <v>7724.0583007287496</v>
      </c>
    </row>
    <row r="19" spans="2:10">
      <c r="B19" s="205">
        <v>43404</v>
      </c>
      <c r="C19" s="206"/>
      <c r="D19" s="207">
        <f t="shared" si="6"/>
        <v>7724.0583007287496</v>
      </c>
      <c r="E19" s="191">
        <f t="shared" si="11"/>
        <v>101.44</v>
      </c>
      <c r="F19" s="208">
        <f t="shared" si="7"/>
        <v>100.917</v>
      </c>
      <c r="G19" s="209">
        <f t="shared" si="8"/>
        <v>1.0051000000000001</v>
      </c>
      <c r="H19" s="210">
        <f t="shared" si="9"/>
        <v>7763.4509980624671</v>
      </c>
      <c r="I19" s="234"/>
      <c r="J19" s="211">
        <f t="shared" si="10"/>
        <v>7763.4509980624671</v>
      </c>
    </row>
    <row r="20" spans="2:10">
      <c r="B20" s="205">
        <v>43434</v>
      </c>
      <c r="C20" s="206"/>
      <c r="D20" s="207">
        <f t="shared" si="6"/>
        <v>7763.4509980624671</v>
      </c>
      <c r="E20" s="191">
        <f t="shared" si="11"/>
        <v>102.303</v>
      </c>
      <c r="F20" s="208">
        <f t="shared" si="7"/>
        <v>101.44</v>
      </c>
      <c r="G20" s="209">
        <f t="shared" si="8"/>
        <v>1.0085</v>
      </c>
      <c r="H20" s="210">
        <f t="shared" si="9"/>
        <v>7829.4403315459977</v>
      </c>
      <c r="I20" s="234"/>
      <c r="J20" s="211">
        <f t="shared" si="10"/>
        <v>7829.4403315459977</v>
      </c>
    </row>
    <row r="21" spans="2:10">
      <c r="B21" s="205">
        <v>43465</v>
      </c>
      <c r="C21" s="206"/>
      <c r="D21" s="207">
        <f t="shared" si="6"/>
        <v>7829.4403315459977</v>
      </c>
      <c r="E21" s="191">
        <f t="shared" si="11"/>
        <v>103.02</v>
      </c>
      <c r="F21" s="208">
        <f t="shared" si="7"/>
        <v>102.303</v>
      </c>
      <c r="G21" s="209">
        <f t="shared" si="8"/>
        <v>1.0069999999999999</v>
      </c>
      <c r="H21" s="210">
        <f t="shared" si="9"/>
        <v>7884.2464138668192</v>
      </c>
      <c r="I21" s="234"/>
      <c r="J21" s="211">
        <f t="shared" si="10"/>
        <v>7884.2464138668192</v>
      </c>
    </row>
    <row r="22" spans="2:10">
      <c r="B22" s="205">
        <v>43496</v>
      </c>
      <c r="C22" s="206"/>
      <c r="D22" s="207">
        <f t="shared" si="6"/>
        <v>7884.2464138668192</v>
      </c>
      <c r="E22" s="191">
        <f t="shared" si="11"/>
        <v>103.108</v>
      </c>
      <c r="F22" s="208">
        <f t="shared" si="7"/>
        <v>103.02</v>
      </c>
      <c r="G22" s="209">
        <f t="shared" si="8"/>
        <v>1.0007999999999999</v>
      </c>
      <c r="H22" s="210">
        <f t="shared" si="9"/>
        <v>7890.5538109979116</v>
      </c>
      <c r="I22" s="234"/>
      <c r="J22" s="211">
        <f t="shared" si="10"/>
        <v>7890.5538109979116</v>
      </c>
    </row>
    <row r="23" spans="2:10">
      <c r="B23" s="205">
        <v>43524</v>
      </c>
      <c r="C23" s="206"/>
      <c r="D23" s="207">
        <f t="shared" si="6"/>
        <v>7890.5538109979116</v>
      </c>
      <c r="E23" s="191">
        <f t="shared" si="11"/>
        <v>103.07899999999999</v>
      </c>
      <c r="F23" s="208">
        <f t="shared" si="7"/>
        <v>103.108</v>
      </c>
      <c r="G23" s="209">
        <f t="shared" si="8"/>
        <v>0.99970000000000003</v>
      </c>
      <c r="H23" s="210">
        <f t="shared" si="9"/>
        <v>7888.1866448546125</v>
      </c>
      <c r="I23" s="234"/>
      <c r="J23" s="211">
        <f t="shared" si="10"/>
        <v>7888.1866448546125</v>
      </c>
    </row>
    <row r="24" spans="2:10">
      <c r="B24" s="205">
        <v>43555</v>
      </c>
      <c r="C24" s="206"/>
      <c r="D24" s="207">
        <f t="shared" si="6"/>
        <v>7888.1866448546125</v>
      </c>
      <c r="E24" s="191">
        <f t="shared" si="11"/>
        <v>103.476</v>
      </c>
      <c r="F24" s="208">
        <f t="shared" si="7"/>
        <v>103.07899999999999</v>
      </c>
      <c r="G24" s="209">
        <f t="shared" si="8"/>
        <v>1.0038</v>
      </c>
      <c r="H24" s="210">
        <f t="shared" si="9"/>
        <v>7918.16175410506</v>
      </c>
      <c r="I24" s="234"/>
      <c r="J24" s="211">
        <f t="shared" si="10"/>
        <v>7918.16175410506</v>
      </c>
    </row>
    <row r="25" spans="2:10">
      <c r="B25" s="205">
        <v>43585</v>
      </c>
      <c r="C25" s="206"/>
      <c r="D25" s="207">
        <f t="shared" si="6"/>
        <v>7918.16175410506</v>
      </c>
      <c r="E25" s="191">
        <f t="shared" si="11"/>
        <v>103.53100000000001</v>
      </c>
      <c r="F25" s="208">
        <f t="shared" si="7"/>
        <v>103.476</v>
      </c>
      <c r="G25" s="209">
        <f t="shared" si="8"/>
        <v>1.0004999999999999</v>
      </c>
      <c r="H25" s="210">
        <f t="shared" si="9"/>
        <v>7922.1208349821118</v>
      </c>
      <c r="I25" s="234"/>
      <c r="J25" s="211">
        <f t="shared" si="10"/>
        <v>7922.1208349821118</v>
      </c>
    </row>
    <row r="26" spans="2:10">
      <c r="B26" s="205">
        <v>43616</v>
      </c>
      <c r="C26" s="206"/>
      <c r="D26" s="207">
        <f t="shared" si="6"/>
        <v>7922.1208349821118</v>
      </c>
      <c r="E26" s="191">
        <f t="shared" si="11"/>
        <v>103.233</v>
      </c>
      <c r="F26" s="208">
        <f t="shared" si="7"/>
        <v>103.53100000000001</v>
      </c>
      <c r="G26" s="209">
        <f t="shared" si="8"/>
        <v>0.99709999999999999</v>
      </c>
      <c r="H26" s="210">
        <f t="shared" si="9"/>
        <v>7899.1466845606637</v>
      </c>
      <c r="I26" s="234"/>
      <c r="J26" s="211">
        <f t="shared" si="10"/>
        <v>7899.1466845606637</v>
      </c>
    </row>
    <row r="27" spans="2:10">
      <c r="B27" s="205">
        <v>43646</v>
      </c>
      <c r="C27" s="206"/>
      <c r="D27" s="207">
        <f t="shared" si="6"/>
        <v>7899.1466845606637</v>
      </c>
      <c r="E27" s="191">
        <f t="shared" si="11"/>
        <v>103.29900000000001</v>
      </c>
      <c r="F27" s="208">
        <f t="shared" si="7"/>
        <v>103.233</v>
      </c>
      <c r="G27" s="209">
        <f t="shared" si="8"/>
        <v>1.0005999999999999</v>
      </c>
      <c r="H27" s="210">
        <f t="shared" si="9"/>
        <v>7903.8861725713996</v>
      </c>
      <c r="I27" s="234"/>
      <c r="J27" s="211">
        <f t="shared" si="10"/>
        <v>7903.8861725713996</v>
      </c>
    </row>
    <row r="28" spans="2:10">
      <c r="B28" s="205">
        <v>43677</v>
      </c>
      <c r="C28" s="206"/>
      <c r="D28" s="207">
        <f t="shared" si="6"/>
        <v>7903.8861725713996</v>
      </c>
      <c r="E28" s="191">
        <f t="shared" si="11"/>
        <v>103.687</v>
      </c>
      <c r="F28" s="208">
        <f t="shared" si="7"/>
        <v>103.29900000000001</v>
      </c>
      <c r="G28" s="209">
        <f t="shared" si="8"/>
        <v>1.0037</v>
      </c>
      <c r="H28" s="210">
        <f t="shared" si="9"/>
        <v>7933.130551409914</v>
      </c>
      <c r="I28" s="234"/>
      <c r="J28" s="211">
        <f t="shared" si="10"/>
        <v>7933.130551409914</v>
      </c>
    </row>
    <row r="29" spans="2:10">
      <c r="B29" s="205">
        <v>43708</v>
      </c>
      <c r="C29" s="206"/>
      <c r="D29" s="207">
        <f t="shared" si="6"/>
        <v>7933.130551409914</v>
      </c>
      <c r="E29" s="191">
        <f t="shared" si="11"/>
        <v>103.67</v>
      </c>
      <c r="F29" s="208">
        <f t="shared" si="7"/>
        <v>103.687</v>
      </c>
      <c r="G29" s="209">
        <f t="shared" si="8"/>
        <v>0.99980000000000002</v>
      </c>
      <c r="H29" s="210">
        <f t="shared" si="9"/>
        <v>7931.5439252996321</v>
      </c>
      <c r="I29" s="234"/>
      <c r="J29" s="211">
        <f t="shared" si="10"/>
        <v>7931.5439252996321</v>
      </c>
    </row>
    <row r="30" spans="2:10">
      <c r="B30" s="205">
        <v>43738</v>
      </c>
      <c r="C30" s="206"/>
      <c r="D30" s="207">
        <f t="shared" si="6"/>
        <v>7931.5439252996321</v>
      </c>
      <c r="E30" s="191">
        <f t="shared" si="11"/>
        <v>103.94199999999999</v>
      </c>
      <c r="F30" s="208">
        <f t="shared" si="7"/>
        <v>103.67</v>
      </c>
      <c r="G30" s="209">
        <f t="shared" si="8"/>
        <v>1.0025999999999999</v>
      </c>
      <c r="H30" s="210">
        <f t="shared" si="9"/>
        <v>7952.1659395054103</v>
      </c>
      <c r="I30" s="234"/>
      <c r="J30" s="211">
        <f t="shared" si="10"/>
        <v>7952.1659395054103</v>
      </c>
    </row>
    <row r="31" spans="2:10">
      <c r="B31" s="205">
        <v>43769</v>
      </c>
      <c r="C31" s="206"/>
      <c r="D31" s="207">
        <f t="shared" si="6"/>
        <v>7952.1659395054103</v>
      </c>
      <c r="E31" s="191">
        <f t="shared" si="11"/>
        <v>104.503</v>
      </c>
      <c r="F31" s="208">
        <f t="shared" si="7"/>
        <v>103.94199999999999</v>
      </c>
      <c r="G31" s="209">
        <f t="shared" si="8"/>
        <v>1.0053000000000001</v>
      </c>
      <c r="H31" s="210">
        <f t="shared" si="9"/>
        <v>7994.3124189847895</v>
      </c>
      <c r="I31" s="234"/>
      <c r="J31" s="211">
        <f t="shared" si="10"/>
        <v>7994.3124189847895</v>
      </c>
    </row>
    <row r="32" spans="2:10">
      <c r="B32" s="205">
        <v>43799</v>
      </c>
      <c r="C32" s="206"/>
      <c r="D32" s="207">
        <f t="shared" si="6"/>
        <v>7994.3124189847895</v>
      </c>
      <c r="E32" s="191">
        <f t="shared" si="11"/>
        <v>105.346</v>
      </c>
      <c r="F32" s="208">
        <f t="shared" si="7"/>
        <v>104.503</v>
      </c>
      <c r="G32" s="209">
        <f t="shared" si="8"/>
        <v>1.008</v>
      </c>
      <c r="H32" s="210">
        <f t="shared" si="9"/>
        <v>8058.2669183366679</v>
      </c>
      <c r="I32" s="234"/>
      <c r="J32" s="211">
        <f t="shared" si="10"/>
        <v>8058.2669183366679</v>
      </c>
    </row>
    <row r="33" spans="2:10">
      <c r="B33" s="205">
        <v>43830</v>
      </c>
      <c r="C33" s="206"/>
      <c r="D33" s="207">
        <f t="shared" si="6"/>
        <v>8058.2669183366679</v>
      </c>
      <c r="E33" s="191">
        <f t="shared" si="11"/>
        <v>105.934</v>
      </c>
      <c r="F33" s="208">
        <f t="shared" si="7"/>
        <v>105.346</v>
      </c>
      <c r="G33" s="209">
        <f t="shared" si="8"/>
        <v>1.0055000000000001</v>
      </c>
      <c r="H33" s="210">
        <f t="shared" si="9"/>
        <v>8102.5873863875204</v>
      </c>
      <c r="I33" s="234"/>
      <c r="J33" s="211">
        <f t="shared" si="10"/>
        <v>8102.5873863875204</v>
      </c>
    </row>
    <row r="34" spans="2:10">
      <c r="B34" s="205">
        <v>43861</v>
      </c>
      <c r="C34" s="206"/>
      <c r="D34" s="207">
        <f t="shared" si="6"/>
        <v>8102.5873863875204</v>
      </c>
      <c r="E34" s="191">
        <f t="shared" si="11"/>
        <v>106.447</v>
      </c>
      <c r="F34" s="208">
        <f t="shared" si="7"/>
        <v>105.934</v>
      </c>
      <c r="G34" s="209">
        <f t="shared" si="8"/>
        <v>1.0047999999999999</v>
      </c>
      <c r="H34" s="210">
        <f t="shared" si="9"/>
        <v>8141.4798058421802</v>
      </c>
      <c r="I34" s="234"/>
      <c r="J34" s="211">
        <f t="shared" si="10"/>
        <v>8141.4798058421802</v>
      </c>
    </row>
    <row r="35" spans="2:10">
      <c r="B35" s="205">
        <v>43890</v>
      </c>
      <c r="C35" s="206"/>
      <c r="D35" s="207">
        <f t="shared" si="6"/>
        <v>8141.4798058421802</v>
      </c>
      <c r="E35" s="191">
        <f t="shared" si="11"/>
        <v>106.889</v>
      </c>
      <c r="F35" s="208">
        <f t="shared" si="7"/>
        <v>106.447</v>
      </c>
      <c r="G35" s="209">
        <f t="shared" si="8"/>
        <v>1.0041</v>
      </c>
      <c r="H35" s="210">
        <f t="shared" si="9"/>
        <v>8174.8598730461335</v>
      </c>
      <c r="I35" s="234"/>
      <c r="J35" s="211">
        <f t="shared" si="10"/>
        <v>8174.8598730461335</v>
      </c>
    </row>
    <row r="36" spans="2:10">
      <c r="B36" s="205">
        <v>43921</v>
      </c>
      <c r="C36" s="206"/>
      <c r="D36" s="207">
        <f t="shared" si="6"/>
        <v>8174.8598730461335</v>
      </c>
      <c r="E36" s="191">
        <f t="shared" si="11"/>
        <v>106.83799999999999</v>
      </c>
      <c r="F36" s="208">
        <f t="shared" si="7"/>
        <v>106.889</v>
      </c>
      <c r="G36" s="209">
        <f t="shared" si="8"/>
        <v>0.99950000000000006</v>
      </c>
      <c r="H36" s="210">
        <f t="shared" si="9"/>
        <v>8170.7724431096112</v>
      </c>
      <c r="I36" s="234"/>
      <c r="J36" s="211">
        <f t="shared" si="10"/>
        <v>8170.7724431096112</v>
      </c>
    </row>
    <row r="37" spans="2:10">
      <c r="B37" s="205">
        <v>43951</v>
      </c>
      <c r="C37" s="206"/>
      <c r="D37" s="207">
        <f t="shared" si="6"/>
        <v>8170.7724431096112</v>
      </c>
      <c r="E37" s="191">
        <f t="shared" si="11"/>
        <v>105.755</v>
      </c>
      <c r="F37" s="208">
        <f t="shared" si="7"/>
        <v>106.83799999999999</v>
      </c>
      <c r="G37" s="209">
        <f t="shared" si="8"/>
        <v>0.98980000000000001</v>
      </c>
      <c r="H37" s="210">
        <f t="shared" si="9"/>
        <v>8087.4305641898936</v>
      </c>
      <c r="I37" s="234"/>
      <c r="J37" s="211">
        <f t="shared" si="10"/>
        <v>8087.4305641898936</v>
      </c>
    </row>
    <row r="38" spans="2:10">
      <c r="B38" s="205">
        <v>43982</v>
      </c>
      <c r="C38" s="206"/>
      <c r="D38" s="207">
        <f t="shared" si="6"/>
        <v>8087.4305641898936</v>
      </c>
      <c r="E38" s="191">
        <f t="shared" si="11"/>
        <v>106.16200000000001</v>
      </c>
      <c r="F38" s="208">
        <f t="shared" si="7"/>
        <v>105.755</v>
      </c>
      <c r="G38" s="209">
        <f t="shared" si="8"/>
        <v>1.0038</v>
      </c>
      <c r="H38" s="210">
        <f t="shared" si="9"/>
        <v>8118.1628003338155</v>
      </c>
      <c r="I38" s="234"/>
      <c r="J38" s="211">
        <f t="shared" si="10"/>
        <v>8118.1628003338155</v>
      </c>
    </row>
    <row r="39" spans="2:10">
      <c r="B39" s="205">
        <v>44012</v>
      </c>
      <c r="C39" s="206"/>
      <c r="D39" s="207">
        <f t="shared" si="6"/>
        <v>8118.1628003338155</v>
      </c>
      <c r="E39" s="191">
        <f t="shared" si="11"/>
        <v>106.74299999999999</v>
      </c>
      <c r="F39" s="208">
        <f t="shared" si="7"/>
        <v>106.16200000000001</v>
      </c>
      <c r="G39" s="209">
        <f t="shared" si="8"/>
        <v>1.0054000000000001</v>
      </c>
      <c r="H39" s="210">
        <f t="shared" si="9"/>
        <v>8162.0008794556188</v>
      </c>
      <c r="I39" s="234"/>
      <c r="J39" s="211">
        <f t="shared" si="10"/>
        <v>8162.0008794556188</v>
      </c>
    </row>
    <row r="40" spans="2:10">
      <c r="B40" s="205">
        <v>44043</v>
      </c>
      <c r="C40" s="206"/>
      <c r="D40" s="207">
        <f t="shared" si="6"/>
        <v>8162.0008794556188</v>
      </c>
      <c r="E40" s="191">
        <f t="shared" si="11"/>
        <v>107.444</v>
      </c>
      <c r="F40" s="208">
        <f t="shared" si="7"/>
        <v>106.74299999999999</v>
      </c>
      <c r="G40" s="209">
        <f t="shared" si="8"/>
        <v>1.0065</v>
      </c>
      <c r="H40" s="210">
        <f t="shared" si="9"/>
        <v>8215.0538851720794</v>
      </c>
      <c r="I40" s="234"/>
      <c r="J40" s="211">
        <f t="shared" si="10"/>
        <v>8215.0538851720794</v>
      </c>
    </row>
    <row r="41" spans="2:10">
      <c r="B41" s="205">
        <v>44074</v>
      </c>
      <c r="C41" s="206"/>
      <c r="D41" s="207">
        <f t="shared" si="6"/>
        <v>8215.0538851720794</v>
      </c>
      <c r="E41" s="191">
        <f t="shared" si="11"/>
        <v>107.867</v>
      </c>
      <c r="F41" s="208">
        <f t="shared" si="7"/>
        <v>107.444</v>
      </c>
      <c r="G41" s="209">
        <f t="shared" si="8"/>
        <v>1.0039</v>
      </c>
      <c r="H41" s="210">
        <f t="shared" si="9"/>
        <v>8247.0925953242513</v>
      </c>
      <c r="I41" s="234"/>
      <c r="J41" s="211">
        <f t="shared" si="10"/>
        <v>8247.0925953242513</v>
      </c>
    </row>
    <row r="42" spans="2:10">
      <c r="B42" s="205">
        <v>44104</v>
      </c>
      <c r="C42" s="206"/>
      <c r="D42" s="207">
        <f t="shared" si="6"/>
        <v>8247.0925953242513</v>
      </c>
      <c r="E42" s="191">
        <f t="shared" si="11"/>
        <v>108.114</v>
      </c>
      <c r="F42" s="208">
        <f t="shared" si="7"/>
        <v>107.867</v>
      </c>
      <c r="G42" s="209">
        <f t="shared" si="8"/>
        <v>1.0022</v>
      </c>
      <c r="H42" s="210">
        <f t="shared" si="9"/>
        <v>8265.236199033965</v>
      </c>
      <c r="I42" s="234"/>
      <c r="J42" s="211">
        <f t="shared" si="10"/>
        <v>8265.236199033965</v>
      </c>
    </row>
    <row r="43" spans="2:10">
      <c r="B43" s="205">
        <v>44135</v>
      </c>
      <c r="C43" s="206"/>
      <c r="D43" s="207">
        <f t="shared" si="6"/>
        <v>8265.236199033965</v>
      </c>
      <c r="E43" s="191">
        <f t="shared" si="11"/>
        <v>108.774</v>
      </c>
      <c r="F43" s="208">
        <f t="shared" si="7"/>
        <v>108.114</v>
      </c>
      <c r="G43" s="209">
        <f t="shared" si="8"/>
        <v>1.0061</v>
      </c>
      <c r="H43" s="210">
        <f t="shared" si="9"/>
        <v>8315.6541398480713</v>
      </c>
      <c r="I43" s="234"/>
      <c r="J43" s="211">
        <f t="shared" si="10"/>
        <v>8315.6541398480713</v>
      </c>
    </row>
    <row r="44" spans="2:10">
      <c r="B44" s="205">
        <v>44165</v>
      </c>
      <c r="C44" s="206"/>
      <c r="D44" s="207">
        <f t="shared" si="6"/>
        <v>8315.6541398480713</v>
      </c>
      <c r="E44" s="191">
        <f t="shared" si="11"/>
        <v>108.85599999999999</v>
      </c>
      <c r="F44" s="208">
        <f t="shared" si="7"/>
        <v>108.774</v>
      </c>
      <c r="G44" s="209">
        <f t="shared" si="8"/>
        <v>1.0006999999999999</v>
      </c>
      <c r="H44" s="210">
        <f t="shared" si="9"/>
        <v>8321.4750977459644</v>
      </c>
      <c r="I44" s="234"/>
      <c r="J44" s="211">
        <f t="shared" si="10"/>
        <v>8321.4750977459644</v>
      </c>
    </row>
    <row r="45" spans="2:10">
      <c r="B45" s="205">
        <v>44196</v>
      </c>
      <c r="C45" s="206"/>
      <c r="D45" s="207">
        <f t="shared" ref="D45:D68" si="12">J44</f>
        <v>8321.4750977459644</v>
      </c>
      <c r="E45" s="191">
        <f t="shared" ref="E45:E68" si="13">VLOOKUP(YEAR(B45),INPC,MONTH(B45)+1)</f>
        <v>109.271</v>
      </c>
      <c r="F45" s="208">
        <f t="shared" ref="F45:F68" si="14">E44</f>
        <v>108.85599999999999</v>
      </c>
      <c r="G45" s="209">
        <f t="shared" ref="G45:G68" si="15">TRUNC(E45/F45,4)</f>
        <v>1.0038</v>
      </c>
      <c r="H45" s="210">
        <f t="shared" ref="H45:H68" si="16">D45*G45</f>
        <v>8353.0967031173986</v>
      </c>
      <c r="I45" s="234"/>
      <c r="J45" s="211">
        <f t="shared" ref="J45:J68" si="17">H45+I45</f>
        <v>8353.0967031173986</v>
      </c>
    </row>
    <row r="46" spans="2:10">
      <c r="B46" s="205">
        <v>44227</v>
      </c>
      <c r="C46" s="206"/>
      <c r="D46" s="207">
        <f t="shared" si="12"/>
        <v>8353.0967031173986</v>
      </c>
      <c r="E46" s="191">
        <f t="shared" si="13"/>
        <v>110.21</v>
      </c>
      <c r="F46" s="208">
        <f t="shared" si="14"/>
        <v>109.271</v>
      </c>
      <c r="G46" s="209">
        <f t="shared" si="15"/>
        <v>1.0085</v>
      </c>
      <c r="H46" s="210">
        <f t="shared" si="16"/>
        <v>8424.0980250938956</v>
      </c>
      <c r="I46" s="234"/>
      <c r="J46" s="211">
        <f t="shared" si="17"/>
        <v>8424.0980250938956</v>
      </c>
    </row>
    <row r="47" spans="2:10">
      <c r="B47" s="205">
        <v>44255</v>
      </c>
      <c r="C47" s="206"/>
      <c r="D47" s="207">
        <f t="shared" si="12"/>
        <v>8424.0980250938956</v>
      </c>
      <c r="E47" s="191">
        <f t="shared" si="13"/>
        <v>110.907</v>
      </c>
      <c r="F47" s="208">
        <f t="shared" si="14"/>
        <v>110.21</v>
      </c>
      <c r="G47" s="209">
        <f t="shared" si="15"/>
        <v>1.0063</v>
      </c>
      <c r="H47" s="210">
        <f t="shared" si="16"/>
        <v>8477.169842651987</v>
      </c>
      <c r="I47" s="234"/>
      <c r="J47" s="211">
        <f t="shared" si="17"/>
        <v>8477.169842651987</v>
      </c>
    </row>
    <row r="48" spans="2:10">
      <c r="B48" s="205">
        <v>44286</v>
      </c>
      <c r="C48" s="206"/>
      <c r="D48" s="207">
        <f t="shared" si="12"/>
        <v>8477.169842651987</v>
      </c>
      <c r="E48" s="191">
        <f t="shared" si="13"/>
        <v>111.824</v>
      </c>
      <c r="F48" s="208">
        <f t="shared" si="14"/>
        <v>110.907</v>
      </c>
      <c r="G48" s="209">
        <f t="shared" si="15"/>
        <v>1.0082</v>
      </c>
      <c r="H48" s="210">
        <f t="shared" si="16"/>
        <v>8546.6826353617325</v>
      </c>
      <c r="I48" s="234"/>
      <c r="J48" s="211">
        <f t="shared" si="17"/>
        <v>8546.6826353617325</v>
      </c>
    </row>
    <row r="49" spans="2:10">
      <c r="B49" s="205">
        <v>44316</v>
      </c>
      <c r="C49" s="206"/>
      <c r="D49" s="207">
        <f t="shared" si="12"/>
        <v>8546.6826353617325</v>
      </c>
      <c r="E49" s="191">
        <f t="shared" si="13"/>
        <v>112.19</v>
      </c>
      <c r="F49" s="208">
        <f t="shared" si="14"/>
        <v>111.824</v>
      </c>
      <c r="G49" s="209">
        <f t="shared" si="15"/>
        <v>1.0032000000000001</v>
      </c>
      <c r="H49" s="210">
        <f t="shared" si="16"/>
        <v>8574.0320197948913</v>
      </c>
      <c r="I49" s="234"/>
      <c r="J49" s="211">
        <f t="shared" si="17"/>
        <v>8574.0320197948913</v>
      </c>
    </row>
    <row r="50" spans="2:10">
      <c r="B50" s="205">
        <v>44347</v>
      </c>
      <c r="C50" s="206"/>
      <c r="D50" s="207">
        <f t="shared" si="12"/>
        <v>8574.0320197948913</v>
      </c>
      <c r="E50" s="191">
        <f t="shared" si="13"/>
        <v>112.419</v>
      </c>
      <c r="F50" s="208">
        <f t="shared" si="14"/>
        <v>112.19</v>
      </c>
      <c r="G50" s="209">
        <f t="shared" si="15"/>
        <v>1.002</v>
      </c>
      <c r="H50" s="210">
        <f t="shared" si="16"/>
        <v>8591.1800838344807</v>
      </c>
      <c r="I50" s="234"/>
      <c r="J50" s="211">
        <f t="shared" si="17"/>
        <v>8591.1800838344807</v>
      </c>
    </row>
    <row r="51" spans="2:10">
      <c r="B51" s="205">
        <v>44377</v>
      </c>
      <c r="C51" s="206"/>
      <c r="D51" s="207">
        <f t="shared" si="12"/>
        <v>8591.1800838344807</v>
      </c>
      <c r="E51" s="191">
        <f t="shared" si="13"/>
        <v>113.018</v>
      </c>
      <c r="F51" s="208">
        <f t="shared" si="14"/>
        <v>112.419</v>
      </c>
      <c r="G51" s="209">
        <f t="shared" si="15"/>
        <v>1.0053000000000001</v>
      </c>
      <c r="H51" s="210">
        <f t="shared" si="16"/>
        <v>8636.7133382788033</v>
      </c>
      <c r="I51" s="234"/>
      <c r="J51" s="211">
        <f t="shared" si="17"/>
        <v>8636.7133382788033</v>
      </c>
    </row>
    <row r="52" spans="2:10">
      <c r="B52" s="205">
        <v>44408</v>
      </c>
      <c r="C52" s="206"/>
      <c r="D52" s="207">
        <f t="shared" si="12"/>
        <v>8636.7133382788033</v>
      </c>
      <c r="E52" s="191">
        <f t="shared" si="13"/>
        <v>113.682</v>
      </c>
      <c r="F52" s="208">
        <f t="shared" si="14"/>
        <v>113.018</v>
      </c>
      <c r="G52" s="209">
        <f t="shared" si="15"/>
        <v>1.0058</v>
      </c>
      <c r="H52" s="210">
        <f t="shared" si="16"/>
        <v>8686.8062756408199</v>
      </c>
      <c r="I52" s="234"/>
      <c r="J52" s="211">
        <f t="shared" si="17"/>
        <v>8686.8062756408199</v>
      </c>
    </row>
    <row r="53" spans="2:10">
      <c r="B53" s="205">
        <v>44439</v>
      </c>
      <c r="C53" s="206"/>
      <c r="D53" s="207">
        <f t="shared" si="12"/>
        <v>8686.8062756408199</v>
      </c>
      <c r="E53" s="191">
        <f t="shared" si="13"/>
        <v>113.899</v>
      </c>
      <c r="F53" s="208">
        <f t="shared" si="14"/>
        <v>113.682</v>
      </c>
      <c r="G53" s="209">
        <f t="shared" si="15"/>
        <v>1.0019</v>
      </c>
      <c r="H53" s="210">
        <f t="shared" si="16"/>
        <v>8703.3112075645367</v>
      </c>
      <c r="I53" s="234"/>
      <c r="J53" s="211">
        <f t="shared" si="17"/>
        <v>8703.3112075645367</v>
      </c>
    </row>
    <row r="54" spans="2:10">
      <c r="B54" s="205">
        <v>44469</v>
      </c>
      <c r="C54" s="206"/>
      <c r="D54" s="207">
        <f t="shared" si="12"/>
        <v>8703.3112075645367</v>
      </c>
      <c r="E54" s="191">
        <f t="shared" si="13"/>
        <v>114.601</v>
      </c>
      <c r="F54" s="208">
        <f t="shared" si="14"/>
        <v>113.899</v>
      </c>
      <c r="G54" s="209">
        <f t="shared" si="15"/>
        <v>1.0061</v>
      </c>
      <c r="H54" s="210">
        <f t="shared" si="16"/>
        <v>8756.401405930681</v>
      </c>
      <c r="I54" s="234"/>
      <c r="J54" s="211">
        <f t="shared" si="17"/>
        <v>8756.401405930681</v>
      </c>
    </row>
    <row r="55" spans="2:10">
      <c r="B55" s="205">
        <v>44500</v>
      </c>
      <c r="C55" s="206"/>
      <c r="D55" s="207">
        <f t="shared" si="12"/>
        <v>8756.401405930681</v>
      </c>
      <c r="E55" s="191">
        <f t="shared" si="13"/>
        <v>115.56100000000001</v>
      </c>
      <c r="F55" s="208">
        <f t="shared" si="14"/>
        <v>114.601</v>
      </c>
      <c r="G55" s="209">
        <f t="shared" si="15"/>
        <v>1.0083</v>
      </c>
      <c r="H55" s="210">
        <f t="shared" si="16"/>
        <v>8829.079537599906</v>
      </c>
      <c r="I55" s="234"/>
      <c r="J55" s="211">
        <f t="shared" si="17"/>
        <v>8829.079537599906</v>
      </c>
    </row>
    <row r="56" spans="2:10">
      <c r="B56" s="205">
        <v>44530</v>
      </c>
      <c r="C56" s="206"/>
      <c r="D56" s="207">
        <f t="shared" si="12"/>
        <v>8829.079537599906</v>
      </c>
      <c r="E56" s="191">
        <f t="shared" si="13"/>
        <v>116.884</v>
      </c>
      <c r="F56" s="208">
        <f t="shared" si="14"/>
        <v>115.56100000000001</v>
      </c>
      <c r="G56" s="209">
        <f t="shared" si="15"/>
        <v>1.0114000000000001</v>
      </c>
      <c r="H56" s="210">
        <f t="shared" si="16"/>
        <v>8929.731044328546</v>
      </c>
      <c r="I56" s="234"/>
      <c r="J56" s="211">
        <f t="shared" si="17"/>
        <v>8929.731044328546</v>
      </c>
    </row>
    <row r="57" spans="2:10">
      <c r="B57" s="205">
        <v>44561</v>
      </c>
      <c r="C57" s="206"/>
      <c r="D57" s="207">
        <f t="shared" si="12"/>
        <v>8929.731044328546</v>
      </c>
      <c r="E57" s="191">
        <f t="shared" si="13"/>
        <v>117.30800000000001</v>
      </c>
      <c r="F57" s="208">
        <f t="shared" si="14"/>
        <v>116.884</v>
      </c>
      <c r="G57" s="209">
        <f t="shared" si="15"/>
        <v>1.0036</v>
      </c>
      <c r="H57" s="210">
        <f t="shared" si="16"/>
        <v>8961.8780760881291</v>
      </c>
      <c r="I57" s="234"/>
      <c r="J57" s="211">
        <f t="shared" si="17"/>
        <v>8961.8780760881291</v>
      </c>
    </row>
    <row r="58" spans="2:10">
      <c r="B58" s="205">
        <v>44592</v>
      </c>
      <c r="C58" s="206"/>
      <c r="D58" s="207">
        <f t="shared" si="12"/>
        <v>8961.8780760881291</v>
      </c>
      <c r="E58" s="191">
        <f t="shared" si="13"/>
        <v>118.002</v>
      </c>
      <c r="F58" s="208">
        <f t="shared" si="14"/>
        <v>117.30800000000001</v>
      </c>
      <c r="G58" s="209">
        <f t="shared" si="15"/>
        <v>1.0059</v>
      </c>
      <c r="H58" s="210">
        <f t="shared" si="16"/>
        <v>9014.7531567370497</v>
      </c>
      <c r="I58" s="234"/>
      <c r="J58" s="211">
        <f t="shared" si="17"/>
        <v>9014.7531567370497</v>
      </c>
    </row>
    <row r="59" spans="2:10">
      <c r="B59" s="205">
        <v>44620</v>
      </c>
      <c r="C59" s="206"/>
      <c r="D59" s="207">
        <f t="shared" si="12"/>
        <v>9014.7531567370497</v>
      </c>
      <c r="E59" s="191">
        <f t="shared" si="13"/>
        <v>118.98099999999999</v>
      </c>
      <c r="F59" s="208">
        <f t="shared" si="14"/>
        <v>118.002</v>
      </c>
      <c r="G59" s="209">
        <f t="shared" si="15"/>
        <v>1.0082</v>
      </c>
      <c r="H59" s="210">
        <f t="shared" si="16"/>
        <v>9088.6741326222927</v>
      </c>
      <c r="I59" s="234"/>
      <c r="J59" s="211">
        <f t="shared" si="17"/>
        <v>9088.6741326222927</v>
      </c>
    </row>
    <row r="60" spans="2:10">
      <c r="B60" s="205">
        <v>44651</v>
      </c>
      <c r="C60" s="206"/>
      <c r="D60" s="207">
        <f t="shared" si="12"/>
        <v>9088.6741326222927</v>
      </c>
      <c r="E60" s="191">
        <f t="shared" si="13"/>
        <v>120.15900000000001</v>
      </c>
      <c r="F60" s="208">
        <f t="shared" si="14"/>
        <v>118.98099999999999</v>
      </c>
      <c r="G60" s="209">
        <f t="shared" si="15"/>
        <v>1.0099</v>
      </c>
      <c r="H60" s="210">
        <f t="shared" si="16"/>
        <v>9178.6520065352543</v>
      </c>
      <c r="I60" s="234"/>
      <c r="J60" s="211">
        <f t="shared" si="17"/>
        <v>9178.6520065352543</v>
      </c>
    </row>
    <row r="61" spans="2:10">
      <c r="B61" s="205">
        <v>44681</v>
      </c>
      <c r="C61" s="206"/>
      <c r="D61" s="207">
        <f t="shared" si="12"/>
        <v>9178.6520065352543</v>
      </c>
      <c r="E61" s="191">
        <f t="shared" si="13"/>
        <v>120.809</v>
      </c>
      <c r="F61" s="208">
        <f t="shared" si="14"/>
        <v>120.15900000000001</v>
      </c>
      <c r="G61" s="209">
        <f t="shared" si="15"/>
        <v>1.0054000000000001</v>
      </c>
      <c r="H61" s="210">
        <f t="shared" si="16"/>
        <v>9228.2167273705454</v>
      </c>
      <c r="I61" s="234"/>
      <c r="J61" s="211">
        <f t="shared" si="17"/>
        <v>9228.2167273705454</v>
      </c>
    </row>
    <row r="62" spans="2:10">
      <c r="B62" s="205">
        <v>44712</v>
      </c>
      <c r="C62" s="206"/>
      <c r="D62" s="207">
        <f t="shared" si="12"/>
        <v>9228.2167273705454</v>
      </c>
      <c r="E62" s="191">
        <f t="shared" si="13"/>
        <v>121.02200000000001</v>
      </c>
      <c r="F62" s="208">
        <f t="shared" si="14"/>
        <v>120.809</v>
      </c>
      <c r="G62" s="209">
        <f t="shared" si="15"/>
        <v>1.0017</v>
      </c>
      <c r="H62" s="210">
        <f t="shared" si="16"/>
        <v>9243.9046958070758</v>
      </c>
      <c r="I62" s="234"/>
      <c r="J62" s="211">
        <f t="shared" si="17"/>
        <v>9243.9046958070758</v>
      </c>
    </row>
    <row r="63" spans="2:10">
      <c r="B63" s="205">
        <v>44742</v>
      </c>
      <c r="C63" s="206"/>
      <c r="D63" s="207">
        <f t="shared" si="12"/>
        <v>9243.9046958070758</v>
      </c>
      <c r="E63" s="191">
        <f t="shared" si="13"/>
        <v>122.044</v>
      </c>
      <c r="F63" s="208">
        <f t="shared" si="14"/>
        <v>121.02200000000001</v>
      </c>
      <c r="G63" s="209">
        <f t="shared" si="15"/>
        <v>1.0084</v>
      </c>
      <c r="H63" s="210">
        <f t="shared" si="16"/>
        <v>9321.5534952518556</v>
      </c>
      <c r="I63" s="234"/>
      <c r="J63" s="211">
        <f t="shared" si="17"/>
        <v>9321.5534952518556</v>
      </c>
    </row>
    <row r="64" spans="2:10">
      <c r="B64" s="205">
        <v>44773</v>
      </c>
      <c r="C64" s="206"/>
      <c r="D64" s="207">
        <f t="shared" si="12"/>
        <v>9321.5534952518556</v>
      </c>
      <c r="E64" s="191">
        <f t="shared" si="13"/>
        <v>122.94799999999999</v>
      </c>
      <c r="F64" s="208">
        <f t="shared" si="14"/>
        <v>122.044</v>
      </c>
      <c r="G64" s="209">
        <f t="shared" si="15"/>
        <v>1.0074000000000001</v>
      </c>
      <c r="H64" s="210">
        <f t="shared" si="16"/>
        <v>9390.5329911167191</v>
      </c>
      <c r="I64" s="234"/>
      <c r="J64" s="211">
        <f t="shared" si="17"/>
        <v>9390.5329911167191</v>
      </c>
    </row>
    <row r="65" spans="2:10">
      <c r="B65" s="205">
        <v>44804</v>
      </c>
      <c r="C65" s="206"/>
      <c r="D65" s="207">
        <f t="shared" si="12"/>
        <v>9390.5329911167191</v>
      </c>
      <c r="E65" s="191">
        <f t="shared" si="13"/>
        <v>123.803</v>
      </c>
      <c r="F65" s="208">
        <f t="shared" si="14"/>
        <v>122.94799999999999</v>
      </c>
      <c r="G65" s="209">
        <f t="shared" si="15"/>
        <v>1.0068999999999999</v>
      </c>
      <c r="H65" s="210">
        <f t="shared" si="16"/>
        <v>9455.3276687554244</v>
      </c>
      <c r="I65" s="234"/>
      <c r="J65" s="211">
        <f t="shared" si="17"/>
        <v>9455.3276687554244</v>
      </c>
    </row>
    <row r="66" spans="2:10">
      <c r="B66" s="205">
        <v>44834</v>
      </c>
      <c r="C66" s="206"/>
      <c r="D66" s="207">
        <f t="shared" si="12"/>
        <v>9455.3276687554244</v>
      </c>
      <c r="E66" s="191">
        <f t="shared" si="13"/>
        <v>124.571</v>
      </c>
      <c r="F66" s="208">
        <f t="shared" si="14"/>
        <v>123.803</v>
      </c>
      <c r="G66" s="209">
        <f t="shared" si="15"/>
        <v>1.0062</v>
      </c>
      <c r="H66" s="210">
        <f t="shared" si="16"/>
        <v>9513.9507003017079</v>
      </c>
      <c r="I66" s="234"/>
      <c r="J66" s="211">
        <f t="shared" si="17"/>
        <v>9513.9507003017079</v>
      </c>
    </row>
    <row r="67" spans="2:10">
      <c r="B67" s="205">
        <v>44865</v>
      </c>
      <c r="C67" s="206"/>
      <c r="D67" s="207">
        <f t="shared" si="12"/>
        <v>9513.9507003017079</v>
      </c>
      <c r="E67" s="191">
        <f t="shared" si="13"/>
        <v>125.276</v>
      </c>
      <c r="F67" s="208">
        <f t="shared" si="14"/>
        <v>124.571</v>
      </c>
      <c r="G67" s="209">
        <f t="shared" si="15"/>
        <v>1.0056</v>
      </c>
      <c r="H67" s="210">
        <f t="shared" si="16"/>
        <v>9567.2288242233972</v>
      </c>
      <c r="I67" s="234"/>
      <c r="J67" s="211">
        <f t="shared" si="17"/>
        <v>9567.2288242233972</v>
      </c>
    </row>
    <row r="68" spans="2:10">
      <c r="B68" s="205">
        <v>44895</v>
      </c>
      <c r="C68" s="206"/>
      <c r="D68" s="207">
        <f t="shared" si="12"/>
        <v>9567.2288242233972</v>
      </c>
      <c r="E68" s="191">
        <f t="shared" si="13"/>
        <v>125.997</v>
      </c>
      <c r="F68" s="208">
        <f t="shared" si="14"/>
        <v>125.276</v>
      </c>
      <c r="G68" s="209">
        <f t="shared" si="15"/>
        <v>1.0057</v>
      </c>
      <c r="H68" s="210">
        <f t="shared" si="16"/>
        <v>9621.7620285214707</v>
      </c>
      <c r="I68" s="234"/>
      <c r="J68" s="211">
        <f t="shared" si="17"/>
        <v>9621.7620285214707</v>
      </c>
    </row>
    <row r="69" spans="2:10">
      <c r="B69" s="205">
        <v>44926</v>
      </c>
      <c r="C69" s="206"/>
      <c r="D69" s="207">
        <f t="shared" ref="D69:D91" si="18">J68</f>
        <v>9621.7620285214707</v>
      </c>
      <c r="E69" s="191">
        <f t="shared" ref="E69:E91" si="19">VLOOKUP(YEAR(B69),INPC,MONTH(B69)+1)</f>
        <v>126.47799999999999</v>
      </c>
      <c r="F69" s="208">
        <f t="shared" ref="F69:F91" si="20">E68</f>
        <v>125.997</v>
      </c>
      <c r="G69" s="209">
        <f t="shared" ref="G69:G91" si="21">TRUNC(E69/F69,4)</f>
        <v>1.0038</v>
      </c>
      <c r="H69" s="210">
        <f t="shared" ref="H69:H91" si="22">D69*G69</f>
        <v>9658.324724229853</v>
      </c>
      <c r="I69" s="234"/>
      <c r="J69" s="211">
        <f t="shared" ref="J69:J91" si="23">H69+I69</f>
        <v>9658.324724229853</v>
      </c>
    </row>
    <row r="70" spans="2:10">
      <c r="B70" s="205">
        <v>44957</v>
      </c>
      <c r="C70" s="206"/>
      <c r="D70" s="207">
        <f t="shared" si="18"/>
        <v>9658.324724229853</v>
      </c>
      <c r="E70" s="191">
        <f t="shared" si="19"/>
        <v>127.336</v>
      </c>
      <c r="F70" s="208">
        <f t="shared" si="20"/>
        <v>126.47799999999999</v>
      </c>
      <c r="G70" s="209">
        <f t="shared" si="21"/>
        <v>1.0066999999999999</v>
      </c>
      <c r="H70" s="210">
        <f t="shared" si="22"/>
        <v>9723.0354998821931</v>
      </c>
      <c r="I70" s="234"/>
      <c r="J70" s="211">
        <f t="shared" si="23"/>
        <v>9723.0354998821931</v>
      </c>
    </row>
    <row r="71" spans="2:10">
      <c r="B71" s="205">
        <v>44985</v>
      </c>
      <c r="C71" s="206"/>
      <c r="D71" s="207">
        <f t="shared" si="18"/>
        <v>9723.0354998821931</v>
      </c>
      <c r="E71" s="191">
        <f t="shared" si="19"/>
        <v>128.04599999999999</v>
      </c>
      <c r="F71" s="208">
        <f t="shared" si="20"/>
        <v>127.336</v>
      </c>
      <c r="G71" s="209">
        <f t="shared" si="21"/>
        <v>1.0055000000000001</v>
      </c>
      <c r="H71" s="210">
        <f t="shared" si="22"/>
        <v>9776.512195131545</v>
      </c>
      <c r="I71" s="234"/>
      <c r="J71" s="211">
        <f t="shared" si="23"/>
        <v>9776.512195131545</v>
      </c>
    </row>
    <row r="72" spans="2:10">
      <c r="B72" s="205">
        <v>45016</v>
      </c>
      <c r="C72" s="206"/>
      <c r="D72" s="207">
        <f t="shared" si="18"/>
        <v>9776.512195131545</v>
      </c>
      <c r="E72" s="191">
        <f t="shared" si="19"/>
        <v>128.38900000000001</v>
      </c>
      <c r="F72" s="208">
        <f t="shared" si="20"/>
        <v>128.04599999999999</v>
      </c>
      <c r="G72" s="209">
        <f t="shared" si="21"/>
        <v>1.0025999999999999</v>
      </c>
      <c r="H72" s="210">
        <f t="shared" si="22"/>
        <v>9801.9311268388865</v>
      </c>
      <c r="I72" s="234"/>
      <c r="J72" s="211">
        <f t="shared" si="23"/>
        <v>9801.9311268388865</v>
      </c>
    </row>
    <row r="73" spans="2:10">
      <c r="B73" s="205">
        <v>45046</v>
      </c>
      <c r="C73" s="206"/>
      <c r="D73" s="207">
        <f t="shared" si="18"/>
        <v>9801.9311268388865</v>
      </c>
      <c r="E73" s="191">
        <f t="shared" si="19"/>
        <v>128.363</v>
      </c>
      <c r="F73" s="208">
        <f t="shared" si="20"/>
        <v>128.38900000000001</v>
      </c>
      <c r="G73" s="209">
        <f t="shared" si="21"/>
        <v>0.99970000000000003</v>
      </c>
      <c r="H73" s="210">
        <f t="shared" si="22"/>
        <v>9798.9905475008345</v>
      </c>
      <c r="I73" s="234"/>
      <c r="J73" s="211">
        <f t="shared" si="23"/>
        <v>9798.9905475008345</v>
      </c>
    </row>
    <row r="74" spans="2:10">
      <c r="B74" s="205">
        <v>45077</v>
      </c>
      <c r="C74" s="206"/>
      <c r="D74" s="207">
        <f t="shared" si="18"/>
        <v>9798.9905475008345</v>
      </c>
      <c r="E74" s="191">
        <f t="shared" si="19"/>
        <v>128.084</v>
      </c>
      <c r="F74" s="208">
        <f t="shared" si="20"/>
        <v>128.363</v>
      </c>
      <c r="G74" s="209">
        <f t="shared" si="21"/>
        <v>0.99780000000000002</v>
      </c>
      <c r="H74" s="210">
        <f t="shared" si="22"/>
        <v>9777.4327682963321</v>
      </c>
      <c r="I74" s="234"/>
      <c r="J74" s="211">
        <f t="shared" si="23"/>
        <v>9777.4327682963321</v>
      </c>
    </row>
    <row r="75" spans="2:10">
      <c r="B75" s="205">
        <v>45107</v>
      </c>
      <c r="C75" s="206"/>
      <c r="D75" s="207">
        <f t="shared" si="18"/>
        <v>9777.4327682963321</v>
      </c>
      <c r="E75" s="191">
        <f t="shared" si="19"/>
        <v>128.214</v>
      </c>
      <c r="F75" s="208">
        <f t="shared" si="20"/>
        <v>128.084</v>
      </c>
      <c r="G75" s="209">
        <f t="shared" si="21"/>
        <v>1.0009999999999999</v>
      </c>
      <c r="H75" s="210">
        <f t="shared" si="22"/>
        <v>9787.2102010646267</v>
      </c>
      <c r="I75" s="234"/>
      <c r="J75" s="211">
        <f t="shared" si="23"/>
        <v>9787.2102010646267</v>
      </c>
    </row>
    <row r="76" spans="2:10">
      <c r="B76" s="205">
        <v>45138</v>
      </c>
      <c r="C76" s="206"/>
      <c r="D76" s="207">
        <f t="shared" si="18"/>
        <v>9787.2102010646267</v>
      </c>
      <c r="E76" s="191">
        <f t="shared" si="19"/>
        <v>128.83199999999999</v>
      </c>
      <c r="F76" s="208">
        <f t="shared" si="20"/>
        <v>128.214</v>
      </c>
      <c r="G76" s="209">
        <f t="shared" si="21"/>
        <v>1.0047999999999999</v>
      </c>
      <c r="H76" s="210">
        <f t="shared" si="22"/>
        <v>9834.1888100297365</v>
      </c>
      <c r="I76" s="234"/>
      <c r="J76" s="211">
        <f t="shared" si="23"/>
        <v>9834.1888100297365</v>
      </c>
    </row>
    <row r="77" spans="2:10">
      <c r="B77" s="205">
        <v>45169</v>
      </c>
      <c r="C77" s="206"/>
      <c r="D77" s="207">
        <f t="shared" si="18"/>
        <v>9834.1888100297365</v>
      </c>
      <c r="E77" s="191">
        <f t="shared" si="19"/>
        <v>129.54499999999999</v>
      </c>
      <c r="F77" s="208">
        <f t="shared" si="20"/>
        <v>128.83199999999999</v>
      </c>
      <c r="G77" s="209">
        <f t="shared" si="21"/>
        <v>1.0055000000000001</v>
      </c>
      <c r="H77" s="210">
        <f t="shared" si="22"/>
        <v>9888.2768484849003</v>
      </c>
      <c r="I77" s="234"/>
      <c r="J77" s="211">
        <f t="shared" si="23"/>
        <v>9888.2768484849003</v>
      </c>
    </row>
    <row r="78" spans="2:10">
      <c r="B78" s="205">
        <v>45199</v>
      </c>
      <c r="C78" s="206"/>
      <c r="D78" s="207">
        <f t="shared" si="18"/>
        <v>9888.2768484849003</v>
      </c>
      <c r="E78" s="191">
        <f t="shared" si="19"/>
        <v>130.12</v>
      </c>
      <c r="F78" s="208">
        <f t="shared" si="20"/>
        <v>129.54499999999999</v>
      </c>
      <c r="G78" s="209">
        <f t="shared" si="21"/>
        <v>1.0044</v>
      </c>
      <c r="H78" s="210">
        <f t="shared" si="22"/>
        <v>9931.7852666182334</v>
      </c>
      <c r="I78" s="234"/>
      <c r="J78" s="211">
        <f t="shared" si="23"/>
        <v>9931.7852666182334</v>
      </c>
    </row>
    <row r="79" spans="2:10">
      <c r="B79" s="205">
        <v>45230</v>
      </c>
      <c r="C79" s="206"/>
      <c r="D79" s="207">
        <f t="shared" si="18"/>
        <v>9931.7852666182334</v>
      </c>
      <c r="E79" s="191">
        <f t="shared" si="19"/>
        <v>130.60900000000001</v>
      </c>
      <c r="F79" s="208">
        <f t="shared" si="20"/>
        <v>130.12</v>
      </c>
      <c r="G79" s="209">
        <f t="shared" si="21"/>
        <v>1.0037</v>
      </c>
      <c r="H79" s="210">
        <f t="shared" si="22"/>
        <v>9968.5328721047208</v>
      </c>
      <c r="I79" s="234">
        <v>10000</v>
      </c>
      <c r="J79" s="211">
        <f t="shared" si="23"/>
        <v>19968.532872104719</v>
      </c>
    </row>
    <row r="80" spans="2:10">
      <c r="B80" s="205">
        <v>45260</v>
      </c>
      <c r="C80" s="206"/>
      <c r="D80" s="207">
        <f t="shared" si="18"/>
        <v>19968.532872104719</v>
      </c>
      <c r="E80" s="191">
        <f t="shared" si="19"/>
        <v>131.44499999999999</v>
      </c>
      <c r="F80" s="208">
        <f t="shared" si="20"/>
        <v>130.60900000000001</v>
      </c>
      <c r="G80" s="209">
        <f t="shared" si="21"/>
        <v>1.0064</v>
      </c>
      <c r="H80" s="210">
        <f t="shared" si="22"/>
        <v>20096.331482486188</v>
      </c>
      <c r="I80" s="234"/>
      <c r="J80" s="211">
        <f t="shared" si="23"/>
        <v>20096.331482486188</v>
      </c>
    </row>
    <row r="81" spans="2:10">
      <c r="B81" s="205">
        <v>45657</v>
      </c>
      <c r="C81" s="206"/>
      <c r="D81" s="207">
        <f t="shared" si="18"/>
        <v>20096.331482486188</v>
      </c>
      <c r="E81" s="191">
        <f t="shared" si="19"/>
        <v>132.37299999999999</v>
      </c>
      <c r="F81" s="208">
        <f t="shared" si="20"/>
        <v>131.44499999999999</v>
      </c>
      <c r="G81" s="209">
        <f t="shared" si="21"/>
        <v>1.0069999999999999</v>
      </c>
      <c r="H81" s="210">
        <f>D81*G81</f>
        <v>20237.00580286359</v>
      </c>
      <c r="I81" s="234"/>
      <c r="J81" s="211">
        <f t="shared" si="23"/>
        <v>20237.00580286359</v>
      </c>
    </row>
    <row r="82" spans="2:10">
      <c r="B82" s="205">
        <v>45322</v>
      </c>
      <c r="C82" s="206"/>
      <c r="D82" s="207">
        <f t="shared" si="18"/>
        <v>20237.00580286359</v>
      </c>
      <c r="E82" s="191">
        <f t="shared" si="19"/>
        <v>127.336</v>
      </c>
      <c r="F82" s="208">
        <f t="shared" si="20"/>
        <v>132.37299999999999</v>
      </c>
      <c r="G82" s="209">
        <f t="shared" si="21"/>
        <v>0.96189999999999998</v>
      </c>
      <c r="H82" s="210">
        <f t="shared" si="22"/>
        <v>19465.975881774488</v>
      </c>
      <c r="I82" s="234"/>
      <c r="J82" s="211">
        <f t="shared" si="23"/>
        <v>19465.975881774488</v>
      </c>
    </row>
    <row r="83" spans="2:10">
      <c r="B83" s="205">
        <v>45351</v>
      </c>
      <c r="C83" s="206"/>
      <c r="D83" s="207">
        <f t="shared" si="18"/>
        <v>19465.975881774488</v>
      </c>
      <c r="E83" s="191">
        <f t="shared" si="19"/>
        <v>128.04599999999999</v>
      </c>
      <c r="F83" s="208">
        <f t="shared" si="20"/>
        <v>127.336</v>
      </c>
      <c r="G83" s="209">
        <f t="shared" si="21"/>
        <v>1.0055000000000001</v>
      </c>
      <c r="H83" s="210">
        <f t="shared" si="22"/>
        <v>19573.038749124247</v>
      </c>
      <c r="I83" s="234"/>
      <c r="J83" s="211">
        <f t="shared" si="23"/>
        <v>19573.038749124247</v>
      </c>
    </row>
    <row r="84" spans="2:10">
      <c r="B84" s="205">
        <v>45382</v>
      </c>
      <c r="C84" s="206"/>
      <c r="D84" s="207">
        <f t="shared" si="18"/>
        <v>19573.038749124247</v>
      </c>
      <c r="E84" s="191">
        <f t="shared" si="19"/>
        <v>128.38900000000001</v>
      </c>
      <c r="F84" s="208">
        <f t="shared" si="20"/>
        <v>128.04599999999999</v>
      </c>
      <c r="G84" s="209">
        <f t="shared" si="21"/>
        <v>1.0025999999999999</v>
      </c>
      <c r="H84" s="210">
        <f t="shared" si="22"/>
        <v>19623.92864987197</v>
      </c>
      <c r="I84" s="234"/>
      <c r="J84" s="211">
        <f t="shared" si="23"/>
        <v>19623.92864987197</v>
      </c>
    </row>
    <row r="85" spans="2:10">
      <c r="B85" s="205">
        <v>45412</v>
      </c>
      <c r="C85" s="206"/>
      <c r="D85" s="207">
        <f t="shared" si="18"/>
        <v>19623.92864987197</v>
      </c>
      <c r="E85" s="191">
        <f t="shared" si="19"/>
        <v>128.363</v>
      </c>
      <c r="F85" s="208">
        <f t="shared" si="20"/>
        <v>128.38900000000001</v>
      </c>
      <c r="G85" s="209">
        <f t="shared" si="21"/>
        <v>0.99970000000000003</v>
      </c>
      <c r="H85" s="210">
        <f t="shared" si="22"/>
        <v>19618.041471277011</v>
      </c>
      <c r="I85" s="234"/>
      <c r="J85" s="211">
        <f t="shared" si="23"/>
        <v>19618.041471277011</v>
      </c>
    </row>
    <row r="86" spans="2:10">
      <c r="B86" s="205">
        <v>45443</v>
      </c>
      <c r="C86" s="206"/>
      <c r="D86" s="207">
        <f t="shared" si="18"/>
        <v>19618.041471277011</v>
      </c>
      <c r="E86" s="191">
        <f t="shared" si="19"/>
        <v>128.084</v>
      </c>
      <c r="F86" s="208">
        <f t="shared" si="20"/>
        <v>128.363</v>
      </c>
      <c r="G86" s="209">
        <f t="shared" si="21"/>
        <v>0.99780000000000002</v>
      </c>
      <c r="H86" s="210">
        <f t="shared" si="22"/>
        <v>19574.881780040203</v>
      </c>
      <c r="I86" s="234"/>
      <c r="J86" s="211">
        <f t="shared" si="23"/>
        <v>19574.881780040203</v>
      </c>
    </row>
    <row r="87" spans="2:10">
      <c r="B87" s="205">
        <v>45473</v>
      </c>
      <c r="C87" s="206"/>
      <c r="D87" s="207">
        <f t="shared" si="18"/>
        <v>19574.881780040203</v>
      </c>
      <c r="E87" s="191">
        <f t="shared" si="19"/>
        <v>128.214</v>
      </c>
      <c r="F87" s="208">
        <f t="shared" si="20"/>
        <v>128.084</v>
      </c>
      <c r="G87" s="209">
        <f t="shared" si="21"/>
        <v>1.0009999999999999</v>
      </c>
      <c r="H87" s="210">
        <f t="shared" si="22"/>
        <v>19594.456661820241</v>
      </c>
      <c r="I87" s="234"/>
      <c r="J87" s="211">
        <f t="shared" si="23"/>
        <v>19594.456661820241</v>
      </c>
    </row>
    <row r="88" spans="2:10">
      <c r="B88" s="205">
        <v>45504</v>
      </c>
      <c r="C88" s="206"/>
      <c r="D88" s="207">
        <f t="shared" si="18"/>
        <v>19594.456661820241</v>
      </c>
      <c r="E88" s="191">
        <f t="shared" si="19"/>
        <v>128.83199999999999</v>
      </c>
      <c r="F88" s="208">
        <f t="shared" si="20"/>
        <v>128.214</v>
      </c>
      <c r="G88" s="209">
        <f t="shared" si="21"/>
        <v>1.0047999999999999</v>
      </c>
      <c r="H88" s="210">
        <f t="shared" si="22"/>
        <v>19688.510053796977</v>
      </c>
      <c r="I88" s="234"/>
      <c r="J88" s="211">
        <f t="shared" si="23"/>
        <v>19688.510053796977</v>
      </c>
    </row>
    <row r="89" spans="2:10">
      <c r="B89" s="205">
        <v>45535</v>
      </c>
      <c r="C89" s="206"/>
      <c r="D89" s="207">
        <f t="shared" si="18"/>
        <v>19688.510053796977</v>
      </c>
      <c r="E89" s="191">
        <f t="shared" si="19"/>
        <v>129.54499999999999</v>
      </c>
      <c r="F89" s="208">
        <f t="shared" si="20"/>
        <v>128.83199999999999</v>
      </c>
      <c r="G89" s="209">
        <f t="shared" si="21"/>
        <v>1.0055000000000001</v>
      </c>
      <c r="H89" s="210">
        <f t="shared" si="22"/>
        <v>19796.796859092861</v>
      </c>
      <c r="I89" s="234"/>
      <c r="J89" s="211">
        <f t="shared" si="23"/>
        <v>19796.796859092861</v>
      </c>
    </row>
    <row r="90" spans="2:10">
      <c r="B90" s="205">
        <v>45565</v>
      </c>
      <c r="C90" s="206"/>
      <c r="D90" s="207">
        <f t="shared" si="18"/>
        <v>19796.796859092861</v>
      </c>
      <c r="E90" s="191">
        <f t="shared" si="19"/>
        <v>130.12</v>
      </c>
      <c r="F90" s="208">
        <f t="shared" si="20"/>
        <v>129.54499999999999</v>
      </c>
      <c r="G90" s="209">
        <f t="shared" si="21"/>
        <v>1.0044</v>
      </c>
      <c r="H90" s="210">
        <f t="shared" si="22"/>
        <v>19883.902765272869</v>
      </c>
      <c r="I90" s="234"/>
      <c r="J90" s="211">
        <f t="shared" si="23"/>
        <v>19883.902765272869</v>
      </c>
    </row>
    <row r="91" spans="2:10">
      <c r="B91" s="205">
        <v>45596</v>
      </c>
      <c r="C91" s="206"/>
      <c r="D91" s="207">
        <f t="shared" si="18"/>
        <v>19883.902765272869</v>
      </c>
      <c r="E91" s="191">
        <f t="shared" si="19"/>
        <v>130.60900000000001</v>
      </c>
      <c r="F91" s="208">
        <f t="shared" si="20"/>
        <v>130.12</v>
      </c>
      <c r="G91" s="209">
        <f t="shared" si="21"/>
        <v>1.0037</v>
      </c>
      <c r="H91" s="210">
        <f t="shared" si="22"/>
        <v>19957.473205504379</v>
      </c>
      <c r="I91" s="234"/>
      <c r="J91" s="211">
        <f t="shared" si="23"/>
        <v>19957.473205504379</v>
      </c>
    </row>
    <row r="92" spans="2:10">
      <c r="B92" s="205">
        <v>45626</v>
      </c>
      <c r="C92" s="206"/>
      <c r="D92" s="207">
        <f t="shared" ref="D92:D93" si="24">J91</f>
        <v>19957.473205504379</v>
      </c>
      <c r="E92" s="191">
        <f t="shared" ref="E92:E93" si="25">VLOOKUP(YEAR(B92),INPC,MONTH(B92)+1)</f>
        <v>131.44499999999999</v>
      </c>
      <c r="F92" s="208">
        <v>137.94900000000001</v>
      </c>
      <c r="G92" s="209">
        <f t="shared" ref="G92:G93" si="26">TRUNC(E92/F92,4)</f>
        <v>0.95279999999999998</v>
      </c>
      <c r="H92" s="210">
        <f t="shared" ref="H92:H93" si="27">D92*G92</f>
        <v>19015.480470204573</v>
      </c>
      <c r="I92" s="234"/>
      <c r="J92" s="211">
        <f t="shared" ref="J92:J93" si="28">H92+I92</f>
        <v>19015.480470204573</v>
      </c>
    </row>
    <row r="93" spans="2:10">
      <c r="B93" s="205">
        <v>45657</v>
      </c>
      <c r="C93" s="206"/>
      <c r="D93" s="207">
        <f t="shared" si="24"/>
        <v>19015.480470204573</v>
      </c>
      <c r="E93" s="191">
        <f t="shared" si="25"/>
        <v>132.37299999999999</v>
      </c>
      <c r="F93" s="208">
        <f t="shared" ref="F93" si="29">E92</f>
        <v>131.44499999999999</v>
      </c>
      <c r="G93" s="209">
        <f t="shared" si="26"/>
        <v>1.0069999999999999</v>
      </c>
      <c r="H93" s="210">
        <f t="shared" si="27"/>
        <v>19148.588833496004</v>
      </c>
      <c r="I93" s="234"/>
      <c r="J93" s="211">
        <f t="shared" si="28"/>
        <v>19148.588833496004</v>
      </c>
    </row>
    <row r="94" spans="2:10">
      <c r="B94" s="205"/>
      <c r="C94" s="206"/>
      <c r="D94" s="207"/>
      <c r="E94" s="191"/>
      <c r="F94" s="208"/>
      <c r="G94" s="209"/>
      <c r="H94" s="210"/>
      <c r="I94" s="234"/>
      <c r="J94" s="211"/>
    </row>
  </sheetData>
  <mergeCells count="2">
    <mergeCell ref="B2:J2"/>
    <mergeCell ref="B3:J3"/>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topLeftCell="A21" workbookViewId="0">
      <selection activeCell="H20" sqref="H20"/>
    </sheetView>
  </sheetViews>
  <sheetFormatPr baseColWidth="10" defaultColWidth="14.28515625" defaultRowHeight="11.25"/>
  <cols>
    <col min="1" max="1" width="4.140625" style="175" customWidth="1"/>
    <col min="2" max="2" width="11.85546875" style="180" customWidth="1"/>
    <col min="3" max="3" width="19.28515625" style="180" customWidth="1"/>
    <col min="4" max="4" width="12" style="180" customWidth="1"/>
    <col min="5" max="5" width="12.140625" style="180" customWidth="1"/>
    <col min="6" max="6" width="12.28515625" style="180" customWidth="1"/>
    <col min="7" max="7" width="13.140625" style="180" customWidth="1"/>
    <col min="8" max="10" width="14.28515625" style="180"/>
    <col min="11" max="16" width="14.28515625" style="176"/>
    <col min="17" max="16384" width="14.28515625" style="177"/>
  </cols>
  <sheetData>
    <row r="1" spans="1:10">
      <c r="B1" s="176"/>
      <c r="C1" s="176"/>
      <c r="D1" s="176"/>
      <c r="E1" s="176"/>
      <c r="F1" s="176"/>
      <c r="G1" s="176"/>
      <c r="H1" s="176"/>
      <c r="I1" s="176"/>
      <c r="J1" s="176"/>
    </row>
    <row r="2" spans="1:10">
      <c r="B2" s="285" t="s">
        <v>410</v>
      </c>
      <c r="C2" s="285"/>
      <c r="D2" s="285"/>
      <c r="E2" s="285"/>
      <c r="F2" s="285"/>
      <c r="G2" s="285"/>
      <c r="H2" s="285"/>
      <c r="I2" s="285"/>
      <c r="J2" s="285"/>
    </row>
    <row r="3" spans="1:10">
      <c r="B3" s="285" t="s">
        <v>421</v>
      </c>
      <c r="C3" s="285"/>
      <c r="D3" s="285"/>
      <c r="E3" s="285"/>
      <c r="F3" s="285"/>
      <c r="G3" s="285"/>
      <c r="H3" s="285"/>
      <c r="I3" s="285"/>
      <c r="J3" s="285"/>
    </row>
    <row r="4" spans="1:10">
      <c r="B4" s="178"/>
      <c r="C4" s="178"/>
      <c r="D4" s="178"/>
      <c r="E4" s="178"/>
      <c r="F4" s="178"/>
      <c r="G4" s="178"/>
      <c r="H4" s="178"/>
      <c r="I4" s="178"/>
      <c r="J4" s="178"/>
    </row>
    <row r="5" spans="1:10">
      <c r="B5" s="286" t="s">
        <v>449</v>
      </c>
      <c r="C5" s="286"/>
      <c r="D5" s="286"/>
      <c r="E5" s="286"/>
      <c r="F5" s="286"/>
      <c r="G5" s="286"/>
      <c r="H5" s="286"/>
      <c r="I5" s="286"/>
      <c r="J5" s="286"/>
    </row>
    <row r="6" spans="1:10">
      <c r="B6" s="219"/>
      <c r="C6" s="219"/>
      <c r="D6" s="219"/>
      <c r="E6" s="219"/>
      <c r="F6" s="219"/>
      <c r="G6" s="219"/>
      <c r="H6" s="219"/>
      <c r="I6" s="219"/>
      <c r="J6" s="219"/>
    </row>
    <row r="7" spans="1:10" ht="12.75" customHeight="1">
      <c r="B7" s="287" t="s">
        <v>425</v>
      </c>
      <c r="C7" s="288" t="s">
        <v>413</v>
      </c>
      <c r="D7" s="288" t="s">
        <v>426</v>
      </c>
      <c r="E7" s="291" t="s">
        <v>280</v>
      </c>
      <c r="F7" s="291"/>
      <c r="G7" s="288" t="s">
        <v>429</v>
      </c>
      <c r="H7" s="288" t="s">
        <v>430</v>
      </c>
      <c r="I7" s="288" t="s">
        <v>431</v>
      </c>
      <c r="J7" s="288" t="s">
        <v>432</v>
      </c>
    </row>
    <row r="8" spans="1:10" ht="12.75" customHeight="1">
      <c r="B8" s="287"/>
      <c r="C8" s="288"/>
      <c r="D8" s="288"/>
      <c r="E8" s="288" t="s">
        <v>427</v>
      </c>
      <c r="F8" s="290" t="s">
        <v>428</v>
      </c>
      <c r="G8" s="288"/>
      <c r="H8" s="289"/>
      <c r="I8" s="289"/>
      <c r="J8" s="289"/>
    </row>
    <row r="9" spans="1:10" ht="12.75" customHeight="1">
      <c r="B9" s="287"/>
      <c r="C9" s="288"/>
      <c r="D9" s="288"/>
      <c r="E9" s="288"/>
      <c r="F9" s="290"/>
      <c r="G9" s="288"/>
      <c r="H9" s="289"/>
      <c r="I9" s="289"/>
      <c r="J9" s="289"/>
    </row>
    <row r="10" spans="1:10">
      <c r="A10" s="179"/>
      <c r="B10" s="186">
        <v>41244</v>
      </c>
      <c r="C10" s="194" t="s">
        <v>422</v>
      </c>
      <c r="D10" s="190"/>
      <c r="E10" s="191">
        <f t="shared" ref="E10:E11" si="0">VLOOKUP(YEAR(B10),INPC,MONTH(B10)+1)</f>
        <v>80.568243283851004</v>
      </c>
      <c r="F10" s="191">
        <f>+E10</f>
        <v>80.568243283851004</v>
      </c>
      <c r="G10" s="192">
        <f t="shared" ref="G10:G21" si="1">IF((TRUNC(E10/F10,4))&lt;1,1,TRUNC(E10/F10,4))</f>
        <v>1</v>
      </c>
      <c r="H10" s="190">
        <f t="shared" ref="H10:H21" si="2">D10*G10</f>
        <v>0</v>
      </c>
      <c r="I10" s="193"/>
      <c r="J10" s="190">
        <f t="shared" ref="J10:J21" si="3">IF((H10+I10)&lt;0,0,(H10+I10))</f>
        <v>0</v>
      </c>
    </row>
    <row r="11" spans="1:10">
      <c r="A11" s="179"/>
      <c r="B11" s="186">
        <v>41639</v>
      </c>
      <c r="C11" s="194" t="s">
        <v>422</v>
      </c>
      <c r="D11" s="190">
        <v>0</v>
      </c>
      <c r="E11" s="191">
        <f t="shared" si="0"/>
        <v>83.770058296773001</v>
      </c>
      <c r="F11" s="191">
        <f>+E11</f>
        <v>83.770058296773001</v>
      </c>
      <c r="G11" s="192">
        <f t="shared" si="1"/>
        <v>1</v>
      </c>
      <c r="H11" s="190">
        <f t="shared" si="2"/>
        <v>0</v>
      </c>
      <c r="I11" s="193">
        <v>0</v>
      </c>
      <c r="J11" s="190">
        <f t="shared" si="3"/>
        <v>0</v>
      </c>
    </row>
    <row r="12" spans="1:10">
      <c r="B12" s="186">
        <v>42004</v>
      </c>
      <c r="C12" s="194" t="s">
        <v>422</v>
      </c>
      <c r="D12" s="190">
        <v>0</v>
      </c>
      <c r="E12" s="191">
        <f t="shared" ref="E12:E18" si="4">VLOOKUP(YEAR(B12),INPC,MONTH(B12)+1)</f>
        <v>87.188983712964003</v>
      </c>
      <c r="F12" s="191">
        <f>+E12</f>
        <v>87.188983712964003</v>
      </c>
      <c r="G12" s="192">
        <f t="shared" si="1"/>
        <v>1</v>
      </c>
      <c r="H12" s="190">
        <f t="shared" si="2"/>
        <v>0</v>
      </c>
      <c r="I12" s="193">
        <v>0</v>
      </c>
      <c r="J12" s="190">
        <f t="shared" si="3"/>
        <v>0</v>
      </c>
    </row>
    <row r="13" spans="1:10">
      <c r="B13" s="186">
        <v>42369</v>
      </c>
      <c r="C13" s="194" t="s">
        <v>422</v>
      </c>
      <c r="D13" s="190">
        <f t="shared" ref="D13:D20" si="5">J12</f>
        <v>0</v>
      </c>
      <c r="E13" s="191">
        <f t="shared" si="4"/>
        <v>89.046817717411002</v>
      </c>
      <c r="F13" s="191">
        <f t="shared" ref="F13:F20" si="6">+E12</f>
        <v>87.188983712964003</v>
      </c>
      <c r="G13" s="192">
        <f t="shared" si="1"/>
        <v>1.0213000000000001</v>
      </c>
      <c r="H13" s="190">
        <f t="shared" si="2"/>
        <v>0</v>
      </c>
      <c r="I13" s="193">
        <v>0</v>
      </c>
      <c r="J13" s="190">
        <f t="shared" si="3"/>
        <v>0</v>
      </c>
    </row>
    <row r="14" spans="1:10">
      <c r="B14" s="186">
        <v>42735</v>
      </c>
      <c r="C14" s="194" t="s">
        <v>422</v>
      </c>
      <c r="D14" s="190">
        <f t="shared" si="5"/>
        <v>0</v>
      </c>
      <c r="E14" s="191">
        <f t="shared" si="4"/>
        <v>92.039034797764003</v>
      </c>
      <c r="F14" s="191">
        <f t="shared" si="6"/>
        <v>89.046817717411002</v>
      </c>
      <c r="G14" s="192">
        <f t="shared" si="1"/>
        <v>1.0336000000000001</v>
      </c>
      <c r="H14" s="190">
        <f t="shared" si="2"/>
        <v>0</v>
      </c>
      <c r="I14" s="193">
        <v>0</v>
      </c>
      <c r="J14" s="190">
        <f t="shared" si="3"/>
        <v>0</v>
      </c>
    </row>
    <row r="15" spans="1:10">
      <c r="B15" s="186">
        <v>43100</v>
      </c>
      <c r="C15" s="194" t="s">
        <v>422</v>
      </c>
      <c r="D15" s="190">
        <f t="shared" si="5"/>
        <v>0</v>
      </c>
      <c r="E15" s="191">
        <f t="shared" si="4"/>
        <v>98.272882985755999</v>
      </c>
      <c r="F15" s="191">
        <f t="shared" si="6"/>
        <v>92.039034797764003</v>
      </c>
      <c r="G15" s="192">
        <f t="shared" si="1"/>
        <v>1.0677000000000001</v>
      </c>
      <c r="H15" s="190">
        <f t="shared" si="2"/>
        <v>0</v>
      </c>
      <c r="I15" s="193">
        <v>0</v>
      </c>
      <c r="J15" s="190">
        <f t="shared" si="3"/>
        <v>0</v>
      </c>
    </row>
    <row r="16" spans="1:10">
      <c r="B16" s="186">
        <v>43465</v>
      </c>
      <c r="C16" s="194" t="s">
        <v>422</v>
      </c>
      <c r="D16" s="190">
        <f t="shared" si="5"/>
        <v>0</v>
      </c>
      <c r="E16" s="191">
        <f t="shared" si="4"/>
        <v>103.02</v>
      </c>
      <c r="F16" s="191">
        <f t="shared" si="6"/>
        <v>98.272882985755999</v>
      </c>
      <c r="G16" s="192">
        <f t="shared" si="1"/>
        <v>1.0483</v>
      </c>
      <c r="H16" s="190">
        <f t="shared" si="2"/>
        <v>0</v>
      </c>
      <c r="I16" s="193">
        <v>0</v>
      </c>
      <c r="J16" s="190">
        <f t="shared" si="3"/>
        <v>0</v>
      </c>
    </row>
    <row r="17" spans="1:13">
      <c r="B17" s="186">
        <v>43830</v>
      </c>
      <c r="C17" s="194" t="s">
        <v>422</v>
      </c>
      <c r="D17" s="190">
        <f t="shared" si="5"/>
        <v>0</v>
      </c>
      <c r="E17" s="191">
        <f t="shared" si="4"/>
        <v>105.934</v>
      </c>
      <c r="F17" s="191">
        <f t="shared" si="6"/>
        <v>103.02</v>
      </c>
      <c r="G17" s="192">
        <f t="shared" si="1"/>
        <v>1.0282</v>
      </c>
      <c r="H17" s="190">
        <f t="shared" si="2"/>
        <v>0</v>
      </c>
      <c r="I17" s="193">
        <v>0</v>
      </c>
      <c r="J17" s="190">
        <f t="shared" si="3"/>
        <v>0</v>
      </c>
    </row>
    <row r="18" spans="1:13">
      <c r="B18" s="186">
        <v>44196</v>
      </c>
      <c r="C18" s="194" t="s">
        <v>422</v>
      </c>
      <c r="D18" s="190">
        <f t="shared" si="5"/>
        <v>0</v>
      </c>
      <c r="E18" s="191">
        <f t="shared" si="4"/>
        <v>109.271</v>
      </c>
      <c r="F18" s="191">
        <f t="shared" si="6"/>
        <v>105.934</v>
      </c>
      <c r="G18" s="192">
        <f t="shared" si="1"/>
        <v>1.0315000000000001</v>
      </c>
      <c r="H18" s="190">
        <f t="shared" si="2"/>
        <v>0</v>
      </c>
      <c r="I18" s="193">
        <v>0</v>
      </c>
      <c r="J18" s="190">
        <f t="shared" si="3"/>
        <v>0</v>
      </c>
    </row>
    <row r="19" spans="1:13">
      <c r="B19" s="186">
        <v>44561</v>
      </c>
      <c r="C19" s="194" t="s">
        <v>422</v>
      </c>
      <c r="D19" s="190">
        <f t="shared" si="5"/>
        <v>0</v>
      </c>
      <c r="E19" s="191">
        <f t="shared" ref="E19:E21" si="7">VLOOKUP(YEAR(B19),INPC,MONTH(B19)+1)</f>
        <v>117.30800000000001</v>
      </c>
      <c r="F19" s="191">
        <f t="shared" si="6"/>
        <v>109.271</v>
      </c>
      <c r="G19" s="192">
        <f t="shared" si="1"/>
        <v>1.0734999999999999</v>
      </c>
      <c r="H19" s="190">
        <f t="shared" si="2"/>
        <v>0</v>
      </c>
      <c r="I19" s="193">
        <v>0</v>
      </c>
      <c r="J19" s="190">
        <f t="shared" si="3"/>
        <v>0</v>
      </c>
    </row>
    <row r="20" spans="1:13">
      <c r="B20" s="186">
        <v>44926</v>
      </c>
      <c r="C20" s="194" t="s">
        <v>422</v>
      </c>
      <c r="D20" s="190">
        <f t="shared" si="5"/>
        <v>0</v>
      </c>
      <c r="E20" s="191">
        <f t="shared" ref="E20" si="8">VLOOKUP(YEAR(B20),INPC,MONTH(B20)+1)</f>
        <v>126.47799999999999</v>
      </c>
      <c r="F20" s="191">
        <f t="shared" si="6"/>
        <v>117.30800000000001</v>
      </c>
      <c r="G20" s="192">
        <f t="shared" si="1"/>
        <v>1.0781000000000001</v>
      </c>
      <c r="H20" s="190">
        <f t="shared" si="2"/>
        <v>0</v>
      </c>
      <c r="I20" s="193">
        <v>0</v>
      </c>
      <c r="J20" s="190">
        <f t="shared" si="3"/>
        <v>0</v>
      </c>
    </row>
    <row r="21" spans="1:13">
      <c r="B21" s="186">
        <v>45108</v>
      </c>
      <c r="C21" s="194" t="s">
        <v>423</v>
      </c>
      <c r="D21" s="190">
        <f>J20</f>
        <v>0</v>
      </c>
      <c r="E21" s="191">
        <f t="shared" si="7"/>
        <v>128.83199999999999</v>
      </c>
      <c r="F21" s="191">
        <f>+E20</f>
        <v>126.47799999999999</v>
      </c>
      <c r="G21" s="192">
        <f t="shared" si="1"/>
        <v>1.0185999999999999</v>
      </c>
      <c r="H21" s="190">
        <f t="shared" si="2"/>
        <v>0</v>
      </c>
      <c r="I21" s="193">
        <v>0</v>
      </c>
      <c r="J21" s="190">
        <f t="shared" si="3"/>
        <v>0</v>
      </c>
    </row>
    <row r="24" spans="1:13" ht="14.45" customHeight="1">
      <c r="A24" s="286" t="s">
        <v>433</v>
      </c>
      <c r="B24" s="286"/>
      <c r="C24" s="286"/>
      <c r="D24" s="286"/>
      <c r="E24" s="286"/>
      <c r="F24" s="286"/>
      <c r="G24" s="286"/>
      <c r="H24" s="286"/>
      <c r="I24" s="286"/>
      <c r="J24" s="286"/>
      <c r="K24" s="286"/>
      <c r="L24" s="178"/>
      <c r="M24" s="178"/>
    </row>
    <row r="26" spans="1:13" ht="20.45" customHeight="1">
      <c r="B26" s="287" t="s">
        <v>425</v>
      </c>
      <c r="C26" s="288" t="s">
        <v>413</v>
      </c>
      <c r="D26" s="288" t="s">
        <v>426</v>
      </c>
      <c r="E26" s="291" t="s">
        <v>280</v>
      </c>
      <c r="F26" s="291"/>
      <c r="G26" s="288" t="s">
        <v>429</v>
      </c>
      <c r="H26" s="288" t="s">
        <v>430</v>
      </c>
      <c r="I26" s="288" t="s">
        <v>431</v>
      </c>
      <c r="J26" s="288" t="s">
        <v>432</v>
      </c>
    </row>
    <row r="27" spans="1:13" ht="12.75" customHeight="1">
      <c r="B27" s="287"/>
      <c r="C27" s="288"/>
      <c r="D27" s="288"/>
      <c r="E27" s="288" t="s">
        <v>427</v>
      </c>
      <c r="F27" s="290" t="s">
        <v>428</v>
      </c>
      <c r="G27" s="288"/>
      <c r="H27" s="289"/>
      <c r="I27" s="289"/>
      <c r="J27" s="289"/>
    </row>
    <row r="28" spans="1:13">
      <c r="B28" s="287"/>
      <c r="C28" s="288"/>
      <c r="D28" s="288"/>
      <c r="E28" s="288"/>
      <c r="F28" s="290"/>
      <c r="G28" s="288"/>
      <c r="H28" s="289"/>
      <c r="I28" s="289"/>
      <c r="J28" s="289"/>
    </row>
    <row r="29" spans="1:13">
      <c r="B29" s="186">
        <v>42004</v>
      </c>
      <c r="C29" s="187" t="s">
        <v>422</v>
      </c>
      <c r="D29" s="195">
        <v>0</v>
      </c>
      <c r="E29" s="191">
        <f t="shared" ref="E29:E32" si="9">VLOOKUP(YEAR(B29),INPC,MONTH(B29)+1)</f>
        <v>87.188983712964003</v>
      </c>
      <c r="F29" s="196">
        <f>E29</f>
        <v>87.188983712964003</v>
      </c>
      <c r="G29" s="192">
        <f>IF((TRUNC(E29/F29,4))&lt;1,1,TRUNC(E29/F29,4))</f>
        <v>1</v>
      </c>
      <c r="H29" s="188">
        <f t="shared" ref="H29:H38" si="10">D29*G29</f>
        <v>0</v>
      </c>
      <c r="I29" s="189">
        <v>0</v>
      </c>
      <c r="J29" s="188">
        <f t="shared" ref="J29:J38" si="11">IF((H29+I29)&lt;0,0,(H29+I29))</f>
        <v>0</v>
      </c>
    </row>
    <row r="30" spans="1:13">
      <c r="B30" s="186">
        <v>42369</v>
      </c>
      <c r="C30" s="187" t="s">
        <v>422</v>
      </c>
      <c r="D30" s="195">
        <f>J29</f>
        <v>0</v>
      </c>
      <c r="E30" s="191">
        <f t="shared" si="9"/>
        <v>89.046817717411002</v>
      </c>
      <c r="F30" s="196">
        <f>E29</f>
        <v>87.188983712964003</v>
      </c>
      <c r="G30" s="192">
        <f t="shared" ref="G30:G38" si="12">IF((TRUNC(E30/F30,4))&lt;1,1,TRUNC(E30/F30,4))</f>
        <v>1.0213000000000001</v>
      </c>
      <c r="H30" s="188">
        <f t="shared" si="10"/>
        <v>0</v>
      </c>
      <c r="I30" s="189">
        <f>+[2]UFIN!J10</f>
        <v>0</v>
      </c>
      <c r="J30" s="188">
        <f t="shared" si="11"/>
        <v>0</v>
      </c>
    </row>
    <row r="31" spans="1:13">
      <c r="B31" s="186">
        <v>42735</v>
      </c>
      <c r="C31" s="187" t="s">
        <v>422</v>
      </c>
      <c r="D31" s="195">
        <f t="shared" ref="D31:D37" si="13">J30</f>
        <v>0</v>
      </c>
      <c r="E31" s="191">
        <f t="shared" si="9"/>
        <v>92.039034797764003</v>
      </c>
      <c r="F31" s="196">
        <f t="shared" ref="F31:F35" si="14">E30</f>
        <v>89.046817717411002</v>
      </c>
      <c r="G31" s="192">
        <f t="shared" si="12"/>
        <v>1.0336000000000001</v>
      </c>
      <c r="H31" s="188">
        <f t="shared" si="10"/>
        <v>0</v>
      </c>
      <c r="I31" s="189">
        <f>+[2]UFIN!J11</f>
        <v>0</v>
      </c>
      <c r="J31" s="188">
        <f t="shared" si="11"/>
        <v>0</v>
      </c>
    </row>
    <row r="32" spans="1:13">
      <c r="B32" s="186">
        <v>43100</v>
      </c>
      <c r="C32" s="197" t="s">
        <v>424</v>
      </c>
      <c r="D32" s="198">
        <f t="shared" si="13"/>
        <v>0</v>
      </c>
      <c r="E32" s="196">
        <f t="shared" si="9"/>
        <v>98.272882985755999</v>
      </c>
      <c r="F32" s="196">
        <f t="shared" si="14"/>
        <v>92.039034797764003</v>
      </c>
      <c r="G32" s="199">
        <f t="shared" si="12"/>
        <v>1.0677000000000001</v>
      </c>
      <c r="H32" s="198">
        <f t="shared" si="10"/>
        <v>0</v>
      </c>
      <c r="I32" s="189">
        <v>0</v>
      </c>
      <c r="J32" s="188">
        <f t="shared" si="11"/>
        <v>0</v>
      </c>
    </row>
    <row r="33" spans="2:10">
      <c r="B33" s="186">
        <v>43465</v>
      </c>
      <c r="C33" s="197" t="s">
        <v>422</v>
      </c>
      <c r="D33" s="198">
        <f t="shared" si="13"/>
        <v>0</v>
      </c>
      <c r="E33" s="196">
        <f t="shared" ref="E33" si="15">VLOOKUP(YEAR(B33),INPC,MONTH(B33)+1)</f>
        <v>103.02</v>
      </c>
      <c r="F33" s="196">
        <f t="shared" si="14"/>
        <v>98.272882985755999</v>
      </c>
      <c r="G33" s="199">
        <f t="shared" si="12"/>
        <v>1.0483</v>
      </c>
      <c r="H33" s="198">
        <f t="shared" si="10"/>
        <v>0</v>
      </c>
      <c r="I33" s="189">
        <f>+[2]UFIN!J12</f>
        <v>0</v>
      </c>
      <c r="J33" s="188">
        <f t="shared" si="11"/>
        <v>0</v>
      </c>
    </row>
    <row r="34" spans="2:10">
      <c r="B34" s="186">
        <v>43830</v>
      </c>
      <c r="C34" s="197" t="s">
        <v>424</v>
      </c>
      <c r="D34" s="198">
        <f t="shared" si="13"/>
        <v>0</v>
      </c>
      <c r="E34" s="196">
        <f t="shared" ref="E34:E35" si="16">VLOOKUP(YEAR(B34),INPC,MONTH(B34)+1)</f>
        <v>105.934</v>
      </c>
      <c r="F34" s="196">
        <f t="shared" si="14"/>
        <v>103.02</v>
      </c>
      <c r="G34" s="199">
        <f t="shared" si="12"/>
        <v>1.0282</v>
      </c>
      <c r="H34" s="198">
        <f t="shared" si="10"/>
        <v>0</v>
      </c>
      <c r="I34" s="189">
        <v>0</v>
      </c>
      <c r="J34" s="188">
        <f t="shared" si="11"/>
        <v>0</v>
      </c>
    </row>
    <row r="35" spans="2:10">
      <c r="B35" s="186">
        <v>44196</v>
      </c>
      <c r="C35" s="197" t="s">
        <v>424</v>
      </c>
      <c r="D35" s="198">
        <f t="shared" si="13"/>
        <v>0</v>
      </c>
      <c r="E35" s="196">
        <f t="shared" si="16"/>
        <v>109.271</v>
      </c>
      <c r="F35" s="196">
        <f t="shared" si="14"/>
        <v>105.934</v>
      </c>
      <c r="G35" s="199">
        <f t="shared" si="12"/>
        <v>1.0315000000000001</v>
      </c>
      <c r="H35" s="198">
        <f t="shared" si="10"/>
        <v>0</v>
      </c>
      <c r="I35" s="189">
        <v>0</v>
      </c>
      <c r="J35" s="188">
        <f t="shared" si="11"/>
        <v>0</v>
      </c>
    </row>
    <row r="36" spans="2:10">
      <c r="B36" s="200">
        <v>44561</v>
      </c>
      <c r="C36" s="197" t="s">
        <v>422</v>
      </c>
      <c r="D36" s="198">
        <f t="shared" si="13"/>
        <v>0</v>
      </c>
      <c r="E36" s="196">
        <f t="shared" ref="E36" si="17">VLOOKUP(YEAR(B36),INPC,MONTH(B36)+1)</f>
        <v>117.30800000000001</v>
      </c>
      <c r="F36" s="196">
        <f>E35</f>
        <v>109.271</v>
      </c>
      <c r="G36" s="199">
        <f t="shared" si="12"/>
        <v>1.0734999999999999</v>
      </c>
      <c r="H36" s="198">
        <f t="shared" si="10"/>
        <v>0</v>
      </c>
      <c r="I36" s="189">
        <f>+[2]UFIN!J16</f>
        <v>0</v>
      </c>
      <c r="J36" s="198">
        <f t="shared" si="11"/>
        <v>0</v>
      </c>
    </row>
    <row r="37" spans="2:10">
      <c r="B37" s="200">
        <v>44926</v>
      </c>
      <c r="C37" s="197" t="s">
        <v>422</v>
      </c>
      <c r="D37" s="198">
        <f t="shared" si="13"/>
        <v>0</v>
      </c>
      <c r="E37" s="196">
        <f t="shared" ref="E37" si="18">VLOOKUP(YEAR(B37),INPC,MONTH(B37)+1)</f>
        <v>126.47799999999999</v>
      </c>
      <c r="F37" s="196">
        <f>E36</f>
        <v>117.30800000000001</v>
      </c>
      <c r="G37" s="199">
        <f t="shared" si="12"/>
        <v>1.0781000000000001</v>
      </c>
      <c r="H37" s="198">
        <f t="shared" si="10"/>
        <v>0</v>
      </c>
      <c r="I37" s="189">
        <f>+[2]UFIN!J17</f>
        <v>0</v>
      </c>
      <c r="J37" s="198">
        <f t="shared" si="11"/>
        <v>0</v>
      </c>
    </row>
    <row r="38" spans="2:10">
      <c r="B38" s="186">
        <f>+B21</f>
        <v>45108</v>
      </c>
      <c r="C38" s="187" t="s">
        <v>423</v>
      </c>
      <c r="D38" s="198">
        <f>J36</f>
        <v>0</v>
      </c>
      <c r="E38" s="196">
        <f t="shared" ref="E38" si="19">VLOOKUP(YEAR(B38),INPC,MONTH(B38)+1)</f>
        <v>128.83199999999999</v>
      </c>
      <c r="F38" s="196">
        <f>E36</f>
        <v>117.30800000000001</v>
      </c>
      <c r="G38" s="199">
        <f t="shared" si="12"/>
        <v>1.0982000000000001</v>
      </c>
      <c r="H38" s="198">
        <f t="shared" si="10"/>
        <v>0</v>
      </c>
      <c r="I38" s="189">
        <v>0</v>
      </c>
      <c r="J38" s="198">
        <f t="shared" si="11"/>
        <v>0</v>
      </c>
    </row>
    <row r="39" spans="2:10">
      <c r="D39" s="181"/>
    </row>
    <row r="40" spans="2:10">
      <c r="I40" s="182"/>
    </row>
    <row r="41" spans="2:10">
      <c r="I41" s="182"/>
    </row>
    <row r="42" spans="2:10">
      <c r="I42" s="182"/>
    </row>
    <row r="43" spans="2:10">
      <c r="I43" s="182"/>
    </row>
    <row r="44" spans="2:10">
      <c r="I44" s="182"/>
    </row>
    <row r="45" spans="2:10">
      <c r="I45" s="182"/>
    </row>
    <row r="46" spans="2:10">
      <c r="I46" s="182"/>
    </row>
  </sheetData>
  <mergeCells count="24">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 ref="B2:J2"/>
    <mergeCell ref="B3:J3"/>
    <mergeCell ref="B5:J5"/>
    <mergeCell ref="B7:B9"/>
    <mergeCell ref="D7:D9"/>
    <mergeCell ref="G7:G9"/>
    <mergeCell ref="H7:H9"/>
    <mergeCell ref="I7:I9"/>
    <mergeCell ref="J7:J9"/>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heetViews>
  <sheetFormatPr baseColWidth="10" defaultColWidth="11.42578125" defaultRowHeight="12.75"/>
  <cols>
    <col min="1" max="1" width="5.7109375" style="142" bestFit="1" customWidth="1"/>
    <col min="2" max="3" width="17.7109375" style="174" customWidth="1"/>
    <col min="4" max="4" width="17.5703125" style="174" bestFit="1" customWidth="1"/>
    <col min="5" max="7" width="17.7109375" style="174" customWidth="1"/>
    <col min="8" max="9" width="17.7109375" style="142" customWidth="1"/>
    <col min="10" max="10" width="18.42578125" style="142" customWidth="1"/>
    <col min="11" max="11" width="1.5703125" style="161" customWidth="1"/>
    <col min="12" max="12" width="11.42578125" style="161"/>
    <col min="13" max="13" width="13.28515625" style="161" bestFit="1" customWidth="1"/>
    <col min="14" max="16384" width="11.42578125" style="161"/>
  </cols>
  <sheetData>
    <row r="1" spans="1:13">
      <c r="B1" s="160"/>
      <c r="C1" s="160"/>
      <c r="D1" s="160"/>
      <c r="E1" s="160"/>
      <c r="F1" s="160"/>
      <c r="G1" s="160"/>
      <c r="H1" s="161"/>
      <c r="I1" s="161"/>
      <c r="J1" s="161"/>
    </row>
    <row r="2" spans="1:13">
      <c r="B2" s="294" t="s">
        <v>410</v>
      </c>
      <c r="C2" s="294"/>
      <c r="D2" s="294"/>
      <c r="E2" s="294"/>
      <c r="F2" s="294"/>
      <c r="G2" s="294"/>
      <c r="H2" s="294"/>
      <c r="I2" s="294"/>
      <c r="J2" s="294"/>
    </row>
    <row r="3" spans="1:13">
      <c r="B3" s="294" t="s">
        <v>434</v>
      </c>
      <c r="C3" s="294"/>
      <c r="D3" s="294"/>
      <c r="E3" s="294"/>
      <c r="F3" s="294"/>
      <c r="G3" s="294"/>
      <c r="H3" s="294"/>
      <c r="I3" s="294"/>
      <c r="J3" s="294"/>
    </row>
    <row r="4" spans="1:13">
      <c r="B4" s="162"/>
      <c r="C4" s="162"/>
      <c r="D4" s="162"/>
      <c r="E4" s="162"/>
      <c r="F4" s="162"/>
      <c r="G4" s="163"/>
      <c r="H4" s="164"/>
      <c r="I4" s="164"/>
      <c r="J4" s="164"/>
      <c r="K4" s="165"/>
      <c r="L4" s="165"/>
      <c r="M4" s="165"/>
    </row>
    <row r="5" spans="1:13">
      <c r="B5" s="162"/>
      <c r="C5" s="162"/>
      <c r="D5" s="162"/>
      <c r="E5" s="162"/>
      <c r="F5" s="162"/>
      <c r="G5" s="162"/>
    </row>
    <row r="6" spans="1:13" ht="24.95" customHeight="1">
      <c r="B6" s="295" t="s">
        <v>440</v>
      </c>
      <c r="C6" s="295" t="s">
        <v>441</v>
      </c>
      <c r="D6" s="295" t="s">
        <v>442</v>
      </c>
      <c r="E6" s="295" t="s">
        <v>443</v>
      </c>
      <c r="F6" s="292" t="s">
        <v>444</v>
      </c>
      <c r="G6" s="292" t="s">
        <v>445</v>
      </c>
      <c r="H6" s="292" t="s">
        <v>446</v>
      </c>
      <c r="I6" s="292" t="s">
        <v>447</v>
      </c>
      <c r="J6" s="292" t="s">
        <v>448</v>
      </c>
    </row>
    <row r="7" spans="1:13" ht="24.95" customHeight="1">
      <c r="B7" s="295"/>
      <c r="C7" s="295"/>
      <c r="D7" s="295"/>
      <c r="E7" s="295"/>
      <c r="F7" s="292"/>
      <c r="G7" s="296" t="s">
        <v>435</v>
      </c>
      <c r="H7" s="292"/>
      <c r="I7" s="296" t="s">
        <v>436</v>
      </c>
      <c r="J7" s="293"/>
    </row>
    <row r="8" spans="1:13">
      <c r="B8" s="212"/>
      <c r="C8" s="212"/>
      <c r="D8" s="212"/>
      <c r="E8" s="212"/>
      <c r="F8" s="213"/>
      <c r="G8" s="213"/>
      <c r="H8" s="213"/>
      <c r="I8" s="213"/>
      <c r="J8" s="213"/>
    </row>
    <row r="9" spans="1:13">
      <c r="A9" s="166"/>
      <c r="B9" s="212">
        <v>42004</v>
      </c>
      <c r="C9" s="214">
        <v>0</v>
      </c>
      <c r="D9" s="214">
        <v>0</v>
      </c>
      <c r="E9" s="214">
        <v>0</v>
      </c>
      <c r="F9" s="214">
        <v>0</v>
      </c>
      <c r="G9" s="214">
        <v>0</v>
      </c>
      <c r="H9" s="214">
        <v>0</v>
      </c>
      <c r="I9" s="214">
        <v>0</v>
      </c>
      <c r="J9" s="214">
        <f>F9-G9-I9</f>
        <v>0</v>
      </c>
    </row>
    <row r="10" spans="1:13">
      <c r="A10" s="167"/>
      <c r="B10" s="212">
        <v>42369</v>
      </c>
      <c r="C10" s="214">
        <v>0</v>
      </c>
      <c r="D10" s="214">
        <v>0</v>
      </c>
      <c r="E10" s="214">
        <v>0</v>
      </c>
      <c r="F10" s="214">
        <f t="shared" ref="F10:F14" si="0">IF(C10=0,D10-E10,0)</f>
        <v>0</v>
      </c>
      <c r="G10" s="214">
        <v>0</v>
      </c>
      <c r="H10" s="214">
        <v>0</v>
      </c>
      <c r="I10" s="214">
        <v>0</v>
      </c>
      <c r="J10" s="214">
        <f t="shared" ref="J10:J17" si="1">F10-G10-I10</f>
        <v>0</v>
      </c>
    </row>
    <row r="11" spans="1:13">
      <c r="A11" s="167"/>
      <c r="B11" s="212">
        <v>42735</v>
      </c>
      <c r="C11" s="214">
        <v>0</v>
      </c>
      <c r="D11" s="214">
        <v>0</v>
      </c>
      <c r="E11" s="214">
        <v>0</v>
      </c>
      <c r="F11" s="214">
        <f t="shared" si="0"/>
        <v>0</v>
      </c>
      <c r="G11" s="214">
        <v>0</v>
      </c>
      <c r="H11" s="214">
        <v>0</v>
      </c>
      <c r="I11" s="214">
        <v>0</v>
      </c>
      <c r="J11" s="214">
        <f t="shared" si="1"/>
        <v>0</v>
      </c>
    </row>
    <row r="12" spans="1:13">
      <c r="A12" s="167"/>
      <c r="B12" s="212">
        <v>43100</v>
      </c>
      <c r="C12" s="214">
        <v>0</v>
      </c>
      <c r="D12" s="214">
        <v>0</v>
      </c>
      <c r="E12" s="214">
        <v>0</v>
      </c>
      <c r="F12" s="214">
        <f t="shared" si="0"/>
        <v>0</v>
      </c>
      <c r="G12" s="214">
        <v>0</v>
      </c>
      <c r="H12" s="214">
        <v>0</v>
      </c>
      <c r="I12" s="214">
        <v>0</v>
      </c>
      <c r="J12" s="214">
        <f t="shared" si="1"/>
        <v>0</v>
      </c>
    </row>
    <row r="13" spans="1:13">
      <c r="A13" s="167"/>
      <c r="B13" s="212">
        <v>43465</v>
      </c>
      <c r="C13" s="214">
        <v>0</v>
      </c>
      <c r="D13" s="214">
        <v>0</v>
      </c>
      <c r="E13" s="214">
        <v>0</v>
      </c>
      <c r="F13" s="214">
        <f t="shared" si="0"/>
        <v>0</v>
      </c>
      <c r="G13" s="214">
        <v>0</v>
      </c>
      <c r="H13" s="214">
        <v>0</v>
      </c>
      <c r="I13" s="214">
        <v>0</v>
      </c>
      <c r="J13" s="214">
        <f t="shared" si="1"/>
        <v>0</v>
      </c>
    </row>
    <row r="14" spans="1:13">
      <c r="A14" s="167"/>
      <c r="B14" s="212">
        <v>43830</v>
      </c>
      <c r="C14" s="214">
        <v>0</v>
      </c>
      <c r="D14" s="214">
        <v>0</v>
      </c>
      <c r="E14" s="214">
        <v>0</v>
      </c>
      <c r="F14" s="214">
        <f t="shared" si="0"/>
        <v>0</v>
      </c>
      <c r="G14" s="215">
        <v>0</v>
      </c>
      <c r="H14" s="214">
        <v>0</v>
      </c>
      <c r="I14" s="214">
        <v>0</v>
      </c>
      <c r="J14" s="214">
        <f t="shared" si="1"/>
        <v>0</v>
      </c>
    </row>
    <row r="15" spans="1:13">
      <c r="A15" s="167"/>
      <c r="B15" s="212">
        <v>44196</v>
      </c>
      <c r="C15" s="214">
        <v>0</v>
      </c>
      <c r="D15" s="214">
        <v>0</v>
      </c>
      <c r="E15" s="214">
        <v>0</v>
      </c>
      <c r="F15" s="214">
        <f>IF(C15=0,D15-E15,0)</f>
        <v>0</v>
      </c>
      <c r="G15" s="214">
        <v>0</v>
      </c>
      <c r="H15" s="214">
        <v>0</v>
      </c>
      <c r="I15" s="214">
        <v>0</v>
      </c>
      <c r="J15" s="214">
        <f t="shared" si="1"/>
        <v>0</v>
      </c>
    </row>
    <row r="16" spans="1:13">
      <c r="A16" s="167"/>
      <c r="B16" s="212">
        <v>44561</v>
      </c>
      <c r="C16" s="214">
        <v>0</v>
      </c>
      <c r="D16" s="214">
        <v>0</v>
      </c>
      <c r="E16" s="214">
        <v>0</v>
      </c>
      <c r="F16" s="214">
        <f>IF(C16=0,D16-E16,0)</f>
        <v>0</v>
      </c>
      <c r="G16" s="214">
        <v>0</v>
      </c>
      <c r="H16" s="214">
        <v>0</v>
      </c>
      <c r="I16" s="214">
        <v>0</v>
      </c>
      <c r="J16" s="214">
        <f t="shared" si="1"/>
        <v>0</v>
      </c>
    </row>
    <row r="17" spans="1:12">
      <c r="A17" s="167"/>
      <c r="B17" s="212">
        <v>44926</v>
      </c>
      <c r="C17" s="214">
        <v>0</v>
      </c>
      <c r="D17" s="214">
        <v>0</v>
      </c>
      <c r="E17" s="214">
        <v>0</v>
      </c>
      <c r="F17" s="214">
        <f>IF(C17=0,D17-E17,0)</f>
        <v>0</v>
      </c>
      <c r="G17" s="214">
        <v>0</v>
      </c>
      <c r="H17" s="214">
        <v>0</v>
      </c>
      <c r="I17" s="214">
        <v>0</v>
      </c>
      <c r="J17" s="214">
        <f t="shared" si="1"/>
        <v>0</v>
      </c>
    </row>
    <row r="18" spans="1:12">
      <c r="A18" s="161"/>
      <c r="B18" s="161"/>
      <c r="C18" s="161"/>
      <c r="D18" s="161"/>
      <c r="E18" s="161"/>
      <c r="F18" s="161"/>
      <c r="G18" s="161"/>
      <c r="H18" s="161"/>
      <c r="I18" s="161"/>
      <c r="J18" s="161"/>
      <c r="L18" s="168"/>
    </row>
    <row r="19" spans="1:12">
      <c r="A19" s="169"/>
      <c r="B19" s="170" t="s">
        <v>349</v>
      </c>
      <c r="C19" s="170"/>
      <c r="D19" s="170"/>
      <c r="E19" s="170"/>
      <c r="F19" s="171"/>
      <c r="G19" s="172"/>
      <c r="H19" s="173"/>
      <c r="I19" s="173"/>
      <c r="J19" s="173"/>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workbookViewId="0"/>
  </sheetViews>
  <sheetFormatPr baseColWidth="10" defaultColWidth="11.42578125" defaultRowHeight="11.25"/>
  <cols>
    <col min="1" max="1" width="11.42578125" style="144" customWidth="1"/>
    <col min="2" max="2" width="13.42578125" style="144" customWidth="1"/>
    <col min="3" max="3" width="20" style="144" bestFit="1" customWidth="1"/>
    <col min="4" max="4" width="20.28515625" style="144" bestFit="1" customWidth="1"/>
    <col min="5" max="6" width="19.85546875" style="144" bestFit="1" customWidth="1"/>
    <col min="7" max="7" width="20" style="144" bestFit="1" customWidth="1"/>
    <col min="8" max="8" width="19.5703125" style="144" bestFit="1" customWidth="1"/>
    <col min="9" max="9" width="19.85546875" style="144" bestFit="1" customWidth="1"/>
    <col min="10" max="10" width="20" style="144" bestFit="1" customWidth="1"/>
    <col min="11" max="11" width="19.5703125" style="144" bestFit="1" customWidth="1"/>
    <col min="12" max="13" width="17.7109375" style="144" bestFit="1" customWidth="1"/>
    <col min="14" max="16384" width="11.42578125" style="144"/>
  </cols>
  <sheetData>
    <row r="1" spans="1:13">
      <c r="A1" s="216" t="s">
        <v>437</v>
      </c>
      <c r="B1" s="143"/>
      <c r="C1" s="143"/>
      <c r="D1" s="143"/>
      <c r="E1" s="143"/>
      <c r="F1" s="143"/>
      <c r="G1" s="143"/>
      <c r="H1" s="143"/>
      <c r="I1" s="143"/>
      <c r="J1" s="143"/>
      <c r="K1" s="143"/>
      <c r="L1" s="143"/>
      <c r="M1" s="143"/>
    </row>
    <row r="2" spans="1:13">
      <c r="A2" s="216" t="s">
        <v>438</v>
      </c>
      <c r="B2" s="143"/>
      <c r="C2" s="143"/>
      <c r="D2" s="143"/>
      <c r="E2" s="143"/>
      <c r="F2" s="143"/>
      <c r="G2" s="143"/>
      <c r="H2" s="143"/>
      <c r="I2" s="143"/>
      <c r="J2" s="143"/>
      <c r="K2" s="143"/>
      <c r="L2" s="143"/>
      <c r="M2" s="143"/>
    </row>
    <row r="3" spans="1:13">
      <c r="A3" s="150" t="s">
        <v>439</v>
      </c>
      <c r="B3" s="217" t="s">
        <v>45</v>
      </c>
      <c r="C3" s="217" t="s">
        <v>46</v>
      </c>
      <c r="D3" s="217" t="s">
        <v>47</v>
      </c>
      <c r="E3" s="217" t="s">
        <v>48</v>
      </c>
      <c r="F3" s="217" t="s">
        <v>49</v>
      </c>
      <c r="G3" s="217" t="s">
        <v>50</v>
      </c>
      <c r="H3" s="217" t="s">
        <v>287</v>
      </c>
      <c r="I3" s="217" t="s">
        <v>288</v>
      </c>
      <c r="J3" s="217" t="s">
        <v>289</v>
      </c>
      <c r="K3" s="217" t="s">
        <v>290</v>
      </c>
      <c r="L3" s="217" t="s">
        <v>291</v>
      </c>
      <c r="M3" s="217" t="s">
        <v>281</v>
      </c>
    </row>
    <row r="4" spans="1:13">
      <c r="A4" s="150" t="s">
        <v>453</v>
      </c>
      <c r="B4" s="223">
        <v>2</v>
      </c>
      <c r="C4" s="223">
        <v>3</v>
      </c>
      <c r="D4" s="223">
        <v>4</v>
      </c>
      <c r="E4" s="223">
        <v>5</v>
      </c>
      <c r="F4" s="223">
        <v>6</v>
      </c>
      <c r="G4" s="223">
        <v>7</v>
      </c>
      <c r="H4" s="223">
        <v>8</v>
      </c>
      <c r="I4" s="223">
        <v>9</v>
      </c>
      <c r="J4" s="223">
        <v>10</v>
      </c>
      <c r="K4" s="223">
        <v>11</v>
      </c>
      <c r="L4" s="223">
        <v>12</v>
      </c>
      <c r="M4" s="223">
        <v>13</v>
      </c>
    </row>
    <row r="5" spans="1:13">
      <c r="A5" s="150">
        <v>1950</v>
      </c>
      <c r="B5" s="145">
        <v>6.402936288470688E-3</v>
      </c>
      <c r="C5" s="145">
        <v>6.479363919096909E-3</v>
      </c>
      <c r="D5" s="145">
        <v>6.7661244164316289E-3</v>
      </c>
      <c r="E5" s="145">
        <v>6.8330011792046225E-3</v>
      </c>
      <c r="F5" s="145">
        <v>6.8234434154179277E-3</v>
      </c>
      <c r="G5" s="145">
        <v>6.7756821802183245E-3</v>
      </c>
      <c r="H5" s="145">
        <v>6.8234434154179277E-3</v>
      </c>
      <c r="I5" s="145">
        <v>6.9380883093239911E-3</v>
      </c>
      <c r="J5" s="145">
        <v>7.1483660085647485E-3</v>
      </c>
      <c r="K5" s="145">
        <v>7.2630591740050878E-3</v>
      </c>
      <c r="L5" s="145">
        <v>7.3872549357643794E-3</v>
      </c>
      <c r="M5" s="145">
        <v>7.4637377338583428E-3</v>
      </c>
    </row>
    <row r="6" spans="1:13">
      <c r="A6" s="150">
        <v>1951</v>
      </c>
      <c r="B6" s="145">
        <v>7.6644093977781304E-3</v>
      </c>
      <c r="C6" s="145">
        <v>7.9797742271382564E-3</v>
      </c>
      <c r="D6" s="145">
        <v>8.3524649514181495E-3</v>
      </c>
      <c r="E6" s="145">
        <v>8.5627426506589069E-3</v>
      </c>
      <c r="F6" s="145">
        <v>8.7634212105121602E-3</v>
      </c>
      <c r="G6" s="145">
        <v>8.9067738754456498E-3</v>
      </c>
      <c r="H6" s="145">
        <v>8.81118934164523E-3</v>
      </c>
      <c r="I6" s="145">
        <v>8.6392254487528703E-3</v>
      </c>
      <c r="J6" s="145">
        <v>8.744312578872239E-3</v>
      </c>
      <c r="K6" s="145">
        <v>8.7825298421520832E-3</v>
      </c>
      <c r="L6" s="145">
        <v>8.964148041899692E-3</v>
      </c>
      <c r="M6" s="145">
        <v>8.9354333749387983E-3</v>
      </c>
    </row>
    <row r="7" spans="1:13">
      <c r="A7" s="150">
        <v>1952</v>
      </c>
      <c r="B7" s="145">
        <v>8.9449842427920239E-3</v>
      </c>
      <c r="C7" s="145">
        <v>8.8972230075924207E-3</v>
      </c>
      <c r="D7" s="145">
        <v>8.9832497776061448E-3</v>
      </c>
      <c r="E7" s="145">
        <v>9.0501265403791376E-3</v>
      </c>
      <c r="F7" s="145">
        <v>9.0214670408859891E-3</v>
      </c>
      <c r="G7" s="145">
        <v>9.0214670408859891E-3</v>
      </c>
      <c r="H7" s="145">
        <v>8.8972230075924207E-3</v>
      </c>
      <c r="I7" s="145">
        <v>8.8972230075924207E-3</v>
      </c>
      <c r="J7" s="145">
        <v>8.7538634467254663E-3</v>
      </c>
      <c r="K7" s="145">
        <v>8.8302910773516846E-3</v>
      </c>
      <c r="L7" s="145">
        <v>8.7920807100053087E-3</v>
      </c>
      <c r="M7" s="145">
        <v>8.744312578872239E-3</v>
      </c>
    </row>
    <row r="8" spans="1:13">
      <c r="A8" s="150">
        <v>1953</v>
      </c>
      <c r="B8" s="145">
        <v>8.6105107817919767E-3</v>
      </c>
      <c r="C8" s="145">
        <v>8.5436409149524523E-3</v>
      </c>
      <c r="D8" s="145">
        <v>8.5914090460855221E-3</v>
      </c>
      <c r="E8" s="145">
        <v>8.6200685455786723E-3</v>
      </c>
      <c r="F8" s="145">
        <v>8.744312578872239E-3</v>
      </c>
      <c r="G8" s="145">
        <v>8.7061022115258631E-3</v>
      </c>
      <c r="H8" s="145">
        <v>8.820740209498459E-3</v>
      </c>
      <c r="I8" s="145">
        <v>8.7920807100053087E-3</v>
      </c>
      <c r="J8" s="145">
        <v>8.8589574727783033E-3</v>
      </c>
      <c r="K8" s="145">
        <v>8.925882507085571E-3</v>
      </c>
      <c r="L8" s="145">
        <v>8.8016315778585378E-3</v>
      </c>
      <c r="M8" s="145">
        <v>8.8016315778585378E-3</v>
      </c>
    </row>
    <row r="9" spans="1:13">
      <c r="A9" s="150">
        <v>1954</v>
      </c>
      <c r="B9" s="145">
        <v>8.8016315778585378E-3</v>
      </c>
      <c r="C9" s="145">
        <v>8.8302910773516846E-3</v>
      </c>
      <c r="D9" s="145">
        <v>8.9163247432988754E-3</v>
      </c>
      <c r="E9" s="145">
        <v>9.1552688379662513E-3</v>
      </c>
      <c r="F9" s="145">
        <v>9.5948777006199439E-3</v>
      </c>
      <c r="G9" s="145">
        <v>9.7190734623792338E-3</v>
      </c>
      <c r="H9" s="145">
        <v>9.7286312261659295E-3</v>
      </c>
      <c r="I9" s="145">
        <v>9.8050588567921496E-3</v>
      </c>
      <c r="J9" s="145">
        <v>9.776399357299001E-3</v>
      </c>
      <c r="K9" s="145">
        <v>1.0005785688179681E-2</v>
      </c>
      <c r="L9" s="145">
        <v>1.0110921089833327E-2</v>
      </c>
      <c r="M9" s="145">
        <v>1.0235116851592617E-2</v>
      </c>
    </row>
    <row r="10" spans="1:13">
      <c r="A10" s="150">
        <v>1955</v>
      </c>
      <c r="B10" s="145">
        <v>1.031159964968658E-2</v>
      </c>
      <c r="C10" s="145">
        <v>1.0416735051340225E-2</v>
      </c>
      <c r="D10" s="145">
        <v>1.0626964479046706E-2</v>
      </c>
      <c r="E10" s="145">
        <v>1.074160937295277E-2</v>
      </c>
      <c r="F10" s="145">
        <v>1.0722500741312847E-2</v>
      </c>
      <c r="G10" s="145">
        <v>1.0789425775620117E-2</v>
      </c>
      <c r="H10" s="145">
        <v>1.0951887072193526E-2</v>
      </c>
      <c r="I10" s="145">
        <v>1.1066580237633867E-2</v>
      </c>
      <c r="J10" s="145">
        <v>1.1066580237633867E-2</v>
      </c>
      <c r="K10" s="145">
        <v>1.1181225131539929E-2</v>
      </c>
      <c r="L10" s="145">
        <v>1.1228986366739534E-2</v>
      </c>
      <c r="M10" s="145">
        <v>1.1200326867246386E-2</v>
      </c>
    </row>
    <row r="11" spans="1:13">
      <c r="A11" s="150">
        <v>1956</v>
      </c>
      <c r="B11" s="145">
        <v>1.1372394199140767E-2</v>
      </c>
      <c r="C11" s="145">
        <v>1.1477536496727879E-2</v>
      </c>
      <c r="D11" s="145">
        <v>1.1467978732941184E-2</v>
      </c>
      <c r="E11" s="145">
        <v>1.1534855495714176E-2</v>
      </c>
      <c r="F11" s="145">
        <v>1.1458372697620213E-2</v>
      </c>
      <c r="G11" s="145">
        <v>1.1362843331287538E-2</v>
      </c>
      <c r="H11" s="145">
        <v>1.1238592402060505E-2</v>
      </c>
      <c r="I11" s="145">
        <v>1.1267307069021397E-2</v>
      </c>
      <c r="J11" s="145">
        <v>1.1267307069021397E-2</v>
      </c>
      <c r="K11" s="145">
        <v>1.1190775999393157E-2</v>
      </c>
      <c r="L11" s="145">
        <v>1.1305517436367775E-2</v>
      </c>
      <c r="M11" s="145">
        <v>1.1391502830780689E-2</v>
      </c>
    </row>
    <row r="12" spans="1:13">
      <c r="A12" s="150">
        <v>1957</v>
      </c>
      <c r="B12" s="145">
        <v>1.1458372697620213E-2</v>
      </c>
      <c r="C12" s="145">
        <v>1.1467978732941184E-2</v>
      </c>
      <c r="D12" s="145">
        <v>1.1534855495714176E-2</v>
      </c>
      <c r="E12" s="145">
        <v>1.1697261624819842E-2</v>
      </c>
      <c r="F12" s="145">
        <v>1.1821560825581154E-2</v>
      </c>
      <c r="G12" s="145">
        <v>1.1802452193941233E-2</v>
      </c>
      <c r="H12" s="145">
        <v>1.1964913490514643E-2</v>
      </c>
      <c r="I12" s="145">
        <v>1.2165536882900152E-2</v>
      </c>
      <c r="J12" s="145">
        <v>1.2079558384420708E-2</v>
      </c>
      <c r="K12" s="145">
        <v>1.2089109252273933E-2</v>
      </c>
      <c r="L12" s="145">
        <v>1.2079558384420708E-2</v>
      </c>
      <c r="M12" s="145">
        <v>1.2098667016060629E-2</v>
      </c>
    </row>
    <row r="13" spans="1:13">
      <c r="A13" s="150">
        <v>1958</v>
      </c>
      <c r="B13" s="145">
        <v>1.2251625716315089E-2</v>
      </c>
      <c r="C13" s="145">
        <v>1.2213408453035245E-2</v>
      </c>
      <c r="D13" s="145">
        <v>1.2289836083661463E-2</v>
      </c>
      <c r="E13" s="145">
        <v>1.2414080116955032E-2</v>
      </c>
      <c r="F13" s="145">
        <v>1.2509616379221175E-2</v>
      </c>
      <c r="G13" s="145">
        <v>1.2480956879728023E-2</v>
      </c>
      <c r="H13" s="145">
        <v>1.2452297380234874E-2</v>
      </c>
      <c r="I13" s="145">
        <v>1.2394923213780834E-2</v>
      </c>
      <c r="J13" s="145">
        <v>1.2222959320888469E-2</v>
      </c>
      <c r="K13" s="145">
        <v>1.2318495583154614E-2</v>
      </c>
      <c r="L13" s="145">
        <v>1.2480956879728023E-2</v>
      </c>
      <c r="M13" s="145">
        <v>1.2538275878714323E-2</v>
      </c>
    </row>
    <row r="14" spans="1:13">
      <c r="A14" s="150">
        <v>1959</v>
      </c>
      <c r="B14" s="145">
        <v>1.2557384510354246E-2</v>
      </c>
      <c r="C14" s="145">
        <v>1.2547833642501015E-2</v>
      </c>
      <c r="D14" s="145">
        <v>1.261470350934054E-2</v>
      </c>
      <c r="E14" s="145">
        <v>1.261470350934054E-2</v>
      </c>
      <c r="F14" s="145">
        <v>1.2500065511367946E-2</v>
      </c>
      <c r="G14" s="145">
        <v>1.2509616379221175E-2</v>
      </c>
      <c r="H14" s="145">
        <v>1.2500065511367946E-2</v>
      </c>
      <c r="I14" s="145">
        <v>1.2538275878714323E-2</v>
      </c>
      <c r="J14" s="145">
        <v>1.2337604214794537E-2</v>
      </c>
      <c r="K14" s="145">
        <v>1.2442746512381647E-2</v>
      </c>
      <c r="L14" s="145">
        <v>1.2538275878714323E-2</v>
      </c>
      <c r="M14" s="145">
        <v>1.2576493141994166E-2</v>
      </c>
    </row>
    <row r="15" spans="1:13">
      <c r="A15" s="150">
        <v>1960</v>
      </c>
      <c r="B15" s="145">
        <v>1.2662575079475633E-2</v>
      </c>
      <c r="C15" s="145">
        <v>1.2672132843262327E-2</v>
      </c>
      <c r="D15" s="145">
        <v>1.2977891637301484E-2</v>
      </c>
      <c r="E15" s="145">
        <v>1.3245495231462007E-2</v>
      </c>
      <c r="F15" s="145">
        <v>1.3197727100328936E-2</v>
      </c>
      <c r="G15" s="145">
        <v>1.318816933654224E-2</v>
      </c>
      <c r="H15" s="145">
        <v>1.3283705598808381E-2</v>
      </c>
      <c r="I15" s="145">
        <v>1.3331473729941454E-2</v>
      </c>
      <c r="J15" s="145">
        <v>1.3398398764248722E-2</v>
      </c>
      <c r="K15" s="145">
        <v>1.3245495231462007E-2</v>
      </c>
      <c r="L15" s="145">
        <v>1.3197727100328936E-2</v>
      </c>
      <c r="M15" s="145">
        <v>1.3255046099315231E-2</v>
      </c>
    </row>
    <row r="16" spans="1:13">
      <c r="A16" s="150">
        <v>1961</v>
      </c>
      <c r="B16" s="145">
        <v>1.3293263362595077E-2</v>
      </c>
      <c r="C16" s="145">
        <v>1.3274154730955154E-2</v>
      </c>
      <c r="D16" s="145">
        <v>1.3245495231462007E-2</v>
      </c>
      <c r="E16" s="145">
        <v>1.3331473729941454E-2</v>
      </c>
      <c r="F16" s="145">
        <v>1.3331473729941454E-2</v>
      </c>
      <c r="G16" s="145">
        <v>1.3341024597794682E-2</v>
      </c>
      <c r="H16" s="145">
        <v>1.3302814230448304E-2</v>
      </c>
      <c r="I16" s="145">
        <v>1.3207277968182161E-2</v>
      </c>
      <c r="J16" s="145">
        <v>1.3169067600835787E-2</v>
      </c>
      <c r="K16" s="145">
        <v>1.3178618468689013E-2</v>
      </c>
      <c r="L16" s="145">
        <v>1.3245495231462007E-2</v>
      </c>
      <c r="M16" s="145">
        <v>1.3255046099315231E-2</v>
      </c>
    </row>
    <row r="17" spans="1:13">
      <c r="A17" s="150">
        <v>1962</v>
      </c>
      <c r="B17" s="145">
        <v>1.3207277968182161E-2</v>
      </c>
      <c r="C17" s="145">
        <v>1.3283705598808381E-2</v>
      </c>
      <c r="D17" s="145">
        <v>1.3398398764248722E-2</v>
      </c>
      <c r="E17" s="145">
        <v>1.3503485894368091E-2</v>
      </c>
      <c r="F17" s="145">
        <v>1.3484384158661636E-2</v>
      </c>
      <c r="G17" s="145">
        <v>1.3503485894368091E-2</v>
      </c>
      <c r="H17" s="145">
        <v>1.3580016963996331E-2</v>
      </c>
      <c r="I17" s="145">
        <v>1.3608676463489481E-2</v>
      </c>
      <c r="J17" s="145">
        <v>1.3675553226262472E-2</v>
      </c>
      <c r="K17" s="145">
        <v>1.3618234227276175E-2</v>
      </c>
      <c r="L17" s="145">
        <v>1.3618234227276175E-2</v>
      </c>
      <c r="M17" s="145">
        <v>1.3560860060822135E-2</v>
      </c>
    </row>
    <row r="18" spans="1:13">
      <c r="A18" s="150">
        <v>1963</v>
      </c>
      <c r="B18" s="145">
        <v>1.3532152289794708E-2</v>
      </c>
      <c r="C18" s="145">
        <v>1.3589574727783025E-2</v>
      </c>
      <c r="D18" s="145">
        <v>1.3589574727783025E-2</v>
      </c>
      <c r="E18" s="145">
        <v>1.3608676463489481E-2</v>
      </c>
      <c r="F18" s="145">
        <v>1.3646893726769325E-2</v>
      </c>
      <c r="G18" s="145">
        <v>1.3589574727783025E-2</v>
      </c>
      <c r="H18" s="145">
        <v>1.3627785095129403E-2</v>
      </c>
      <c r="I18" s="145">
        <v>1.3580016963996331E-2</v>
      </c>
      <c r="J18" s="145">
        <v>1.3570410928675359E-2</v>
      </c>
      <c r="K18" s="145">
        <v>1.352259452600801E-2</v>
      </c>
      <c r="L18" s="145">
        <v>1.3513043658154783E-2</v>
      </c>
      <c r="M18" s="145">
        <v>1.3608676463489481E-2</v>
      </c>
    </row>
    <row r="19" spans="1:13">
      <c r="A19" s="150">
        <v>1964</v>
      </c>
      <c r="B19" s="145">
        <v>1.3771089488528614E-2</v>
      </c>
      <c r="C19" s="145">
        <v>1.4029135318902443E-2</v>
      </c>
      <c r="D19" s="145">
        <v>1.4000420651941549E-2</v>
      </c>
      <c r="E19" s="145">
        <v>1.4076951721569791E-2</v>
      </c>
      <c r="F19" s="145">
        <v>1.4115168984849633E-2</v>
      </c>
      <c r="G19" s="145">
        <v>1.4124719852702861E-2</v>
      </c>
      <c r="H19" s="145">
        <v>1.4258473378248846E-2</v>
      </c>
      <c r="I19" s="145">
        <v>1.4411376911035561E-2</v>
      </c>
      <c r="J19" s="145">
        <v>1.4210705247115775E-2</v>
      </c>
      <c r="K19" s="145">
        <v>1.4191596615475852E-2</v>
      </c>
      <c r="L19" s="145">
        <v>1.4334949280409343E-2</v>
      </c>
      <c r="M19" s="145">
        <v>1.436360877990249E-2</v>
      </c>
    </row>
    <row r="20" spans="1:13">
      <c r="A20" s="150">
        <v>1965</v>
      </c>
      <c r="B20" s="145">
        <v>1.429668374559522E-2</v>
      </c>
      <c r="C20" s="145">
        <v>1.4354057912049264E-2</v>
      </c>
      <c r="D20" s="145">
        <v>1.4401826043182334E-2</v>
      </c>
      <c r="E20" s="145">
        <v>1.4468751077489605E-2</v>
      </c>
      <c r="F20" s="145">
        <v>1.4478301945342831E-2</v>
      </c>
      <c r="G20" s="145">
        <v>1.4497410576982755E-2</v>
      </c>
      <c r="H20" s="145">
        <v>1.4430485542675484E-2</v>
      </c>
      <c r="I20" s="145">
        <v>1.439226827939564E-2</v>
      </c>
      <c r="J20" s="145">
        <v>1.4449594174315404E-2</v>
      </c>
      <c r="K20" s="145">
        <v>1.4440036410528712E-2</v>
      </c>
      <c r="L20" s="145">
        <v>1.439226827939564E-2</v>
      </c>
      <c r="M20" s="145">
        <v>1.439226827939564E-2</v>
      </c>
    </row>
    <row r="21" spans="1:13">
      <c r="A21" s="150">
        <v>1966</v>
      </c>
      <c r="B21" s="145">
        <v>1.4440036410528712E-2</v>
      </c>
      <c r="C21" s="145">
        <v>1.4430485542675484E-2</v>
      </c>
      <c r="D21" s="145">
        <v>1.4401826043182334E-2</v>
      </c>
      <c r="E21" s="145">
        <v>1.4487859709129528E-2</v>
      </c>
      <c r="F21" s="145">
        <v>1.4487859709129528E-2</v>
      </c>
      <c r="G21" s="145">
        <v>1.4545226979650099E-2</v>
      </c>
      <c r="H21" s="145">
        <v>1.4640763241916243E-2</v>
      </c>
      <c r="I21" s="145">
        <v>1.4726741740395689E-2</v>
      </c>
      <c r="J21" s="145">
        <v>1.4726741740395689E-2</v>
      </c>
      <c r="K21" s="145">
        <v>1.4774565038996502E-2</v>
      </c>
      <c r="L21" s="145">
        <v>1.4793673670636425E-2</v>
      </c>
      <c r="M21" s="145">
        <v>1.4803224538489652E-2</v>
      </c>
    </row>
    <row r="22" spans="1:13">
      <c r="A22" s="150">
        <v>1967</v>
      </c>
      <c r="B22" s="145">
        <v>1.4917869432395713E-2</v>
      </c>
      <c r="C22" s="145">
        <v>1.5013502237730411E-2</v>
      </c>
      <c r="D22" s="145">
        <v>1.5042161737223558E-2</v>
      </c>
      <c r="E22" s="145">
        <v>1.5023060001517107E-2</v>
      </c>
      <c r="F22" s="145">
        <v>1.4927468571783217E-2</v>
      </c>
      <c r="G22" s="145">
        <v>1.4850992669622722E-2</v>
      </c>
      <c r="H22" s="145">
        <v>1.4956128071276368E-2</v>
      </c>
      <c r="I22" s="145">
        <v>1.5013502237730411E-2</v>
      </c>
      <c r="J22" s="145">
        <v>1.5128147131636472E-2</v>
      </c>
      <c r="K22" s="145">
        <v>1.5175915262769546E-2</v>
      </c>
      <c r="L22" s="145">
        <v>1.5147248867342927E-2</v>
      </c>
      <c r="M22" s="145">
        <v>1.5061270368863481E-2</v>
      </c>
    </row>
    <row r="23" spans="1:13">
      <c r="A23" s="150">
        <v>1968</v>
      </c>
      <c r="B23" s="145">
        <v>1.5099487632143326E-2</v>
      </c>
      <c r="C23" s="145">
        <v>1.5099487632143326E-2</v>
      </c>
      <c r="D23" s="145">
        <v>1.5223683393902617E-2</v>
      </c>
      <c r="E23" s="145">
        <v>1.5338376559342955E-2</v>
      </c>
      <c r="F23" s="145">
        <v>1.5453069724783292E-2</v>
      </c>
      <c r="G23" s="145">
        <v>1.5328818795556261E-2</v>
      </c>
      <c r="H23" s="145">
        <v>1.5290608428209885E-2</v>
      </c>
      <c r="I23" s="145">
        <v>1.5367036058836105E-2</v>
      </c>
      <c r="J23" s="145">
        <v>1.5414852461503451E-2</v>
      </c>
      <c r="K23" s="145">
        <v>1.5367036058836105E-2</v>
      </c>
      <c r="L23" s="145">
        <v>1.5395743829863529E-2</v>
      </c>
      <c r="M23" s="145">
        <v>1.5367036058836105E-2</v>
      </c>
    </row>
    <row r="24" spans="1:13">
      <c r="A24" s="150">
        <v>1969</v>
      </c>
      <c r="B24" s="145">
        <v>1.1594842385E-2</v>
      </c>
      <c r="C24" s="145">
        <v>1.1636457742000001E-2</v>
      </c>
      <c r="D24" s="145">
        <v>1.1647943020999999E-2</v>
      </c>
      <c r="E24" s="145">
        <v>1.1679513290999999E-2</v>
      </c>
      <c r="F24" s="145">
        <v>1.1679513290999999E-2</v>
      </c>
      <c r="G24" s="145">
        <v>1.1721133829E-2</v>
      </c>
      <c r="H24" s="145">
        <v>1.176562439E-2</v>
      </c>
      <c r="I24" s="145">
        <v>1.1778544681E-2</v>
      </c>
      <c r="J24" s="145">
        <v>1.1889050989E-2</v>
      </c>
      <c r="K24" s="145">
        <v>1.2013912601E-2</v>
      </c>
      <c r="L24" s="145">
        <v>1.2015347613000001E-2</v>
      </c>
      <c r="M24" s="145">
        <v>1.2105763748999999E-2</v>
      </c>
    </row>
    <row r="25" spans="1:13">
      <c r="A25" s="150">
        <v>1970</v>
      </c>
      <c r="B25" s="145">
        <v>1.2197614896999999E-2</v>
      </c>
      <c r="C25" s="145">
        <v>1.2196179885E-2</v>
      </c>
      <c r="D25" s="145">
        <v>1.2232060373E-2</v>
      </c>
      <c r="E25" s="145">
        <v>1.2247845508E-2</v>
      </c>
      <c r="F25" s="145">
        <v>1.2273680909999999E-2</v>
      </c>
      <c r="G25" s="145">
        <v>1.2348311911E-2</v>
      </c>
      <c r="H25" s="145">
        <v>1.2408587608E-2</v>
      </c>
      <c r="I25" s="145">
        <v>1.2465993280999999E-2</v>
      </c>
      <c r="J25" s="145">
        <v>1.249613372E-2</v>
      </c>
      <c r="K25" s="145">
        <v>1.2500438756E-2</v>
      </c>
      <c r="L25" s="145">
        <v>1.2567894695E-2</v>
      </c>
      <c r="M25" s="145">
        <v>1.2674095967000001E-2</v>
      </c>
    </row>
    <row r="26" spans="1:13">
      <c r="A26" s="150">
        <v>1971</v>
      </c>
      <c r="B26" s="145">
        <v>1.2798957579E-2</v>
      </c>
      <c r="C26" s="145">
        <v>1.2852058214E-2</v>
      </c>
      <c r="D26" s="145">
        <v>1.2900853812999999E-2</v>
      </c>
      <c r="E26" s="145">
        <v>1.2966874739E-2</v>
      </c>
      <c r="F26" s="145">
        <v>1.2994145154000001E-2</v>
      </c>
      <c r="G26" s="145">
        <v>1.3052985838000001E-2</v>
      </c>
      <c r="H26" s="145">
        <v>1.3042940752E-2</v>
      </c>
      <c r="I26" s="145">
        <v>1.3162057134E-2</v>
      </c>
      <c r="J26" s="145">
        <v>1.3205112683E-2</v>
      </c>
      <c r="K26" s="145">
        <v>1.3218032974E-2</v>
      </c>
      <c r="L26" s="145">
        <v>1.3239558158999999E-2</v>
      </c>
      <c r="M26" s="145">
        <v>1.3302709062E-2</v>
      </c>
    </row>
    <row r="27" spans="1:13">
      <c r="A27" s="150">
        <v>1972</v>
      </c>
      <c r="B27" s="145">
        <v>1.3361549746E-2</v>
      </c>
      <c r="C27" s="145">
        <v>1.3403170284E-2</v>
      </c>
      <c r="D27" s="145">
        <v>1.3476366272000001E-2</v>
      </c>
      <c r="E27" s="145">
        <v>1.3561042358E-2</v>
      </c>
      <c r="F27" s="145">
        <v>1.3588307592E-2</v>
      </c>
      <c r="G27" s="145">
        <v>1.3688768814E-2</v>
      </c>
      <c r="H27" s="145">
        <v>1.3740439618E-2</v>
      </c>
      <c r="I27" s="145">
        <v>1.3830855754000001E-2</v>
      </c>
      <c r="J27" s="145">
        <v>1.3894001475000001E-2</v>
      </c>
      <c r="K27" s="145">
        <v>1.3904046562E-2</v>
      </c>
      <c r="L27" s="145">
        <v>1.3994462698000001E-2</v>
      </c>
      <c r="M27" s="145">
        <v>1.4041828465E-2</v>
      </c>
    </row>
    <row r="28" spans="1:13">
      <c r="A28" s="150">
        <v>1973</v>
      </c>
      <c r="B28" s="145">
        <v>1.4245620933999999E-2</v>
      </c>
      <c r="C28" s="145">
        <v>1.4363307483E-2</v>
      </c>
      <c r="D28" s="145">
        <v>1.4489604107000001E-2</v>
      </c>
      <c r="E28" s="145">
        <v>1.4719231978E-2</v>
      </c>
      <c r="F28" s="145">
        <v>1.4875669039999999E-2</v>
      </c>
      <c r="G28" s="145">
        <v>1.4997655447E-2</v>
      </c>
      <c r="H28" s="145">
        <v>1.5382285367999999E-2</v>
      </c>
      <c r="I28" s="145">
        <v>1.5629138567E-2</v>
      </c>
      <c r="J28" s="145">
        <v>1.6000848195999999E-2</v>
      </c>
      <c r="K28" s="145">
        <v>1.6206080857E-2</v>
      </c>
      <c r="L28" s="145">
        <v>1.640557347E-2</v>
      </c>
      <c r="M28" s="145">
        <v>1.7042791458000001E-2</v>
      </c>
    </row>
    <row r="29" spans="1:13">
      <c r="A29" s="150">
        <v>1974</v>
      </c>
      <c r="B29" s="145">
        <v>1.7652744211999999E-2</v>
      </c>
      <c r="C29" s="145">
        <v>1.8051724256000001E-2</v>
      </c>
      <c r="D29" s="145">
        <v>1.8190941171000001E-2</v>
      </c>
      <c r="E29" s="145">
        <v>1.8437789190000001E-2</v>
      </c>
      <c r="F29" s="145">
        <v>1.8582746154000001E-2</v>
      </c>
      <c r="G29" s="145">
        <v>1.8766448450000001E-2</v>
      </c>
      <c r="H29" s="145">
        <v>1.9037696858000001E-2</v>
      </c>
      <c r="I29" s="145">
        <v>1.9238624482000002E-2</v>
      </c>
      <c r="J29" s="145">
        <v>1.9456772255000001E-2</v>
      </c>
      <c r="K29" s="145">
        <v>1.9842832008000001E-2</v>
      </c>
      <c r="L29" s="145">
        <v>2.0393944077000001E-2</v>
      </c>
      <c r="M29" s="145">
        <v>2.0553251163999999E-2</v>
      </c>
    </row>
    <row r="30" spans="1:13">
      <c r="A30" s="150">
        <v>1975</v>
      </c>
      <c r="B30" s="145">
        <v>2.0815889497999999E-2</v>
      </c>
      <c r="C30" s="145">
        <v>2.0930700843E-2</v>
      </c>
      <c r="D30" s="145">
        <v>2.1062737517E-2</v>
      </c>
      <c r="E30" s="145">
        <v>2.1240699762999998E-2</v>
      </c>
      <c r="F30" s="145">
        <v>2.1524868462999999E-2</v>
      </c>
      <c r="G30" s="145">
        <v>2.1890838042999999E-2</v>
      </c>
      <c r="H30" s="145">
        <v>2.2065930264999999E-2</v>
      </c>
      <c r="I30" s="145">
        <v>2.2256812803999999E-2</v>
      </c>
      <c r="J30" s="145">
        <v>2.2418984735000001E-2</v>
      </c>
      <c r="K30" s="145">
        <v>2.2533801260999999E-2</v>
      </c>
      <c r="L30" s="145">
        <v>2.2691673336000001E-2</v>
      </c>
      <c r="M30" s="145">
        <v>2.2876810644E-2</v>
      </c>
    </row>
    <row r="31" spans="1:13">
      <c r="A31" s="150">
        <v>1976</v>
      </c>
      <c r="B31" s="145">
        <v>2.3318846237999999E-2</v>
      </c>
      <c r="C31" s="145">
        <v>2.3755141782E-2</v>
      </c>
      <c r="D31" s="145">
        <v>2.3987639676999999E-2</v>
      </c>
      <c r="E31" s="145">
        <v>2.4155556839E-2</v>
      </c>
      <c r="F31" s="145">
        <v>2.4324909012E-2</v>
      </c>
      <c r="G31" s="145">
        <v>2.4422500209000001E-2</v>
      </c>
      <c r="H31" s="145">
        <v>2.4629167883E-2</v>
      </c>
      <c r="I31" s="145">
        <v>2.4864535803E-2</v>
      </c>
      <c r="J31" s="145">
        <v>2.5712731682000001E-2</v>
      </c>
      <c r="K31" s="145">
        <v>2.7160830048999999E-2</v>
      </c>
      <c r="L31" s="145">
        <v>2.8387910620000002E-2</v>
      </c>
      <c r="M31" s="145">
        <v>2.9099759608E-2</v>
      </c>
    </row>
    <row r="32" spans="1:13">
      <c r="A32" s="150">
        <v>1977</v>
      </c>
      <c r="B32" s="145">
        <v>3.0026891524999998E-2</v>
      </c>
      <c r="C32" s="145">
        <v>3.0689944915999998E-2</v>
      </c>
      <c r="D32" s="145">
        <v>3.1225266668999999E-2</v>
      </c>
      <c r="E32" s="145">
        <v>3.1697442701999999E-2</v>
      </c>
      <c r="F32" s="145">
        <v>3.1975866170999998E-2</v>
      </c>
      <c r="G32" s="145">
        <v>3.2367671153000002E-2</v>
      </c>
      <c r="H32" s="145">
        <v>3.2733645913999999E-2</v>
      </c>
      <c r="I32" s="145">
        <v>3.3405309378E-2</v>
      </c>
      <c r="J32" s="145">
        <v>3.3998041984999998E-2</v>
      </c>
      <c r="K32" s="145">
        <v>3.4257810293999998E-2</v>
      </c>
      <c r="L32" s="145">
        <v>3.4632389947999997E-2</v>
      </c>
      <c r="M32" s="145">
        <v>3.5111741042000003E-2</v>
      </c>
    </row>
    <row r="33" spans="1:13">
      <c r="A33" s="150">
        <v>1978</v>
      </c>
      <c r="B33" s="145">
        <v>3.5892480982999998E-2</v>
      </c>
      <c r="C33" s="145">
        <v>3.6407712565E-2</v>
      </c>
      <c r="D33" s="145">
        <v>3.6786597256000003E-2</v>
      </c>
      <c r="E33" s="145">
        <v>3.7195627565999999E-2</v>
      </c>
      <c r="F33" s="145">
        <v>3.7560162134E-2</v>
      </c>
      <c r="G33" s="145">
        <v>3.8076828728000001E-2</v>
      </c>
      <c r="H33" s="145">
        <v>3.8722661971000001E-2</v>
      </c>
      <c r="I33" s="145">
        <v>3.9108726904000003E-2</v>
      </c>
      <c r="J33" s="145">
        <v>3.9555067534000003E-2</v>
      </c>
      <c r="K33" s="145">
        <v>4.0034418628000001E-2</v>
      </c>
      <c r="L33" s="145">
        <v>4.0446313781999997E-2</v>
      </c>
      <c r="M33" s="145">
        <v>4.0789323166000001E-2</v>
      </c>
    </row>
    <row r="34" spans="1:13">
      <c r="A34" s="150">
        <v>1979</v>
      </c>
      <c r="B34" s="145">
        <v>4.2237421534000001E-2</v>
      </c>
      <c r="C34" s="145">
        <v>4.2844504263000002E-2</v>
      </c>
      <c r="D34" s="145">
        <v>4.3425751590999997E-2</v>
      </c>
      <c r="E34" s="145">
        <v>4.3814686550000002E-2</v>
      </c>
      <c r="F34" s="145">
        <v>4.4388763996000002E-2</v>
      </c>
      <c r="G34" s="145">
        <v>4.4881030200999997E-2</v>
      </c>
      <c r="H34" s="145">
        <v>4.5424962027999997E-2</v>
      </c>
      <c r="I34" s="145">
        <v>4.6112415807999997E-2</v>
      </c>
      <c r="J34" s="145">
        <v>4.6677878000999998E-2</v>
      </c>
      <c r="K34" s="145">
        <v>4.7493063416999999E-2</v>
      </c>
      <c r="L34" s="145">
        <v>4.8104451184000002E-2</v>
      </c>
      <c r="M34" s="145">
        <v>4.8955511907000003E-2</v>
      </c>
    </row>
    <row r="35" spans="1:13">
      <c r="A35" s="150">
        <v>1980</v>
      </c>
      <c r="B35" s="145">
        <v>5.1342222290000003E-2</v>
      </c>
      <c r="C35" s="145">
        <v>5.2529117335E-2</v>
      </c>
      <c r="D35" s="145">
        <v>5.3609811108999997E-2</v>
      </c>
      <c r="E35" s="145">
        <v>5.4546982931999999E-2</v>
      </c>
      <c r="F35" s="145">
        <v>5.5436799348999997E-2</v>
      </c>
      <c r="G35" s="145">
        <v>5.6536148283E-2</v>
      </c>
      <c r="H35" s="145">
        <v>5.8114848311E-2</v>
      </c>
      <c r="I35" s="145">
        <v>5.9318963503999997E-2</v>
      </c>
      <c r="J35" s="145">
        <v>5.9977717037999999E-2</v>
      </c>
      <c r="K35" s="145">
        <v>6.0886183433999999E-2</v>
      </c>
      <c r="L35" s="145">
        <v>6.1942481999000001E-2</v>
      </c>
      <c r="M35" s="145">
        <v>6.3567107600999997E-2</v>
      </c>
    </row>
    <row r="36" spans="1:13">
      <c r="A36" s="150">
        <v>1981</v>
      </c>
      <c r="B36" s="145">
        <v>6.5615113636999997E-2</v>
      </c>
      <c r="C36" s="145">
        <v>6.7226824128999996E-2</v>
      </c>
      <c r="D36" s="145">
        <v>6.8664872229000001E-2</v>
      </c>
      <c r="E36" s="145">
        <v>7.0213436998999998E-2</v>
      </c>
      <c r="F36" s="145">
        <v>7.1275470431999999E-2</v>
      </c>
      <c r="G36" s="145">
        <v>7.2271488120999997E-2</v>
      </c>
      <c r="H36" s="145">
        <v>7.3544494264999996E-2</v>
      </c>
      <c r="I36" s="145">
        <v>7.5060048571000001E-2</v>
      </c>
      <c r="J36" s="145">
        <v>7.6456481315000005E-2</v>
      </c>
      <c r="K36" s="145">
        <v>7.8152867892999994E-2</v>
      </c>
      <c r="L36" s="145">
        <v>7.9656936920999996E-2</v>
      </c>
      <c r="M36" s="145">
        <v>8.1801099141000005E-2</v>
      </c>
    </row>
    <row r="37" spans="1:13">
      <c r="A37" s="150">
        <v>1982</v>
      </c>
      <c r="B37" s="145">
        <v>8.5865535761999998E-2</v>
      </c>
      <c r="C37" s="145">
        <v>8.9239653757999998E-2</v>
      </c>
      <c r="D37" s="145">
        <v>9.2498950048999995E-2</v>
      </c>
      <c r="E37" s="145">
        <v>9.7512043770000001E-2</v>
      </c>
      <c r="F37" s="145">
        <v>0.10299300848700001</v>
      </c>
      <c r="G37" s="145">
        <v>0.107954431404</v>
      </c>
      <c r="H37" s="145">
        <v>0.11351720218399999</v>
      </c>
      <c r="I37" s="145">
        <v>0.126255878884</v>
      </c>
      <c r="J37" s="145">
        <v>0.132995499623</v>
      </c>
      <c r="K37" s="145">
        <v>0.13989011723100001</v>
      </c>
      <c r="L37" s="145">
        <v>0.14696269708699999</v>
      </c>
      <c r="M37" s="145">
        <v>0.16265641638700001</v>
      </c>
    </row>
    <row r="38" spans="1:13">
      <c r="A38" s="150">
        <v>1983</v>
      </c>
      <c r="B38" s="145">
        <v>0.18035508617400001</v>
      </c>
      <c r="C38" s="145">
        <v>0.190033959196</v>
      </c>
      <c r="D38" s="145">
        <v>0.19923204611199999</v>
      </c>
      <c r="E38" s="145">
        <v>0.211845861202</v>
      </c>
      <c r="F38" s="145">
        <v>0.22103390303199999</v>
      </c>
      <c r="G38" s="145">
        <v>0.22940388942199999</v>
      </c>
      <c r="H38" s="145">
        <v>0.240746133379</v>
      </c>
      <c r="I38" s="145">
        <v>0.25009060709100001</v>
      </c>
      <c r="J38" s="145">
        <v>0.25778749500499998</v>
      </c>
      <c r="K38" s="145">
        <v>0.26634117851099998</v>
      </c>
      <c r="L38" s="145">
        <v>0.28198323736800002</v>
      </c>
      <c r="M38" s="145">
        <v>0.29404738058000002</v>
      </c>
    </row>
    <row r="39" spans="1:13">
      <c r="A39" s="150">
        <v>1984</v>
      </c>
      <c r="B39" s="145">
        <v>0.31272771793199999</v>
      </c>
      <c r="C39" s="145">
        <v>0.32923231761100002</v>
      </c>
      <c r="D39" s="145">
        <v>0.34330428133399998</v>
      </c>
      <c r="E39" s="145">
        <v>0.35815554998400001</v>
      </c>
      <c r="F39" s="145">
        <v>0.370031685863</v>
      </c>
      <c r="G39" s="145">
        <v>0.38342337604799998</v>
      </c>
      <c r="H39" s="145">
        <v>0.39599270575599999</v>
      </c>
      <c r="I39" s="145">
        <v>0.40724883861299999</v>
      </c>
      <c r="J39" s="145">
        <v>0.419380437765</v>
      </c>
      <c r="K39" s="145">
        <v>0.434033653997</v>
      </c>
      <c r="L39" s="145">
        <v>0.44892941320899998</v>
      </c>
      <c r="M39" s="145">
        <v>0.46799581549399999</v>
      </c>
    </row>
    <row r="40" spans="1:13">
      <c r="A40" s="150">
        <v>1985</v>
      </c>
      <c r="B40" s="145">
        <v>0.50271144651599997</v>
      </c>
      <c r="C40" s="145">
        <v>0.52359622178499998</v>
      </c>
      <c r="D40" s="145">
        <v>0.54388539960299997</v>
      </c>
      <c r="E40" s="145">
        <v>0.56062106216600005</v>
      </c>
      <c r="F40" s="145">
        <v>0.57390224086300001</v>
      </c>
      <c r="G40" s="145">
        <v>0.58827559343199998</v>
      </c>
      <c r="H40" s="145">
        <v>0.60876282367000001</v>
      </c>
      <c r="I40" s="145">
        <v>0.63537685186600001</v>
      </c>
      <c r="J40" s="145">
        <v>0.66075231421400005</v>
      </c>
      <c r="K40" s="145">
        <v>0.685852223117</v>
      </c>
      <c r="L40" s="145">
        <v>0.71749512498900003</v>
      </c>
      <c r="M40" s="145">
        <v>0.76634013058899997</v>
      </c>
    </row>
    <row r="41" spans="1:13">
      <c r="A41" s="150">
        <v>1986</v>
      </c>
      <c r="B41" s="145">
        <v>0.83409223138499999</v>
      </c>
      <c r="C41" s="145">
        <v>0.87117447743800003</v>
      </c>
      <c r="D41" s="145">
        <v>0.91166671679400002</v>
      </c>
      <c r="E41" s="145">
        <v>0.95926311145800003</v>
      </c>
      <c r="F41" s="145">
        <v>1.0125700987090001</v>
      </c>
      <c r="G41" s="145">
        <v>1.0775666443359999</v>
      </c>
      <c r="H41" s="145">
        <v>1.131332892509</v>
      </c>
      <c r="I41" s="145">
        <v>1.221531243274</v>
      </c>
      <c r="J41" s="145">
        <v>1.2948116693730001</v>
      </c>
      <c r="K41" s="145">
        <v>1.3688240294530001</v>
      </c>
      <c r="L41" s="145">
        <v>1.4613043243420001</v>
      </c>
      <c r="M41" s="145">
        <v>1.576734625864</v>
      </c>
    </row>
    <row r="42" spans="1:13">
      <c r="A42" s="150">
        <v>1987</v>
      </c>
      <c r="B42" s="145">
        <v>1.7044012927959999</v>
      </c>
      <c r="C42" s="145">
        <v>1.8273863901109999</v>
      </c>
      <c r="D42" s="145">
        <v>1.948152699385</v>
      </c>
      <c r="E42" s="145">
        <v>2.1186064597269998</v>
      </c>
      <c r="F42" s="145">
        <v>2.2783250588419999</v>
      </c>
      <c r="G42" s="145">
        <v>2.443145732803</v>
      </c>
      <c r="H42" s="145">
        <v>2.641021526516</v>
      </c>
      <c r="I42" s="145">
        <v>2.8568715486410001</v>
      </c>
      <c r="J42" s="145">
        <v>3.0450813948030002</v>
      </c>
      <c r="K42" s="145">
        <v>3.2988446335320001</v>
      </c>
      <c r="L42" s="145">
        <v>3.560511422667</v>
      </c>
      <c r="M42" s="145">
        <v>4.0863924586009999</v>
      </c>
    </row>
    <row r="43" spans="1:13">
      <c r="A43" s="150">
        <v>1988</v>
      </c>
      <c r="B43" s="145">
        <v>4.7182459356499997</v>
      </c>
      <c r="C43" s="145">
        <v>5.1117830400719999</v>
      </c>
      <c r="D43" s="145">
        <v>5.3735474255859996</v>
      </c>
      <c r="E43" s="145">
        <v>5.538940736801</v>
      </c>
      <c r="F43" s="145">
        <v>5.6461086882159996</v>
      </c>
      <c r="G43" s="145">
        <v>5.7612921365389997</v>
      </c>
      <c r="H43" s="145">
        <v>5.857456543164</v>
      </c>
      <c r="I43" s="145">
        <v>5.9113433427300004</v>
      </c>
      <c r="J43" s="145">
        <v>5.9451390220790001</v>
      </c>
      <c r="K43" s="145">
        <v>5.9904864830819999</v>
      </c>
      <c r="L43" s="145">
        <v>6.0706543465480003</v>
      </c>
      <c r="M43" s="145">
        <v>6.1973163857179996</v>
      </c>
    </row>
    <row r="44" spans="1:13">
      <c r="A44" s="150">
        <v>1989</v>
      </c>
      <c r="B44" s="145">
        <v>6.349023792963</v>
      </c>
      <c r="C44" s="145">
        <v>6.4351835425089998</v>
      </c>
      <c r="D44" s="145">
        <v>6.5049448988289997</v>
      </c>
      <c r="E44" s="145">
        <v>6.6022244447040004</v>
      </c>
      <c r="F44" s="145">
        <v>6.6930987691499997</v>
      </c>
      <c r="G44" s="145">
        <v>6.7743846367099998</v>
      </c>
      <c r="H44" s="145">
        <v>6.8421482176049997</v>
      </c>
      <c r="I44" s="145">
        <v>6.9073327757470002</v>
      </c>
      <c r="J44" s="145">
        <v>6.9733927950019998</v>
      </c>
      <c r="K44" s="145">
        <v>7.0765250152229999</v>
      </c>
      <c r="L44" s="145">
        <v>7.175855437159</v>
      </c>
      <c r="M44" s="145">
        <v>7.4180295787319999</v>
      </c>
    </row>
    <row r="45" spans="1:13">
      <c r="A45" s="150">
        <v>1990</v>
      </c>
      <c r="B45" s="145">
        <v>7.7760373017279996</v>
      </c>
      <c r="C45" s="145">
        <v>7.9521198537759998</v>
      </c>
      <c r="D45" s="145">
        <v>8.0923099196599999</v>
      </c>
      <c r="E45" s="145">
        <v>8.2154715493909993</v>
      </c>
      <c r="F45" s="145">
        <v>8.3588376756719995</v>
      </c>
      <c r="G45" s="145">
        <v>8.5429385894719996</v>
      </c>
      <c r="H45" s="145">
        <v>8.6987348337260002</v>
      </c>
      <c r="I45" s="145">
        <v>8.8469504416049993</v>
      </c>
      <c r="J45" s="145">
        <v>8.9730613687050003</v>
      </c>
      <c r="K45" s="145">
        <v>9.102059887647</v>
      </c>
      <c r="L45" s="145">
        <v>9.3437231026759999</v>
      </c>
      <c r="M45" s="145">
        <v>9.6382139538609994</v>
      </c>
    </row>
    <row r="46" spans="1:13">
      <c r="A46" s="150">
        <v>1991</v>
      </c>
      <c r="B46" s="145">
        <v>9.8838798948009998</v>
      </c>
      <c r="C46" s="145">
        <v>10.056424721909</v>
      </c>
      <c r="D46" s="145">
        <v>10.199839643789</v>
      </c>
      <c r="E46" s="145">
        <v>10.306687551197999</v>
      </c>
      <c r="F46" s="145">
        <v>10.407441671111</v>
      </c>
      <c r="G46" s="145">
        <v>10.516647583476001</v>
      </c>
      <c r="H46" s="145">
        <v>10.609584269261999</v>
      </c>
      <c r="I46" s="145">
        <v>10.683422977312</v>
      </c>
      <c r="J46" s="145">
        <v>10.789850374312</v>
      </c>
      <c r="K46" s="145">
        <v>10.915342738584</v>
      </c>
      <c r="L46" s="145">
        <v>11.186374096785</v>
      </c>
      <c r="M46" s="145">
        <v>11.449679866825999</v>
      </c>
    </row>
    <row r="47" spans="1:13">
      <c r="A47" s="150">
        <v>1992</v>
      </c>
      <c r="B47" s="145">
        <v>11.657778465389001</v>
      </c>
      <c r="C47" s="145">
        <v>11.795900435066001</v>
      </c>
      <c r="D47" s="145">
        <v>11.915947720289999</v>
      </c>
      <c r="E47" s="145">
        <v>12.022171319641</v>
      </c>
      <c r="F47" s="145">
        <v>12.101437891771999</v>
      </c>
      <c r="G47" s="145">
        <v>12.183345192186</v>
      </c>
      <c r="H47" s="145">
        <v>12.260272414519999</v>
      </c>
      <c r="I47" s="145">
        <v>12.335592231401</v>
      </c>
      <c r="J47" s="145">
        <v>12.442896524527001</v>
      </c>
      <c r="K47" s="145">
        <v>12.532493537792</v>
      </c>
      <c r="L47" s="145">
        <v>12.636620340687999</v>
      </c>
      <c r="M47" s="145">
        <v>12.816553481441</v>
      </c>
    </row>
    <row r="48" spans="1:13">
      <c r="A48" s="150">
        <v>1993</v>
      </c>
      <c r="B48" s="145">
        <v>12.977319763866999</v>
      </c>
      <c r="C48" s="145">
        <v>13.083345310799</v>
      </c>
      <c r="D48" s="145">
        <v>13.159593689429</v>
      </c>
      <c r="E48" s="145">
        <v>13.235480403514</v>
      </c>
      <c r="F48" s="145">
        <v>13.311137489729999</v>
      </c>
      <c r="G48" s="145">
        <v>13.385797123244</v>
      </c>
      <c r="H48" s="145">
        <v>13.450123440421001</v>
      </c>
      <c r="I48" s="145">
        <v>13.522112194855</v>
      </c>
      <c r="J48" s="145">
        <v>13.622260672231</v>
      </c>
      <c r="K48" s="145">
        <v>13.677973025024</v>
      </c>
      <c r="L48" s="145">
        <v>13.738302356338</v>
      </c>
      <c r="M48" s="145">
        <v>13.843054897126001</v>
      </c>
    </row>
    <row r="49" spans="1:13">
      <c r="A49" s="150">
        <v>1994</v>
      </c>
      <c r="B49" s="145">
        <v>13.950374980567</v>
      </c>
      <c r="C49" s="145">
        <v>14.022124062044</v>
      </c>
      <c r="D49" s="145">
        <v>14.094224762979</v>
      </c>
      <c r="E49" s="145">
        <v>14.163251304932</v>
      </c>
      <c r="F49" s="145">
        <v>14.231682244252999</v>
      </c>
      <c r="G49" s="145">
        <v>14.302894568965</v>
      </c>
      <c r="H49" s="145">
        <v>14.366326769868</v>
      </c>
      <c r="I49" s="145">
        <v>14.433286645443999</v>
      </c>
      <c r="J49" s="145">
        <v>14.535936644548</v>
      </c>
      <c r="K49" s="145">
        <v>14.612245304055</v>
      </c>
      <c r="L49" s="145">
        <v>14.690360856448001</v>
      </c>
      <c r="M49" s="145">
        <v>14.819204368158999</v>
      </c>
    </row>
    <row r="50" spans="1:13">
      <c r="A50" s="150">
        <v>1995</v>
      </c>
      <c r="B50" s="145">
        <v>15.376990944299999</v>
      </c>
      <c r="C50" s="145">
        <v>16.028707348708998</v>
      </c>
      <c r="D50" s="145">
        <v>16.973617202949999</v>
      </c>
      <c r="E50" s="145">
        <v>18.326133255310999</v>
      </c>
      <c r="F50" s="145">
        <v>19.092090190992</v>
      </c>
      <c r="G50" s="145">
        <v>19.698024268685</v>
      </c>
      <c r="H50" s="145">
        <v>20.099588355293999</v>
      </c>
      <c r="I50" s="145">
        <v>20.432981265710001</v>
      </c>
      <c r="J50" s="145">
        <v>20.855642530130002</v>
      </c>
      <c r="K50" s="145">
        <v>21.284762116614999</v>
      </c>
      <c r="L50" s="145">
        <v>21.809608384348</v>
      </c>
      <c r="M50" s="145">
        <v>22.520167271192001</v>
      </c>
    </row>
    <row r="51" spans="1:13">
      <c r="A51" s="150">
        <v>1996</v>
      </c>
      <c r="B51" s="145">
        <v>23.329753761294</v>
      </c>
      <c r="C51" s="145">
        <v>23.874262028762001</v>
      </c>
      <c r="D51" s="145">
        <v>24.399825880352999</v>
      </c>
      <c r="E51" s="145">
        <v>25.093449617204001</v>
      </c>
      <c r="F51" s="145">
        <v>25.550842302962</v>
      </c>
      <c r="G51" s="145">
        <v>25.966901728547001</v>
      </c>
      <c r="H51" s="145">
        <v>26.336030688063001</v>
      </c>
      <c r="I51" s="145">
        <v>26.686071714930002</v>
      </c>
      <c r="J51" s="145">
        <v>27.112751490396999</v>
      </c>
      <c r="K51" s="145">
        <v>27.451167539621</v>
      </c>
      <c r="L51" s="145">
        <v>27.867083448433998</v>
      </c>
      <c r="M51" s="145">
        <v>28.759336453704002</v>
      </c>
    </row>
    <row r="52" spans="1:13">
      <c r="A52" s="150">
        <v>1997</v>
      </c>
      <c r="B52" s="145">
        <v>29.498886028859999</v>
      </c>
      <c r="C52" s="145">
        <v>29.994598091509001</v>
      </c>
      <c r="D52" s="145">
        <v>30.367889073663001</v>
      </c>
      <c r="E52" s="145">
        <v>30.695971811728999</v>
      </c>
      <c r="F52" s="145">
        <v>30.976119445603</v>
      </c>
      <c r="G52" s="145">
        <v>31.250956912307998</v>
      </c>
      <c r="H52" s="145">
        <v>31.523211040861</v>
      </c>
      <c r="I52" s="145">
        <v>31.803502196688001</v>
      </c>
      <c r="J52" s="145">
        <v>32.199612588994</v>
      </c>
      <c r="K52" s="145">
        <v>32.456940823078</v>
      </c>
      <c r="L52" s="145">
        <v>32.820042010843999</v>
      </c>
      <c r="M52" s="145">
        <v>33.279874507621003</v>
      </c>
    </row>
    <row r="53" spans="1:13">
      <c r="A53" s="150">
        <v>1998</v>
      </c>
      <c r="B53" s="145">
        <v>34.003924110859998</v>
      </c>
      <c r="C53" s="145">
        <v>34.599237843852997</v>
      </c>
      <c r="D53" s="145">
        <v>35.004533397604</v>
      </c>
      <c r="E53" s="145">
        <v>35.332042063402</v>
      </c>
      <c r="F53" s="145">
        <v>35.613481363761998</v>
      </c>
      <c r="G53" s="145">
        <v>36.034420411382001</v>
      </c>
      <c r="H53" s="145">
        <v>36.381878110460001</v>
      </c>
      <c r="I53" s="145">
        <v>36.731632103784001</v>
      </c>
      <c r="J53" s="145">
        <v>37.327376387091</v>
      </c>
      <c r="K53" s="145">
        <v>37.862268927258</v>
      </c>
      <c r="L53" s="145">
        <v>38.532786225594002</v>
      </c>
      <c r="M53" s="145">
        <v>39.472974324694</v>
      </c>
    </row>
    <row r="54" spans="1:13">
      <c r="A54" s="150">
        <v>1999</v>
      </c>
      <c r="B54" s="145">
        <v>40.469770280539997</v>
      </c>
      <c r="C54" s="145">
        <v>41.013642812363997</v>
      </c>
      <c r="D54" s="145">
        <v>41.394683783067002</v>
      </c>
      <c r="E54" s="145">
        <v>41.774576609237002</v>
      </c>
      <c r="F54" s="145">
        <v>42.02587707675</v>
      </c>
      <c r="G54" s="145">
        <v>42.302006204759003</v>
      </c>
      <c r="H54" s="145">
        <v>42.581579771548</v>
      </c>
      <c r="I54" s="145">
        <v>42.821255256237997</v>
      </c>
      <c r="J54" s="145">
        <v>43.235018392756999</v>
      </c>
      <c r="K54" s="145">
        <v>43.508851226518999</v>
      </c>
      <c r="L54" s="145">
        <v>43.895776447019998</v>
      </c>
      <c r="M54" s="145">
        <v>44.335516388565999</v>
      </c>
    </row>
    <row r="55" spans="1:13">
      <c r="A55" s="150">
        <v>2000</v>
      </c>
      <c r="B55" s="145">
        <v>44.930830116377997</v>
      </c>
      <c r="C55" s="145">
        <v>45.329380314521998</v>
      </c>
      <c r="D55" s="145">
        <v>45.580680782035003</v>
      </c>
      <c r="E55" s="145">
        <v>45.840018271642002</v>
      </c>
      <c r="F55" s="145">
        <v>46.011379073729003</v>
      </c>
      <c r="G55" s="145">
        <v>46.283920241006001</v>
      </c>
      <c r="H55" s="145">
        <v>46.464466209717997</v>
      </c>
      <c r="I55" s="145">
        <v>46.719785188278003</v>
      </c>
      <c r="J55" s="145">
        <v>47.061071604014998</v>
      </c>
      <c r="K55" s="145">
        <v>47.385135825852998</v>
      </c>
      <c r="L55" s="145">
        <v>47.790287862832997</v>
      </c>
      <c r="M55" s="145">
        <v>48.307671180741004</v>
      </c>
    </row>
    <row r="56" spans="1:13">
      <c r="A56" s="150">
        <v>2001</v>
      </c>
      <c r="B56" s="145">
        <v>48.575476247933999</v>
      </c>
      <c r="C56" s="145">
        <v>48.543328159565</v>
      </c>
      <c r="D56" s="145">
        <v>48.850887781723998</v>
      </c>
      <c r="E56" s="145">
        <v>49.097308632382997</v>
      </c>
      <c r="F56" s="145">
        <v>49.209970463624998</v>
      </c>
      <c r="G56" s="145">
        <v>49.326363767191999</v>
      </c>
      <c r="H56" s="145">
        <v>49.198201964029998</v>
      </c>
      <c r="I56" s="145">
        <v>49.489687547186001</v>
      </c>
      <c r="J56" s="145">
        <v>49.950381149771999</v>
      </c>
      <c r="K56" s="145">
        <v>50.176135367754</v>
      </c>
      <c r="L56" s="145">
        <v>50.365148908872001</v>
      </c>
      <c r="M56" s="145">
        <v>50.434898785092997</v>
      </c>
    </row>
    <row r="57" spans="1:13">
      <c r="A57" s="150">
        <v>2002</v>
      </c>
      <c r="B57" s="145">
        <v>50.900472009715998</v>
      </c>
      <c r="C57" s="145">
        <v>50.867749849081001</v>
      </c>
      <c r="D57" s="145">
        <v>51.127948444495999</v>
      </c>
      <c r="E57" s="145">
        <v>51.407234972562001</v>
      </c>
      <c r="F57" s="145">
        <v>51.511429231397997</v>
      </c>
      <c r="G57" s="145">
        <v>51.762586176958997</v>
      </c>
      <c r="H57" s="145">
        <v>51.911181353361997</v>
      </c>
      <c r="I57" s="145">
        <v>52.108560301263999</v>
      </c>
      <c r="J57" s="145">
        <v>52.421983564994001</v>
      </c>
      <c r="K57" s="145">
        <v>52.653036086686001</v>
      </c>
      <c r="L57" s="145">
        <v>53.078877281373998</v>
      </c>
      <c r="M57" s="145">
        <v>53.309929803065003</v>
      </c>
    </row>
    <row r="58" spans="1:13">
      <c r="A58" s="150">
        <v>2003</v>
      </c>
      <c r="B58" s="145">
        <v>53.525440675315998</v>
      </c>
      <c r="C58" s="145">
        <v>53.674122454969996</v>
      </c>
      <c r="D58" s="145">
        <v>54.012930412785998</v>
      </c>
      <c r="E58" s="145">
        <v>54.105144199469997</v>
      </c>
      <c r="F58" s="145">
        <v>53.930559670748998</v>
      </c>
      <c r="G58" s="145">
        <v>53.975112399147001</v>
      </c>
      <c r="H58" s="145">
        <v>54.053338701333999</v>
      </c>
      <c r="I58" s="145">
        <v>54.215489910502001</v>
      </c>
      <c r="J58" s="145">
        <v>54.538238163896999</v>
      </c>
      <c r="K58" s="145">
        <v>54.738207386707003</v>
      </c>
      <c r="L58" s="145">
        <v>55.192541605370003</v>
      </c>
      <c r="M58" s="145">
        <v>55.429810786837997</v>
      </c>
    </row>
    <row r="59" spans="1:13">
      <c r="A59" s="150">
        <v>2004</v>
      </c>
      <c r="B59" s="145">
        <v>55.774317349450001</v>
      </c>
      <c r="C59" s="145">
        <v>56.107944757452998</v>
      </c>
      <c r="D59" s="145">
        <v>56.298070935616998</v>
      </c>
      <c r="E59" s="145">
        <v>56.383031952562</v>
      </c>
      <c r="F59" s="145">
        <v>56.241602942646999</v>
      </c>
      <c r="G59" s="145">
        <v>56.331744509406001</v>
      </c>
      <c r="H59" s="145">
        <v>56.479390179097003</v>
      </c>
      <c r="I59" s="145">
        <v>56.828041181560003</v>
      </c>
      <c r="J59" s="145">
        <v>57.297917049664001</v>
      </c>
      <c r="K59" s="145">
        <v>57.694747165395</v>
      </c>
      <c r="L59" s="145">
        <v>58.186899397696997</v>
      </c>
      <c r="M59" s="145">
        <v>58.307088153376</v>
      </c>
    </row>
    <row r="60" spans="1:13">
      <c r="A60" s="150">
        <v>2005</v>
      </c>
      <c r="B60" s="145">
        <v>58.309160373300998</v>
      </c>
      <c r="C60" s="145">
        <v>58.503430991316002</v>
      </c>
      <c r="D60" s="145">
        <v>58.767120976834001</v>
      </c>
      <c r="E60" s="145">
        <v>58.976415189308</v>
      </c>
      <c r="F60" s="145">
        <v>58.828251464635997</v>
      </c>
      <c r="G60" s="145">
        <v>58.771783471665998</v>
      </c>
      <c r="H60" s="145">
        <v>59.001799883395002</v>
      </c>
      <c r="I60" s="145">
        <v>59.072255360862002</v>
      </c>
      <c r="J60" s="145">
        <v>59.309006487348</v>
      </c>
      <c r="K60" s="145">
        <v>59.454579937113998</v>
      </c>
      <c r="L60" s="145">
        <v>59.882493351727</v>
      </c>
      <c r="M60" s="145">
        <v>60.250312388501001</v>
      </c>
    </row>
    <row r="61" spans="1:13">
      <c r="A61" s="150">
        <v>2006</v>
      </c>
      <c r="B61" s="145">
        <v>60.603625885795999</v>
      </c>
      <c r="C61" s="145">
        <v>60.696357727462001</v>
      </c>
      <c r="D61" s="145">
        <v>60.772511809722999</v>
      </c>
      <c r="E61" s="145">
        <v>60.861617266518998</v>
      </c>
      <c r="F61" s="145">
        <v>60.590674511262002</v>
      </c>
      <c r="G61" s="145">
        <v>60.642998064380002</v>
      </c>
      <c r="H61" s="145">
        <v>60.809293713400997</v>
      </c>
      <c r="I61" s="145">
        <v>61.119608647242003</v>
      </c>
      <c r="J61" s="145">
        <v>61.736612130056002</v>
      </c>
      <c r="K61" s="145">
        <v>62.006518775350997</v>
      </c>
      <c r="L61" s="145">
        <v>62.331857303652001</v>
      </c>
      <c r="M61" s="145">
        <v>62.692423570686003</v>
      </c>
    </row>
    <row r="62" spans="1:13">
      <c r="A62" s="150">
        <v>2007</v>
      </c>
      <c r="B62" s="145">
        <v>63.016207934043997</v>
      </c>
      <c r="C62" s="145">
        <v>63.192346627710997</v>
      </c>
      <c r="D62" s="145">
        <v>63.329113142792998</v>
      </c>
      <c r="E62" s="145">
        <v>63.291295129151997</v>
      </c>
      <c r="F62" s="145">
        <v>62.982534360255002</v>
      </c>
      <c r="G62" s="145">
        <v>63.058170387535</v>
      </c>
      <c r="H62" s="145">
        <v>63.326004812904003</v>
      </c>
      <c r="I62" s="145">
        <v>63.583996193627002</v>
      </c>
      <c r="J62" s="145">
        <v>64.077702590875006</v>
      </c>
      <c r="K62" s="145">
        <v>64.327405091895997</v>
      </c>
      <c r="L62" s="145">
        <v>64.781221255576995</v>
      </c>
      <c r="M62" s="145">
        <v>65.049055680945997</v>
      </c>
    </row>
    <row r="63" spans="1:13">
      <c r="A63" s="150">
        <v>2008</v>
      </c>
      <c r="B63" s="145">
        <v>65.350563680104003</v>
      </c>
      <c r="C63" s="145">
        <v>65.544834298119</v>
      </c>
      <c r="D63" s="145">
        <v>66.019890716036002</v>
      </c>
      <c r="E63" s="145">
        <v>66.170126660633997</v>
      </c>
      <c r="F63" s="145">
        <v>66.098635073205003</v>
      </c>
      <c r="G63" s="145">
        <v>66.372168103369006</v>
      </c>
      <c r="H63" s="145">
        <v>66.742059360067998</v>
      </c>
      <c r="I63" s="145">
        <v>67.127492266209003</v>
      </c>
      <c r="J63" s="145">
        <v>67.584934814760004</v>
      </c>
      <c r="K63" s="145">
        <v>68.045485693200007</v>
      </c>
      <c r="L63" s="145">
        <v>68.818941780386993</v>
      </c>
      <c r="M63" s="145">
        <v>69.295552363249001</v>
      </c>
    </row>
    <row r="64" spans="1:13">
      <c r="A64" s="150">
        <v>2009</v>
      </c>
      <c r="B64" s="145">
        <v>69.456149407474001</v>
      </c>
      <c r="C64" s="145">
        <v>69.609493681960004</v>
      </c>
      <c r="D64" s="145">
        <v>70.009950182560999</v>
      </c>
      <c r="E64" s="145">
        <v>70.254990188749005</v>
      </c>
      <c r="F64" s="145">
        <v>70.050358471107998</v>
      </c>
      <c r="G64" s="145">
        <v>70.179354161469007</v>
      </c>
      <c r="H64" s="145">
        <v>70.370516449595002</v>
      </c>
      <c r="I64" s="145">
        <v>70.538884318540994</v>
      </c>
      <c r="J64" s="145">
        <v>70.892715870817995</v>
      </c>
      <c r="K64" s="145">
        <v>71.107190633106001</v>
      </c>
      <c r="L64" s="145">
        <v>71.476045779843005</v>
      </c>
      <c r="M64" s="145">
        <v>71.771855174205001</v>
      </c>
    </row>
    <row r="65" spans="1:13">
      <c r="A65" s="150">
        <v>2010</v>
      </c>
      <c r="B65" s="145">
        <v>72.552045976151007</v>
      </c>
      <c r="C65" s="145">
        <v>72.971670511062001</v>
      </c>
      <c r="D65" s="145">
        <v>73.489725492434005</v>
      </c>
      <c r="E65" s="145">
        <v>73.255564640854004</v>
      </c>
      <c r="F65" s="145">
        <v>72.793977652452</v>
      </c>
      <c r="G65" s="145">
        <v>72.771183233271003</v>
      </c>
      <c r="H65" s="145">
        <v>72.929190002590005</v>
      </c>
      <c r="I65" s="145">
        <v>73.131749500306</v>
      </c>
      <c r="J65" s="145">
        <v>73.515110186520999</v>
      </c>
      <c r="K65" s="145">
        <v>73.968926350203006</v>
      </c>
      <c r="L65" s="145">
        <v>74.561581248891997</v>
      </c>
      <c r="M65" s="145">
        <v>74.930954450610002</v>
      </c>
    </row>
    <row r="66" spans="1:13">
      <c r="A66" s="150">
        <v>2011</v>
      </c>
      <c r="B66" s="146">
        <v>75.295991345633993</v>
      </c>
      <c r="C66" s="146">
        <v>75.578460244005001</v>
      </c>
      <c r="D66" s="146">
        <v>75.723450928540998</v>
      </c>
      <c r="E66" s="146">
        <v>75.717440951979995</v>
      </c>
      <c r="F66" s="146">
        <v>75.159264378868997</v>
      </c>
      <c r="G66" s="146">
        <v>75.155508143518006</v>
      </c>
      <c r="H66" s="146">
        <v>75.516106737184003</v>
      </c>
      <c r="I66" s="146">
        <v>75.635555021334994</v>
      </c>
      <c r="J66" s="146">
        <v>75.821113047658997</v>
      </c>
      <c r="K66" s="146">
        <v>76.332712302421996</v>
      </c>
      <c r="L66" s="146">
        <v>77.158332832501998</v>
      </c>
      <c r="M66" s="146">
        <v>77.792385359696993</v>
      </c>
    </row>
    <row r="67" spans="1:13">
      <c r="A67" s="150">
        <v>2012</v>
      </c>
      <c r="B67" s="146">
        <v>78.343049462107004</v>
      </c>
      <c r="C67" s="146">
        <v>78.502313840976001</v>
      </c>
      <c r="D67" s="146">
        <v>78.547388665184002</v>
      </c>
      <c r="E67" s="146">
        <v>78.300979626179995</v>
      </c>
      <c r="F67" s="146">
        <v>78.053819340104994</v>
      </c>
      <c r="G67" s="146">
        <v>78.413666686699997</v>
      </c>
      <c r="H67" s="146">
        <v>78.853897469800003</v>
      </c>
      <c r="I67" s="147">
        <v>79.090540296892996</v>
      </c>
      <c r="J67" s="146">
        <v>79.439118937436007</v>
      </c>
      <c r="K67" s="146">
        <v>79.841036119959</v>
      </c>
      <c r="L67" s="147">
        <v>80.383436504597995</v>
      </c>
      <c r="M67" s="147">
        <v>80.568243283851004</v>
      </c>
    </row>
    <row r="68" spans="1:13">
      <c r="A68" s="150">
        <v>2013</v>
      </c>
      <c r="B68" s="146">
        <v>80.892782018150001</v>
      </c>
      <c r="C68" s="146">
        <v>81.290942965322003</v>
      </c>
      <c r="D68" s="146">
        <v>81.887433139010994</v>
      </c>
      <c r="E68" s="146">
        <v>81.941522928061005</v>
      </c>
      <c r="F68" s="146">
        <v>81.668820241600997</v>
      </c>
      <c r="G68" s="148">
        <v>81.619237934972006</v>
      </c>
      <c r="H68" s="148">
        <v>81.592193040447</v>
      </c>
      <c r="I68" s="149">
        <v>81.824328385119003</v>
      </c>
      <c r="J68" s="148">
        <v>82.132339683875003</v>
      </c>
      <c r="K68" s="150">
        <v>82.522988160346003</v>
      </c>
      <c r="L68" s="149">
        <v>83.292265160165996</v>
      </c>
      <c r="M68" s="149">
        <v>83.770058296773001</v>
      </c>
    </row>
    <row r="69" spans="1:13">
      <c r="A69" s="150">
        <v>2014</v>
      </c>
      <c r="B69" s="146">
        <v>84.519051625699007</v>
      </c>
      <c r="C69" s="146">
        <v>84.733157040687999</v>
      </c>
      <c r="D69" s="146">
        <v>84.965292385360002</v>
      </c>
      <c r="E69" s="146">
        <v>84.806779253561004</v>
      </c>
      <c r="F69" s="151">
        <v>84.535579061242004</v>
      </c>
      <c r="G69" s="148">
        <v>84.682072239918</v>
      </c>
      <c r="H69" s="148">
        <v>84.914958831660996</v>
      </c>
      <c r="I69" s="148">
        <v>85.219965142136004</v>
      </c>
      <c r="J69" s="148">
        <v>85.596339924274005</v>
      </c>
      <c r="K69" s="150">
        <v>86.069625578460005</v>
      </c>
      <c r="L69" s="149">
        <v>86.763777871266001</v>
      </c>
      <c r="M69" s="149">
        <v>87.188983712964003</v>
      </c>
    </row>
    <row r="70" spans="1:13">
      <c r="A70" s="150">
        <v>2015</v>
      </c>
      <c r="B70" s="146">
        <v>87.110102770598999</v>
      </c>
      <c r="C70" s="146">
        <v>87.275377126028999</v>
      </c>
      <c r="D70" s="146">
        <v>87.630716990203993</v>
      </c>
      <c r="E70" s="146">
        <v>87.403840375022995</v>
      </c>
      <c r="F70" s="148">
        <v>86.967365827272999</v>
      </c>
      <c r="G70" s="148">
        <v>87.113107758880005</v>
      </c>
      <c r="H70" s="148">
        <v>87.240819760803006</v>
      </c>
      <c r="I70" s="148">
        <v>87.424875292986002</v>
      </c>
      <c r="J70" s="148">
        <v>87.752419015566005</v>
      </c>
      <c r="K70" s="150">
        <v>88.203918504718004</v>
      </c>
      <c r="L70" s="149">
        <v>88.685467876675006</v>
      </c>
      <c r="M70" s="149">
        <v>89.046817717411002</v>
      </c>
    </row>
    <row r="71" spans="1:13">
      <c r="A71" s="150">
        <v>2016</v>
      </c>
      <c r="B71" s="146">
        <v>89.386381393112998</v>
      </c>
      <c r="C71" s="146">
        <v>89.777781116653998</v>
      </c>
      <c r="D71" s="146">
        <v>89.910000600998004</v>
      </c>
      <c r="E71" s="146">
        <v>89.625277961416003</v>
      </c>
      <c r="F71" s="148">
        <v>89.225614520102994</v>
      </c>
      <c r="G71" s="148">
        <v>89.324027886291006</v>
      </c>
      <c r="H71" s="148">
        <v>89.556914478034003</v>
      </c>
      <c r="I71" s="148">
        <v>89.809333493598999</v>
      </c>
      <c r="J71" s="148">
        <v>90.357743854798997</v>
      </c>
      <c r="K71" s="150">
        <v>90.906154215998995</v>
      </c>
      <c r="L71" s="149">
        <v>91.616833944348002</v>
      </c>
      <c r="M71" s="149">
        <v>92.039034797764003</v>
      </c>
    </row>
    <row r="72" spans="1:13">
      <c r="A72" s="150">
        <v>2017</v>
      </c>
      <c r="B72" s="146">
        <v>93.603882444858996</v>
      </c>
      <c r="C72" s="146">
        <v>94.144780335356998</v>
      </c>
      <c r="D72" s="146">
        <v>94.722489332292</v>
      </c>
      <c r="E72" s="146">
        <v>94.838932628162993</v>
      </c>
      <c r="F72" s="148">
        <v>94.725494320571997</v>
      </c>
      <c r="G72" s="148">
        <v>94.963639641805003</v>
      </c>
      <c r="H72" s="148">
        <v>95.322735741331002</v>
      </c>
      <c r="I72" s="148">
        <v>95.793767654305995</v>
      </c>
      <c r="J72" s="148">
        <v>96.093515235290994</v>
      </c>
      <c r="K72" s="150">
        <v>96.698269126750006</v>
      </c>
      <c r="L72" s="149">
        <v>97.695173988822006</v>
      </c>
      <c r="M72" s="149">
        <v>98.272882985755999</v>
      </c>
    </row>
    <row r="73" spans="1:13">
      <c r="A73" s="150">
        <v>2018</v>
      </c>
      <c r="B73" s="146">
        <v>98.794999699501005</v>
      </c>
      <c r="C73" s="146">
        <v>99.171374481640001</v>
      </c>
      <c r="D73" s="146">
        <v>99.492156980588007</v>
      </c>
      <c r="E73" s="146">
        <v>99.154847046097004</v>
      </c>
      <c r="F73" s="148">
        <v>98.994080173086999</v>
      </c>
      <c r="G73" s="148">
        <v>99.376464931786998</v>
      </c>
      <c r="H73" s="148">
        <v>99.909099104513999</v>
      </c>
      <c r="I73" s="148">
        <v>100.492</v>
      </c>
      <c r="J73" s="148">
        <v>100.917</v>
      </c>
      <c r="K73" s="150">
        <v>101.44</v>
      </c>
      <c r="L73" s="149">
        <v>102.303</v>
      </c>
      <c r="M73" s="149">
        <v>103.02</v>
      </c>
    </row>
    <row r="74" spans="1:13">
      <c r="A74" s="150">
        <v>2019</v>
      </c>
      <c r="B74" s="146">
        <v>103.108</v>
      </c>
      <c r="C74" s="146">
        <v>103.07899999999999</v>
      </c>
      <c r="D74" s="146">
        <v>103.476</v>
      </c>
      <c r="E74" s="146">
        <v>103.53100000000001</v>
      </c>
      <c r="F74" s="148">
        <v>103.233</v>
      </c>
      <c r="G74" s="148">
        <v>103.29900000000001</v>
      </c>
      <c r="H74" s="148">
        <v>103.687</v>
      </c>
      <c r="I74" s="148">
        <v>103.67</v>
      </c>
      <c r="J74" s="148">
        <v>103.94199999999999</v>
      </c>
      <c r="K74" s="152">
        <v>104.503</v>
      </c>
      <c r="L74" s="152">
        <v>105.346</v>
      </c>
      <c r="M74" s="153">
        <v>105.934</v>
      </c>
    </row>
    <row r="75" spans="1:13">
      <c r="A75" s="150">
        <v>2020</v>
      </c>
      <c r="B75" s="146">
        <v>106.447</v>
      </c>
      <c r="C75" s="146">
        <v>106.889</v>
      </c>
      <c r="D75" s="146">
        <v>106.83799999999999</v>
      </c>
      <c r="E75" s="154">
        <v>105.755</v>
      </c>
      <c r="F75" s="146">
        <v>106.16200000000001</v>
      </c>
      <c r="G75" s="146">
        <v>106.74299999999999</v>
      </c>
      <c r="H75" s="146">
        <v>107.444</v>
      </c>
      <c r="I75" s="146">
        <v>107.867</v>
      </c>
      <c r="J75" s="146">
        <v>108.114</v>
      </c>
      <c r="K75" s="154">
        <v>108.774</v>
      </c>
      <c r="L75" s="155">
        <v>108.85599999999999</v>
      </c>
      <c r="M75" s="155">
        <v>109.271</v>
      </c>
    </row>
    <row r="76" spans="1:13">
      <c r="A76" s="150">
        <v>2021</v>
      </c>
      <c r="B76" s="146">
        <v>110.21</v>
      </c>
      <c r="C76" s="146">
        <v>110.907</v>
      </c>
      <c r="D76" s="146">
        <v>111.824</v>
      </c>
      <c r="E76" s="146">
        <v>112.19</v>
      </c>
      <c r="F76" s="146">
        <v>112.419</v>
      </c>
      <c r="G76" s="146">
        <v>113.018</v>
      </c>
      <c r="H76" s="146">
        <v>113.682</v>
      </c>
      <c r="I76" s="146">
        <v>113.899</v>
      </c>
      <c r="J76" s="146">
        <v>114.601</v>
      </c>
      <c r="K76" s="154">
        <v>115.56100000000001</v>
      </c>
      <c r="L76" s="155">
        <v>116.884</v>
      </c>
      <c r="M76" s="155">
        <v>117.30800000000001</v>
      </c>
    </row>
    <row r="77" spans="1:13">
      <c r="A77" s="150">
        <v>2022</v>
      </c>
      <c r="B77" s="146">
        <v>118.002</v>
      </c>
      <c r="C77" s="146">
        <v>118.98099999999999</v>
      </c>
      <c r="D77" s="146">
        <v>120.15900000000001</v>
      </c>
      <c r="E77" s="154">
        <v>120.809</v>
      </c>
      <c r="F77" s="146">
        <v>121.02200000000001</v>
      </c>
      <c r="G77" s="154">
        <v>122.044</v>
      </c>
      <c r="H77" s="154">
        <v>122.94799999999999</v>
      </c>
      <c r="I77" s="146">
        <v>123.803</v>
      </c>
      <c r="J77" s="146">
        <v>124.571</v>
      </c>
      <c r="K77" s="146">
        <v>125.276</v>
      </c>
      <c r="L77" s="155">
        <v>125.997</v>
      </c>
      <c r="M77" s="155">
        <v>126.47799999999999</v>
      </c>
    </row>
    <row r="78" spans="1:13">
      <c r="A78" s="150">
        <v>2023</v>
      </c>
      <c r="B78" s="146">
        <v>127.336</v>
      </c>
      <c r="C78" s="156">
        <v>128.04599999999999</v>
      </c>
      <c r="D78" s="156">
        <v>128.38900000000001</v>
      </c>
      <c r="E78" s="157">
        <v>128.363</v>
      </c>
      <c r="F78" s="154">
        <v>128.084</v>
      </c>
      <c r="G78" s="154">
        <v>128.214</v>
      </c>
      <c r="H78" s="146">
        <v>128.83199999999999</v>
      </c>
      <c r="I78" s="146">
        <v>129.54499999999999</v>
      </c>
      <c r="J78" s="146">
        <v>130.12</v>
      </c>
      <c r="K78" s="146">
        <v>130.60900000000001</v>
      </c>
      <c r="L78" s="146">
        <v>131.44499999999999</v>
      </c>
      <c r="M78" s="146">
        <v>132.37299999999999</v>
      </c>
    </row>
    <row r="79" spans="1:13">
      <c r="A79" s="150">
        <v>2024</v>
      </c>
      <c r="B79" s="146">
        <v>133.55500000000001</v>
      </c>
      <c r="C79" s="156">
        <v>133.68100000000001</v>
      </c>
      <c r="D79" s="156">
        <v>134.065</v>
      </c>
      <c r="E79" s="157">
        <v>134.33600000000001</v>
      </c>
      <c r="F79" s="154">
        <v>134.08699999999999</v>
      </c>
      <c r="G79" s="154">
        <v>134.59399999999999</v>
      </c>
      <c r="H79" s="146">
        <v>0</v>
      </c>
      <c r="I79" s="146">
        <v>0</v>
      </c>
      <c r="J79" s="146">
        <v>0</v>
      </c>
      <c r="K79" s="146">
        <v>0</v>
      </c>
      <c r="L79" s="146">
        <v>0</v>
      </c>
      <c r="M79" s="146">
        <v>0</v>
      </c>
    </row>
    <row r="81" spans="1:2">
      <c r="A81" s="218"/>
    </row>
    <row r="82" spans="1:2">
      <c r="A82" s="158"/>
      <c r="B82" s="159"/>
    </row>
  </sheetData>
  <phoneticPr fontId="6" type="noConversion"/>
  <pageMargins left="0.75" right="0.75" top="1" bottom="1" header="0" footer="0"/>
  <pageSetup scale="48"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161"/>
  <sheetViews>
    <sheetView topLeftCell="A87" workbookViewId="0">
      <selection activeCell="D100" sqref="D100"/>
    </sheetView>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c r="A2" s="3" t="s">
        <v>349</v>
      </c>
      <c r="B2" s="3"/>
    </row>
    <row r="3" spans="1:5">
      <c r="A3" s="3" t="s">
        <v>377</v>
      </c>
      <c r="B3" s="3"/>
    </row>
    <row r="4" spans="1:5">
      <c r="A4" s="3" t="s">
        <v>378</v>
      </c>
      <c r="B4" s="3"/>
    </row>
    <row r="5" spans="1:5">
      <c r="A5" s="3" t="s">
        <v>386</v>
      </c>
      <c r="B5" s="3"/>
    </row>
    <row r="8" spans="1:5">
      <c r="A8" s="22" t="s">
        <v>44</v>
      </c>
      <c r="C8" s="232">
        <f>SUM(C9:C37)+C38+C39</f>
        <v>9300000.4900000002</v>
      </c>
    </row>
    <row r="9" spans="1:5" hidden="1" outlineLevel="1">
      <c r="A9" s="231" t="s">
        <v>454</v>
      </c>
      <c r="B9" s="71"/>
      <c r="C9" s="28">
        <f>+SUMIF(BZ!$E:$E,A9,BZ!$L:$L)</f>
        <v>0</v>
      </c>
    </row>
    <row r="10" spans="1:5" hidden="1" outlineLevel="1">
      <c r="A10" s="231" t="s">
        <v>110</v>
      </c>
      <c r="B10" s="71"/>
      <c r="C10" s="28">
        <f>+SUMIF(BZ!$E:$E,A10,BZ!$L:$L)</f>
        <v>0</v>
      </c>
    </row>
    <row r="11" spans="1:5" hidden="1" outlineLevel="1">
      <c r="A11" s="231" t="s">
        <v>455</v>
      </c>
      <c r="B11" s="71"/>
      <c r="C11" s="28">
        <f>+SUMIF(BZ!$E:$E,A11,BZ!$L:$L)</f>
        <v>0</v>
      </c>
    </row>
    <row r="12" spans="1:5" hidden="1" outlineLevel="1">
      <c r="A12" s="231" t="s">
        <v>456</v>
      </c>
      <c r="B12" s="71"/>
      <c r="C12" s="28">
        <f>+SUMIF(BZ!$E:$E,A12,BZ!$L:$L)</f>
        <v>0</v>
      </c>
    </row>
    <row r="13" spans="1:5" hidden="1" outlineLevel="1">
      <c r="A13" s="231" t="s">
        <v>457</v>
      </c>
      <c r="B13" s="71"/>
      <c r="C13" s="28">
        <f>+SUMIF(BZ!$E:$E,A13,BZ!$L:$L)</f>
        <v>0</v>
      </c>
      <c r="E13" s="235"/>
    </row>
    <row r="14" spans="1:5" hidden="1" outlineLevel="1">
      <c r="A14" s="231" t="s">
        <v>458</v>
      </c>
      <c r="B14" s="71"/>
      <c r="C14" s="28">
        <f>+SUMIF(BZ!$E:$E,A14,BZ!$L:$L)</f>
        <v>0</v>
      </c>
    </row>
    <row r="15" spans="1:5" hidden="1" outlineLevel="1">
      <c r="A15" s="231" t="s">
        <v>459</v>
      </c>
      <c r="B15" s="71"/>
      <c r="C15" s="28">
        <f>+SUMIF(BZ!$E:$E,A15,BZ!$L:$L)</f>
        <v>0</v>
      </c>
    </row>
    <row r="16" spans="1:5" hidden="1" outlineLevel="1">
      <c r="A16" s="231" t="s">
        <v>460</v>
      </c>
      <c r="B16" s="71"/>
      <c r="C16" s="28">
        <f>+SUMIF(BZ!$E:$E,A16,BZ!$L:$L)</f>
        <v>0</v>
      </c>
      <c r="E16" s="46"/>
    </row>
    <row r="17" spans="1:5" hidden="1" outlineLevel="1">
      <c r="A17" s="231" t="s">
        <v>107</v>
      </c>
      <c r="B17" s="71"/>
      <c r="C17" s="28">
        <f>+SUMIF(BZ!$E:$E,A17,BZ!$L:$L)</f>
        <v>0</v>
      </c>
    </row>
    <row r="18" spans="1:5" hidden="1" outlineLevel="1">
      <c r="A18" s="231" t="s">
        <v>106</v>
      </c>
      <c r="B18" s="71"/>
      <c r="C18" s="28">
        <f>+SUMIF(BZ!$E:$E,A18,BZ!$L:$L)</f>
        <v>0</v>
      </c>
    </row>
    <row r="19" spans="1:5" hidden="1" outlineLevel="1">
      <c r="A19" s="231" t="s">
        <v>109</v>
      </c>
      <c r="B19" s="71"/>
      <c r="C19" s="28">
        <f>+SUMIF(BZ!$E:$E,A19,BZ!$L:$L)</f>
        <v>0</v>
      </c>
    </row>
    <row r="20" spans="1:5" hidden="1" outlineLevel="1">
      <c r="A20" s="231" t="s">
        <v>108</v>
      </c>
      <c r="B20" s="71"/>
      <c r="C20" s="28">
        <f>+SUMIF(BZ!$E:$E,A20,BZ!$L:$L)</f>
        <v>0</v>
      </c>
    </row>
    <row r="21" spans="1:5" hidden="1" outlineLevel="1">
      <c r="A21" s="231" t="s">
        <v>471</v>
      </c>
      <c r="B21" s="71"/>
      <c r="C21" s="28">
        <f>+SUMIF(BZ!$E:$E,A21,BZ!$L:$L)</f>
        <v>0</v>
      </c>
    </row>
    <row r="22" spans="1:5" hidden="1" outlineLevel="1">
      <c r="A22" s="231" t="s">
        <v>118</v>
      </c>
      <c r="B22" s="71"/>
      <c r="C22" s="28">
        <f>+SUMIF(BZ!$E:$E,A22,BZ!$L:$L)</f>
        <v>0</v>
      </c>
      <c r="E22" s="46"/>
    </row>
    <row r="23" spans="1:5" hidden="1" outlineLevel="1">
      <c r="A23" s="231" t="s">
        <v>117</v>
      </c>
      <c r="B23" s="71"/>
      <c r="C23" s="28">
        <f>+SUMIF(BZ!$E:$E,A23,BZ!$L:$L)</f>
        <v>0</v>
      </c>
    </row>
    <row r="24" spans="1:5" hidden="1" outlineLevel="1">
      <c r="A24" s="231" t="s">
        <v>470</v>
      </c>
      <c r="B24" s="71"/>
      <c r="C24" s="28">
        <f>+SUMIF(BZ!$E:$E,A24,BZ!$L:$L)</f>
        <v>0.13</v>
      </c>
    </row>
    <row r="25" spans="1:5" hidden="1" outlineLevel="1">
      <c r="A25" s="231" t="s">
        <v>469</v>
      </c>
      <c r="B25" s="71"/>
      <c r="C25" s="28">
        <f>+SUMIF(BZ!$E:$E,A25,BZ!$L:$L)</f>
        <v>0</v>
      </c>
    </row>
    <row r="26" spans="1:5" hidden="1" outlineLevel="1">
      <c r="A26" s="231" t="s">
        <v>461</v>
      </c>
      <c r="B26" s="71"/>
      <c r="C26" s="28">
        <f>+SUMIF(BZ!$E:$E,A26,BZ!$L:$L)</f>
        <v>0</v>
      </c>
    </row>
    <row r="27" spans="1:5" hidden="1" outlineLevel="1">
      <c r="A27" s="231" t="s">
        <v>462</v>
      </c>
      <c r="B27" s="71"/>
      <c r="C27" s="28">
        <f>+SUMIF(BZ!$E:$E,A27,BZ!$L:$L)</f>
        <v>0</v>
      </c>
    </row>
    <row r="28" spans="1:5" hidden="1" outlineLevel="1">
      <c r="A28" s="231" t="s">
        <v>463</v>
      </c>
      <c r="B28" s="71"/>
      <c r="C28" s="28">
        <f>+SUMIF(BZ!$E:$E,A28,BZ!$L:$L)</f>
        <v>0</v>
      </c>
    </row>
    <row r="29" spans="1:5" hidden="1" outlineLevel="1">
      <c r="A29" s="231" t="s">
        <v>92</v>
      </c>
      <c r="B29" s="71"/>
      <c r="C29" s="28">
        <f>+SUMIF(BZ!$E:$E,A29,BZ!$L:$L)</f>
        <v>9300000.3599999994</v>
      </c>
    </row>
    <row r="30" spans="1:5" hidden="1" outlineLevel="1">
      <c r="A30" s="231" t="s">
        <v>91</v>
      </c>
      <c r="B30" s="71"/>
      <c r="C30" s="28">
        <f>+SUMIF(BZ!$E:$E,A30,BZ!$L:$L)</f>
        <v>0</v>
      </c>
    </row>
    <row r="31" spans="1:5" hidden="1" outlineLevel="1">
      <c r="A31" s="231" t="s">
        <v>464</v>
      </c>
      <c r="B31" s="71"/>
      <c r="C31" s="28">
        <f>+SUMIF(BZ!$E:$E,A31,BZ!$L:$L)</f>
        <v>0</v>
      </c>
    </row>
    <row r="32" spans="1:5" hidden="1" outlineLevel="1">
      <c r="A32" s="231" t="s">
        <v>465</v>
      </c>
      <c r="B32" s="71"/>
      <c r="C32" s="28">
        <f>+SUMIF(BZ!$E:$E,A32,BZ!$L:$L)</f>
        <v>0</v>
      </c>
    </row>
    <row r="33" spans="1:4" hidden="1" outlineLevel="1">
      <c r="A33" s="231" t="s">
        <v>468</v>
      </c>
      <c r="B33" s="71"/>
      <c r="C33" s="28">
        <f>+SUMIF(BZ!$E:$E,A33,BZ!$L:$L)</f>
        <v>0</v>
      </c>
    </row>
    <row r="34" spans="1:4" hidden="1" outlineLevel="1">
      <c r="A34" s="231" t="s">
        <v>466</v>
      </c>
      <c r="B34" s="71"/>
      <c r="C34" s="28">
        <f>+SUMIF(BZ!$E:$E,A34,BZ!$L:$L)</f>
        <v>0</v>
      </c>
    </row>
    <row r="35" spans="1:4" hidden="1" outlineLevel="1">
      <c r="A35" s="231" t="s">
        <v>467</v>
      </c>
      <c r="B35" s="71"/>
      <c r="C35" s="28">
        <f>+SUMIF(BZ!$E:$E,A35,BZ!$L:$L)</f>
        <v>0</v>
      </c>
    </row>
    <row r="36" spans="1:4" hidden="1" outlineLevel="1">
      <c r="A36" s="231" t="s">
        <v>515</v>
      </c>
      <c r="B36" s="71"/>
      <c r="C36" s="28">
        <f>+SUMIF(BZ!$E:$E,A36,BZ!$L:$L)</f>
        <v>0</v>
      </c>
    </row>
    <row r="37" spans="1:4" collapsed="1">
      <c r="A37" s="18" t="s">
        <v>333</v>
      </c>
      <c r="C37" s="90">
        <f>IF('AAXI '!D14&gt;0,'AAXI '!D15,0)</f>
        <v>0</v>
      </c>
    </row>
    <row r="38" spans="1:4">
      <c r="A38" s="18" t="s">
        <v>172</v>
      </c>
      <c r="B38" s="71"/>
    </row>
    <row r="39" spans="1:4">
      <c r="A39" s="18" t="s">
        <v>173</v>
      </c>
      <c r="B39" s="71"/>
      <c r="C39" s="126"/>
    </row>
    <row r="40" spans="1:4">
      <c r="A40" s="18"/>
      <c r="B40" s="71"/>
    </row>
    <row r="42" spans="1:4">
      <c r="A42" s="40"/>
      <c r="B42" s="22"/>
    </row>
    <row r="43" spans="1:4">
      <c r="A43" s="40" t="s">
        <v>518</v>
      </c>
      <c r="B43" s="22"/>
      <c r="C43" s="73"/>
      <c r="D43" s="20"/>
    </row>
    <row r="44" spans="1:4">
      <c r="A44" s="24" t="s">
        <v>51</v>
      </c>
      <c r="B44" s="23"/>
      <c r="C44" s="255">
        <f>SUM(C45:C103)</f>
        <v>203913.14</v>
      </c>
      <c r="D44" s="47"/>
    </row>
    <row r="45" spans="1:4" outlineLevel="1">
      <c r="A45" s="19" t="s">
        <v>58</v>
      </c>
      <c r="C45" s="28"/>
    </row>
    <row r="46" spans="1:4" outlineLevel="1">
      <c r="A46" s="19" t="s">
        <v>5</v>
      </c>
      <c r="C46" s="28">
        <f>+SUMIF(BZ!$E:$E,A46,BZ!$L:$L)</f>
        <v>0</v>
      </c>
    </row>
    <row r="47" spans="1:4" outlineLevel="1">
      <c r="A47" s="19" t="s">
        <v>516</v>
      </c>
      <c r="C47" s="28">
        <f>+SUMIF(BZ!$E:$E,A47,BZ!$L:$L)</f>
        <v>0</v>
      </c>
    </row>
    <row r="48" spans="1:4" outlineLevel="1">
      <c r="A48" s="27" t="s">
        <v>472</v>
      </c>
      <c r="C48" s="28">
        <f>+SUMIF(BZ!$E:$E,A48,BZ!$L:$L)</f>
        <v>0</v>
      </c>
    </row>
    <row r="49" spans="1:4" outlineLevel="1">
      <c r="A49" s="19" t="s">
        <v>59</v>
      </c>
      <c r="C49" s="28">
        <f>+SUMIF(BZ!$E:$E,A49,BZ!$L:$L)</f>
        <v>0</v>
      </c>
    </row>
    <row r="50" spans="1:4" outlineLevel="1">
      <c r="A50" s="19" t="s">
        <v>473</v>
      </c>
      <c r="C50" s="28">
        <f>+SUMIF(BZ!$E:$E,A50,BZ!$L:$L)</f>
        <v>0</v>
      </c>
    </row>
    <row r="51" spans="1:4" outlineLevel="1">
      <c r="A51" s="19" t="s">
        <v>55</v>
      </c>
      <c r="C51" s="28">
        <f>+SUMIF(BZ!$E:$E,A51,BZ!$L:$L)</f>
        <v>0</v>
      </c>
    </row>
    <row r="52" spans="1:4" outlineLevel="1">
      <c r="A52" s="27" t="s">
        <v>60</v>
      </c>
      <c r="C52" s="28">
        <f>+SUMIF(BZ!$E:$E,A52,BZ!$L:$L)</f>
        <v>0</v>
      </c>
    </row>
    <row r="53" spans="1:4" ht="25.5" outlineLevel="1">
      <c r="A53" s="27" t="s">
        <v>474</v>
      </c>
      <c r="C53" s="28">
        <f>+SUMIF(BZ!$E:$E,A53,BZ!$L:$L)</f>
        <v>0</v>
      </c>
    </row>
    <row r="54" spans="1:4" outlineLevel="1">
      <c r="A54" s="19" t="s">
        <v>61</v>
      </c>
      <c r="C54" s="28">
        <f>+SUMIF(BZ!$E:$E,A54,BZ!$L:$L)</f>
        <v>0</v>
      </c>
    </row>
    <row r="55" spans="1:4" outlineLevel="1">
      <c r="A55" s="19" t="s">
        <v>62</v>
      </c>
      <c r="C55" s="28">
        <f>+SUMIF(BZ!$E:$E,A55,BZ!$L:$L)</f>
        <v>0</v>
      </c>
    </row>
    <row r="56" spans="1:4" outlineLevel="1">
      <c r="A56" s="19" t="s">
        <v>475</v>
      </c>
      <c r="C56" s="28">
        <f>+SUMIF(BZ!$E:$E,A56,BZ!$L:$L)</f>
        <v>0</v>
      </c>
    </row>
    <row r="57" spans="1:4" outlineLevel="1">
      <c r="A57" s="19" t="s">
        <v>63</v>
      </c>
      <c r="C57" s="28">
        <f>+SUMIF(BZ!$E:$E,A57,BZ!$L:$L)</f>
        <v>0</v>
      </c>
    </row>
    <row r="58" spans="1:4" outlineLevel="1">
      <c r="A58" s="19" t="s">
        <v>56</v>
      </c>
      <c r="C58" s="28">
        <f>+SUMIF(BZ!$E:$E,A58,BZ!$L:$L)</f>
        <v>0</v>
      </c>
      <c r="D58" s="47"/>
    </row>
    <row r="59" spans="1:4" outlineLevel="1">
      <c r="A59" s="19" t="s">
        <v>57</v>
      </c>
      <c r="C59" s="28">
        <f>+SUMIF(BZ!$E:$E,A59,BZ!$L:$L)</f>
        <v>48113.14</v>
      </c>
    </row>
    <row r="60" spans="1:4" outlineLevel="1">
      <c r="A60" s="27" t="s">
        <v>64</v>
      </c>
      <c r="C60" s="28">
        <f>+SUMIF(BZ!$E:$E,A60,BZ!$L:$L)</f>
        <v>0</v>
      </c>
    </row>
    <row r="61" spans="1:4" outlineLevel="1">
      <c r="A61" s="19" t="s">
        <v>65</v>
      </c>
      <c r="C61" s="28">
        <f>+SUMIF(BZ!$E:$E,A61,BZ!$L:$L)</f>
        <v>0</v>
      </c>
    </row>
    <row r="62" spans="1:4" outlineLevel="1">
      <c r="A62" s="19" t="s">
        <v>476</v>
      </c>
      <c r="C62" s="28">
        <f>+SUMIF(BZ!$E:$E,A62,BZ!$L:$L)</f>
        <v>0</v>
      </c>
    </row>
    <row r="63" spans="1:4" outlineLevel="1">
      <c r="A63" s="19" t="s">
        <v>477</v>
      </c>
      <c r="C63" s="28">
        <f>+SUMIF(BZ!$E:$E,A63,BZ!$L:$L)</f>
        <v>0</v>
      </c>
    </row>
    <row r="64" spans="1:4" outlineLevel="1">
      <c r="A64" s="19" t="s">
        <v>66</v>
      </c>
      <c r="C64" s="28">
        <f>+SUMIF(BZ!$E:$E,A64,BZ!$L:$L)</f>
        <v>0</v>
      </c>
    </row>
    <row r="65" spans="1:3" outlineLevel="1">
      <c r="A65" s="27" t="s">
        <v>67</v>
      </c>
      <c r="C65" s="28">
        <f>+SUMIF(BZ!$E:$E,A65,BZ!$L:$L)</f>
        <v>0</v>
      </c>
    </row>
    <row r="66" spans="1:3" outlineLevel="1">
      <c r="A66" s="27" t="s">
        <v>504</v>
      </c>
      <c r="C66" s="28">
        <f>+SUMIF(BZ!$E:$E,A66,BZ!$L:$L)</f>
        <v>0</v>
      </c>
    </row>
    <row r="67" spans="1:3" outlineLevel="1">
      <c r="A67" s="27" t="s">
        <v>478</v>
      </c>
      <c r="C67" s="28">
        <f>+SUMIF(BZ!$E:$E,A67,BZ!$L:$L)</f>
        <v>0</v>
      </c>
    </row>
    <row r="68" spans="1:3" ht="38.25" outlineLevel="1">
      <c r="A68" s="27" t="s">
        <v>479</v>
      </c>
      <c r="C68" s="28">
        <f>+SUMIF(BZ!$E:$E,A68,BZ!$L:$L)</f>
        <v>155800</v>
      </c>
    </row>
    <row r="69" spans="1:3" ht="25.5" outlineLevel="1">
      <c r="A69" s="27" t="s">
        <v>68</v>
      </c>
      <c r="C69" s="28">
        <f>+SUMIF(BZ!$E:$E,A69,BZ!$L:$L)</f>
        <v>0</v>
      </c>
    </row>
    <row r="70" spans="1:3" outlineLevel="1">
      <c r="A70" s="19" t="s">
        <v>75</v>
      </c>
      <c r="C70" s="28">
        <f>+SUMIF(BZ!$E:$E,A70,BZ!$L:$L)</f>
        <v>0</v>
      </c>
    </row>
    <row r="71" spans="1:3" outlineLevel="1">
      <c r="A71" s="19" t="s">
        <v>69</v>
      </c>
      <c r="C71" s="28">
        <f>+SUMIF(BZ!$E:$E,A71,BZ!$L:$L)</f>
        <v>0</v>
      </c>
    </row>
    <row r="72" spans="1:3" outlineLevel="1">
      <c r="A72" s="19" t="s">
        <v>70</v>
      </c>
      <c r="C72" s="28">
        <f>+SUMIF(BZ!$E:$E,A72,BZ!$L:$L)</f>
        <v>0</v>
      </c>
    </row>
    <row r="73" spans="1:3" outlineLevel="1">
      <c r="A73" s="19" t="s">
        <v>71</v>
      </c>
      <c r="C73" s="28">
        <f>+SUMIF(BZ!$E:$E,A73,BZ!$L:$L)</f>
        <v>0</v>
      </c>
    </row>
    <row r="74" spans="1:3" outlineLevel="1">
      <c r="A74" s="19" t="s">
        <v>72</v>
      </c>
      <c r="C74" s="28">
        <f>+SUMIF(BZ!$E:$E,A74,BZ!$L:$L)</f>
        <v>0</v>
      </c>
    </row>
    <row r="75" spans="1:3" outlineLevel="1">
      <c r="A75" s="19" t="s">
        <v>73</v>
      </c>
      <c r="C75" s="28">
        <f>+SUMIF(BZ!$E:$E,A75,BZ!$L:$L)</f>
        <v>0</v>
      </c>
    </row>
    <row r="76" spans="1:3" outlineLevel="1">
      <c r="A76" s="19" t="s">
        <v>74</v>
      </c>
      <c r="C76" s="28">
        <f>+SUMIF(BZ!$E:$E,A76,BZ!$L:$L)</f>
        <v>0</v>
      </c>
    </row>
    <row r="77" spans="1:3" outlineLevel="1">
      <c r="A77" s="27" t="s">
        <v>76</v>
      </c>
      <c r="C77" s="28">
        <f>+SUMIF(BZ!$E:$E,A77,BZ!$L:$L)</f>
        <v>0</v>
      </c>
    </row>
    <row r="78" spans="1:3" outlineLevel="1">
      <c r="A78" s="27" t="s">
        <v>77</v>
      </c>
      <c r="C78" s="28">
        <f>+SUMIF(BZ!$E:$E,A78,BZ!$L:$L)</f>
        <v>0</v>
      </c>
    </row>
    <row r="79" spans="1:3" outlineLevel="1">
      <c r="A79" s="19" t="s">
        <v>480</v>
      </c>
      <c r="C79" s="28">
        <f>+SUMIF(BZ!$E:$E,A79,BZ!$L:$L)</f>
        <v>0</v>
      </c>
    </row>
    <row r="80" spans="1:3" outlineLevel="1">
      <c r="A80" s="19" t="s">
        <v>481</v>
      </c>
      <c r="C80" s="28">
        <f>+SUMIF(BZ!$E:$E,A80,BZ!$L:$L)</f>
        <v>0</v>
      </c>
    </row>
    <row r="81" spans="1:3" outlineLevel="1">
      <c r="A81" s="19" t="s">
        <v>482</v>
      </c>
      <c r="C81" s="28">
        <f>+SUMIF(BZ!$E:$E,A81,BZ!$L:$L)</f>
        <v>0</v>
      </c>
    </row>
    <row r="82" spans="1:3" outlineLevel="1">
      <c r="A82" s="19" t="s">
        <v>483</v>
      </c>
      <c r="C82" s="28">
        <f>+SUMIF(BZ!$E:$E,A82,BZ!$L:$L)</f>
        <v>0</v>
      </c>
    </row>
    <row r="83" spans="1:3" outlineLevel="1">
      <c r="A83" s="19" t="s">
        <v>484</v>
      </c>
      <c r="C83" s="28">
        <f>+SUMIF(BZ!$E:$E,A83,BZ!$L:$L)</f>
        <v>0</v>
      </c>
    </row>
    <row r="84" spans="1:3" outlineLevel="1">
      <c r="A84" s="19" t="s">
        <v>485</v>
      </c>
      <c r="C84" s="28">
        <f>+SUMIF(BZ!$E:$E,A84,BZ!$L:$L)</f>
        <v>0</v>
      </c>
    </row>
    <row r="85" spans="1:3" outlineLevel="1">
      <c r="A85" s="19" t="s">
        <v>486</v>
      </c>
      <c r="C85" s="28">
        <f>+SUMIF(BZ!$E:$E,A85,BZ!$L:$L)</f>
        <v>0</v>
      </c>
    </row>
    <row r="86" spans="1:3" outlineLevel="1">
      <c r="A86" s="19" t="s">
        <v>487</v>
      </c>
      <c r="C86" s="28">
        <f>+SUMIF(BZ!$E:$E,A86,BZ!$L:$L)</f>
        <v>0</v>
      </c>
    </row>
    <row r="87" spans="1:3" outlineLevel="1">
      <c r="A87" s="19" t="s">
        <v>488</v>
      </c>
      <c r="C87" s="28">
        <f>+SUMIF(BZ!$E:$E,A87,BZ!$L:$L)</f>
        <v>0</v>
      </c>
    </row>
    <row r="88" spans="1:3" outlineLevel="1">
      <c r="A88" s="19" t="s">
        <v>489</v>
      </c>
      <c r="C88" s="28">
        <f>+SUMIF(BZ!$E:$E,A88,BZ!$L:$L)</f>
        <v>0</v>
      </c>
    </row>
    <row r="89" spans="1:3" outlineLevel="1">
      <c r="A89" s="19" t="s">
        <v>490</v>
      </c>
      <c r="C89" s="28">
        <f>+SUMIF(BZ!$E:$E,A89,BZ!$L:$L)</f>
        <v>0</v>
      </c>
    </row>
    <row r="90" spans="1:3" outlineLevel="1">
      <c r="A90" s="19" t="s">
        <v>491</v>
      </c>
      <c r="C90" s="28">
        <f>+SUMIF(BZ!$E:$E,A90,BZ!$L:$L)</f>
        <v>0</v>
      </c>
    </row>
    <row r="91" spans="1:3" outlineLevel="1">
      <c r="A91" s="19" t="s">
        <v>492</v>
      </c>
      <c r="C91" s="28">
        <f>+SUMIF(BZ!$E:$E,A91,BZ!$L:$L)</f>
        <v>0</v>
      </c>
    </row>
    <row r="92" spans="1:3" outlineLevel="1">
      <c r="A92" s="19" t="s">
        <v>493</v>
      </c>
      <c r="C92" s="28">
        <f>+SUMIF(BZ!$E:$E,A92,BZ!$L:$L)</f>
        <v>0</v>
      </c>
    </row>
    <row r="93" spans="1:3" outlineLevel="1">
      <c r="A93" s="19" t="s">
        <v>494</v>
      </c>
      <c r="C93" s="28">
        <f>+SUMIF(BZ!$E:$E,A93,BZ!$L:$L)</f>
        <v>0</v>
      </c>
    </row>
    <row r="94" spans="1:3" outlineLevel="1">
      <c r="A94" s="19" t="s">
        <v>495</v>
      </c>
      <c r="C94" s="28">
        <f>+SUMIF(BZ!$E:$E,A94,BZ!$L:$L)</f>
        <v>0</v>
      </c>
    </row>
    <row r="95" spans="1:3" outlineLevel="1">
      <c r="A95" s="19" t="s">
        <v>496</v>
      </c>
      <c r="C95" s="28">
        <f>+SUMIF(BZ!$E:$E,A95,BZ!$L:$L)</f>
        <v>0</v>
      </c>
    </row>
    <row r="96" spans="1:3" outlineLevel="1">
      <c r="A96" s="19" t="s">
        <v>65</v>
      </c>
      <c r="C96" s="28">
        <f>+SUMIF(BZ!$E:$E,A96,BZ!$L:$L)</f>
        <v>0</v>
      </c>
    </row>
    <row r="97" spans="1:5" outlineLevel="1">
      <c r="A97" s="19" t="s">
        <v>497</v>
      </c>
      <c r="C97" s="28">
        <f>+SUMIF(BZ!$E:$E,A97,BZ!$L:$L)</f>
        <v>0</v>
      </c>
    </row>
    <row r="98" spans="1:5" outlineLevel="1">
      <c r="A98" s="19" t="s">
        <v>498</v>
      </c>
      <c r="C98" s="28">
        <f>+SUMIF(BZ!$E:$E,A98,BZ!$L:$L)</f>
        <v>0</v>
      </c>
    </row>
    <row r="99" spans="1:5" outlineLevel="1">
      <c r="A99" s="19" t="s">
        <v>499</v>
      </c>
      <c r="C99" s="28">
        <f>+SUMIF(BZ!$E:$E,A99,BZ!$L:$L)</f>
        <v>0</v>
      </c>
    </row>
    <row r="100" spans="1:5" outlineLevel="1">
      <c r="A100" s="19" t="s">
        <v>500</v>
      </c>
      <c r="C100" s="28">
        <f>+SUMIF(BZ!$E:$E,A100,BZ!$L:$L)</f>
        <v>0</v>
      </c>
    </row>
    <row r="101" spans="1:5" outlineLevel="1">
      <c r="A101" s="19" t="s">
        <v>501</v>
      </c>
      <c r="C101" s="28">
        <f>+SUMIF(BZ!$E:$E,A101,BZ!$L:$L)</f>
        <v>0</v>
      </c>
    </row>
    <row r="102" spans="1:5" outlineLevel="1">
      <c r="A102" s="19" t="s">
        <v>502</v>
      </c>
      <c r="C102" s="28">
        <f>+SUMIF(BZ!$E:$E,A102,BZ!$L:$L)</f>
        <v>0</v>
      </c>
    </row>
    <row r="103" spans="1:5" outlineLevel="1">
      <c r="A103" s="19" t="s">
        <v>503</v>
      </c>
      <c r="C103" s="28">
        <f>+SUMIF(BZ!$E:$E,A103,BZ!$L:$L)</f>
        <v>0</v>
      </c>
    </row>
    <row r="104" spans="1:5" s="23" customFormat="1">
      <c r="A104" s="24" t="s">
        <v>52</v>
      </c>
      <c r="C104" s="127">
        <f>+SUM(C105:C111)</f>
        <v>7850988.1699999999</v>
      </c>
    </row>
    <row r="105" spans="1:5" outlineLevel="1">
      <c r="A105" s="19" t="s">
        <v>12</v>
      </c>
      <c r="C105" s="28">
        <f>+SUMIF(BZ!$E:$E,A105,BZ!$L:$L)+1271</f>
        <v>7268727.5700000003</v>
      </c>
      <c r="D105" s="71"/>
      <c r="E105" s="71"/>
    </row>
    <row r="106" spans="1:5" outlineLevel="1">
      <c r="A106" s="19" t="s">
        <v>193</v>
      </c>
      <c r="C106" s="28">
        <f>+SUMIF(BZ!$E:$E,A106,BZ!$L:$L)</f>
        <v>0</v>
      </c>
      <c r="E106" s="71"/>
    </row>
    <row r="107" spans="1:5" outlineLevel="1">
      <c r="A107" s="19" t="s">
        <v>13</v>
      </c>
      <c r="C107" s="28">
        <v>51866.630000000005</v>
      </c>
      <c r="E107" s="235"/>
    </row>
    <row r="108" spans="1:5" outlineLevel="1">
      <c r="A108" s="19" t="s">
        <v>14</v>
      </c>
      <c r="C108" s="28">
        <v>519220.44999999995</v>
      </c>
      <c r="D108" s="47"/>
    </row>
    <row r="109" spans="1:5" outlineLevel="1">
      <c r="A109" s="19" t="s">
        <v>335</v>
      </c>
      <c r="C109" s="28">
        <v>48670.59</v>
      </c>
    </row>
    <row r="110" spans="1:5" outlineLevel="1">
      <c r="A110" s="19" t="s">
        <v>336</v>
      </c>
      <c r="C110" s="28">
        <f>+SUMIF(BZ!$E:$E,A110,BZ!$L:$L)</f>
        <v>0</v>
      </c>
    </row>
    <row r="111" spans="1:5" outlineLevel="1">
      <c r="A111" s="19" t="s">
        <v>174</v>
      </c>
      <c r="C111" s="28">
        <f>-37497.07</f>
        <v>-37497.07</v>
      </c>
      <c r="D111" s="47"/>
    </row>
    <row r="112" spans="1:5" s="23" customFormat="1">
      <c r="A112" s="24" t="s">
        <v>53</v>
      </c>
      <c r="C112" s="127">
        <f>+SUM(C113:C122)</f>
        <v>1396282.97</v>
      </c>
    </row>
    <row r="113" spans="1:8" outlineLevel="1">
      <c r="A113" s="19" t="s">
        <v>508</v>
      </c>
      <c r="C113" s="28">
        <f>+SUMIF(BZ!$E:$E,A113,BZ!$L:$L)</f>
        <v>0</v>
      </c>
    </row>
    <row r="114" spans="1:8" outlineLevel="1">
      <c r="A114" s="27" t="s">
        <v>78</v>
      </c>
      <c r="C114" s="28">
        <f>+SUMIF(BZ!$E:$E,A114,BZ!$L:$L)</f>
        <v>302299.71999999997</v>
      </c>
    </row>
    <row r="115" spans="1:8" ht="15" outlineLevel="1">
      <c r="A115" s="27" t="s">
        <v>79</v>
      </c>
      <c r="C115" s="28">
        <f>+SUMIF(BZ!$E:$E,A115,BZ!$L:$L)</f>
        <v>441988.38</v>
      </c>
      <c r="H115" s="254"/>
    </row>
    <row r="116" spans="1:8" ht="25.5" outlineLevel="1">
      <c r="A116" s="27" t="s">
        <v>505</v>
      </c>
      <c r="C116" s="28">
        <f>+SUMIF(BZ!$E:$E,A116,BZ!$L:$L)</f>
        <v>0</v>
      </c>
      <c r="H116" s="254"/>
    </row>
    <row r="117" spans="1:8" outlineLevel="1">
      <c r="A117" s="19" t="s">
        <v>80</v>
      </c>
      <c r="C117" s="28">
        <f>+SUMIF(BZ!$E:$E,A117,BZ!$L:$L)</f>
        <v>0</v>
      </c>
    </row>
    <row r="118" spans="1:8" outlineLevel="1">
      <c r="A118" s="19" t="s">
        <v>81</v>
      </c>
      <c r="C118" s="28">
        <f>+SUMIF(BZ!$E:$E,A118,BZ!$L:$L)</f>
        <v>0</v>
      </c>
    </row>
    <row r="119" spans="1:8" outlineLevel="1">
      <c r="A119" s="19" t="s">
        <v>506</v>
      </c>
      <c r="C119" s="28">
        <f>+SUMIF(BZ!$E:$E,A119,BZ!$L:$L)</f>
        <v>428051.03</v>
      </c>
    </row>
    <row r="120" spans="1:8" outlineLevel="1">
      <c r="A120" s="27" t="s">
        <v>82</v>
      </c>
      <c r="C120" s="28">
        <f>+SUMIF(BZ!$E:$E,A120,BZ!$L:$L)</f>
        <v>223943.84</v>
      </c>
    </row>
    <row r="121" spans="1:8" ht="38.25" outlineLevel="1">
      <c r="A121" s="27" t="s">
        <v>507</v>
      </c>
      <c r="C121" s="28">
        <f>+SUMIF(BZ!$E:$E,A121,BZ!$L:$L)</f>
        <v>0</v>
      </c>
    </row>
    <row r="122" spans="1:8" outlineLevel="1">
      <c r="A122" s="19" t="s">
        <v>83</v>
      </c>
      <c r="C122" s="28">
        <f>+SUMIF(BZ!$E:$E,A122,BZ!$L:$L)</f>
        <v>0</v>
      </c>
    </row>
    <row r="123" spans="1:8" s="23" customFormat="1">
      <c r="A123" s="24" t="s">
        <v>54</v>
      </c>
      <c r="C123" s="127">
        <f>+SUM(C124:C140)</f>
        <v>0</v>
      </c>
    </row>
    <row r="124" spans="1:8" hidden="1" outlineLevel="1">
      <c r="A124" s="19" t="s">
        <v>521</v>
      </c>
      <c r="C124" s="28">
        <f>+SUMIF(BZ!$E:$E,A124,BZ!$L:$L)</f>
        <v>0</v>
      </c>
    </row>
    <row r="125" spans="1:8" hidden="1" outlineLevel="1">
      <c r="A125" s="19" t="s">
        <v>84</v>
      </c>
      <c r="C125" s="28">
        <f>+SUMIF(BZ!$E:$E,A125,BZ!$L:$L)</f>
        <v>0</v>
      </c>
    </row>
    <row r="126" spans="1:8" hidden="1" outlineLevel="1">
      <c r="A126" s="19" t="s">
        <v>522</v>
      </c>
      <c r="C126" s="28">
        <f>+SUMIF(BZ!$E:$E,A126,BZ!$L:$L)</f>
        <v>0</v>
      </c>
    </row>
    <row r="127" spans="1:8" hidden="1" outlineLevel="1">
      <c r="A127" s="27" t="s">
        <v>11</v>
      </c>
      <c r="C127" s="28">
        <f>+SUMIF(BZ!$E:$E,A127,BZ!$L:$L)</f>
        <v>0</v>
      </c>
    </row>
    <row r="128" spans="1:8" hidden="1" outlineLevel="1">
      <c r="A128" s="27" t="s">
        <v>523</v>
      </c>
      <c r="C128" s="28">
        <f>+SUMIF(BZ!$E:$E,A128,BZ!$L:$L)</f>
        <v>0</v>
      </c>
    </row>
    <row r="129" spans="1:4" hidden="1" outlineLevel="1">
      <c r="A129" s="27" t="s">
        <v>524</v>
      </c>
      <c r="C129" s="28">
        <f>+SUMIF(BZ!$E:$E,A129,BZ!$L:$L)</f>
        <v>0</v>
      </c>
    </row>
    <row r="130" spans="1:4" hidden="1" outlineLevel="1">
      <c r="A130" s="19" t="s">
        <v>525</v>
      </c>
      <c r="C130" s="28">
        <f>+SUMIF(BZ!$E:$E,A130,BZ!$L:$L)</f>
        <v>0</v>
      </c>
    </row>
    <row r="131" spans="1:4" hidden="1" outlineLevel="1">
      <c r="A131" s="19" t="s">
        <v>526</v>
      </c>
      <c r="C131" s="28">
        <f>+SUMIF(BZ!$E:$E,A131,BZ!$L:$L)</f>
        <v>0</v>
      </c>
    </row>
    <row r="132" spans="1:4" hidden="1" outlineLevel="1">
      <c r="A132" s="19" t="s">
        <v>527</v>
      </c>
      <c r="C132" s="28">
        <f>+SUMIF(BZ!$E:$E,A132,BZ!$L:$L)</f>
        <v>0</v>
      </c>
    </row>
    <row r="133" spans="1:4" hidden="1" outlineLevel="1">
      <c r="A133" s="19" t="s">
        <v>528</v>
      </c>
      <c r="C133" s="28">
        <f>+SUMIF(BZ!$E:$E,A133,BZ!$L:$L)</f>
        <v>0</v>
      </c>
    </row>
    <row r="134" spans="1:4" hidden="1" outlineLevel="1">
      <c r="A134" s="27" t="s">
        <v>529</v>
      </c>
      <c r="C134" s="28">
        <f>+SUMIF(BZ!$E:$E,A134,BZ!$L:$L)</f>
        <v>0</v>
      </c>
    </row>
    <row r="135" spans="1:4" hidden="1" outlineLevel="1">
      <c r="A135" s="19" t="s">
        <v>530</v>
      </c>
      <c r="C135" s="28">
        <f>+SUMIF(BZ!$E:$E,A135,BZ!$L:$L)</f>
        <v>0</v>
      </c>
    </row>
    <row r="136" spans="1:4" hidden="1" outlineLevel="1">
      <c r="A136" s="27" t="s">
        <v>531</v>
      </c>
      <c r="C136" s="28">
        <f>+SUMIF(BZ!$E:$E,A136,BZ!$L:$L)</f>
        <v>0</v>
      </c>
    </row>
    <row r="137" spans="1:4" hidden="1" outlineLevel="1">
      <c r="A137" s="19" t="s">
        <v>532</v>
      </c>
      <c r="C137" s="28">
        <f>+SUMIF(BZ!$E:$E,A137,BZ!$L:$L)</f>
        <v>0</v>
      </c>
    </row>
    <row r="138" spans="1:4" hidden="1" outlineLevel="1">
      <c r="A138" s="19" t="s">
        <v>533</v>
      </c>
      <c r="C138" s="28">
        <f>+SUMIF(BZ!$E:$E,A138,BZ!$L:$L)</f>
        <v>0</v>
      </c>
    </row>
    <row r="139" spans="1:4" hidden="1" outlineLevel="1">
      <c r="A139" s="19" t="s">
        <v>534</v>
      </c>
      <c r="C139" s="28">
        <f>+SUMIF(BZ!$E:$E,A139,BZ!$L:$L)</f>
        <v>0</v>
      </c>
    </row>
    <row r="140" spans="1:4" hidden="1" outlineLevel="1">
      <c r="A140" s="19" t="s">
        <v>85</v>
      </c>
      <c r="C140" s="28">
        <f>+SUMIF(BZ!$E:$E,A140,BZ!$L:$L)</f>
        <v>0</v>
      </c>
    </row>
    <row r="141" spans="1:4" collapsed="1">
      <c r="A141" s="24" t="s">
        <v>510</v>
      </c>
      <c r="C141" s="28">
        <f>+SUMIF(BZ!$E:$E,A141,BZ!$L:$L)+C142+C143+C144+C145+C146</f>
        <v>0</v>
      </c>
      <c r="D141" s="47"/>
    </row>
    <row r="142" spans="1:4" hidden="1" outlineLevel="1">
      <c r="A142" s="228" t="s">
        <v>102</v>
      </c>
      <c r="C142" s="28">
        <f>+SUMIF(BZ!$E:$E,A142,BZ!$L:$L)</f>
        <v>0</v>
      </c>
      <c r="D142" s="47"/>
    </row>
    <row r="143" spans="1:4" hidden="1" outlineLevel="1">
      <c r="A143" s="228" t="s">
        <v>511</v>
      </c>
      <c r="C143" s="28">
        <f>+SUMIF(BZ!$E:$E,A143,BZ!$L:$L)</f>
        <v>0</v>
      </c>
      <c r="D143" s="47"/>
    </row>
    <row r="144" spans="1:4" hidden="1" outlineLevel="1">
      <c r="A144" s="228" t="s">
        <v>512</v>
      </c>
      <c r="C144" s="28">
        <f>+SUMIF(BZ!$E:$E,A144,BZ!$L:$L)</f>
        <v>0</v>
      </c>
      <c r="D144" s="47"/>
    </row>
    <row r="145" spans="1:4" hidden="1" outlineLevel="1">
      <c r="A145" s="228" t="s">
        <v>513</v>
      </c>
      <c r="C145" s="28">
        <f>+SUMIF(BZ!$E:$E,A145,BZ!$L:$L)</f>
        <v>0</v>
      </c>
      <c r="D145" s="47"/>
    </row>
    <row r="146" spans="1:4" hidden="1" outlineLevel="1">
      <c r="A146" s="228" t="s">
        <v>514</v>
      </c>
      <c r="C146" s="28">
        <f>+SUMIF(BZ!$E:$E,A146,BZ!$L:$L)</f>
        <v>0</v>
      </c>
      <c r="D146" s="47"/>
    </row>
    <row r="147" spans="1:4" collapsed="1">
      <c r="A147" s="24"/>
      <c r="D147" s="47"/>
    </row>
    <row r="148" spans="1:4">
      <c r="A148" s="229" t="s">
        <v>334</v>
      </c>
      <c r="B148" s="26"/>
      <c r="C148" s="28">
        <f>IF('AAXI '!D14&lt;0,'AAXI '!D15*-1,0)</f>
        <v>4790.2349703333348</v>
      </c>
      <c r="D148" s="72"/>
    </row>
    <row r="150" spans="1:4">
      <c r="A150" s="230" t="s">
        <v>540</v>
      </c>
      <c r="C150" s="28">
        <f>+SUMIF(BZ!$E:$E,A150,BZ!$L:$L)</f>
        <v>0</v>
      </c>
    </row>
    <row r="151" spans="1:4">
      <c r="A151" s="27"/>
    </row>
    <row r="153" spans="1:4">
      <c r="A153" s="24" t="s">
        <v>22</v>
      </c>
      <c r="B153" s="23"/>
      <c r="C153" s="20">
        <f>+C44+C104+C112+C123+C141+C148</f>
        <v>9455974.5149703324</v>
      </c>
      <c r="D153" s="74"/>
    </row>
    <row r="154" spans="1:4">
      <c r="A154" s="19" t="s">
        <v>177</v>
      </c>
      <c r="C154" s="20">
        <f>+SUM(ER!E33:E35,ER!E38:E40,ER!E47:E56,ER!E58:E60,ER!E65,ER!E29,ER!E25:E26)</f>
        <v>9704915.870000001</v>
      </c>
      <c r="D154" s="74"/>
    </row>
    <row r="155" spans="1:4">
      <c r="A155" s="19" t="s">
        <v>178</v>
      </c>
      <c r="C155" s="75">
        <f>+C153-C154</f>
        <v>-248941.35502966866</v>
      </c>
    </row>
    <row r="156" spans="1:4">
      <c r="A156" s="228" t="s">
        <v>540</v>
      </c>
      <c r="C156" s="28">
        <f>+SUMIF(BZ!$E:$E,A156,BZ!$L:$L)</f>
        <v>0</v>
      </c>
    </row>
    <row r="157" spans="1:4">
      <c r="A157" s="27" t="s">
        <v>194</v>
      </c>
      <c r="C157" s="29"/>
    </row>
    <row r="158" spans="1:4">
      <c r="A158" s="27" t="s">
        <v>334</v>
      </c>
      <c r="C158" s="20">
        <f>-C148</f>
        <v>-4790.2349703333348</v>
      </c>
    </row>
    <row r="159" spans="1:4">
      <c r="A159" s="19" t="s">
        <v>535</v>
      </c>
      <c r="C159" s="29"/>
    </row>
    <row r="160" spans="1:4">
      <c r="A160" s="19" t="s">
        <v>179</v>
      </c>
      <c r="C160" s="76">
        <f>37497.07+217505.52-1271</f>
        <v>253731.59</v>
      </c>
      <c r="D160" s="74"/>
    </row>
    <row r="161" spans="1:3">
      <c r="A161" s="19" t="s">
        <v>180</v>
      </c>
      <c r="C161" s="20">
        <f>+SUM(C155:C160)</f>
        <v>-2.0081643015146255E-9</v>
      </c>
    </row>
  </sheetData>
  <hyperlinks>
    <hyperlink ref="A5" r:id="rId1" xr:uid="{EC11A792-7B3A-481B-A730-24899F1EC49E}"/>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topLeftCell="A12" workbookViewId="0"/>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86</v>
      </c>
      <c r="C5" s="89">
        <f>IF(Determinación!B9&gt;0,TRUNC(Determinación!B7/(Determinación!B3-'Ing - Ded'!C37),4),0)</f>
        <v>0</v>
      </c>
    </row>
    <row r="6" spans="2:4" ht="15">
      <c r="B6" s="18" t="s">
        <v>87</v>
      </c>
      <c r="C6" s="21" t="s">
        <v>175</v>
      </c>
      <c r="D6" s="101" t="s">
        <v>385</v>
      </c>
    </row>
    <row r="7" spans="2:4" ht="15">
      <c r="B7" s="18" t="s">
        <v>88</v>
      </c>
      <c r="C7" s="131">
        <f>+C11*'AAXI '!D7</f>
        <v>0</v>
      </c>
      <c r="D7" s="101" t="s">
        <v>387</v>
      </c>
    </row>
    <row r="8" spans="2:4">
      <c r="B8" s="18" t="s">
        <v>89</v>
      </c>
      <c r="C8" s="90">
        <f>Determinación!B9-Determinación!B10</f>
        <v>0</v>
      </c>
    </row>
    <row r="9" spans="2:4">
      <c r="B9" s="18" t="s">
        <v>90</v>
      </c>
      <c r="C9" s="21" t="s">
        <v>175</v>
      </c>
    </row>
    <row r="11" spans="2:4">
      <c r="B11" s="18" t="s">
        <v>539</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39"/>
  <sheetViews>
    <sheetView topLeftCell="A10" workbookViewId="0">
      <selection activeCell="C32" sqref="C32"/>
    </sheetView>
  </sheetViews>
  <sheetFormatPr baseColWidth="10" defaultColWidth="11.42578125" defaultRowHeight="12.75"/>
  <cols>
    <col min="1" max="1" width="43.28515625" style="18" customWidth="1"/>
    <col min="2" max="2" width="13.85546875" style="18" customWidth="1"/>
    <col min="3" max="3" width="16.28515625" style="18" bestFit="1" customWidth="1"/>
    <col min="4" max="4" width="12.28515625" style="18" bestFit="1" customWidth="1"/>
    <col min="5" max="5" width="34.140625" style="18" customWidth="1"/>
    <col min="6" max="6" width="11.42578125" style="18"/>
    <col min="7" max="7" width="15.140625" style="18" bestFit="1" customWidth="1"/>
    <col min="8" max="16384" width="11.42578125" style="18"/>
  </cols>
  <sheetData>
    <row r="2" spans="1:7">
      <c r="B2" s="3" t="s">
        <v>349</v>
      </c>
    </row>
    <row r="3" spans="1:7">
      <c r="B3" s="3" t="s">
        <v>379</v>
      </c>
    </row>
    <row r="4" spans="1:7">
      <c r="B4" s="3" t="s">
        <v>380</v>
      </c>
    </row>
    <row r="5" spans="1:7">
      <c r="B5" s="130" t="s">
        <v>381</v>
      </c>
    </row>
    <row r="6" spans="1:7">
      <c r="B6" s="130" t="s">
        <v>384</v>
      </c>
    </row>
    <row r="7" spans="1:7">
      <c r="B7" s="130" t="s">
        <v>382</v>
      </c>
    </row>
    <row r="8" spans="1:7">
      <c r="B8" s="130" t="s">
        <v>383</v>
      </c>
    </row>
    <row r="11" spans="1:7">
      <c r="A11" s="23" t="s">
        <v>17</v>
      </c>
      <c r="B11" s="23"/>
      <c r="C11" s="23"/>
      <c r="D11" s="23"/>
    </row>
    <row r="12" spans="1:7" ht="25.5">
      <c r="A12" s="22"/>
      <c r="B12" s="22"/>
      <c r="C12" s="22">
        <v>2023</v>
      </c>
      <c r="E12" s="79" t="s">
        <v>366</v>
      </c>
      <c r="G12" s="71">
        <f>+G13+G14</f>
        <v>4790.2349703333348</v>
      </c>
    </row>
    <row r="13" spans="1:7">
      <c r="A13" s="18" t="s">
        <v>18</v>
      </c>
      <c r="C13" s="71">
        <f>+ER!E73</f>
        <v>-404915.38000000163</v>
      </c>
      <c r="E13" s="18" t="s">
        <v>156</v>
      </c>
      <c r="G13" s="71">
        <f>'Ing - Ded'!C148</f>
        <v>4790.2349703333348</v>
      </c>
    </row>
    <row r="14" spans="1:7">
      <c r="A14" s="18" t="s">
        <v>19</v>
      </c>
      <c r="C14" s="71">
        <f>C13</f>
        <v>-404915.38000000163</v>
      </c>
      <c r="E14" s="18" t="s">
        <v>157</v>
      </c>
      <c r="G14" s="71">
        <f>+ER!E29</f>
        <v>0</v>
      </c>
    </row>
    <row r="15" spans="1:7">
      <c r="A15" s="23" t="s">
        <v>20</v>
      </c>
      <c r="C15" s="128">
        <f>+C16+C17</f>
        <v>0</v>
      </c>
      <c r="E15" s="18" t="s">
        <v>158</v>
      </c>
      <c r="G15" s="71"/>
    </row>
    <row r="16" spans="1:7">
      <c r="A16" s="26" t="s">
        <v>140</v>
      </c>
      <c r="B16" s="26"/>
      <c r="C16" s="71">
        <f>'Ing - Ded'!C37</f>
        <v>0</v>
      </c>
      <c r="E16" s="18" t="s">
        <v>159</v>
      </c>
      <c r="G16" s="71"/>
    </row>
    <row r="17" spans="1:7">
      <c r="A17" s="18" t="s">
        <v>141</v>
      </c>
      <c r="C17" s="71">
        <f>+'Ing - Ded'!C9</f>
        <v>0</v>
      </c>
      <c r="E17" s="18" t="s">
        <v>160</v>
      </c>
      <c r="G17" s="71"/>
    </row>
    <row r="18" spans="1:7">
      <c r="A18" s="18" t="s">
        <v>142</v>
      </c>
      <c r="C18" s="71"/>
      <c r="E18" s="18" t="s">
        <v>161</v>
      </c>
      <c r="G18" s="71"/>
    </row>
    <row r="19" spans="1:7">
      <c r="A19" s="18" t="s">
        <v>143</v>
      </c>
      <c r="C19" s="71"/>
      <c r="E19" s="18" t="s">
        <v>162</v>
      </c>
      <c r="G19" s="71"/>
    </row>
    <row r="20" spans="1:7">
      <c r="A20" s="18" t="s">
        <v>144</v>
      </c>
      <c r="C20" s="71"/>
      <c r="E20" s="18" t="s">
        <v>69</v>
      </c>
      <c r="G20" s="71"/>
    </row>
    <row r="21" spans="1:7">
      <c r="A21" s="18" t="s">
        <v>145</v>
      </c>
      <c r="C21" s="71"/>
      <c r="E21" s="18" t="s">
        <v>70</v>
      </c>
      <c r="G21" s="71"/>
    </row>
    <row r="22" spans="1:7">
      <c r="A22" s="18" t="s">
        <v>146</v>
      </c>
      <c r="C22" s="71"/>
      <c r="E22" s="18" t="s">
        <v>163</v>
      </c>
      <c r="G22" s="71"/>
    </row>
    <row r="23" spans="1:7">
      <c r="A23" s="79" t="s">
        <v>21</v>
      </c>
      <c r="C23" s="128">
        <f>+SUM(C24:C32)</f>
        <v>253731.59</v>
      </c>
      <c r="D23" s="71"/>
      <c r="E23" s="18" t="s">
        <v>164</v>
      </c>
      <c r="G23" s="71"/>
    </row>
    <row r="24" spans="1:7">
      <c r="A24" s="26" t="s">
        <v>147</v>
      </c>
      <c r="C24" s="71">
        <f>+ER!E29</f>
        <v>0</v>
      </c>
      <c r="D24" s="86"/>
      <c r="E24" s="23" t="s">
        <v>367</v>
      </c>
      <c r="G24" s="128"/>
    </row>
    <row r="25" spans="1:7">
      <c r="A25" s="26" t="s">
        <v>148</v>
      </c>
      <c r="C25" s="71"/>
      <c r="E25" s="18" t="s">
        <v>165</v>
      </c>
      <c r="G25" s="71"/>
    </row>
    <row r="26" spans="1:7">
      <c r="A26" s="26" t="s">
        <v>149</v>
      </c>
      <c r="C26" s="71">
        <f>+'Ing - Ded'!C150+'Ing - Ded'!C160</f>
        <v>253731.59</v>
      </c>
      <c r="E26" s="18" t="s">
        <v>166</v>
      </c>
      <c r="G26" s="71"/>
    </row>
    <row r="27" spans="1:7">
      <c r="A27" s="26" t="s">
        <v>150</v>
      </c>
      <c r="C27" s="71">
        <f>+ER!E67+ER!E68</f>
        <v>0</v>
      </c>
      <c r="E27" s="18" t="s">
        <v>167</v>
      </c>
      <c r="G27" s="71"/>
    </row>
    <row r="28" spans="1:7">
      <c r="A28" s="26" t="s">
        <v>151</v>
      </c>
      <c r="C28" s="71"/>
      <c r="E28" s="18" t="s">
        <v>168</v>
      </c>
      <c r="G28" s="71"/>
    </row>
    <row r="29" spans="1:7" ht="16.5" customHeight="1">
      <c r="A29" s="26" t="s">
        <v>152</v>
      </c>
      <c r="C29" s="71"/>
      <c r="E29" s="18" t="s">
        <v>169</v>
      </c>
      <c r="G29" s="71"/>
    </row>
    <row r="30" spans="1:7">
      <c r="A30" s="26" t="s">
        <v>153</v>
      </c>
      <c r="C30" s="71"/>
      <c r="E30" s="18" t="s">
        <v>129</v>
      </c>
      <c r="G30" s="71"/>
    </row>
    <row r="31" spans="1:7" ht="25.5">
      <c r="A31" s="26" t="s">
        <v>154</v>
      </c>
      <c r="C31" s="71"/>
      <c r="E31" s="18" t="s">
        <v>170</v>
      </c>
    </row>
    <row r="32" spans="1:7">
      <c r="A32" s="26" t="s">
        <v>155</v>
      </c>
      <c r="C32" s="71">
        <v>0</v>
      </c>
      <c r="E32" s="23" t="s">
        <v>171</v>
      </c>
      <c r="G32" s="86">
        <f>+C14+C15+C23-G12-G24</f>
        <v>-155974.02497033498</v>
      </c>
    </row>
    <row r="33" spans="1:7">
      <c r="C33" s="71"/>
      <c r="E33" s="23" t="s">
        <v>182</v>
      </c>
      <c r="G33" s="92">
        <f>+Determinación!B5</f>
        <v>-155974.02497033216</v>
      </c>
    </row>
    <row r="34" spans="1:7">
      <c r="E34" s="18" t="s">
        <v>183</v>
      </c>
      <c r="G34" s="93">
        <f>+G32-G33</f>
        <v>-2.8230715543031693E-9</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topLeftCell="A11" workbookViewId="0">
      <selection activeCell="D20" sqref="D20"/>
    </sheetView>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23</v>
      </c>
    </row>
    <row r="2" spans="1:5">
      <c r="B2" s="23">
        <v>2023</v>
      </c>
      <c r="C2" s="77"/>
    </row>
    <row r="3" spans="1:5">
      <c r="A3" s="18" t="s">
        <v>24</v>
      </c>
      <c r="B3" s="78">
        <f>+'Ing - Ded'!C8</f>
        <v>9300000.4900000002</v>
      </c>
      <c r="C3" s="77"/>
      <c r="D3" s="77"/>
    </row>
    <row r="4" spans="1:5" ht="38.25">
      <c r="A4" s="26" t="s">
        <v>25</v>
      </c>
      <c r="B4" s="78">
        <f>+'Ing - Ded'!C153</f>
        <v>9455974.5149703324</v>
      </c>
      <c r="C4" s="77"/>
      <c r="D4" s="77"/>
    </row>
    <row r="5" spans="1:5" ht="25.5">
      <c r="A5" s="79" t="s">
        <v>26</v>
      </c>
      <c r="B5" s="78">
        <f>+B3-B4</f>
        <v>-155974.02497033216</v>
      </c>
      <c r="C5" s="78"/>
      <c r="D5" s="78"/>
    </row>
    <row r="6" spans="1:5">
      <c r="A6" s="23" t="s">
        <v>27</v>
      </c>
      <c r="B6" s="78">
        <f>+IF(0&gt;B5,B5,0)</f>
        <v>-155974.02497033216</v>
      </c>
      <c r="E6" s="80"/>
    </row>
    <row r="7" spans="1:5">
      <c r="A7" s="23" t="s">
        <v>28</v>
      </c>
      <c r="B7" s="78">
        <f>+IF(B5&gt;0,B5,0)</f>
        <v>0</v>
      </c>
      <c r="C7" s="78"/>
      <c r="D7" s="78"/>
    </row>
    <row r="8" spans="1:5" ht="38.25">
      <c r="A8" s="79" t="s">
        <v>29</v>
      </c>
      <c r="B8" s="78">
        <f>-IF(SUM(Pérdidas!J19:J25)&lt;B7,SUM(Pérdidas!J19:J25),B7)</f>
        <v>0</v>
      </c>
      <c r="C8" s="77"/>
      <c r="D8" s="3" t="s">
        <v>349</v>
      </c>
    </row>
    <row r="9" spans="1:5">
      <c r="A9" s="79" t="s">
        <v>30</v>
      </c>
      <c r="B9" s="78">
        <f>+B7+B8</f>
        <v>0</v>
      </c>
      <c r="C9" s="81"/>
      <c r="D9" s="3" t="s">
        <v>388</v>
      </c>
    </row>
    <row r="10" spans="1:5">
      <c r="A10" s="79" t="s">
        <v>31</v>
      </c>
      <c r="B10" s="78">
        <f>IF(B9&gt;0,B9*0.3,0)</f>
        <v>0</v>
      </c>
      <c r="C10" s="78"/>
      <c r="D10" s="77"/>
    </row>
    <row r="11" spans="1:5">
      <c r="A11" s="79" t="s">
        <v>372</v>
      </c>
      <c r="B11" s="78">
        <f>+SUMIF(BZ!G19:G60,Determinación!A11,BZ!K19:K60)</f>
        <v>0</v>
      </c>
      <c r="C11" s="78"/>
    </row>
    <row r="12" spans="1:5">
      <c r="A12" s="79" t="s">
        <v>389</v>
      </c>
      <c r="B12" s="78"/>
      <c r="C12" s="78"/>
    </row>
    <row r="13" spans="1:5">
      <c r="A13" s="79" t="s">
        <v>390</v>
      </c>
      <c r="B13" s="78"/>
      <c r="C13" s="78"/>
    </row>
    <row r="14" spans="1:5">
      <c r="A14" s="23" t="s">
        <v>391</v>
      </c>
      <c r="B14" s="78"/>
    </row>
    <row r="15" spans="1:5">
      <c r="A15" s="18" t="s">
        <v>181</v>
      </c>
      <c r="B15" s="78">
        <f>+B10-B11-B12-B13-B14</f>
        <v>0</v>
      </c>
      <c r="C15" s="78"/>
    </row>
    <row r="16" spans="1:5">
      <c r="A16" s="18" t="s">
        <v>32</v>
      </c>
      <c r="B16" s="78"/>
    </row>
    <row r="17" spans="1:3">
      <c r="A17" s="18" t="s">
        <v>33</v>
      </c>
    </row>
    <row r="18" spans="1:3">
      <c r="A18" s="18" t="s">
        <v>34</v>
      </c>
    </row>
    <row r="19" spans="1:3">
      <c r="A19" s="18" t="s">
        <v>35</v>
      </c>
    </row>
    <row r="20" spans="1:3">
      <c r="A20" s="18" t="s">
        <v>36</v>
      </c>
    </row>
    <row r="21" spans="1:3">
      <c r="A21" s="18" t="s">
        <v>37</v>
      </c>
    </row>
    <row r="22" spans="1:3">
      <c r="A22" s="18" t="s">
        <v>38</v>
      </c>
      <c r="B22" s="78"/>
    </row>
    <row r="23" spans="1:3">
      <c r="A23" s="82" t="s">
        <v>39</v>
      </c>
      <c r="B23" s="83">
        <f>+B15-B22</f>
        <v>0</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M34"/>
  <sheetViews>
    <sheetView topLeftCell="A19" workbookViewId="0">
      <selection activeCell="P30" sqref="O30:P30"/>
    </sheetView>
  </sheetViews>
  <sheetFormatPr baseColWidth="10" defaultColWidth="11.42578125" defaultRowHeight="12.75"/>
  <cols>
    <col min="1" max="3" width="11.42578125" style="18"/>
    <col min="4" max="4" width="14.42578125" style="18" customWidth="1"/>
    <col min="5" max="5" width="15.5703125" style="18" customWidth="1"/>
    <col min="6" max="6" width="23.5703125" style="18" hidden="1" customWidth="1"/>
    <col min="7" max="7" width="15" style="18" bestFit="1" customWidth="1"/>
    <col min="8" max="8" width="18.7109375" style="18" customWidth="1"/>
    <col min="9" max="10" width="11.42578125" style="18"/>
    <col min="11" max="11" width="15.5703125" style="18" bestFit="1" customWidth="1"/>
    <col min="12" max="16384" width="11.42578125" style="18"/>
  </cols>
  <sheetData>
    <row r="7" spans="2:13">
      <c r="B7" s="18" t="s">
        <v>186</v>
      </c>
      <c r="C7" s="18" t="str">
        <f>Portada!$B$12</f>
        <v xml:space="preserve">CADALA S.A DE C.V </v>
      </c>
    </row>
    <row r="8" spans="2:13">
      <c r="B8" s="18" t="s">
        <v>187</v>
      </c>
      <c r="C8" s="18" t="str">
        <f>Portada!$B$14</f>
        <v>CAD171027AW7</v>
      </c>
    </row>
    <row r="10" spans="2:13">
      <c r="B10" s="271" t="str">
        <f>+Portada!B13</f>
        <v>Cálculo Fiscal - Ejercicio 2024</v>
      </c>
      <c r="C10" s="271"/>
      <c r="D10" s="271"/>
      <c r="E10" s="271"/>
      <c r="F10" s="271"/>
      <c r="G10" s="271"/>
      <c r="H10" s="271"/>
      <c r="I10" s="271"/>
      <c r="J10" s="271"/>
      <c r="K10" s="271"/>
    </row>
    <row r="11" spans="2:13">
      <c r="B11" s="271" t="str">
        <f>Portada!B15</f>
        <v>Fecha Corte: 31 de Diciembre del 2024</v>
      </c>
      <c r="C11" s="271"/>
      <c r="D11" s="271"/>
      <c r="E11" s="271"/>
      <c r="F11" s="271"/>
      <c r="G11" s="271"/>
      <c r="H11" s="271"/>
      <c r="I11" s="271"/>
      <c r="J11" s="271"/>
      <c r="K11" s="271"/>
    </row>
    <row r="13" spans="2:13">
      <c r="B13" s="270" t="s">
        <v>185</v>
      </c>
      <c r="C13" s="270"/>
      <c r="D13" s="270"/>
      <c r="E13" s="22" t="s">
        <v>281</v>
      </c>
      <c r="F13" s="22" t="s">
        <v>638</v>
      </c>
      <c r="H13" s="270" t="s">
        <v>184</v>
      </c>
      <c r="I13" s="270"/>
      <c r="J13" s="270"/>
      <c r="K13" s="270"/>
    </row>
    <row r="14" spans="2:13">
      <c r="B14" s="18" t="s">
        <v>188</v>
      </c>
      <c r="E14" s="94">
        <f>+Determinación!B3</f>
        <v>9300000.4900000002</v>
      </c>
      <c r="F14" s="94">
        <f>+E14+1000000</f>
        <v>10300000.49</v>
      </c>
      <c r="G14" s="95"/>
      <c r="H14" s="18" t="s">
        <v>188</v>
      </c>
      <c r="K14" s="133">
        <f>+ER!E23+ER!E24+ER!E42+ER!E43+ER!E44+ER!E45+ER!E46+ER!E52+ER!E61+ER!E62+ER!E63+ER!E64</f>
        <v>9300000.4900000002</v>
      </c>
    </row>
    <row r="15" spans="2:13">
      <c r="B15" s="18" t="s">
        <v>189</v>
      </c>
      <c r="E15" s="96">
        <f>+Determinación!B4</f>
        <v>9455974.5149703324</v>
      </c>
      <c r="F15" s="96">
        <f>+E15+85889.42+1020500.82</f>
        <v>10562364.754970333</v>
      </c>
      <c r="H15" s="18" t="s">
        <v>398</v>
      </c>
      <c r="K15" s="133">
        <v>0</v>
      </c>
    </row>
    <row r="16" spans="2:13">
      <c r="B16" s="18" t="s">
        <v>190</v>
      </c>
      <c r="E16" s="94">
        <f>+E14-E15</f>
        <v>-155974.02497033216</v>
      </c>
      <c r="F16" s="94">
        <f>+F14-F15</f>
        <v>-262364.26497033238</v>
      </c>
      <c r="H16" s="18" t="s">
        <v>399</v>
      </c>
      <c r="K16" s="133">
        <f>+ER!E25+ER!E26+ER!E32+ER!E36+ER!E40+ER!E39+ER!E38+ER!E47+ER!E48+ER!E49+ER!E50+ER!E51+ER!E53+ER!E54+ER!E55+ER!E56+ER!E58+ER!E59+ER!E60+ER!E65</f>
        <v>9704915.870000001</v>
      </c>
      <c r="M16" s="95"/>
    </row>
    <row r="17" spans="2:12">
      <c r="B17" s="18" t="s">
        <v>392</v>
      </c>
      <c r="E17" s="94">
        <f>-Determinación!B8</f>
        <v>0</v>
      </c>
      <c r="F17" s="94">
        <f>-Determinación!C8</f>
        <v>0</v>
      </c>
      <c r="G17" s="95"/>
      <c r="H17" s="18" t="s">
        <v>400</v>
      </c>
      <c r="K17" s="132">
        <f>K14-K16</f>
        <v>-404915.38000000082</v>
      </c>
    </row>
    <row r="18" spans="2:12">
      <c r="B18" s="18" t="s">
        <v>393</v>
      </c>
      <c r="E18" s="132">
        <f>E16-E17</f>
        <v>-155974.02497033216</v>
      </c>
      <c r="F18" s="132">
        <f>F16-F17</f>
        <v>-262364.26497033238</v>
      </c>
      <c r="H18" s="18" t="s">
        <v>401</v>
      </c>
      <c r="K18" s="133">
        <v>0</v>
      </c>
    </row>
    <row r="19" spans="2:12">
      <c r="B19" s="18" t="s">
        <v>394</v>
      </c>
      <c r="E19" s="134">
        <v>0.3</v>
      </c>
      <c r="F19" s="134">
        <v>0.3</v>
      </c>
      <c r="H19" s="18" t="s">
        <v>192</v>
      </c>
      <c r="K19" s="132">
        <f>K17-K18</f>
        <v>-404915.38000000082</v>
      </c>
      <c r="L19" s="95"/>
    </row>
    <row r="20" spans="2:12">
      <c r="B20" s="18" t="s">
        <v>191</v>
      </c>
      <c r="E20" s="132">
        <f>IF(E18&gt;0,E18*E19,0)</f>
        <v>0</v>
      </c>
      <c r="F20" s="132">
        <f>IF(F18&gt;0,F18*F19,0)</f>
        <v>0</v>
      </c>
    </row>
    <row r="21" spans="2:12">
      <c r="B21" s="18" t="s">
        <v>369</v>
      </c>
      <c r="E21" s="94">
        <v>0</v>
      </c>
      <c r="F21" s="94">
        <v>0</v>
      </c>
    </row>
    <row r="22" spans="2:12">
      <c r="B22" s="18" t="s">
        <v>395</v>
      </c>
      <c r="E22" s="94">
        <f>Determinación!B12</f>
        <v>0</v>
      </c>
      <c r="F22" s="94">
        <f>Determinación!C12</f>
        <v>0</v>
      </c>
    </row>
    <row r="23" spans="2:12">
      <c r="B23" s="18" t="s">
        <v>396</v>
      </c>
      <c r="E23" s="94">
        <f>Determinación!B13</f>
        <v>0</v>
      </c>
      <c r="F23" s="94">
        <f>Determinación!C13</f>
        <v>0</v>
      </c>
    </row>
    <row r="24" spans="2:12">
      <c r="B24" s="18" t="s">
        <v>397</v>
      </c>
      <c r="E24" s="94">
        <f>Determinación!B14</f>
        <v>0</v>
      </c>
      <c r="F24" s="94">
        <f>Determinación!C14</f>
        <v>0</v>
      </c>
    </row>
    <row r="25" spans="2:12">
      <c r="B25" s="18" t="s">
        <v>370</v>
      </c>
      <c r="E25" s="132">
        <f>E20-E21-E22-E23-E24</f>
        <v>0</v>
      </c>
      <c r="F25" s="132">
        <f>F20-F21-F22-F23-F24</f>
        <v>0</v>
      </c>
    </row>
    <row r="26" spans="2:12">
      <c r="E26" s="133"/>
      <c r="F26" s="133"/>
    </row>
    <row r="27" spans="2:12">
      <c r="B27" s="18" t="s">
        <v>371</v>
      </c>
      <c r="E27" s="237">
        <f>+'Datos Adicionales'!C5</f>
        <v>0</v>
      </c>
      <c r="F27" s="237">
        <f>+'Datos Adicionales'!D5</f>
        <v>0</v>
      </c>
      <c r="H27" s="227" t="s">
        <v>567</v>
      </c>
      <c r="I27" s="227">
        <v>0</v>
      </c>
    </row>
    <row r="29" spans="2:12">
      <c r="E29" s="74"/>
      <c r="F29" s="74"/>
    </row>
    <row r="34" spans="2:2">
      <c r="B34" s="95"/>
    </row>
  </sheetData>
  <mergeCells count="4">
    <mergeCell ref="B10:K10"/>
    <mergeCell ref="B11:K11"/>
    <mergeCell ref="H13:K13"/>
    <mergeCell ref="B13:D13"/>
  </mergeCells>
  <pageMargins left="0.7" right="0.7" top="0.75" bottom="0.75" header="0.3" footer="0.3"/>
  <pageSetup scale="89" fitToHeight="0"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65692-AB3C-4CCC-9FC3-66A5189E7F2F}">
  <dimension ref="E2:H11"/>
  <sheetViews>
    <sheetView workbookViewId="0">
      <selection activeCell="G4" sqref="G3:G4"/>
    </sheetView>
  </sheetViews>
  <sheetFormatPr baseColWidth="10" defaultRowHeight="15"/>
  <cols>
    <col min="5" max="5" width="16.140625" bestFit="1" customWidth="1"/>
    <col min="6" max="6" width="14.140625" bestFit="1" customWidth="1"/>
    <col min="7" max="7" width="12.5703125" bestFit="1" customWidth="1"/>
  </cols>
  <sheetData>
    <row r="2" spans="5:8">
      <c r="E2" s="297" t="s">
        <v>645</v>
      </c>
      <c r="F2" s="297"/>
    </row>
    <row r="3" spans="5:8">
      <c r="E3" s="253"/>
      <c r="F3" s="253"/>
      <c r="G3" s="239">
        <f>+F5*0.53</f>
        <v>42283.93</v>
      </c>
      <c r="H3" t="s">
        <v>647</v>
      </c>
    </row>
    <row r="4" spans="5:8">
      <c r="E4" s="297">
        <v>2024</v>
      </c>
      <c r="F4" s="297"/>
      <c r="G4" s="239">
        <f>+F5*0.47</f>
        <v>37497.07</v>
      </c>
      <c r="H4" t="s">
        <v>646</v>
      </c>
    </row>
    <row r="5" spans="5:8">
      <c r="E5" t="s">
        <v>643</v>
      </c>
      <c r="F5" s="239">
        <v>79781</v>
      </c>
      <c r="G5" s="298">
        <f>+F5/F6</f>
        <v>1.0113602294990736E-2</v>
      </c>
    </row>
    <row r="6" spans="5:8">
      <c r="E6" t="s">
        <v>644</v>
      </c>
      <c r="F6" s="239">
        <v>7888485</v>
      </c>
      <c r="G6" s="299"/>
    </row>
    <row r="7" spans="5:8">
      <c r="F7" s="239"/>
    </row>
    <row r="8" spans="5:8">
      <c r="E8" s="297">
        <v>2023</v>
      </c>
      <c r="F8" s="297"/>
    </row>
    <row r="9" spans="5:8">
      <c r="E9" t="s">
        <v>643</v>
      </c>
      <c r="F9" s="239">
        <v>18673.2</v>
      </c>
      <c r="G9" s="299">
        <f>+F9/F10</f>
        <v>3.4521791784005086E-2</v>
      </c>
    </row>
    <row r="10" spans="5:8">
      <c r="E10" t="s">
        <v>644</v>
      </c>
      <c r="F10" s="239">
        <v>540910.51</v>
      </c>
      <c r="G10" s="299"/>
    </row>
    <row r="11" spans="5:8">
      <c r="F11" s="239"/>
    </row>
  </sheetData>
  <mergeCells count="5">
    <mergeCell ref="E2:F2"/>
    <mergeCell ref="E4:F4"/>
    <mergeCell ref="E8:F8"/>
    <mergeCell ref="G5:G6"/>
    <mergeCell ref="G9:G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heetViews>
  <sheetFormatPr baseColWidth="10" defaultRowHeight="15"/>
  <cols>
    <col min="3" max="3" width="21.28515625" bestFit="1" customWidth="1"/>
    <col min="4" max="4" width="15.140625" bestFit="1" customWidth="1"/>
  </cols>
  <sheetData>
    <row r="3" spans="3:4">
      <c r="C3" t="s">
        <v>571</v>
      </c>
      <c r="D3" s="239">
        <v>41819682.200000003</v>
      </c>
    </row>
    <row r="4" spans="3:4">
      <c r="C4" s="240" t="s">
        <v>567</v>
      </c>
      <c r="D4" s="241">
        <v>5.8299999999999998E-2</v>
      </c>
    </row>
    <row r="5" spans="3:4">
      <c r="C5" t="s">
        <v>570</v>
      </c>
      <c r="D5" s="239">
        <f>+D3*D4</f>
        <v>2438087.4722600002</v>
      </c>
    </row>
    <row r="6" spans="3:4">
      <c r="C6" s="238">
        <v>0.3</v>
      </c>
      <c r="D6" s="239">
        <f>+D5*C6</f>
        <v>731426.24167800008</v>
      </c>
    </row>
    <row r="7" spans="3:4">
      <c r="C7" s="238" t="s">
        <v>569</v>
      </c>
      <c r="D7" s="242">
        <f>13977+6018+5904+6181+5240</f>
        <v>37320</v>
      </c>
    </row>
    <row r="8" spans="3:4">
      <c r="C8" s="238"/>
      <c r="D8" s="239"/>
    </row>
    <row r="9" spans="3:4">
      <c r="C9" t="s">
        <v>568</v>
      </c>
      <c r="D9" s="243">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5</vt:i4>
      </vt:variant>
    </vt:vector>
  </HeadingPairs>
  <TitlesOfParts>
    <vt:vector size="26" baseType="lpstr">
      <vt:lpstr>Portada</vt:lpstr>
      <vt:lpstr>BZ</vt:lpstr>
      <vt:lpstr>Clasificaciones</vt:lpstr>
      <vt:lpstr>ESF</vt:lpstr>
      <vt:lpstr>ER</vt:lpstr>
      <vt:lpstr>FE</vt:lpstr>
      <vt:lpstr>CCC</vt:lpstr>
      <vt:lpstr>AAXI </vt:lpstr>
      <vt:lpstr>No deducible</vt:lpstr>
      <vt:lpstr>Pérdidas</vt:lpstr>
      <vt:lpstr>CUCA</vt:lpstr>
      <vt:lpstr>CUFIN</vt:lpstr>
      <vt:lpstr>UFIN</vt:lpstr>
      <vt:lpstr>INPC</vt:lpstr>
      <vt:lpstr>Ing - Ded</vt:lpstr>
      <vt:lpstr>Datos Adicionales</vt:lpstr>
      <vt:lpstr>Conciliación</vt:lpstr>
      <vt:lpstr>Determinación</vt:lpstr>
      <vt:lpstr>Resumen</vt:lpstr>
      <vt:lpstr>ND </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2025-03-27T20:04:16Z</cp:lastPrinted>
  <dcterms:created xsi:type="dcterms:W3CDTF">2016-05-18T18:04:33Z</dcterms:created>
  <dcterms:modified xsi:type="dcterms:W3CDTF">2025-03-28T19:16:07Z</dcterms:modified>
</cp:coreProperties>
</file>