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mc:AlternateContent xmlns:mc="http://schemas.openxmlformats.org/markup-compatibility/2006">
    <mc:Choice Requires="x15">
      <x15ac:absPath xmlns:x15ac="http://schemas.microsoft.com/office/spreadsheetml/2010/11/ac" url="https://stena.sharepoint.com/sites/KERRY/Shared Documents/Dry dock 2027/Tracker/"/>
    </mc:Choice>
  </mc:AlternateContent>
  <xr:revisionPtr revIDLastSave="1" documentId="8_{5B581A9B-F35A-4FE8-8020-6CF0EA5C6F2E}" xr6:coauthVersionLast="47" xr6:coauthVersionMax="47" xr10:uidLastSave="{49602C3D-34FF-4B7C-8054-0B2E0892FC36}"/>
  <bookViews>
    <workbookView xWindow="-57720" yWindow="-120" windowWidth="29040" windowHeight="15720" xr2:uid="{00000000-000D-0000-FFFF-FFFF00000000}"/>
  </bookViews>
  <sheets>
    <sheet name="Overview" sheetId="1" r:id="rId1"/>
    <sheet name="Budget" sheetId="2" r:id="rId2"/>
    <sheet name="Jobs" sheetId="3" r:id="rId3"/>
    <sheet name="Suppliers" sheetId="4" r:id="rId4"/>
    <sheet name="Supplier Jobs" sheetId="5" r:id="rId5"/>
    <sheet name="Quotes" sheetId="6" r:id="rId6"/>
    <sheet name="Negotiation Savings" sheetId="7" r:id="rId7"/>
    <sheet name="Print Summary" sheetId="8" r:id="rId8"/>
    <sheet name="Create Job" sheetId="9" r:id="rId9"/>
    <sheet name="Add Supplier" sheetId="10" r:id="rId10"/>
    <sheet name="Read Me" sheetId="11" r:id="rId11"/>
    <sheet name="Test Results" sheetId="12" r:id="rId12"/>
    <sheet name="Vessel" sheetId="13" r:id="rId13"/>
    <sheet name="Lists" sheetId="14" r:id="rId14"/>
    <sheet name="JOB 1001.02" sheetId="15" r:id="rId15"/>
    <sheet name="JOB 1001.03" sheetId="16" r:id="rId16"/>
    <sheet name="JOB 1303.01" sheetId="17" r:id="rId17"/>
    <sheet name="JOB 1500.01" sheetId="18" r:id="rId18"/>
    <sheet name="JOB 3103.01" sheetId="19" r:id="rId19"/>
    <sheet name="JOB 3149.01" sheetId="20" r:id="rId20"/>
    <sheet name="JOB 3149.02" sheetId="21" r:id="rId21"/>
    <sheet name="JOB 3802.01" sheetId="22" r:id="rId22"/>
    <sheet name="JOB 3805.02" sheetId="23" r:id="rId23"/>
    <sheet name="JOB 3811.01" sheetId="24" r:id="rId24"/>
    <sheet name="JOB 3811.02" sheetId="25" r:id="rId25"/>
    <sheet name="JOB 3812.01" sheetId="26" r:id="rId26"/>
    <sheet name="_Control" sheetId="27" state="hidden" r:id="rId27"/>
    <sheet name="Archive Jobs" sheetId="28" state="hidden" r:id="rId28"/>
    <sheet name="Archive Quotes" sheetId="29" state="hidden" r:id="rId29"/>
    <sheet name="Archive Suppliers" sheetId="30" state="hidden" r:id="rId30"/>
    <sheet name="Archive Vessel" sheetId="31" state="hidden" r:id="rId31"/>
    <sheet name="Archive Lists" sheetId="32" state="hidden" r:id="rId32"/>
    <sheet name="Archive Budget" sheetId="33" state="hidden" r:id="rId33"/>
    <sheet name="_PilotState" sheetId="34" state="veryHidden" r:id="rId34"/>
    <sheet name="_PilotLists" sheetId="35" state="veryHidden" r:id="rId35"/>
    <sheet name="_JobTemplate" sheetId="36" state="veryHidden" r:id="rId36"/>
  </sheets>
  <definedNames>
    <definedName name="Allowance">Vessel!$G$17</definedName>
    <definedName name="AllowanceCurrency">Vessel!$G$18</definedName>
    <definedName name="lstContactID">Suppliers!$D$9:$D$24</definedName>
    <definedName name="lstCurrency">Lists!$E$9:$E$14</definedName>
    <definedName name="lstDepartment">Lists!$H$9:$H$15</definedName>
    <definedName name="lstJobID">Jobs!$A$9:$A$89</definedName>
    <definedName name="lstJobStatus">Lists!$A$9:$A$17</definedName>
    <definedName name="lstPilotContacts">_PilotLists!$B$2:$B$17</definedName>
    <definedName name="lstPilotJobs">_PilotLists!$C$2:$C$82</definedName>
    <definedName name="lstPilotModes">Lists!$P$9:$P$11</definedName>
    <definedName name="lstPilotSupplierFilter">_PilotLists!$D$2:$D$16</definedName>
    <definedName name="lstPilotSuppliers">_PilotLists!$A$2:$A$15</definedName>
    <definedName name="lstQuoteStatus">Lists!$C$9:$C$18</definedName>
    <definedName name="lstSupplierID">Suppliers!$A$9:$A$24</definedName>
    <definedName name="lstVesselType">Lists!$K$9:$K$16</definedName>
    <definedName name="lstYesNo">Lists!$N$9:$N$10</definedName>
    <definedName name="PilotOffer0005">_PilotLists!$E$2:$E$2</definedName>
    <definedName name="PilotOffer0006">_PilotLists!$F$2:$F$4</definedName>
    <definedName name="PilotOffer0007">_PilotLists!$G$2:$G$3</definedName>
    <definedName name="PilotOffer0008">_PilotLists!$H$2:$H$3</definedName>
    <definedName name="PilotOffer0009">_PilotLists!$I$2:$I$2</definedName>
    <definedName name="PilotOffer0010">_PilotLists!$J$2:$J$2</definedName>
    <definedName name="PilotOffer0011">_PilotLists!$K$2:$K$3</definedName>
    <definedName name="PilotOffer0012">_PilotLists!$L$2:$L$3</definedName>
    <definedName name="PilotOffer0013">_PilotLists!$M$2:$M$2</definedName>
    <definedName name="PilotOffer0014">_PilotLists!$N$2:$N$3</definedName>
    <definedName name="PilotOffer0015">_PilotLists!$O$2:$O$2</definedName>
    <definedName name="PilotOffer0016">_PilotLists!$P$2:$P$5</definedName>
    <definedName name="PilotOffer0018">_PilotLists!$R$2:$R$2</definedName>
    <definedName name="_xlnm.Print_Area" localSheetId="35">_JobTemplate!$A$1:$V$66</definedName>
    <definedName name="_xlnm.Print_Area" localSheetId="9">'Add Supplier'!$A$1:$V$55</definedName>
    <definedName name="_xlnm.Print_Area" localSheetId="1">Budget!$A$1:$V$34</definedName>
    <definedName name="_xlnm.Print_Area" localSheetId="8">'Create Job'!$A$1:$V$35</definedName>
    <definedName name="_xlnm.Print_Area" localSheetId="14">'JOB 1001.02'!$A$1:$V$66</definedName>
    <definedName name="_xlnm.Print_Area" localSheetId="15">'JOB 1001.03'!$A$1:$V$66</definedName>
    <definedName name="_xlnm.Print_Area" localSheetId="16">'JOB 1303.01'!$A$1:$V$66</definedName>
    <definedName name="_xlnm.Print_Area" localSheetId="17">'JOB 1500.01'!$A$1:$V$66</definedName>
    <definedName name="_xlnm.Print_Area" localSheetId="18">'JOB 3103.01'!$A$1:$V$66</definedName>
    <definedName name="_xlnm.Print_Area" localSheetId="19">'JOB 3149.01'!$A$1:$V$66</definedName>
    <definedName name="_xlnm.Print_Area" localSheetId="20">'JOB 3149.02'!$A$1:$V$66</definedName>
    <definedName name="_xlnm.Print_Area" localSheetId="21">'JOB 3802.01'!$A$1:$V$66</definedName>
    <definedName name="_xlnm.Print_Area" localSheetId="22">'JOB 3805.02'!$A$1:$V$66</definedName>
    <definedName name="_xlnm.Print_Area" localSheetId="23">'JOB 3811.01'!$A$1:$V$66</definedName>
    <definedName name="_xlnm.Print_Area" localSheetId="24">'JOB 3811.02'!$A$1:$V$66</definedName>
    <definedName name="_xlnm.Print_Area" localSheetId="25">'JOB 3812.01'!$A$1:$V$67</definedName>
    <definedName name="_xlnm.Print_Area" localSheetId="2">Jobs!$A$1:$K$89</definedName>
    <definedName name="_xlnm.Print_Area" localSheetId="13">Lists!$A$1:$V$25</definedName>
    <definedName name="_xlnm.Print_Area" localSheetId="6">'Negotiation Savings'!$A$1:$V$39</definedName>
    <definedName name="_xlnm.Print_Area" localSheetId="0">Overview!$A$1:$V$29</definedName>
    <definedName name="_xlnm.Print_Area" localSheetId="7">'Print Summary'!$A$1:$V$114</definedName>
    <definedName name="_xlnm.Print_Area" localSheetId="5">Quotes!$A$1:$AR$30</definedName>
    <definedName name="_xlnm.Print_Area" localSheetId="10">'Read Me'!$A$1:$V$78</definedName>
    <definedName name="_xlnm.Print_Area" localSheetId="4">'Supplier Jobs'!$A$1:$M$30</definedName>
    <definedName name="_xlnm.Print_Area" localSheetId="3">Suppliers!$A$1:$M$24</definedName>
    <definedName name="_xlnm.Print_Area" localSheetId="11">'Test Results'!$A$1:$V$41</definedName>
    <definedName name="_xlnm.Print_Area" localSheetId="12">Vessel!$A$1:$V$21</definedName>
    <definedName name="_xlnm.Print_Titles" localSheetId="2">Jobs!$1:$8</definedName>
    <definedName name="_xlnm.Print_Titles" localSheetId="5">Quotes!$1:$8</definedName>
    <definedName name="_xlnm.Print_Titles" localSheetId="4">'Supplier Jobs'!$1:$8</definedName>
    <definedName name="_xlnm.Print_Titles" localSheetId="3">Suppliers!$1:$8</definedName>
    <definedName name="StatusDate">Vessel!$G$19</definedName>
    <definedName name="VesselName">Vessel!$G$9</definedName>
  </definedNames>
  <calcPr calcId="191029" forceFullCalc="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36" l="1"/>
  <c r="P10" i="36"/>
  <c r="H10" i="36"/>
  <c r="A10" i="36"/>
  <c r="AA5" i="36"/>
  <c r="D21" i="36" s="1"/>
  <c r="B25" i="27"/>
  <c r="B24" i="27"/>
  <c r="B17" i="27"/>
  <c r="G10" i="1" s="1"/>
  <c r="B16" i="27"/>
  <c r="B13" i="27"/>
  <c r="S10" i="7" s="1"/>
  <c r="B12" i="27"/>
  <c r="J21" i="8" s="1"/>
  <c r="B6" i="27"/>
  <c r="A10" i="8" s="1"/>
  <c r="D14" i="26"/>
  <c r="AA5" i="26"/>
  <c r="D14" i="25"/>
  <c r="AA5" i="25"/>
  <c r="D18" i="25" s="1"/>
  <c r="D14" i="24"/>
  <c r="AA5" i="24"/>
  <c r="A51" i="24" s="1"/>
  <c r="D14" i="23"/>
  <c r="AA5" i="23"/>
  <c r="D19" i="23" s="1"/>
  <c r="D14" i="22"/>
  <c r="AA5" i="22"/>
  <c r="D14" i="21"/>
  <c r="AA5" i="21"/>
  <c r="D21" i="21" s="1"/>
  <c r="D14" i="20"/>
  <c r="AA5" i="20"/>
  <c r="A51" i="20" s="1"/>
  <c r="D14" i="19"/>
  <c r="AA5" i="19"/>
  <c r="A51" i="19" s="1"/>
  <c r="D14" i="18"/>
  <c r="AA5" i="18"/>
  <c r="A24" i="18" s="1"/>
  <c r="D14" i="17"/>
  <c r="AA5" i="17"/>
  <c r="D20" i="17" s="1"/>
  <c r="D14" i="16"/>
  <c r="AA5" i="16"/>
  <c r="D20" i="16" s="1"/>
  <c r="D14" i="15"/>
  <c r="AA5" i="15"/>
  <c r="A24" i="15" s="1"/>
  <c r="AA2" i="9"/>
  <c r="AA3" i="9" s="1"/>
  <c r="E19" i="9" s="1"/>
  <c r="A34" i="8"/>
  <c r="A33" i="8"/>
  <c r="A32" i="8"/>
  <c r="A31" i="8"/>
  <c r="A30" i="8"/>
  <c r="A29" i="8"/>
  <c r="A28" i="8"/>
  <c r="O6" i="8"/>
  <c r="U267" i="7"/>
  <c r="S267" i="7"/>
  <c r="P267" i="7"/>
  <c r="M267" i="7"/>
  <c r="D267" i="7"/>
  <c r="A267" i="7"/>
  <c r="U266" i="7"/>
  <c r="S266" i="7"/>
  <c r="P266" i="7"/>
  <c r="M266" i="7"/>
  <c r="D266" i="7"/>
  <c r="A266" i="7"/>
  <c r="U265" i="7"/>
  <c r="S265" i="7"/>
  <c r="P265" i="7"/>
  <c r="M265" i="7"/>
  <c r="D265" i="7"/>
  <c r="A265" i="7"/>
  <c r="U264" i="7"/>
  <c r="S264" i="7"/>
  <c r="P264" i="7"/>
  <c r="M264" i="7"/>
  <c r="D264" i="7"/>
  <c r="A264" i="7"/>
  <c r="U263" i="7"/>
  <c r="S263" i="7"/>
  <c r="P263" i="7"/>
  <c r="M263" i="7"/>
  <c r="D263" i="7"/>
  <c r="A263" i="7"/>
  <c r="U262" i="7"/>
  <c r="S262" i="7"/>
  <c r="P262" i="7"/>
  <c r="M262" i="7"/>
  <c r="D262" i="7"/>
  <c r="A262" i="7"/>
  <c r="U261" i="7"/>
  <c r="S261" i="7"/>
  <c r="P261" i="7"/>
  <c r="M261" i="7"/>
  <c r="D261" i="7"/>
  <c r="A261" i="7"/>
  <c r="U260" i="7"/>
  <c r="S260" i="7"/>
  <c r="P260" i="7"/>
  <c r="M260" i="7"/>
  <c r="D260" i="7"/>
  <c r="A260" i="7"/>
  <c r="U259" i="7"/>
  <c r="S259" i="7"/>
  <c r="P259" i="7"/>
  <c r="M259" i="7"/>
  <c r="D259" i="7"/>
  <c r="A259" i="7"/>
  <c r="U258" i="7"/>
  <c r="S258" i="7"/>
  <c r="P258" i="7"/>
  <c r="M258" i="7"/>
  <c r="D258" i="7"/>
  <c r="A258" i="7"/>
  <c r="U257" i="7"/>
  <c r="S257" i="7"/>
  <c r="P257" i="7"/>
  <c r="M257" i="7"/>
  <c r="D257" i="7"/>
  <c r="A257" i="7"/>
  <c r="U256" i="7"/>
  <c r="S256" i="7"/>
  <c r="P256" i="7"/>
  <c r="M256" i="7"/>
  <c r="D256" i="7"/>
  <c r="A256" i="7"/>
  <c r="U255" i="7"/>
  <c r="S255" i="7"/>
  <c r="P255" i="7"/>
  <c r="M255" i="7"/>
  <c r="D255" i="7"/>
  <c r="A255" i="7"/>
  <c r="U254" i="7"/>
  <c r="S254" i="7"/>
  <c r="P254" i="7"/>
  <c r="M254" i="7"/>
  <c r="D254" i="7"/>
  <c r="A254" i="7"/>
  <c r="U253" i="7"/>
  <c r="S253" i="7"/>
  <c r="P253" i="7"/>
  <c r="M253" i="7"/>
  <c r="D253" i="7"/>
  <c r="A253" i="7"/>
  <c r="U252" i="7"/>
  <c r="S252" i="7"/>
  <c r="P252" i="7"/>
  <c r="M252" i="7"/>
  <c r="D252" i="7"/>
  <c r="A252" i="7"/>
  <c r="U251" i="7"/>
  <c r="S251" i="7"/>
  <c r="P251" i="7"/>
  <c r="M251" i="7"/>
  <c r="D251" i="7"/>
  <c r="A251" i="7"/>
  <c r="U250" i="7"/>
  <c r="S250" i="7"/>
  <c r="P250" i="7"/>
  <c r="M250" i="7"/>
  <c r="D250" i="7"/>
  <c r="A250" i="7"/>
  <c r="U249" i="7"/>
  <c r="S249" i="7"/>
  <c r="P249" i="7"/>
  <c r="M249" i="7"/>
  <c r="D249" i="7"/>
  <c r="A249" i="7"/>
  <c r="U248" i="7"/>
  <c r="S248" i="7"/>
  <c r="P248" i="7"/>
  <c r="M248" i="7"/>
  <c r="D248" i="7"/>
  <c r="A248" i="7"/>
  <c r="U247" i="7"/>
  <c r="S247" i="7"/>
  <c r="P247" i="7"/>
  <c r="M247" i="7"/>
  <c r="D247" i="7"/>
  <c r="A247" i="7"/>
  <c r="U246" i="7"/>
  <c r="S246" i="7"/>
  <c r="P246" i="7"/>
  <c r="M246" i="7"/>
  <c r="D246" i="7"/>
  <c r="A246" i="7"/>
  <c r="U245" i="7"/>
  <c r="S245" i="7"/>
  <c r="P245" i="7"/>
  <c r="M245" i="7"/>
  <c r="D245" i="7"/>
  <c r="A245" i="7"/>
  <c r="U244" i="7"/>
  <c r="S244" i="7"/>
  <c r="P244" i="7"/>
  <c r="M244" i="7"/>
  <c r="D244" i="7"/>
  <c r="A244" i="7"/>
  <c r="U243" i="7"/>
  <c r="S243" i="7"/>
  <c r="P243" i="7"/>
  <c r="M243" i="7"/>
  <c r="D243" i="7"/>
  <c r="A243" i="7"/>
  <c r="U242" i="7"/>
  <c r="S242" i="7"/>
  <c r="P242" i="7"/>
  <c r="M242" i="7"/>
  <c r="D242" i="7"/>
  <c r="A242" i="7"/>
  <c r="U241" i="7"/>
  <c r="S241" i="7"/>
  <c r="P241" i="7"/>
  <c r="M241" i="7"/>
  <c r="D241" i="7"/>
  <c r="A241" i="7"/>
  <c r="U240" i="7"/>
  <c r="S240" i="7"/>
  <c r="P240" i="7"/>
  <c r="M240" i="7"/>
  <c r="D240" i="7"/>
  <c r="A240" i="7"/>
  <c r="U239" i="7"/>
  <c r="S239" i="7"/>
  <c r="P239" i="7"/>
  <c r="M239" i="7"/>
  <c r="D239" i="7"/>
  <c r="A239" i="7"/>
  <c r="U238" i="7"/>
  <c r="S238" i="7"/>
  <c r="P238" i="7"/>
  <c r="M238" i="7"/>
  <c r="D238" i="7"/>
  <c r="A238" i="7"/>
  <c r="U237" i="7"/>
  <c r="S237" i="7"/>
  <c r="P237" i="7"/>
  <c r="M237" i="7"/>
  <c r="D237" i="7"/>
  <c r="A237" i="7"/>
  <c r="U236" i="7"/>
  <c r="S236" i="7"/>
  <c r="P236" i="7"/>
  <c r="M236" i="7"/>
  <c r="D236" i="7"/>
  <c r="A236" i="7"/>
  <c r="U235" i="7"/>
  <c r="S235" i="7"/>
  <c r="P235" i="7"/>
  <c r="M235" i="7"/>
  <c r="D235" i="7"/>
  <c r="A235" i="7"/>
  <c r="U234" i="7"/>
  <c r="S234" i="7"/>
  <c r="P234" i="7"/>
  <c r="M234" i="7"/>
  <c r="D234" i="7"/>
  <c r="A234" i="7"/>
  <c r="U233" i="7"/>
  <c r="S233" i="7"/>
  <c r="P233" i="7"/>
  <c r="M233" i="7"/>
  <c r="D233" i="7"/>
  <c r="A233" i="7"/>
  <c r="U232" i="7"/>
  <c r="S232" i="7"/>
  <c r="P232" i="7"/>
  <c r="M232" i="7"/>
  <c r="D232" i="7"/>
  <c r="A232" i="7"/>
  <c r="U231" i="7"/>
  <c r="S231" i="7"/>
  <c r="P231" i="7"/>
  <c r="M231" i="7"/>
  <c r="D231" i="7"/>
  <c r="A231" i="7"/>
  <c r="U230" i="7"/>
  <c r="S230" i="7"/>
  <c r="P230" i="7"/>
  <c r="M230" i="7"/>
  <c r="D230" i="7"/>
  <c r="A230" i="7"/>
  <c r="U229" i="7"/>
  <c r="S229" i="7"/>
  <c r="P229" i="7"/>
  <c r="M229" i="7"/>
  <c r="D229" i="7"/>
  <c r="A229" i="7"/>
  <c r="U228" i="7"/>
  <c r="S228" i="7"/>
  <c r="P228" i="7"/>
  <c r="M228" i="7"/>
  <c r="D228" i="7"/>
  <c r="A228" i="7"/>
  <c r="U227" i="7"/>
  <c r="S227" i="7"/>
  <c r="P227" i="7"/>
  <c r="M227" i="7"/>
  <c r="D227" i="7"/>
  <c r="A227" i="7"/>
  <c r="U226" i="7"/>
  <c r="S226" i="7"/>
  <c r="P226" i="7"/>
  <c r="M226" i="7"/>
  <c r="D226" i="7"/>
  <c r="A226" i="7"/>
  <c r="U225" i="7"/>
  <c r="S225" i="7"/>
  <c r="P225" i="7"/>
  <c r="M225" i="7"/>
  <c r="D225" i="7"/>
  <c r="A225" i="7"/>
  <c r="U224" i="7"/>
  <c r="S224" i="7"/>
  <c r="P224" i="7"/>
  <c r="M224" i="7"/>
  <c r="D224" i="7"/>
  <c r="A224" i="7"/>
  <c r="U223" i="7"/>
  <c r="S223" i="7"/>
  <c r="P223" i="7"/>
  <c r="M223" i="7"/>
  <c r="D223" i="7"/>
  <c r="A223" i="7"/>
  <c r="U222" i="7"/>
  <c r="S222" i="7"/>
  <c r="P222" i="7"/>
  <c r="M222" i="7"/>
  <c r="D222" i="7"/>
  <c r="A222" i="7"/>
  <c r="U221" i="7"/>
  <c r="S221" i="7"/>
  <c r="P221" i="7"/>
  <c r="M221" i="7"/>
  <c r="D221" i="7"/>
  <c r="A221" i="7"/>
  <c r="U220" i="7"/>
  <c r="S220" i="7"/>
  <c r="P220" i="7"/>
  <c r="M220" i="7"/>
  <c r="D220" i="7"/>
  <c r="A220" i="7"/>
  <c r="U219" i="7"/>
  <c r="S219" i="7"/>
  <c r="P219" i="7"/>
  <c r="M219" i="7"/>
  <c r="D219" i="7"/>
  <c r="A219" i="7"/>
  <c r="U218" i="7"/>
  <c r="S218" i="7"/>
  <c r="P218" i="7"/>
  <c r="M218" i="7"/>
  <c r="D218" i="7"/>
  <c r="A218" i="7"/>
  <c r="U217" i="7"/>
  <c r="S217" i="7"/>
  <c r="P217" i="7"/>
  <c r="M217" i="7"/>
  <c r="D217" i="7"/>
  <c r="A217" i="7"/>
  <c r="U216" i="7"/>
  <c r="S216" i="7"/>
  <c r="P216" i="7"/>
  <c r="M216" i="7"/>
  <c r="D216" i="7"/>
  <c r="A216" i="7"/>
  <c r="U215" i="7"/>
  <c r="S215" i="7"/>
  <c r="P215" i="7"/>
  <c r="M215" i="7"/>
  <c r="D215" i="7"/>
  <c r="A215" i="7"/>
  <c r="U214" i="7"/>
  <c r="S214" i="7"/>
  <c r="P214" i="7"/>
  <c r="M214" i="7"/>
  <c r="D214" i="7"/>
  <c r="A214" i="7"/>
  <c r="U213" i="7"/>
  <c r="S213" i="7"/>
  <c r="P213" i="7"/>
  <c r="M213" i="7"/>
  <c r="D213" i="7"/>
  <c r="A213" i="7"/>
  <c r="U212" i="7"/>
  <c r="S212" i="7"/>
  <c r="P212" i="7"/>
  <c r="M212" i="7"/>
  <c r="D212" i="7"/>
  <c r="A212" i="7"/>
  <c r="U211" i="7"/>
  <c r="S211" i="7"/>
  <c r="P211" i="7"/>
  <c r="M211" i="7"/>
  <c r="D211" i="7"/>
  <c r="A211" i="7"/>
  <c r="U210" i="7"/>
  <c r="S210" i="7"/>
  <c r="P210" i="7"/>
  <c r="M210" i="7"/>
  <c r="D210" i="7"/>
  <c r="A210" i="7"/>
  <c r="U209" i="7"/>
  <c r="S209" i="7"/>
  <c r="P209" i="7"/>
  <c r="M209" i="7"/>
  <c r="D209" i="7"/>
  <c r="A209" i="7"/>
  <c r="U208" i="7"/>
  <c r="S208" i="7"/>
  <c r="P208" i="7"/>
  <c r="M208" i="7"/>
  <c r="D208" i="7"/>
  <c r="A208" i="7"/>
  <c r="U207" i="7"/>
  <c r="S207" i="7"/>
  <c r="P207" i="7"/>
  <c r="M207" i="7"/>
  <c r="D207" i="7"/>
  <c r="A207" i="7"/>
  <c r="U206" i="7"/>
  <c r="S206" i="7"/>
  <c r="P206" i="7"/>
  <c r="M206" i="7"/>
  <c r="D206" i="7"/>
  <c r="A206" i="7"/>
  <c r="U205" i="7"/>
  <c r="S205" i="7"/>
  <c r="P205" i="7"/>
  <c r="M205" i="7"/>
  <c r="D205" i="7"/>
  <c r="A205" i="7"/>
  <c r="U204" i="7"/>
  <c r="S204" i="7"/>
  <c r="P204" i="7"/>
  <c r="M204" i="7"/>
  <c r="D204" i="7"/>
  <c r="A204" i="7"/>
  <c r="U203" i="7"/>
  <c r="S203" i="7"/>
  <c r="P203" i="7"/>
  <c r="M203" i="7"/>
  <c r="D203" i="7"/>
  <c r="A203" i="7"/>
  <c r="U202" i="7"/>
  <c r="S202" i="7"/>
  <c r="P202" i="7"/>
  <c r="M202" i="7"/>
  <c r="D202" i="7"/>
  <c r="A202" i="7"/>
  <c r="U201" i="7"/>
  <c r="S201" i="7"/>
  <c r="P201" i="7"/>
  <c r="M201" i="7"/>
  <c r="D201" i="7"/>
  <c r="A201" i="7"/>
  <c r="U200" i="7"/>
  <c r="S200" i="7"/>
  <c r="P200" i="7"/>
  <c r="M200" i="7"/>
  <c r="D200" i="7"/>
  <c r="A200" i="7"/>
  <c r="U199" i="7"/>
  <c r="S199" i="7"/>
  <c r="P199" i="7"/>
  <c r="M199" i="7"/>
  <c r="D199" i="7"/>
  <c r="A199" i="7"/>
  <c r="U198" i="7"/>
  <c r="S198" i="7"/>
  <c r="P198" i="7"/>
  <c r="M198" i="7"/>
  <c r="D198" i="7"/>
  <c r="A198" i="7"/>
  <c r="U197" i="7"/>
  <c r="S197" i="7"/>
  <c r="P197" i="7"/>
  <c r="M197" i="7"/>
  <c r="D197" i="7"/>
  <c r="A197" i="7"/>
  <c r="U196" i="7"/>
  <c r="S196" i="7"/>
  <c r="P196" i="7"/>
  <c r="M196" i="7"/>
  <c r="D196" i="7"/>
  <c r="A196" i="7"/>
  <c r="U195" i="7"/>
  <c r="S195" i="7"/>
  <c r="P195" i="7"/>
  <c r="M195" i="7"/>
  <c r="D195" i="7"/>
  <c r="A195" i="7"/>
  <c r="U194" i="7"/>
  <c r="S194" i="7"/>
  <c r="P194" i="7"/>
  <c r="M194" i="7"/>
  <c r="D194" i="7"/>
  <c r="A194" i="7"/>
  <c r="U193" i="7"/>
  <c r="S193" i="7"/>
  <c r="P193" i="7"/>
  <c r="M193" i="7"/>
  <c r="D193" i="7"/>
  <c r="A193" i="7"/>
  <c r="U192" i="7"/>
  <c r="S192" i="7"/>
  <c r="P192" i="7"/>
  <c r="M192" i="7"/>
  <c r="D192" i="7"/>
  <c r="A192" i="7"/>
  <c r="U191" i="7"/>
  <c r="S191" i="7"/>
  <c r="P191" i="7"/>
  <c r="M191" i="7"/>
  <c r="D191" i="7"/>
  <c r="A191" i="7"/>
  <c r="U190" i="7"/>
  <c r="S190" i="7"/>
  <c r="P190" i="7"/>
  <c r="M190" i="7"/>
  <c r="D190" i="7"/>
  <c r="A190" i="7"/>
  <c r="U189" i="7"/>
  <c r="S189" i="7"/>
  <c r="P189" i="7"/>
  <c r="M189" i="7"/>
  <c r="D189" i="7"/>
  <c r="A189" i="7"/>
  <c r="U188" i="7"/>
  <c r="S188" i="7"/>
  <c r="P188" i="7"/>
  <c r="M188" i="7"/>
  <c r="D188" i="7"/>
  <c r="A188" i="7"/>
  <c r="U187" i="7"/>
  <c r="S187" i="7"/>
  <c r="P187" i="7"/>
  <c r="M187" i="7"/>
  <c r="D187" i="7"/>
  <c r="A187" i="7"/>
  <c r="U186" i="7"/>
  <c r="S186" i="7"/>
  <c r="P186" i="7"/>
  <c r="M186" i="7"/>
  <c r="D186" i="7"/>
  <c r="A186" i="7"/>
  <c r="U185" i="7"/>
  <c r="S185" i="7"/>
  <c r="P185" i="7"/>
  <c r="M185" i="7"/>
  <c r="D185" i="7"/>
  <c r="A185" i="7"/>
  <c r="U184" i="7"/>
  <c r="S184" i="7"/>
  <c r="P184" i="7"/>
  <c r="M184" i="7"/>
  <c r="D184" i="7"/>
  <c r="A184" i="7"/>
  <c r="U183" i="7"/>
  <c r="S183" i="7"/>
  <c r="P183" i="7"/>
  <c r="M183" i="7"/>
  <c r="D183" i="7"/>
  <c r="A183" i="7"/>
  <c r="U182" i="7"/>
  <c r="S182" i="7"/>
  <c r="P182" i="7"/>
  <c r="M182" i="7"/>
  <c r="D182" i="7"/>
  <c r="A182" i="7"/>
  <c r="U181" i="7"/>
  <c r="S181" i="7"/>
  <c r="P181" i="7"/>
  <c r="M181" i="7"/>
  <c r="D181" i="7"/>
  <c r="A181" i="7"/>
  <c r="U180" i="7"/>
  <c r="S180" i="7"/>
  <c r="P180" i="7"/>
  <c r="M180" i="7"/>
  <c r="D180" i="7"/>
  <c r="A180" i="7"/>
  <c r="U179" i="7"/>
  <c r="S179" i="7"/>
  <c r="P179" i="7"/>
  <c r="M179" i="7"/>
  <c r="D179" i="7"/>
  <c r="A179" i="7"/>
  <c r="U178" i="7"/>
  <c r="S178" i="7"/>
  <c r="P178" i="7"/>
  <c r="M178" i="7"/>
  <c r="D178" i="7"/>
  <c r="A178" i="7"/>
  <c r="U177" i="7"/>
  <c r="S177" i="7"/>
  <c r="P177" i="7"/>
  <c r="M177" i="7"/>
  <c r="D177" i="7"/>
  <c r="A177" i="7"/>
  <c r="U176" i="7"/>
  <c r="S176" i="7"/>
  <c r="P176" i="7"/>
  <c r="M176" i="7"/>
  <c r="D176" i="7"/>
  <c r="A176" i="7"/>
  <c r="U175" i="7"/>
  <c r="S175" i="7"/>
  <c r="P175" i="7"/>
  <c r="M175" i="7"/>
  <c r="D175" i="7"/>
  <c r="A175" i="7"/>
  <c r="U174" i="7"/>
  <c r="S174" i="7"/>
  <c r="P174" i="7"/>
  <c r="M174" i="7"/>
  <c r="D174" i="7"/>
  <c r="A174" i="7"/>
  <c r="U173" i="7"/>
  <c r="S173" i="7"/>
  <c r="P173" i="7"/>
  <c r="M173" i="7"/>
  <c r="D173" i="7"/>
  <c r="A173" i="7"/>
  <c r="U172" i="7"/>
  <c r="S172" i="7"/>
  <c r="P172" i="7"/>
  <c r="M172" i="7"/>
  <c r="D172" i="7"/>
  <c r="A172" i="7"/>
  <c r="U171" i="7"/>
  <c r="S171" i="7"/>
  <c r="P171" i="7"/>
  <c r="M171" i="7"/>
  <c r="D171" i="7"/>
  <c r="A171" i="7"/>
  <c r="U170" i="7"/>
  <c r="S170" i="7"/>
  <c r="P170" i="7"/>
  <c r="M170" i="7"/>
  <c r="D170" i="7"/>
  <c r="A170" i="7"/>
  <c r="U169" i="7"/>
  <c r="S169" i="7"/>
  <c r="P169" i="7"/>
  <c r="M169" i="7"/>
  <c r="D169" i="7"/>
  <c r="A169" i="7"/>
  <c r="U168" i="7"/>
  <c r="S168" i="7"/>
  <c r="P168" i="7"/>
  <c r="M168" i="7"/>
  <c r="D168" i="7"/>
  <c r="A168" i="7"/>
  <c r="U167" i="7"/>
  <c r="S167" i="7"/>
  <c r="P167" i="7"/>
  <c r="M167" i="7"/>
  <c r="D167" i="7"/>
  <c r="A167" i="7"/>
  <c r="U166" i="7"/>
  <c r="S166" i="7"/>
  <c r="P166" i="7"/>
  <c r="M166" i="7"/>
  <c r="D166" i="7"/>
  <c r="A166" i="7"/>
  <c r="U165" i="7"/>
  <c r="S165" i="7"/>
  <c r="P165" i="7"/>
  <c r="M165" i="7"/>
  <c r="D165" i="7"/>
  <c r="A165" i="7"/>
  <c r="U164" i="7"/>
  <c r="S164" i="7"/>
  <c r="P164" i="7"/>
  <c r="M164" i="7"/>
  <c r="D164" i="7"/>
  <c r="A164" i="7"/>
  <c r="U163" i="7"/>
  <c r="S163" i="7"/>
  <c r="P163" i="7"/>
  <c r="M163" i="7"/>
  <c r="D163" i="7"/>
  <c r="A163" i="7"/>
  <c r="U162" i="7"/>
  <c r="S162" i="7"/>
  <c r="P162" i="7"/>
  <c r="M162" i="7"/>
  <c r="D162" i="7"/>
  <c r="A162" i="7"/>
  <c r="U161" i="7"/>
  <c r="S161" i="7"/>
  <c r="P161" i="7"/>
  <c r="M161" i="7"/>
  <c r="D161" i="7"/>
  <c r="A161" i="7"/>
  <c r="U160" i="7"/>
  <c r="S160" i="7"/>
  <c r="P160" i="7"/>
  <c r="M160" i="7"/>
  <c r="D160" i="7"/>
  <c r="A160" i="7"/>
  <c r="U159" i="7"/>
  <c r="S159" i="7"/>
  <c r="P159" i="7"/>
  <c r="M159" i="7"/>
  <c r="D159" i="7"/>
  <c r="A159" i="7"/>
  <c r="U158" i="7"/>
  <c r="S158" i="7"/>
  <c r="P158" i="7"/>
  <c r="M158" i="7"/>
  <c r="D158" i="7"/>
  <c r="A158" i="7"/>
  <c r="U157" i="7"/>
  <c r="S157" i="7"/>
  <c r="P157" i="7"/>
  <c r="M157" i="7"/>
  <c r="D157" i="7"/>
  <c r="A157" i="7"/>
  <c r="U156" i="7"/>
  <c r="S156" i="7"/>
  <c r="P156" i="7"/>
  <c r="M156" i="7"/>
  <c r="D156" i="7"/>
  <c r="A156" i="7"/>
  <c r="U155" i="7"/>
  <c r="S155" i="7"/>
  <c r="P155" i="7"/>
  <c r="M155" i="7"/>
  <c r="D155" i="7"/>
  <c r="A155" i="7"/>
  <c r="U154" i="7"/>
  <c r="S154" i="7"/>
  <c r="P154" i="7"/>
  <c r="M154" i="7"/>
  <c r="D154" i="7"/>
  <c r="A154" i="7"/>
  <c r="U153" i="7"/>
  <c r="S153" i="7"/>
  <c r="P153" i="7"/>
  <c r="M153" i="7"/>
  <c r="D153" i="7"/>
  <c r="A153" i="7"/>
  <c r="U152" i="7"/>
  <c r="S152" i="7"/>
  <c r="P152" i="7"/>
  <c r="M152" i="7"/>
  <c r="D152" i="7"/>
  <c r="A152" i="7"/>
  <c r="U151" i="7"/>
  <c r="S151" i="7"/>
  <c r="P151" i="7"/>
  <c r="M151" i="7"/>
  <c r="D151" i="7"/>
  <c r="A151" i="7"/>
  <c r="U150" i="7"/>
  <c r="S150" i="7"/>
  <c r="P150" i="7"/>
  <c r="M150" i="7"/>
  <c r="D150" i="7"/>
  <c r="A150" i="7"/>
  <c r="U149" i="7"/>
  <c r="S149" i="7"/>
  <c r="P149" i="7"/>
  <c r="M149" i="7"/>
  <c r="D149" i="7"/>
  <c r="A149" i="7"/>
  <c r="U148" i="7"/>
  <c r="S148" i="7"/>
  <c r="P148" i="7"/>
  <c r="M148" i="7"/>
  <c r="D148" i="7"/>
  <c r="A148" i="7"/>
  <c r="U147" i="7"/>
  <c r="S147" i="7"/>
  <c r="P147" i="7"/>
  <c r="M147" i="7"/>
  <c r="D147" i="7"/>
  <c r="A147" i="7"/>
  <c r="U146" i="7"/>
  <c r="S146" i="7"/>
  <c r="P146" i="7"/>
  <c r="M146" i="7"/>
  <c r="D146" i="7"/>
  <c r="A146" i="7"/>
  <c r="U145" i="7"/>
  <c r="S145" i="7"/>
  <c r="P145" i="7"/>
  <c r="M145" i="7"/>
  <c r="D145" i="7"/>
  <c r="A145" i="7"/>
  <c r="U144" i="7"/>
  <c r="S144" i="7"/>
  <c r="P144" i="7"/>
  <c r="M144" i="7"/>
  <c r="D144" i="7"/>
  <c r="A144" i="7"/>
  <c r="U143" i="7"/>
  <c r="S143" i="7"/>
  <c r="P143" i="7"/>
  <c r="M143" i="7"/>
  <c r="D143" i="7"/>
  <c r="A143" i="7"/>
  <c r="U142" i="7"/>
  <c r="S142" i="7"/>
  <c r="P142" i="7"/>
  <c r="M142" i="7"/>
  <c r="D142" i="7"/>
  <c r="A142" i="7"/>
  <c r="U141" i="7"/>
  <c r="S141" i="7"/>
  <c r="P141" i="7"/>
  <c r="M141" i="7"/>
  <c r="D141" i="7"/>
  <c r="A141" i="7"/>
  <c r="U140" i="7"/>
  <c r="S140" i="7"/>
  <c r="P140" i="7"/>
  <c r="M140" i="7"/>
  <c r="D140" i="7"/>
  <c r="A140" i="7"/>
  <c r="U139" i="7"/>
  <c r="S139" i="7"/>
  <c r="P139" i="7"/>
  <c r="M139" i="7"/>
  <c r="D139" i="7"/>
  <c r="A139" i="7"/>
  <c r="U138" i="7"/>
  <c r="S138" i="7"/>
  <c r="P138" i="7"/>
  <c r="M138" i="7"/>
  <c r="D138" i="7"/>
  <c r="A138" i="7"/>
  <c r="U137" i="7"/>
  <c r="S137" i="7"/>
  <c r="P137" i="7"/>
  <c r="M137" i="7"/>
  <c r="D137" i="7"/>
  <c r="A137" i="7"/>
  <c r="U136" i="7"/>
  <c r="S136" i="7"/>
  <c r="P136" i="7"/>
  <c r="M136" i="7"/>
  <c r="D136" i="7"/>
  <c r="A136" i="7"/>
  <c r="U135" i="7"/>
  <c r="S135" i="7"/>
  <c r="P135" i="7"/>
  <c r="M135" i="7"/>
  <c r="D135" i="7"/>
  <c r="A135" i="7"/>
  <c r="U134" i="7"/>
  <c r="S134" i="7"/>
  <c r="P134" i="7"/>
  <c r="M134" i="7"/>
  <c r="D134" i="7"/>
  <c r="A134" i="7"/>
  <c r="U133" i="7"/>
  <c r="S133" i="7"/>
  <c r="P133" i="7"/>
  <c r="M133" i="7"/>
  <c r="D133" i="7"/>
  <c r="A133" i="7"/>
  <c r="U132" i="7"/>
  <c r="S132" i="7"/>
  <c r="P132" i="7"/>
  <c r="M132" i="7"/>
  <c r="D132" i="7"/>
  <c r="A132" i="7"/>
  <c r="U131" i="7"/>
  <c r="S131" i="7"/>
  <c r="P131" i="7"/>
  <c r="M131" i="7"/>
  <c r="D131" i="7"/>
  <c r="A131" i="7"/>
  <c r="U130" i="7"/>
  <c r="S130" i="7"/>
  <c r="P130" i="7"/>
  <c r="M130" i="7"/>
  <c r="D130" i="7"/>
  <c r="A130" i="7"/>
  <c r="U129" i="7"/>
  <c r="S129" i="7"/>
  <c r="P129" i="7"/>
  <c r="M129" i="7"/>
  <c r="D129" i="7"/>
  <c r="A129" i="7"/>
  <c r="U128" i="7"/>
  <c r="S128" i="7"/>
  <c r="P128" i="7"/>
  <c r="M128" i="7"/>
  <c r="D128" i="7"/>
  <c r="A128" i="7"/>
  <c r="U127" i="7"/>
  <c r="S127" i="7"/>
  <c r="P127" i="7"/>
  <c r="M127" i="7"/>
  <c r="D127" i="7"/>
  <c r="A127" i="7"/>
  <c r="U126" i="7"/>
  <c r="S126" i="7"/>
  <c r="P126" i="7"/>
  <c r="M126" i="7"/>
  <c r="D126" i="7"/>
  <c r="A126" i="7"/>
  <c r="U125" i="7"/>
  <c r="S125" i="7"/>
  <c r="P125" i="7"/>
  <c r="M125" i="7"/>
  <c r="D125" i="7"/>
  <c r="A125" i="7"/>
  <c r="U124" i="7"/>
  <c r="S124" i="7"/>
  <c r="P124" i="7"/>
  <c r="M124" i="7"/>
  <c r="D124" i="7"/>
  <c r="A124" i="7"/>
  <c r="U123" i="7"/>
  <c r="S123" i="7"/>
  <c r="P123" i="7"/>
  <c r="M123" i="7"/>
  <c r="D123" i="7"/>
  <c r="A123" i="7"/>
  <c r="U122" i="7"/>
  <c r="S122" i="7"/>
  <c r="P122" i="7"/>
  <c r="M122" i="7"/>
  <c r="D122" i="7"/>
  <c r="A122" i="7"/>
  <c r="U121" i="7"/>
  <c r="S121" i="7"/>
  <c r="P121" i="7"/>
  <c r="M121" i="7"/>
  <c r="D121" i="7"/>
  <c r="A121" i="7"/>
  <c r="U120" i="7"/>
  <c r="S120" i="7"/>
  <c r="P120" i="7"/>
  <c r="M120" i="7"/>
  <c r="D120" i="7"/>
  <c r="A120" i="7"/>
  <c r="U119" i="7"/>
  <c r="S119" i="7"/>
  <c r="P119" i="7"/>
  <c r="M119" i="7"/>
  <c r="D119" i="7"/>
  <c r="A119" i="7"/>
  <c r="U118" i="7"/>
  <c r="S118" i="7"/>
  <c r="P118" i="7"/>
  <c r="M118" i="7"/>
  <c r="D118" i="7"/>
  <c r="A118" i="7"/>
  <c r="U117" i="7"/>
  <c r="S117" i="7"/>
  <c r="P117" i="7"/>
  <c r="M117" i="7"/>
  <c r="D117" i="7"/>
  <c r="A117" i="7"/>
  <c r="U116" i="7"/>
  <c r="S116" i="7"/>
  <c r="P116" i="7"/>
  <c r="M116" i="7"/>
  <c r="D116" i="7"/>
  <c r="A116" i="7"/>
  <c r="U115" i="7"/>
  <c r="S115" i="7"/>
  <c r="P115" i="7"/>
  <c r="M115" i="7"/>
  <c r="D115" i="7"/>
  <c r="A115" i="7"/>
  <c r="U114" i="7"/>
  <c r="S114" i="7"/>
  <c r="P114" i="7"/>
  <c r="M114" i="7"/>
  <c r="D114" i="7"/>
  <c r="A114" i="7"/>
  <c r="U113" i="7"/>
  <c r="S113" i="7"/>
  <c r="P113" i="7"/>
  <c r="M113" i="7"/>
  <c r="D113" i="7"/>
  <c r="A113" i="7"/>
  <c r="U112" i="7"/>
  <c r="S112" i="7"/>
  <c r="P112" i="7"/>
  <c r="M112" i="7"/>
  <c r="D112" i="7"/>
  <c r="A112" i="7"/>
  <c r="U111" i="7"/>
  <c r="S111" i="7"/>
  <c r="P111" i="7"/>
  <c r="M111" i="7"/>
  <c r="D111" i="7"/>
  <c r="A111" i="7"/>
  <c r="U110" i="7"/>
  <c r="S110" i="7"/>
  <c r="P110" i="7"/>
  <c r="M110" i="7"/>
  <c r="D110" i="7"/>
  <c r="A110" i="7"/>
  <c r="U109" i="7"/>
  <c r="S109" i="7"/>
  <c r="P109" i="7"/>
  <c r="M109" i="7"/>
  <c r="D109" i="7"/>
  <c r="A109" i="7"/>
  <c r="U108" i="7"/>
  <c r="S108" i="7"/>
  <c r="P108" i="7"/>
  <c r="M108" i="7"/>
  <c r="D108" i="7"/>
  <c r="A108" i="7"/>
  <c r="U107" i="7"/>
  <c r="S107" i="7"/>
  <c r="P107" i="7"/>
  <c r="M107" i="7"/>
  <c r="D107" i="7"/>
  <c r="A107" i="7"/>
  <c r="U106" i="7"/>
  <c r="S106" i="7"/>
  <c r="P106" i="7"/>
  <c r="M106" i="7"/>
  <c r="D106" i="7"/>
  <c r="A106" i="7"/>
  <c r="U105" i="7"/>
  <c r="S105" i="7"/>
  <c r="P105" i="7"/>
  <c r="M105" i="7"/>
  <c r="D105" i="7"/>
  <c r="A105" i="7"/>
  <c r="U104" i="7"/>
  <c r="S104" i="7"/>
  <c r="P104" i="7"/>
  <c r="M104" i="7"/>
  <c r="D104" i="7"/>
  <c r="A104" i="7"/>
  <c r="U103" i="7"/>
  <c r="S103" i="7"/>
  <c r="P103" i="7"/>
  <c r="M103" i="7"/>
  <c r="D103" i="7"/>
  <c r="A103" i="7"/>
  <c r="U102" i="7"/>
  <c r="S102" i="7"/>
  <c r="P102" i="7"/>
  <c r="M102" i="7"/>
  <c r="D102" i="7"/>
  <c r="A102" i="7"/>
  <c r="U101" i="7"/>
  <c r="S101" i="7"/>
  <c r="P101" i="7"/>
  <c r="M101" i="7"/>
  <c r="D101" i="7"/>
  <c r="A101" i="7"/>
  <c r="U100" i="7"/>
  <c r="S100" i="7"/>
  <c r="P100" i="7"/>
  <c r="M100" i="7"/>
  <c r="D100" i="7"/>
  <c r="A100" i="7"/>
  <c r="U99" i="7"/>
  <c r="S99" i="7"/>
  <c r="P99" i="7"/>
  <c r="M99" i="7"/>
  <c r="D99" i="7"/>
  <c r="A99" i="7"/>
  <c r="U98" i="7"/>
  <c r="S98" i="7"/>
  <c r="P98" i="7"/>
  <c r="M98" i="7"/>
  <c r="D98" i="7"/>
  <c r="A98" i="7"/>
  <c r="U97" i="7"/>
  <c r="S97" i="7"/>
  <c r="P97" i="7"/>
  <c r="M97" i="7"/>
  <c r="D97" i="7"/>
  <c r="A97" i="7"/>
  <c r="U96" i="7"/>
  <c r="S96" i="7"/>
  <c r="P96" i="7"/>
  <c r="M96" i="7"/>
  <c r="D96" i="7"/>
  <c r="A96" i="7"/>
  <c r="U95" i="7"/>
  <c r="S95" i="7"/>
  <c r="P95" i="7"/>
  <c r="M95" i="7"/>
  <c r="D95" i="7"/>
  <c r="A95" i="7"/>
  <c r="U94" i="7"/>
  <c r="S94" i="7"/>
  <c r="P94" i="7"/>
  <c r="M94" i="7"/>
  <c r="D94" i="7"/>
  <c r="A94" i="7"/>
  <c r="U93" i="7"/>
  <c r="S93" i="7"/>
  <c r="P93" i="7"/>
  <c r="M93" i="7"/>
  <c r="D93" i="7"/>
  <c r="A93" i="7"/>
  <c r="U92" i="7"/>
  <c r="S92" i="7"/>
  <c r="P92" i="7"/>
  <c r="M92" i="7"/>
  <c r="D92" i="7"/>
  <c r="A92" i="7"/>
  <c r="U91" i="7"/>
  <c r="S91" i="7"/>
  <c r="P91" i="7"/>
  <c r="M91" i="7"/>
  <c r="D91" i="7"/>
  <c r="A91" i="7"/>
  <c r="U90" i="7"/>
  <c r="S90" i="7"/>
  <c r="P90" i="7"/>
  <c r="M90" i="7"/>
  <c r="D90" i="7"/>
  <c r="A90" i="7"/>
  <c r="U89" i="7"/>
  <c r="S89" i="7"/>
  <c r="P89" i="7"/>
  <c r="M89" i="7"/>
  <c r="D89" i="7"/>
  <c r="A89" i="7"/>
  <c r="U88" i="7"/>
  <c r="S88" i="7"/>
  <c r="P88" i="7"/>
  <c r="M88" i="7"/>
  <c r="D88" i="7"/>
  <c r="A88" i="7"/>
  <c r="U87" i="7"/>
  <c r="S87" i="7"/>
  <c r="P87" i="7"/>
  <c r="M87" i="7"/>
  <c r="D87" i="7"/>
  <c r="A87" i="7"/>
  <c r="U86" i="7"/>
  <c r="S86" i="7"/>
  <c r="P86" i="7"/>
  <c r="M86" i="7"/>
  <c r="D86" i="7"/>
  <c r="A86" i="7"/>
  <c r="U85" i="7"/>
  <c r="S85" i="7"/>
  <c r="P85" i="7"/>
  <c r="M85" i="7"/>
  <c r="D85" i="7"/>
  <c r="A85" i="7"/>
  <c r="U84" i="7"/>
  <c r="S84" i="7"/>
  <c r="P84" i="7"/>
  <c r="M84" i="7"/>
  <c r="D84" i="7"/>
  <c r="A84" i="7"/>
  <c r="U83" i="7"/>
  <c r="S83" i="7"/>
  <c r="P83" i="7"/>
  <c r="M83" i="7"/>
  <c r="D83" i="7"/>
  <c r="A83" i="7"/>
  <c r="U82" i="7"/>
  <c r="S82" i="7"/>
  <c r="P82" i="7"/>
  <c r="M82" i="7"/>
  <c r="D82" i="7"/>
  <c r="A82" i="7"/>
  <c r="U81" i="7"/>
  <c r="S81" i="7"/>
  <c r="P81" i="7"/>
  <c r="M81" i="7"/>
  <c r="D81" i="7"/>
  <c r="A81" i="7"/>
  <c r="U80" i="7"/>
  <c r="S80" i="7"/>
  <c r="P80" i="7"/>
  <c r="M80" i="7"/>
  <c r="D80" i="7"/>
  <c r="A80" i="7"/>
  <c r="U79" i="7"/>
  <c r="S79" i="7"/>
  <c r="P79" i="7"/>
  <c r="M79" i="7"/>
  <c r="D79" i="7"/>
  <c r="A79" i="7"/>
  <c r="U78" i="7"/>
  <c r="S78" i="7"/>
  <c r="P78" i="7"/>
  <c r="M78" i="7"/>
  <c r="D78" i="7"/>
  <c r="A78" i="7"/>
  <c r="U77" i="7"/>
  <c r="S77" i="7"/>
  <c r="P77" i="7"/>
  <c r="M77" i="7"/>
  <c r="D77" i="7"/>
  <c r="A77" i="7"/>
  <c r="U76" i="7"/>
  <c r="S76" i="7"/>
  <c r="P76" i="7"/>
  <c r="M76" i="7"/>
  <c r="D76" i="7"/>
  <c r="A76" i="7"/>
  <c r="U75" i="7"/>
  <c r="S75" i="7"/>
  <c r="P75" i="7"/>
  <c r="M75" i="7"/>
  <c r="D75" i="7"/>
  <c r="A75" i="7"/>
  <c r="U74" i="7"/>
  <c r="S74" i="7"/>
  <c r="P74" i="7"/>
  <c r="M74" i="7"/>
  <c r="D74" i="7"/>
  <c r="A74" i="7"/>
  <c r="U73" i="7"/>
  <c r="S73" i="7"/>
  <c r="P73" i="7"/>
  <c r="M73" i="7"/>
  <c r="D73" i="7"/>
  <c r="A73" i="7"/>
  <c r="U72" i="7"/>
  <c r="S72" i="7"/>
  <c r="P72" i="7"/>
  <c r="M72" i="7"/>
  <c r="D72" i="7"/>
  <c r="A72" i="7"/>
  <c r="U71" i="7"/>
  <c r="S71" i="7"/>
  <c r="P71" i="7"/>
  <c r="M71" i="7"/>
  <c r="D71" i="7"/>
  <c r="A71" i="7"/>
  <c r="U70" i="7"/>
  <c r="S70" i="7"/>
  <c r="P70" i="7"/>
  <c r="M70" i="7"/>
  <c r="D70" i="7"/>
  <c r="A70" i="7"/>
  <c r="U69" i="7"/>
  <c r="S69" i="7"/>
  <c r="P69" i="7"/>
  <c r="M69" i="7"/>
  <c r="D69" i="7"/>
  <c r="A69" i="7"/>
  <c r="U68" i="7"/>
  <c r="S68" i="7"/>
  <c r="P68" i="7"/>
  <c r="M68" i="7"/>
  <c r="D68" i="7"/>
  <c r="A68" i="7"/>
  <c r="U67" i="7"/>
  <c r="S67" i="7"/>
  <c r="P67" i="7"/>
  <c r="M67" i="7"/>
  <c r="D67" i="7"/>
  <c r="A67" i="7"/>
  <c r="U66" i="7"/>
  <c r="S66" i="7"/>
  <c r="P66" i="7"/>
  <c r="M66" i="7"/>
  <c r="D66" i="7"/>
  <c r="A66" i="7"/>
  <c r="U65" i="7"/>
  <c r="S65" i="7"/>
  <c r="P65" i="7"/>
  <c r="M65" i="7"/>
  <c r="D65" i="7"/>
  <c r="A65" i="7"/>
  <c r="U64" i="7"/>
  <c r="S64" i="7"/>
  <c r="P64" i="7"/>
  <c r="M64" i="7"/>
  <c r="D64" i="7"/>
  <c r="A64" i="7"/>
  <c r="U63" i="7"/>
  <c r="S63" i="7"/>
  <c r="P63" i="7"/>
  <c r="M63" i="7"/>
  <c r="D63" i="7"/>
  <c r="A63" i="7"/>
  <c r="U62" i="7"/>
  <c r="S62" i="7"/>
  <c r="P62" i="7"/>
  <c r="M62" i="7"/>
  <c r="D62" i="7"/>
  <c r="A62" i="7"/>
  <c r="U61" i="7"/>
  <c r="S61" i="7"/>
  <c r="P61" i="7"/>
  <c r="M61" i="7"/>
  <c r="D61" i="7"/>
  <c r="A61" i="7"/>
  <c r="U60" i="7"/>
  <c r="S60" i="7"/>
  <c r="P60" i="7"/>
  <c r="M60" i="7"/>
  <c r="D60" i="7"/>
  <c r="A60" i="7"/>
  <c r="U59" i="7"/>
  <c r="S59" i="7"/>
  <c r="P59" i="7"/>
  <c r="M59" i="7"/>
  <c r="D59" i="7"/>
  <c r="A59" i="7"/>
  <c r="U58" i="7"/>
  <c r="S58" i="7"/>
  <c r="P58" i="7"/>
  <c r="M58" i="7"/>
  <c r="D58" i="7"/>
  <c r="A58" i="7"/>
  <c r="U57" i="7"/>
  <c r="S57" i="7"/>
  <c r="P57" i="7"/>
  <c r="M57" i="7"/>
  <c r="D57" i="7"/>
  <c r="A57" i="7"/>
  <c r="U56" i="7"/>
  <c r="S56" i="7"/>
  <c r="P56" i="7"/>
  <c r="M56" i="7"/>
  <c r="D56" i="7"/>
  <c r="A56" i="7"/>
  <c r="U55" i="7"/>
  <c r="S55" i="7"/>
  <c r="P55" i="7"/>
  <c r="M55" i="7"/>
  <c r="D55" i="7"/>
  <c r="A55" i="7"/>
  <c r="U54" i="7"/>
  <c r="S54" i="7"/>
  <c r="P54" i="7"/>
  <c r="M54" i="7"/>
  <c r="D54" i="7"/>
  <c r="A54" i="7"/>
  <c r="U53" i="7"/>
  <c r="S53" i="7"/>
  <c r="P53" i="7"/>
  <c r="M53" i="7"/>
  <c r="D53" i="7"/>
  <c r="A53" i="7"/>
  <c r="U52" i="7"/>
  <c r="S52" i="7"/>
  <c r="P52" i="7"/>
  <c r="M52" i="7"/>
  <c r="D52" i="7"/>
  <c r="A52" i="7"/>
  <c r="U51" i="7"/>
  <c r="S51" i="7"/>
  <c r="P51" i="7"/>
  <c r="M51" i="7"/>
  <c r="D51" i="7"/>
  <c r="A51" i="7"/>
  <c r="U50" i="7"/>
  <c r="S50" i="7"/>
  <c r="P50" i="7"/>
  <c r="M50" i="7"/>
  <c r="D50" i="7"/>
  <c r="A50" i="7"/>
  <c r="U49" i="7"/>
  <c r="S49" i="7"/>
  <c r="P49" i="7"/>
  <c r="M49" i="7"/>
  <c r="D49" i="7"/>
  <c r="A49" i="7"/>
  <c r="U48" i="7"/>
  <c r="S48" i="7"/>
  <c r="P48" i="7"/>
  <c r="M48" i="7"/>
  <c r="D48" i="7"/>
  <c r="A48" i="7"/>
  <c r="U47" i="7"/>
  <c r="S47" i="7"/>
  <c r="P47" i="7"/>
  <c r="M47" i="7"/>
  <c r="D47" i="7"/>
  <c r="A47" i="7"/>
  <c r="U46" i="7"/>
  <c r="S46" i="7"/>
  <c r="P46" i="7"/>
  <c r="M46" i="7"/>
  <c r="D46" i="7"/>
  <c r="A46" i="7"/>
  <c r="U45" i="7"/>
  <c r="S45" i="7"/>
  <c r="P45" i="7"/>
  <c r="M45" i="7"/>
  <c r="D45" i="7"/>
  <c r="A45" i="7"/>
  <c r="U44" i="7"/>
  <c r="S44" i="7"/>
  <c r="P44" i="7"/>
  <c r="M44" i="7"/>
  <c r="D44" i="7"/>
  <c r="A44" i="7"/>
  <c r="U43" i="7"/>
  <c r="S43" i="7"/>
  <c r="P43" i="7"/>
  <c r="M43" i="7"/>
  <c r="D43" i="7"/>
  <c r="A43" i="7"/>
  <c r="U42" i="7"/>
  <c r="S42" i="7"/>
  <c r="P42" i="7"/>
  <c r="M42" i="7"/>
  <c r="D42" i="7"/>
  <c r="A42" i="7"/>
  <c r="U41" i="7"/>
  <c r="S41" i="7"/>
  <c r="P41" i="7"/>
  <c r="M41" i="7"/>
  <c r="D41" i="7"/>
  <c r="A41" i="7"/>
  <c r="U40" i="7"/>
  <c r="S40" i="7"/>
  <c r="P40" i="7"/>
  <c r="M40" i="7"/>
  <c r="D40" i="7"/>
  <c r="A40" i="7"/>
  <c r="M39" i="7"/>
  <c r="A39" i="7"/>
  <c r="M38" i="7"/>
  <c r="A38" i="7"/>
  <c r="M37" i="7"/>
  <c r="A37" i="7"/>
  <c r="M36" i="7"/>
  <c r="A36" i="7"/>
  <c r="M35" i="7"/>
  <c r="A35" i="7"/>
  <c r="M34" i="7"/>
  <c r="A34" i="7"/>
  <c r="M33" i="7"/>
  <c r="A33" i="7"/>
  <c r="M32" i="7"/>
  <c r="A32" i="7"/>
  <c r="M31" i="7"/>
  <c r="A31" i="7"/>
  <c r="M30" i="7"/>
  <c r="A30" i="7"/>
  <c r="M29" i="7"/>
  <c r="A29" i="7"/>
  <c r="M28" i="7"/>
  <c r="A28" i="7"/>
  <c r="M27" i="7"/>
  <c r="A27" i="7"/>
  <c r="M26" i="7"/>
  <c r="A26" i="7"/>
  <c r="M25" i="7"/>
  <c r="A25" i="7"/>
  <c r="M24" i="7"/>
  <c r="A24" i="7"/>
  <c r="M23" i="7"/>
  <c r="A23" i="7"/>
  <c r="M22" i="7"/>
  <c r="A22" i="7"/>
  <c r="M21" i="7"/>
  <c r="A21" i="7"/>
  <c r="M20" i="7"/>
  <c r="A20" i="7"/>
  <c r="M19" i="7"/>
  <c r="A19" i="7"/>
  <c r="M18" i="7"/>
  <c r="A18" i="7"/>
  <c r="AT258" i="6"/>
  <c r="AS258" i="6"/>
  <c r="AP258" i="6"/>
  <c r="AO258" i="6"/>
  <c r="AN258" i="6"/>
  <c r="AM258" i="6"/>
  <c r="AL258" i="6"/>
  <c r="AK258" i="6"/>
  <c r="AJ258" i="6"/>
  <c r="AI258" i="6"/>
  <c r="AH258" i="6"/>
  <c r="AG258" i="6"/>
  <c r="AF258" i="6"/>
  <c r="AE258" i="6"/>
  <c r="AD258" i="6"/>
  <c r="AC258" i="6"/>
  <c r="AB258" i="6"/>
  <c r="AA258" i="6"/>
  <c r="Z258" i="6"/>
  <c r="Y258" i="6"/>
  <c r="X258" i="6"/>
  <c r="W258" i="6"/>
  <c r="V258" i="6"/>
  <c r="U258" i="6"/>
  <c r="AT257" i="6"/>
  <c r="AS257" i="6"/>
  <c r="AP257" i="6"/>
  <c r="AO257" i="6"/>
  <c r="AN257" i="6"/>
  <c r="AM257" i="6"/>
  <c r="AL257" i="6"/>
  <c r="AK257" i="6"/>
  <c r="AJ257" i="6"/>
  <c r="AI257" i="6"/>
  <c r="AH257" i="6"/>
  <c r="AG257" i="6"/>
  <c r="AF257" i="6"/>
  <c r="AE257" i="6"/>
  <c r="AD257" i="6"/>
  <c r="AC257" i="6"/>
  <c r="AB257" i="6"/>
  <c r="AA257" i="6"/>
  <c r="Z257" i="6"/>
  <c r="Y257" i="6"/>
  <c r="X257" i="6"/>
  <c r="W257" i="6"/>
  <c r="V257" i="6"/>
  <c r="U257" i="6"/>
  <c r="AT256" i="6"/>
  <c r="AS256" i="6"/>
  <c r="AP256" i="6"/>
  <c r="AO256" i="6"/>
  <c r="AN256" i="6"/>
  <c r="AM256" i="6"/>
  <c r="AL256" i="6"/>
  <c r="AK256" i="6"/>
  <c r="AJ256" i="6"/>
  <c r="AI256" i="6"/>
  <c r="AH256" i="6"/>
  <c r="AG256" i="6"/>
  <c r="AF256" i="6"/>
  <c r="AE256" i="6"/>
  <c r="AD256" i="6"/>
  <c r="AC256" i="6"/>
  <c r="AB256" i="6"/>
  <c r="AA256" i="6"/>
  <c r="Z256" i="6"/>
  <c r="Y256" i="6"/>
  <c r="X256" i="6"/>
  <c r="W256" i="6"/>
  <c r="V256" i="6"/>
  <c r="U256" i="6"/>
  <c r="AT255" i="6"/>
  <c r="AS255" i="6"/>
  <c r="AP255" i="6"/>
  <c r="AO255" i="6"/>
  <c r="AN255" i="6"/>
  <c r="AM255" i="6"/>
  <c r="AL255" i="6"/>
  <c r="AK255" i="6"/>
  <c r="AJ255" i="6"/>
  <c r="AI255" i="6"/>
  <c r="AH255" i="6"/>
  <c r="AG255" i="6"/>
  <c r="AF255" i="6"/>
  <c r="AE255" i="6"/>
  <c r="AD255" i="6"/>
  <c r="AC255" i="6"/>
  <c r="AB255" i="6"/>
  <c r="AA255" i="6"/>
  <c r="Z255" i="6"/>
  <c r="Y255" i="6"/>
  <c r="X255" i="6"/>
  <c r="W255" i="6"/>
  <c r="V255" i="6"/>
  <c r="U255" i="6"/>
  <c r="AT254" i="6"/>
  <c r="AS254" i="6"/>
  <c r="AP254" i="6"/>
  <c r="AO254" i="6"/>
  <c r="AN254" i="6"/>
  <c r="AM254" i="6"/>
  <c r="AL254" i="6"/>
  <c r="AK254" i="6"/>
  <c r="AJ254" i="6"/>
  <c r="AI254" i="6"/>
  <c r="AH254" i="6"/>
  <c r="AG254" i="6"/>
  <c r="AF254" i="6"/>
  <c r="AE254" i="6"/>
  <c r="AD254" i="6"/>
  <c r="AC254" i="6"/>
  <c r="AB254" i="6"/>
  <c r="AA254" i="6"/>
  <c r="Z254" i="6"/>
  <c r="Y254" i="6"/>
  <c r="X254" i="6"/>
  <c r="W254" i="6"/>
  <c r="V254" i="6"/>
  <c r="U254" i="6"/>
  <c r="AT253" i="6"/>
  <c r="AS253" i="6"/>
  <c r="AP253" i="6"/>
  <c r="AO253" i="6"/>
  <c r="AN253" i="6"/>
  <c r="AM253" i="6"/>
  <c r="AL253" i="6"/>
  <c r="AK253" i="6"/>
  <c r="AJ253" i="6"/>
  <c r="AI253" i="6"/>
  <c r="AH253" i="6"/>
  <c r="AG253" i="6"/>
  <c r="AF253" i="6"/>
  <c r="AE253" i="6"/>
  <c r="AD253" i="6"/>
  <c r="AC253" i="6"/>
  <c r="AB253" i="6"/>
  <c r="AA253" i="6"/>
  <c r="Z253" i="6"/>
  <c r="Y253" i="6"/>
  <c r="X253" i="6"/>
  <c r="W253" i="6"/>
  <c r="V253" i="6"/>
  <c r="U253" i="6"/>
  <c r="AT252" i="6"/>
  <c r="AS252" i="6"/>
  <c r="AP252" i="6"/>
  <c r="AO252" i="6"/>
  <c r="AN252" i="6"/>
  <c r="AM252" i="6"/>
  <c r="AL252" i="6"/>
  <c r="AK252" i="6"/>
  <c r="AJ252" i="6"/>
  <c r="AI252" i="6"/>
  <c r="AH252" i="6"/>
  <c r="AG252" i="6"/>
  <c r="AF252" i="6"/>
  <c r="AE252" i="6"/>
  <c r="AD252" i="6"/>
  <c r="AC252" i="6"/>
  <c r="AB252" i="6"/>
  <c r="AA252" i="6"/>
  <c r="Z252" i="6"/>
  <c r="Y252" i="6"/>
  <c r="X252" i="6"/>
  <c r="W252" i="6"/>
  <c r="V252" i="6"/>
  <c r="U252" i="6"/>
  <c r="AT251" i="6"/>
  <c r="AS251" i="6"/>
  <c r="AP251" i="6"/>
  <c r="AO251" i="6"/>
  <c r="AN251" i="6"/>
  <c r="AM251" i="6"/>
  <c r="AL251" i="6"/>
  <c r="AK251" i="6"/>
  <c r="AJ251" i="6"/>
  <c r="AI251" i="6"/>
  <c r="AH251" i="6"/>
  <c r="AG251" i="6"/>
  <c r="AF251" i="6"/>
  <c r="AE251" i="6"/>
  <c r="AD251" i="6"/>
  <c r="AC251" i="6"/>
  <c r="AB251" i="6"/>
  <c r="AA251" i="6"/>
  <c r="Z251" i="6"/>
  <c r="Y251" i="6"/>
  <c r="X251" i="6"/>
  <c r="W251" i="6"/>
  <c r="V251" i="6"/>
  <c r="U251" i="6"/>
  <c r="AT250" i="6"/>
  <c r="AS250" i="6"/>
  <c r="AP250" i="6"/>
  <c r="AO250" i="6"/>
  <c r="AN250" i="6"/>
  <c r="AM250" i="6"/>
  <c r="AL250" i="6"/>
  <c r="AK250" i="6"/>
  <c r="AJ250" i="6"/>
  <c r="AI250" i="6"/>
  <c r="AH250" i="6"/>
  <c r="AG250" i="6"/>
  <c r="AF250" i="6"/>
  <c r="AE250" i="6"/>
  <c r="AD250" i="6"/>
  <c r="AC250" i="6"/>
  <c r="AB250" i="6"/>
  <c r="AA250" i="6"/>
  <c r="Z250" i="6"/>
  <c r="Y250" i="6"/>
  <c r="X250" i="6"/>
  <c r="W250" i="6"/>
  <c r="V250" i="6"/>
  <c r="U250" i="6"/>
  <c r="AT249" i="6"/>
  <c r="AS249" i="6"/>
  <c r="AP249" i="6"/>
  <c r="AO249" i="6"/>
  <c r="AN249" i="6"/>
  <c r="AM249" i="6"/>
  <c r="AL249" i="6"/>
  <c r="AK249" i="6"/>
  <c r="AJ249" i="6"/>
  <c r="AI249" i="6"/>
  <c r="AH249" i="6"/>
  <c r="AG249" i="6"/>
  <c r="AF249" i="6"/>
  <c r="AE249" i="6"/>
  <c r="AD249" i="6"/>
  <c r="AC249" i="6"/>
  <c r="AB249" i="6"/>
  <c r="AA249" i="6"/>
  <c r="Z249" i="6"/>
  <c r="Y249" i="6"/>
  <c r="X249" i="6"/>
  <c r="W249" i="6"/>
  <c r="V249" i="6"/>
  <c r="U249" i="6"/>
  <c r="AT248" i="6"/>
  <c r="AS248" i="6"/>
  <c r="AP248" i="6"/>
  <c r="AO248" i="6"/>
  <c r="AN248" i="6"/>
  <c r="AM248" i="6"/>
  <c r="AL248" i="6"/>
  <c r="AK248" i="6"/>
  <c r="AJ248" i="6"/>
  <c r="AI248" i="6"/>
  <c r="AH248" i="6"/>
  <c r="AG248" i="6"/>
  <c r="AF248" i="6"/>
  <c r="AE248" i="6"/>
  <c r="AD248" i="6"/>
  <c r="AC248" i="6"/>
  <c r="AB248" i="6"/>
  <c r="AA248" i="6"/>
  <c r="Z248" i="6"/>
  <c r="Y248" i="6"/>
  <c r="X248" i="6"/>
  <c r="W248" i="6"/>
  <c r="V248" i="6"/>
  <c r="U248" i="6"/>
  <c r="AT247" i="6"/>
  <c r="AS247" i="6"/>
  <c r="AP247" i="6"/>
  <c r="AO247" i="6"/>
  <c r="AN247" i="6"/>
  <c r="AM247" i="6"/>
  <c r="AL247" i="6"/>
  <c r="AK247" i="6"/>
  <c r="AJ247" i="6"/>
  <c r="AI247" i="6"/>
  <c r="AH247" i="6"/>
  <c r="AG247" i="6"/>
  <c r="AF247" i="6"/>
  <c r="AE247" i="6"/>
  <c r="AD247" i="6"/>
  <c r="AC247" i="6"/>
  <c r="AB247" i="6"/>
  <c r="AA247" i="6"/>
  <c r="Z247" i="6"/>
  <c r="Y247" i="6"/>
  <c r="X247" i="6"/>
  <c r="W247" i="6"/>
  <c r="V247" i="6"/>
  <c r="U247" i="6"/>
  <c r="AT246" i="6"/>
  <c r="AS246" i="6"/>
  <c r="AP246" i="6"/>
  <c r="AO246" i="6"/>
  <c r="AN246" i="6"/>
  <c r="AM246" i="6"/>
  <c r="AL246" i="6"/>
  <c r="AK246" i="6"/>
  <c r="AJ246" i="6"/>
  <c r="AI246" i="6"/>
  <c r="AH246" i="6"/>
  <c r="AG246" i="6"/>
  <c r="AF246" i="6"/>
  <c r="AE246" i="6"/>
  <c r="AD246" i="6"/>
  <c r="AC246" i="6"/>
  <c r="AB246" i="6"/>
  <c r="AA246" i="6"/>
  <c r="Z246" i="6"/>
  <c r="Y246" i="6"/>
  <c r="X246" i="6"/>
  <c r="W246" i="6"/>
  <c r="V246" i="6"/>
  <c r="U246" i="6"/>
  <c r="AT245" i="6"/>
  <c r="AS245" i="6"/>
  <c r="AP245" i="6"/>
  <c r="AO245" i="6"/>
  <c r="AN245" i="6"/>
  <c r="AM245" i="6"/>
  <c r="AL245" i="6"/>
  <c r="AK245" i="6"/>
  <c r="AJ245" i="6"/>
  <c r="AI245" i="6"/>
  <c r="AH245" i="6"/>
  <c r="AG245" i="6"/>
  <c r="AF245" i="6"/>
  <c r="AE245" i="6"/>
  <c r="AD245" i="6"/>
  <c r="AC245" i="6"/>
  <c r="AB245" i="6"/>
  <c r="AA245" i="6"/>
  <c r="Z245" i="6"/>
  <c r="Y245" i="6"/>
  <c r="X245" i="6"/>
  <c r="W245" i="6"/>
  <c r="V245" i="6"/>
  <c r="U245" i="6"/>
  <c r="AT244" i="6"/>
  <c r="AS244" i="6"/>
  <c r="AP244" i="6"/>
  <c r="AO244" i="6"/>
  <c r="AN244" i="6"/>
  <c r="AM244" i="6"/>
  <c r="AL244" i="6"/>
  <c r="AK244" i="6"/>
  <c r="AJ244" i="6"/>
  <c r="AI244" i="6"/>
  <c r="AH244" i="6"/>
  <c r="AG244" i="6"/>
  <c r="AF244" i="6"/>
  <c r="AE244" i="6"/>
  <c r="AD244" i="6"/>
  <c r="AC244" i="6"/>
  <c r="AB244" i="6"/>
  <c r="AA244" i="6"/>
  <c r="Z244" i="6"/>
  <c r="Y244" i="6"/>
  <c r="X244" i="6"/>
  <c r="W244" i="6"/>
  <c r="V244" i="6"/>
  <c r="U244" i="6"/>
  <c r="AT243" i="6"/>
  <c r="AS243" i="6"/>
  <c r="AP243" i="6"/>
  <c r="AO243" i="6"/>
  <c r="AN243" i="6"/>
  <c r="AM243" i="6"/>
  <c r="AL243" i="6"/>
  <c r="AK243" i="6"/>
  <c r="AJ243" i="6"/>
  <c r="AI243" i="6"/>
  <c r="AH243" i="6"/>
  <c r="AG243" i="6"/>
  <c r="AF243" i="6"/>
  <c r="AE243" i="6"/>
  <c r="AD243" i="6"/>
  <c r="AC243" i="6"/>
  <c r="AB243" i="6"/>
  <c r="AA243" i="6"/>
  <c r="Z243" i="6"/>
  <c r="Y243" i="6"/>
  <c r="X243" i="6"/>
  <c r="W243" i="6"/>
  <c r="V243" i="6"/>
  <c r="U243" i="6"/>
  <c r="AT242" i="6"/>
  <c r="AS242" i="6"/>
  <c r="AP242" i="6"/>
  <c r="AO242" i="6"/>
  <c r="AN242" i="6"/>
  <c r="AM242" i="6"/>
  <c r="AL242" i="6"/>
  <c r="AK242" i="6"/>
  <c r="AJ242" i="6"/>
  <c r="AI242" i="6"/>
  <c r="AH242" i="6"/>
  <c r="AG242" i="6"/>
  <c r="AF242" i="6"/>
  <c r="AE242" i="6"/>
  <c r="AD242" i="6"/>
  <c r="AC242" i="6"/>
  <c r="AB242" i="6"/>
  <c r="AA242" i="6"/>
  <c r="Z242" i="6"/>
  <c r="Y242" i="6"/>
  <c r="X242" i="6"/>
  <c r="W242" i="6"/>
  <c r="V242" i="6"/>
  <c r="U242" i="6"/>
  <c r="AT241" i="6"/>
  <c r="AS241" i="6"/>
  <c r="AP241" i="6"/>
  <c r="AO241" i="6"/>
  <c r="AN241" i="6"/>
  <c r="AM241" i="6"/>
  <c r="AL241" i="6"/>
  <c r="AK241" i="6"/>
  <c r="AJ241" i="6"/>
  <c r="AI241" i="6"/>
  <c r="AH241" i="6"/>
  <c r="AG241" i="6"/>
  <c r="AF241" i="6"/>
  <c r="AE241" i="6"/>
  <c r="AD241" i="6"/>
  <c r="AC241" i="6"/>
  <c r="AB241" i="6"/>
  <c r="AA241" i="6"/>
  <c r="Z241" i="6"/>
  <c r="Y241" i="6"/>
  <c r="X241" i="6"/>
  <c r="W241" i="6"/>
  <c r="V241" i="6"/>
  <c r="U241" i="6"/>
  <c r="AT240" i="6"/>
  <c r="AS240" i="6"/>
  <c r="AP240" i="6"/>
  <c r="AO240" i="6"/>
  <c r="AN240" i="6"/>
  <c r="AM240" i="6"/>
  <c r="AL240" i="6"/>
  <c r="AK240" i="6"/>
  <c r="AJ240" i="6"/>
  <c r="AI240" i="6"/>
  <c r="AH240" i="6"/>
  <c r="AG240" i="6"/>
  <c r="AF240" i="6"/>
  <c r="AE240" i="6"/>
  <c r="AD240" i="6"/>
  <c r="AC240" i="6"/>
  <c r="AB240" i="6"/>
  <c r="AA240" i="6"/>
  <c r="Z240" i="6"/>
  <c r="Y240" i="6"/>
  <c r="X240" i="6"/>
  <c r="W240" i="6"/>
  <c r="V240" i="6"/>
  <c r="U240" i="6"/>
  <c r="AT239" i="6"/>
  <c r="AS239" i="6"/>
  <c r="AP239" i="6"/>
  <c r="AO239" i="6"/>
  <c r="AN239" i="6"/>
  <c r="AM239" i="6"/>
  <c r="AL239" i="6"/>
  <c r="AK239" i="6"/>
  <c r="AJ239" i="6"/>
  <c r="AI239" i="6"/>
  <c r="AH239" i="6"/>
  <c r="AG239" i="6"/>
  <c r="AF239" i="6"/>
  <c r="AE239" i="6"/>
  <c r="AD239" i="6"/>
  <c r="AC239" i="6"/>
  <c r="AB239" i="6"/>
  <c r="AA239" i="6"/>
  <c r="Z239" i="6"/>
  <c r="Y239" i="6"/>
  <c r="X239" i="6"/>
  <c r="W239" i="6"/>
  <c r="V239" i="6"/>
  <c r="U239" i="6"/>
  <c r="AT238" i="6"/>
  <c r="AS238" i="6"/>
  <c r="AP238" i="6"/>
  <c r="AO238" i="6"/>
  <c r="AN238" i="6"/>
  <c r="AM238" i="6"/>
  <c r="AL238" i="6"/>
  <c r="AK238" i="6"/>
  <c r="AJ238" i="6"/>
  <c r="AI238" i="6"/>
  <c r="AH238" i="6"/>
  <c r="AG238" i="6"/>
  <c r="AF238" i="6"/>
  <c r="AE238" i="6"/>
  <c r="AD238" i="6"/>
  <c r="AC238" i="6"/>
  <c r="AB238" i="6"/>
  <c r="AA238" i="6"/>
  <c r="Z238" i="6"/>
  <c r="Y238" i="6"/>
  <c r="X238" i="6"/>
  <c r="W238" i="6"/>
  <c r="V238" i="6"/>
  <c r="U238" i="6"/>
  <c r="AT237" i="6"/>
  <c r="AS237" i="6"/>
  <c r="AP237" i="6"/>
  <c r="AO237" i="6"/>
  <c r="AN237" i="6"/>
  <c r="AM237" i="6"/>
  <c r="AL237" i="6"/>
  <c r="AK237" i="6"/>
  <c r="AJ237" i="6"/>
  <c r="AI237" i="6"/>
  <c r="AH237" i="6"/>
  <c r="AG237" i="6"/>
  <c r="AF237" i="6"/>
  <c r="AE237" i="6"/>
  <c r="AD237" i="6"/>
  <c r="AC237" i="6"/>
  <c r="AB237" i="6"/>
  <c r="AA237" i="6"/>
  <c r="Z237" i="6"/>
  <c r="Y237" i="6"/>
  <c r="X237" i="6"/>
  <c r="W237" i="6"/>
  <c r="V237" i="6"/>
  <c r="U237" i="6"/>
  <c r="AT236" i="6"/>
  <c r="AS236" i="6"/>
  <c r="AP236" i="6"/>
  <c r="AO236" i="6"/>
  <c r="AN236" i="6"/>
  <c r="AM236" i="6"/>
  <c r="AL236" i="6"/>
  <c r="AK236" i="6"/>
  <c r="AJ236" i="6"/>
  <c r="AI236" i="6"/>
  <c r="AH236" i="6"/>
  <c r="AG236" i="6"/>
  <c r="AF236" i="6"/>
  <c r="AE236" i="6"/>
  <c r="AD236" i="6"/>
  <c r="AC236" i="6"/>
  <c r="AB236" i="6"/>
  <c r="AA236" i="6"/>
  <c r="Z236" i="6"/>
  <c r="Y236" i="6"/>
  <c r="X236" i="6"/>
  <c r="W236" i="6"/>
  <c r="V236" i="6"/>
  <c r="U236" i="6"/>
  <c r="AT235" i="6"/>
  <c r="AS235" i="6"/>
  <c r="AP235" i="6"/>
  <c r="AO235" i="6"/>
  <c r="AN235" i="6"/>
  <c r="AM235" i="6"/>
  <c r="AL235" i="6"/>
  <c r="AK235" i="6"/>
  <c r="AJ235" i="6"/>
  <c r="AI235" i="6"/>
  <c r="AH235" i="6"/>
  <c r="AG235" i="6"/>
  <c r="AF235" i="6"/>
  <c r="AE235" i="6"/>
  <c r="AD235" i="6"/>
  <c r="AC235" i="6"/>
  <c r="AB235" i="6"/>
  <c r="AA235" i="6"/>
  <c r="Z235" i="6"/>
  <c r="Y235" i="6"/>
  <c r="X235" i="6"/>
  <c r="W235" i="6"/>
  <c r="V235" i="6"/>
  <c r="U235" i="6"/>
  <c r="AT234" i="6"/>
  <c r="AS234" i="6"/>
  <c r="AP234" i="6"/>
  <c r="AO234" i="6"/>
  <c r="AN234" i="6"/>
  <c r="AM234" i="6"/>
  <c r="AL234" i="6"/>
  <c r="AK234" i="6"/>
  <c r="AJ234" i="6"/>
  <c r="AI234" i="6"/>
  <c r="AH234" i="6"/>
  <c r="AG234" i="6"/>
  <c r="AF234" i="6"/>
  <c r="AE234" i="6"/>
  <c r="AD234" i="6"/>
  <c r="AC234" i="6"/>
  <c r="AB234" i="6"/>
  <c r="AA234" i="6"/>
  <c r="Z234" i="6"/>
  <c r="Y234" i="6"/>
  <c r="X234" i="6"/>
  <c r="W234" i="6"/>
  <c r="V234" i="6"/>
  <c r="U234" i="6"/>
  <c r="AT233" i="6"/>
  <c r="AS233" i="6"/>
  <c r="AP233" i="6"/>
  <c r="AO233" i="6"/>
  <c r="AN233" i="6"/>
  <c r="AM233" i="6"/>
  <c r="AL233" i="6"/>
  <c r="AK233" i="6"/>
  <c r="AJ233" i="6"/>
  <c r="AI233" i="6"/>
  <c r="AH233" i="6"/>
  <c r="AG233" i="6"/>
  <c r="AF233" i="6"/>
  <c r="AE233" i="6"/>
  <c r="AD233" i="6"/>
  <c r="AC233" i="6"/>
  <c r="AB233" i="6"/>
  <c r="AA233" i="6"/>
  <c r="Z233" i="6"/>
  <c r="Y233" i="6"/>
  <c r="X233" i="6"/>
  <c r="W233" i="6"/>
  <c r="V233" i="6"/>
  <c r="U233" i="6"/>
  <c r="AT232" i="6"/>
  <c r="AS232" i="6"/>
  <c r="AP232" i="6"/>
  <c r="AO232" i="6"/>
  <c r="AN232" i="6"/>
  <c r="AM232" i="6"/>
  <c r="AL232" i="6"/>
  <c r="AK232" i="6"/>
  <c r="AJ232" i="6"/>
  <c r="AI232" i="6"/>
  <c r="AH232" i="6"/>
  <c r="AG232" i="6"/>
  <c r="AF232" i="6"/>
  <c r="AE232" i="6"/>
  <c r="AD232" i="6"/>
  <c r="AC232" i="6"/>
  <c r="AB232" i="6"/>
  <c r="AA232" i="6"/>
  <c r="Z232" i="6"/>
  <c r="Y232" i="6"/>
  <c r="X232" i="6"/>
  <c r="W232" i="6"/>
  <c r="V232" i="6"/>
  <c r="U232" i="6"/>
  <c r="AT231" i="6"/>
  <c r="AS231" i="6"/>
  <c r="AP231" i="6"/>
  <c r="AO231" i="6"/>
  <c r="AN231" i="6"/>
  <c r="AM231" i="6"/>
  <c r="AL231" i="6"/>
  <c r="AK231" i="6"/>
  <c r="AJ231" i="6"/>
  <c r="AI231" i="6"/>
  <c r="AH231" i="6"/>
  <c r="AG231" i="6"/>
  <c r="AF231" i="6"/>
  <c r="AE231" i="6"/>
  <c r="AD231" i="6"/>
  <c r="AC231" i="6"/>
  <c r="AB231" i="6"/>
  <c r="AA231" i="6"/>
  <c r="Z231" i="6"/>
  <c r="Y231" i="6"/>
  <c r="X231" i="6"/>
  <c r="W231" i="6"/>
  <c r="V231" i="6"/>
  <c r="U231" i="6"/>
  <c r="AT230" i="6"/>
  <c r="AS230" i="6"/>
  <c r="AP230" i="6"/>
  <c r="AO230" i="6"/>
  <c r="AN230" i="6"/>
  <c r="AM230" i="6"/>
  <c r="AL230" i="6"/>
  <c r="AK230" i="6"/>
  <c r="AJ230" i="6"/>
  <c r="AI230" i="6"/>
  <c r="AH230" i="6"/>
  <c r="AG230" i="6"/>
  <c r="AF230" i="6"/>
  <c r="AE230" i="6"/>
  <c r="AD230" i="6"/>
  <c r="AC230" i="6"/>
  <c r="AB230" i="6"/>
  <c r="AA230" i="6"/>
  <c r="Z230" i="6"/>
  <c r="Y230" i="6"/>
  <c r="X230" i="6"/>
  <c r="W230" i="6"/>
  <c r="V230" i="6"/>
  <c r="U230" i="6"/>
  <c r="AT229" i="6"/>
  <c r="AS229" i="6"/>
  <c r="AP229" i="6"/>
  <c r="AO229" i="6"/>
  <c r="AN229" i="6"/>
  <c r="AM229" i="6"/>
  <c r="AL229" i="6"/>
  <c r="AK229" i="6"/>
  <c r="AJ229" i="6"/>
  <c r="AI229" i="6"/>
  <c r="AH229" i="6"/>
  <c r="AG229" i="6"/>
  <c r="AF229" i="6"/>
  <c r="AE229" i="6"/>
  <c r="AD229" i="6"/>
  <c r="AC229" i="6"/>
  <c r="AB229" i="6"/>
  <c r="AA229" i="6"/>
  <c r="Z229" i="6"/>
  <c r="Y229" i="6"/>
  <c r="X229" i="6"/>
  <c r="W229" i="6"/>
  <c r="V229" i="6"/>
  <c r="U229" i="6"/>
  <c r="AT228" i="6"/>
  <c r="AS228" i="6"/>
  <c r="AP228" i="6"/>
  <c r="AO228" i="6"/>
  <c r="AN228" i="6"/>
  <c r="AM228" i="6"/>
  <c r="AL228" i="6"/>
  <c r="AK228" i="6"/>
  <c r="AJ228" i="6"/>
  <c r="AI228" i="6"/>
  <c r="AH228" i="6"/>
  <c r="AG228" i="6"/>
  <c r="AF228" i="6"/>
  <c r="AE228" i="6"/>
  <c r="AD228" i="6"/>
  <c r="AC228" i="6"/>
  <c r="AB228" i="6"/>
  <c r="AA228" i="6"/>
  <c r="Z228" i="6"/>
  <c r="Y228" i="6"/>
  <c r="X228" i="6"/>
  <c r="W228" i="6"/>
  <c r="V228" i="6"/>
  <c r="U228" i="6"/>
  <c r="AT227" i="6"/>
  <c r="AS227" i="6"/>
  <c r="AP227" i="6"/>
  <c r="AO227" i="6"/>
  <c r="AN227" i="6"/>
  <c r="AM227" i="6"/>
  <c r="AL227" i="6"/>
  <c r="AK227" i="6"/>
  <c r="AJ227" i="6"/>
  <c r="AI227" i="6"/>
  <c r="AH227" i="6"/>
  <c r="AG227" i="6"/>
  <c r="AF227" i="6"/>
  <c r="AE227" i="6"/>
  <c r="AD227" i="6"/>
  <c r="AC227" i="6"/>
  <c r="AB227" i="6"/>
  <c r="AA227" i="6"/>
  <c r="Z227" i="6"/>
  <c r="Y227" i="6"/>
  <c r="X227" i="6"/>
  <c r="W227" i="6"/>
  <c r="V227" i="6"/>
  <c r="U227" i="6"/>
  <c r="AT226" i="6"/>
  <c r="AS226" i="6"/>
  <c r="AP226" i="6"/>
  <c r="AO226" i="6"/>
  <c r="AN226" i="6"/>
  <c r="AM226" i="6"/>
  <c r="AL226" i="6"/>
  <c r="AK226" i="6"/>
  <c r="AJ226" i="6"/>
  <c r="AI226" i="6"/>
  <c r="AH226" i="6"/>
  <c r="AG226" i="6"/>
  <c r="AF226" i="6"/>
  <c r="AE226" i="6"/>
  <c r="AD226" i="6"/>
  <c r="AC226" i="6"/>
  <c r="AB226" i="6"/>
  <c r="AA226" i="6"/>
  <c r="Z226" i="6"/>
  <c r="Y226" i="6"/>
  <c r="X226" i="6"/>
  <c r="W226" i="6"/>
  <c r="V226" i="6"/>
  <c r="U226" i="6"/>
  <c r="AT225" i="6"/>
  <c r="AS225" i="6"/>
  <c r="AP225" i="6"/>
  <c r="AO225" i="6"/>
  <c r="AN225" i="6"/>
  <c r="AM225" i="6"/>
  <c r="AL225" i="6"/>
  <c r="AK225" i="6"/>
  <c r="AJ225" i="6"/>
  <c r="AI225" i="6"/>
  <c r="AH225" i="6"/>
  <c r="AG225" i="6"/>
  <c r="AF225" i="6"/>
  <c r="AE225" i="6"/>
  <c r="AD225" i="6"/>
  <c r="AC225" i="6"/>
  <c r="AB225" i="6"/>
  <c r="AA225" i="6"/>
  <c r="Z225" i="6"/>
  <c r="Y225" i="6"/>
  <c r="X225" i="6"/>
  <c r="W225" i="6"/>
  <c r="V225" i="6"/>
  <c r="U225" i="6"/>
  <c r="AT224" i="6"/>
  <c r="AS224" i="6"/>
  <c r="AP224" i="6"/>
  <c r="AO224" i="6"/>
  <c r="AN224" i="6"/>
  <c r="AM224" i="6"/>
  <c r="AL224" i="6"/>
  <c r="AK224" i="6"/>
  <c r="AJ224" i="6"/>
  <c r="AI224" i="6"/>
  <c r="AH224" i="6"/>
  <c r="AG224" i="6"/>
  <c r="AF224" i="6"/>
  <c r="AE224" i="6"/>
  <c r="AD224" i="6"/>
  <c r="AC224" i="6"/>
  <c r="AB224" i="6"/>
  <c r="AA224" i="6"/>
  <c r="Z224" i="6"/>
  <c r="Y224" i="6"/>
  <c r="X224" i="6"/>
  <c r="W224" i="6"/>
  <c r="V224" i="6"/>
  <c r="U224" i="6"/>
  <c r="AT223" i="6"/>
  <c r="AS223" i="6"/>
  <c r="AP223" i="6"/>
  <c r="AO223" i="6"/>
  <c r="AN223" i="6"/>
  <c r="AM223" i="6"/>
  <c r="AL223" i="6"/>
  <c r="AK223" i="6"/>
  <c r="AJ223" i="6"/>
  <c r="AI223" i="6"/>
  <c r="AH223" i="6"/>
  <c r="AG223" i="6"/>
  <c r="AF223" i="6"/>
  <c r="AE223" i="6"/>
  <c r="AD223" i="6"/>
  <c r="AC223" i="6"/>
  <c r="AB223" i="6"/>
  <c r="AA223" i="6"/>
  <c r="Z223" i="6"/>
  <c r="Y223" i="6"/>
  <c r="X223" i="6"/>
  <c r="W223" i="6"/>
  <c r="V223" i="6"/>
  <c r="U223" i="6"/>
  <c r="AT222" i="6"/>
  <c r="AS222" i="6"/>
  <c r="AP222" i="6"/>
  <c r="AO222" i="6"/>
  <c r="AN222" i="6"/>
  <c r="AM222" i="6"/>
  <c r="AL222" i="6"/>
  <c r="AK222" i="6"/>
  <c r="AJ222" i="6"/>
  <c r="AI222" i="6"/>
  <c r="AH222" i="6"/>
  <c r="AG222" i="6"/>
  <c r="AF222" i="6"/>
  <c r="AE222" i="6"/>
  <c r="AD222" i="6"/>
  <c r="AC222" i="6"/>
  <c r="AB222" i="6"/>
  <c r="AA222" i="6"/>
  <c r="Z222" i="6"/>
  <c r="Y222" i="6"/>
  <c r="X222" i="6"/>
  <c r="W222" i="6"/>
  <c r="V222" i="6"/>
  <c r="U222" i="6"/>
  <c r="AT221" i="6"/>
  <c r="AS221" i="6"/>
  <c r="AP221" i="6"/>
  <c r="AO221" i="6"/>
  <c r="AN221" i="6"/>
  <c r="AM221" i="6"/>
  <c r="AL221" i="6"/>
  <c r="AK221" i="6"/>
  <c r="AJ221" i="6"/>
  <c r="AI221" i="6"/>
  <c r="AH221" i="6"/>
  <c r="AG221" i="6"/>
  <c r="AF221" i="6"/>
  <c r="AE221" i="6"/>
  <c r="AD221" i="6"/>
  <c r="AC221" i="6"/>
  <c r="AB221" i="6"/>
  <c r="AA221" i="6"/>
  <c r="Z221" i="6"/>
  <c r="Y221" i="6"/>
  <c r="X221" i="6"/>
  <c r="W221" i="6"/>
  <c r="V221" i="6"/>
  <c r="U221" i="6"/>
  <c r="AT220" i="6"/>
  <c r="AS220" i="6"/>
  <c r="AP220" i="6"/>
  <c r="AO220" i="6"/>
  <c r="AN220" i="6"/>
  <c r="AM220" i="6"/>
  <c r="AL220" i="6"/>
  <c r="AK220" i="6"/>
  <c r="AJ220" i="6"/>
  <c r="AI220" i="6"/>
  <c r="AH220" i="6"/>
  <c r="AG220" i="6"/>
  <c r="AF220" i="6"/>
  <c r="AE220" i="6"/>
  <c r="AD220" i="6"/>
  <c r="AC220" i="6"/>
  <c r="AB220" i="6"/>
  <c r="AA220" i="6"/>
  <c r="Z220" i="6"/>
  <c r="Y220" i="6"/>
  <c r="X220" i="6"/>
  <c r="W220" i="6"/>
  <c r="V220" i="6"/>
  <c r="U220" i="6"/>
  <c r="AT219" i="6"/>
  <c r="AS219" i="6"/>
  <c r="AP219" i="6"/>
  <c r="AO219" i="6"/>
  <c r="AN219" i="6"/>
  <c r="AM219" i="6"/>
  <c r="AL219" i="6"/>
  <c r="AK219" i="6"/>
  <c r="AJ219" i="6"/>
  <c r="AI219" i="6"/>
  <c r="AH219" i="6"/>
  <c r="AG219" i="6"/>
  <c r="AF219" i="6"/>
  <c r="AE219" i="6"/>
  <c r="AD219" i="6"/>
  <c r="AC219" i="6"/>
  <c r="AB219" i="6"/>
  <c r="AA219" i="6"/>
  <c r="Z219" i="6"/>
  <c r="Y219" i="6"/>
  <c r="X219" i="6"/>
  <c r="W219" i="6"/>
  <c r="V219" i="6"/>
  <c r="U219" i="6"/>
  <c r="AT218" i="6"/>
  <c r="AS218" i="6"/>
  <c r="AP218" i="6"/>
  <c r="AO218" i="6"/>
  <c r="AN218" i="6"/>
  <c r="AM218" i="6"/>
  <c r="AL218" i="6"/>
  <c r="AK218" i="6"/>
  <c r="AJ218" i="6"/>
  <c r="AI218" i="6"/>
  <c r="AH218" i="6"/>
  <c r="AG218" i="6"/>
  <c r="AF218" i="6"/>
  <c r="AE218" i="6"/>
  <c r="AD218" i="6"/>
  <c r="AC218" i="6"/>
  <c r="AB218" i="6"/>
  <c r="AA218" i="6"/>
  <c r="Z218" i="6"/>
  <c r="Y218" i="6"/>
  <c r="X218" i="6"/>
  <c r="W218" i="6"/>
  <c r="V218" i="6"/>
  <c r="U218" i="6"/>
  <c r="AT217" i="6"/>
  <c r="AS217" i="6"/>
  <c r="AP217" i="6"/>
  <c r="AO217" i="6"/>
  <c r="AN217" i="6"/>
  <c r="AM217" i="6"/>
  <c r="AL217" i="6"/>
  <c r="AK217" i="6"/>
  <c r="AJ217" i="6"/>
  <c r="AI217" i="6"/>
  <c r="AH217" i="6"/>
  <c r="AG217" i="6"/>
  <c r="AF217" i="6"/>
  <c r="AE217" i="6"/>
  <c r="AD217" i="6"/>
  <c r="AC217" i="6"/>
  <c r="AB217" i="6"/>
  <c r="AA217" i="6"/>
  <c r="Z217" i="6"/>
  <c r="Y217" i="6"/>
  <c r="X217" i="6"/>
  <c r="W217" i="6"/>
  <c r="V217" i="6"/>
  <c r="U217" i="6"/>
  <c r="AT216" i="6"/>
  <c r="AS216" i="6"/>
  <c r="AP216" i="6"/>
  <c r="AO216" i="6"/>
  <c r="AN216" i="6"/>
  <c r="AM216" i="6"/>
  <c r="AL216" i="6"/>
  <c r="AK216" i="6"/>
  <c r="AJ216" i="6"/>
  <c r="AI216" i="6"/>
  <c r="AH216" i="6"/>
  <c r="AG216" i="6"/>
  <c r="AF216" i="6"/>
  <c r="AE216" i="6"/>
  <c r="AD216" i="6"/>
  <c r="AC216" i="6"/>
  <c r="AB216" i="6"/>
  <c r="AA216" i="6"/>
  <c r="Z216" i="6"/>
  <c r="Y216" i="6"/>
  <c r="X216" i="6"/>
  <c r="W216" i="6"/>
  <c r="V216" i="6"/>
  <c r="U216" i="6"/>
  <c r="AT215" i="6"/>
  <c r="AS215" i="6"/>
  <c r="AP215" i="6"/>
  <c r="AO215" i="6"/>
  <c r="AN215" i="6"/>
  <c r="AM215" i="6"/>
  <c r="AL215" i="6"/>
  <c r="AK215" i="6"/>
  <c r="AJ215" i="6"/>
  <c r="AI215" i="6"/>
  <c r="AH215" i="6"/>
  <c r="AG215" i="6"/>
  <c r="AF215" i="6"/>
  <c r="AE215" i="6"/>
  <c r="AD215" i="6"/>
  <c r="AC215" i="6"/>
  <c r="AB215" i="6"/>
  <c r="AA215" i="6"/>
  <c r="Z215" i="6"/>
  <c r="Y215" i="6"/>
  <c r="X215" i="6"/>
  <c r="W215" i="6"/>
  <c r="V215" i="6"/>
  <c r="U215" i="6"/>
  <c r="AT214" i="6"/>
  <c r="AS214" i="6"/>
  <c r="AP214" i="6"/>
  <c r="AO214" i="6"/>
  <c r="AN214" i="6"/>
  <c r="AM214" i="6"/>
  <c r="AL214" i="6"/>
  <c r="AK214" i="6"/>
  <c r="AJ214" i="6"/>
  <c r="AI214" i="6"/>
  <c r="AH214" i="6"/>
  <c r="AG214" i="6"/>
  <c r="AF214" i="6"/>
  <c r="AE214" i="6"/>
  <c r="AD214" i="6"/>
  <c r="AC214" i="6"/>
  <c r="AB214" i="6"/>
  <c r="AA214" i="6"/>
  <c r="Z214" i="6"/>
  <c r="Y214" i="6"/>
  <c r="X214" i="6"/>
  <c r="W214" i="6"/>
  <c r="V214" i="6"/>
  <c r="U214" i="6"/>
  <c r="AT213" i="6"/>
  <c r="AS213" i="6"/>
  <c r="AP213" i="6"/>
  <c r="AO213" i="6"/>
  <c r="AN213" i="6"/>
  <c r="AM213" i="6"/>
  <c r="AL213" i="6"/>
  <c r="AK213" i="6"/>
  <c r="AJ213" i="6"/>
  <c r="AI213" i="6"/>
  <c r="AH213" i="6"/>
  <c r="AG213" i="6"/>
  <c r="AF213" i="6"/>
  <c r="AE213" i="6"/>
  <c r="AD213" i="6"/>
  <c r="AC213" i="6"/>
  <c r="AB213" i="6"/>
  <c r="AA213" i="6"/>
  <c r="Z213" i="6"/>
  <c r="Y213" i="6"/>
  <c r="X213" i="6"/>
  <c r="W213" i="6"/>
  <c r="V213" i="6"/>
  <c r="U213" i="6"/>
  <c r="AT212" i="6"/>
  <c r="AS212" i="6"/>
  <c r="AP212" i="6"/>
  <c r="AO212" i="6"/>
  <c r="AN212" i="6"/>
  <c r="AM212" i="6"/>
  <c r="AL212" i="6"/>
  <c r="AK212" i="6"/>
  <c r="AJ212" i="6"/>
  <c r="AI212" i="6"/>
  <c r="AH212" i="6"/>
  <c r="AG212" i="6"/>
  <c r="AF212" i="6"/>
  <c r="AE212" i="6"/>
  <c r="AD212" i="6"/>
  <c r="AC212" i="6"/>
  <c r="AB212" i="6"/>
  <c r="AA212" i="6"/>
  <c r="Z212" i="6"/>
  <c r="Y212" i="6"/>
  <c r="X212" i="6"/>
  <c r="W212" i="6"/>
  <c r="V212" i="6"/>
  <c r="U212" i="6"/>
  <c r="AT211" i="6"/>
  <c r="AS211" i="6"/>
  <c r="AP211" i="6"/>
  <c r="AO211" i="6"/>
  <c r="AN211" i="6"/>
  <c r="AM211" i="6"/>
  <c r="AL211" i="6"/>
  <c r="AK211" i="6"/>
  <c r="AJ211" i="6"/>
  <c r="AI211" i="6"/>
  <c r="AH211" i="6"/>
  <c r="AG211" i="6"/>
  <c r="AF211" i="6"/>
  <c r="AE211" i="6"/>
  <c r="AD211" i="6"/>
  <c r="AC211" i="6"/>
  <c r="AB211" i="6"/>
  <c r="AA211" i="6"/>
  <c r="Z211" i="6"/>
  <c r="Y211" i="6"/>
  <c r="X211" i="6"/>
  <c r="W211" i="6"/>
  <c r="V211" i="6"/>
  <c r="U211" i="6"/>
  <c r="AT210" i="6"/>
  <c r="AS210" i="6"/>
  <c r="AP210" i="6"/>
  <c r="AO210" i="6"/>
  <c r="AN210" i="6"/>
  <c r="AM210" i="6"/>
  <c r="AL210" i="6"/>
  <c r="AK210" i="6"/>
  <c r="AJ210" i="6"/>
  <c r="AI210" i="6"/>
  <c r="AH210" i="6"/>
  <c r="AG210" i="6"/>
  <c r="AF210" i="6"/>
  <c r="AE210" i="6"/>
  <c r="AD210" i="6"/>
  <c r="AC210" i="6"/>
  <c r="AB210" i="6"/>
  <c r="AA210" i="6"/>
  <c r="Z210" i="6"/>
  <c r="Y210" i="6"/>
  <c r="X210" i="6"/>
  <c r="W210" i="6"/>
  <c r="V210" i="6"/>
  <c r="U210" i="6"/>
  <c r="AT209" i="6"/>
  <c r="AS209" i="6"/>
  <c r="AP209" i="6"/>
  <c r="AO209" i="6"/>
  <c r="AN209" i="6"/>
  <c r="AM209" i="6"/>
  <c r="AL209" i="6"/>
  <c r="AK209" i="6"/>
  <c r="AJ209" i="6"/>
  <c r="AI209" i="6"/>
  <c r="AH209" i="6"/>
  <c r="AG209" i="6"/>
  <c r="AF209" i="6"/>
  <c r="AE209" i="6"/>
  <c r="AD209" i="6"/>
  <c r="AC209" i="6"/>
  <c r="AB209" i="6"/>
  <c r="AA209" i="6"/>
  <c r="Z209" i="6"/>
  <c r="Y209" i="6"/>
  <c r="X209" i="6"/>
  <c r="W209" i="6"/>
  <c r="V209" i="6"/>
  <c r="U209" i="6"/>
  <c r="AT208" i="6"/>
  <c r="AS208" i="6"/>
  <c r="AP208" i="6"/>
  <c r="AO208" i="6"/>
  <c r="AN208" i="6"/>
  <c r="AM208" i="6"/>
  <c r="AL208" i="6"/>
  <c r="AK208" i="6"/>
  <c r="AJ208" i="6"/>
  <c r="AI208" i="6"/>
  <c r="AH208" i="6"/>
  <c r="AG208" i="6"/>
  <c r="AF208" i="6"/>
  <c r="AE208" i="6"/>
  <c r="AD208" i="6"/>
  <c r="AC208" i="6"/>
  <c r="AB208" i="6"/>
  <c r="AA208" i="6"/>
  <c r="Z208" i="6"/>
  <c r="Y208" i="6"/>
  <c r="X208" i="6"/>
  <c r="W208" i="6"/>
  <c r="V208" i="6"/>
  <c r="U208" i="6"/>
  <c r="AT207" i="6"/>
  <c r="AS207" i="6"/>
  <c r="AP207" i="6"/>
  <c r="AO207" i="6"/>
  <c r="AN207" i="6"/>
  <c r="AM207" i="6"/>
  <c r="AL207" i="6"/>
  <c r="AK207" i="6"/>
  <c r="AJ207" i="6"/>
  <c r="AI207" i="6"/>
  <c r="AH207" i="6"/>
  <c r="AG207" i="6"/>
  <c r="AF207" i="6"/>
  <c r="AE207" i="6"/>
  <c r="AD207" i="6"/>
  <c r="AC207" i="6"/>
  <c r="AB207" i="6"/>
  <c r="AA207" i="6"/>
  <c r="Z207" i="6"/>
  <c r="Y207" i="6"/>
  <c r="X207" i="6"/>
  <c r="W207" i="6"/>
  <c r="V207" i="6"/>
  <c r="U207" i="6"/>
  <c r="AT206" i="6"/>
  <c r="AS206" i="6"/>
  <c r="AP206" i="6"/>
  <c r="AO206" i="6"/>
  <c r="AN206" i="6"/>
  <c r="AM206" i="6"/>
  <c r="AL206" i="6"/>
  <c r="AK206" i="6"/>
  <c r="AJ206" i="6"/>
  <c r="AI206" i="6"/>
  <c r="AH206" i="6"/>
  <c r="AG206" i="6"/>
  <c r="AF206" i="6"/>
  <c r="AE206" i="6"/>
  <c r="AD206" i="6"/>
  <c r="AC206" i="6"/>
  <c r="AB206" i="6"/>
  <c r="AA206" i="6"/>
  <c r="Z206" i="6"/>
  <c r="Y206" i="6"/>
  <c r="X206" i="6"/>
  <c r="W206" i="6"/>
  <c r="V206" i="6"/>
  <c r="U206" i="6"/>
  <c r="AT205" i="6"/>
  <c r="AS205" i="6"/>
  <c r="AP205" i="6"/>
  <c r="AO205" i="6"/>
  <c r="AN205" i="6"/>
  <c r="AM205" i="6"/>
  <c r="AL205" i="6"/>
  <c r="AK205" i="6"/>
  <c r="AJ205" i="6"/>
  <c r="AI205" i="6"/>
  <c r="AH205" i="6"/>
  <c r="AG205" i="6"/>
  <c r="AF205" i="6"/>
  <c r="AE205" i="6"/>
  <c r="AD205" i="6"/>
  <c r="AC205" i="6"/>
  <c r="AB205" i="6"/>
  <c r="AA205" i="6"/>
  <c r="Z205" i="6"/>
  <c r="Y205" i="6"/>
  <c r="X205" i="6"/>
  <c r="W205" i="6"/>
  <c r="V205" i="6"/>
  <c r="U205" i="6"/>
  <c r="AT204" i="6"/>
  <c r="AS204" i="6"/>
  <c r="AP204" i="6"/>
  <c r="AO204" i="6"/>
  <c r="AN204" i="6"/>
  <c r="AM204" i="6"/>
  <c r="AL204" i="6"/>
  <c r="AK204" i="6"/>
  <c r="AJ204" i="6"/>
  <c r="AI204" i="6"/>
  <c r="AH204" i="6"/>
  <c r="AG204" i="6"/>
  <c r="AF204" i="6"/>
  <c r="AE204" i="6"/>
  <c r="AD204" i="6"/>
  <c r="AC204" i="6"/>
  <c r="AB204" i="6"/>
  <c r="AA204" i="6"/>
  <c r="Z204" i="6"/>
  <c r="Y204" i="6"/>
  <c r="X204" i="6"/>
  <c r="W204" i="6"/>
  <c r="V204" i="6"/>
  <c r="U204" i="6"/>
  <c r="AT203" i="6"/>
  <c r="AS203" i="6"/>
  <c r="AP203" i="6"/>
  <c r="AO203" i="6"/>
  <c r="AN203" i="6"/>
  <c r="AM203" i="6"/>
  <c r="AL203" i="6"/>
  <c r="AK203" i="6"/>
  <c r="AJ203" i="6"/>
  <c r="AI203" i="6"/>
  <c r="AH203" i="6"/>
  <c r="AG203" i="6"/>
  <c r="AF203" i="6"/>
  <c r="AE203" i="6"/>
  <c r="AD203" i="6"/>
  <c r="AC203" i="6"/>
  <c r="AB203" i="6"/>
  <c r="AA203" i="6"/>
  <c r="Z203" i="6"/>
  <c r="Y203" i="6"/>
  <c r="X203" i="6"/>
  <c r="W203" i="6"/>
  <c r="V203" i="6"/>
  <c r="U203" i="6"/>
  <c r="AT202" i="6"/>
  <c r="AS202" i="6"/>
  <c r="AP202" i="6"/>
  <c r="AO202" i="6"/>
  <c r="AN202" i="6"/>
  <c r="AM202" i="6"/>
  <c r="AL202" i="6"/>
  <c r="AK202" i="6"/>
  <c r="AJ202" i="6"/>
  <c r="AI202" i="6"/>
  <c r="AH202" i="6"/>
  <c r="AG202" i="6"/>
  <c r="AF202" i="6"/>
  <c r="AE202" i="6"/>
  <c r="AD202" i="6"/>
  <c r="AC202" i="6"/>
  <c r="AB202" i="6"/>
  <c r="AA202" i="6"/>
  <c r="Z202" i="6"/>
  <c r="Y202" i="6"/>
  <c r="X202" i="6"/>
  <c r="W202" i="6"/>
  <c r="V202" i="6"/>
  <c r="U202" i="6"/>
  <c r="AT201" i="6"/>
  <c r="AS201" i="6"/>
  <c r="AP201" i="6"/>
  <c r="AO201" i="6"/>
  <c r="AN201" i="6"/>
  <c r="AM201" i="6"/>
  <c r="AL201" i="6"/>
  <c r="AK201" i="6"/>
  <c r="AJ201" i="6"/>
  <c r="AI201" i="6"/>
  <c r="AH201" i="6"/>
  <c r="AG201" i="6"/>
  <c r="AF201" i="6"/>
  <c r="AE201" i="6"/>
  <c r="AD201" i="6"/>
  <c r="AC201" i="6"/>
  <c r="AB201" i="6"/>
  <c r="AA201" i="6"/>
  <c r="Z201" i="6"/>
  <c r="Y201" i="6"/>
  <c r="X201" i="6"/>
  <c r="W201" i="6"/>
  <c r="V201" i="6"/>
  <c r="U201" i="6"/>
  <c r="AT200" i="6"/>
  <c r="AS200" i="6"/>
  <c r="AP200" i="6"/>
  <c r="AO200" i="6"/>
  <c r="AN200" i="6"/>
  <c r="AM200" i="6"/>
  <c r="AL200" i="6"/>
  <c r="AK200" i="6"/>
  <c r="AJ200" i="6"/>
  <c r="AI200" i="6"/>
  <c r="AH200" i="6"/>
  <c r="AG200" i="6"/>
  <c r="AF200" i="6"/>
  <c r="AE200" i="6"/>
  <c r="AD200" i="6"/>
  <c r="AC200" i="6"/>
  <c r="AB200" i="6"/>
  <c r="AA200" i="6"/>
  <c r="Z200" i="6"/>
  <c r="Y200" i="6"/>
  <c r="X200" i="6"/>
  <c r="W200" i="6"/>
  <c r="V200" i="6"/>
  <c r="U200" i="6"/>
  <c r="AT199" i="6"/>
  <c r="AS199" i="6"/>
  <c r="AP199" i="6"/>
  <c r="AO199" i="6"/>
  <c r="AN199" i="6"/>
  <c r="AM199" i="6"/>
  <c r="AL199" i="6"/>
  <c r="AK199" i="6"/>
  <c r="AJ199" i="6"/>
  <c r="AI199" i="6"/>
  <c r="AH199" i="6"/>
  <c r="AG199" i="6"/>
  <c r="AF199" i="6"/>
  <c r="AE199" i="6"/>
  <c r="AD199" i="6"/>
  <c r="AC199" i="6"/>
  <c r="AB199" i="6"/>
  <c r="AA199" i="6"/>
  <c r="Z199" i="6"/>
  <c r="Y199" i="6"/>
  <c r="X199" i="6"/>
  <c r="W199" i="6"/>
  <c r="V199" i="6"/>
  <c r="U199" i="6"/>
  <c r="AT198" i="6"/>
  <c r="AS198" i="6"/>
  <c r="AP198" i="6"/>
  <c r="AO198" i="6"/>
  <c r="AN198" i="6"/>
  <c r="AM198" i="6"/>
  <c r="AL198" i="6"/>
  <c r="AK198" i="6"/>
  <c r="AJ198" i="6"/>
  <c r="AI198" i="6"/>
  <c r="AH198" i="6"/>
  <c r="AG198" i="6"/>
  <c r="AF198" i="6"/>
  <c r="AE198" i="6"/>
  <c r="AD198" i="6"/>
  <c r="AC198" i="6"/>
  <c r="AB198" i="6"/>
  <c r="AA198" i="6"/>
  <c r="Z198" i="6"/>
  <c r="Y198" i="6"/>
  <c r="X198" i="6"/>
  <c r="W198" i="6"/>
  <c r="V198" i="6"/>
  <c r="U198" i="6"/>
  <c r="AT197" i="6"/>
  <c r="AS197" i="6"/>
  <c r="AP197" i="6"/>
  <c r="AO197" i="6"/>
  <c r="AN197" i="6"/>
  <c r="AM197" i="6"/>
  <c r="AL197" i="6"/>
  <c r="AK197" i="6"/>
  <c r="AJ197" i="6"/>
  <c r="AI197" i="6"/>
  <c r="AH197" i="6"/>
  <c r="AG197" i="6"/>
  <c r="AF197" i="6"/>
  <c r="AE197" i="6"/>
  <c r="AD197" i="6"/>
  <c r="AC197" i="6"/>
  <c r="AB197" i="6"/>
  <c r="AA197" i="6"/>
  <c r="Z197" i="6"/>
  <c r="Y197" i="6"/>
  <c r="X197" i="6"/>
  <c r="W197" i="6"/>
  <c r="V197" i="6"/>
  <c r="U197" i="6"/>
  <c r="AT196" i="6"/>
  <c r="AS196" i="6"/>
  <c r="AP196" i="6"/>
  <c r="AO196" i="6"/>
  <c r="AN196" i="6"/>
  <c r="AM196" i="6"/>
  <c r="AL196" i="6"/>
  <c r="AK196" i="6"/>
  <c r="AJ196" i="6"/>
  <c r="AI196" i="6"/>
  <c r="AH196" i="6"/>
  <c r="AG196" i="6"/>
  <c r="AF196" i="6"/>
  <c r="AE196" i="6"/>
  <c r="AD196" i="6"/>
  <c r="AC196" i="6"/>
  <c r="AB196" i="6"/>
  <c r="AA196" i="6"/>
  <c r="Z196" i="6"/>
  <c r="Y196" i="6"/>
  <c r="X196" i="6"/>
  <c r="W196" i="6"/>
  <c r="V196" i="6"/>
  <c r="U196" i="6"/>
  <c r="AT195" i="6"/>
  <c r="AS195" i="6"/>
  <c r="AP195" i="6"/>
  <c r="AO195" i="6"/>
  <c r="AN195" i="6"/>
  <c r="AM195" i="6"/>
  <c r="AL195" i="6"/>
  <c r="AK195" i="6"/>
  <c r="AJ195" i="6"/>
  <c r="AI195" i="6"/>
  <c r="AH195" i="6"/>
  <c r="AG195" i="6"/>
  <c r="AF195" i="6"/>
  <c r="AE195" i="6"/>
  <c r="AD195" i="6"/>
  <c r="AC195" i="6"/>
  <c r="AB195" i="6"/>
  <c r="AA195" i="6"/>
  <c r="Z195" i="6"/>
  <c r="Y195" i="6"/>
  <c r="X195" i="6"/>
  <c r="W195" i="6"/>
  <c r="V195" i="6"/>
  <c r="U195" i="6"/>
  <c r="AT194" i="6"/>
  <c r="AS194" i="6"/>
  <c r="AP194" i="6"/>
  <c r="AO194" i="6"/>
  <c r="AN194" i="6"/>
  <c r="AM194" i="6"/>
  <c r="AL194" i="6"/>
  <c r="AK194" i="6"/>
  <c r="AJ194" i="6"/>
  <c r="AI194" i="6"/>
  <c r="AH194" i="6"/>
  <c r="AG194" i="6"/>
  <c r="AF194" i="6"/>
  <c r="AE194" i="6"/>
  <c r="AD194" i="6"/>
  <c r="AC194" i="6"/>
  <c r="AB194" i="6"/>
  <c r="AA194" i="6"/>
  <c r="Z194" i="6"/>
  <c r="Y194" i="6"/>
  <c r="X194" i="6"/>
  <c r="W194" i="6"/>
  <c r="V194" i="6"/>
  <c r="U194" i="6"/>
  <c r="AT193" i="6"/>
  <c r="AS193" i="6"/>
  <c r="AP193" i="6"/>
  <c r="AO193" i="6"/>
  <c r="AN193" i="6"/>
  <c r="AM193" i="6"/>
  <c r="AL193" i="6"/>
  <c r="AK193" i="6"/>
  <c r="AJ193" i="6"/>
  <c r="AI193" i="6"/>
  <c r="AH193" i="6"/>
  <c r="AG193" i="6"/>
  <c r="AF193" i="6"/>
  <c r="AE193" i="6"/>
  <c r="AD193" i="6"/>
  <c r="AC193" i="6"/>
  <c r="AB193" i="6"/>
  <c r="AA193" i="6"/>
  <c r="Z193" i="6"/>
  <c r="Y193" i="6"/>
  <c r="X193" i="6"/>
  <c r="W193" i="6"/>
  <c r="V193" i="6"/>
  <c r="U193" i="6"/>
  <c r="AT192" i="6"/>
  <c r="AS192" i="6"/>
  <c r="AP192" i="6"/>
  <c r="AO192" i="6"/>
  <c r="AN192" i="6"/>
  <c r="AM192" i="6"/>
  <c r="AL192" i="6"/>
  <c r="AK192" i="6"/>
  <c r="AJ192" i="6"/>
  <c r="AI192" i="6"/>
  <c r="AH192" i="6"/>
  <c r="AG192" i="6"/>
  <c r="AF192" i="6"/>
  <c r="AE192" i="6"/>
  <c r="AD192" i="6"/>
  <c r="AC192" i="6"/>
  <c r="AB192" i="6"/>
  <c r="AA192" i="6"/>
  <c r="Z192" i="6"/>
  <c r="Y192" i="6"/>
  <c r="X192" i="6"/>
  <c r="W192" i="6"/>
  <c r="V192" i="6"/>
  <c r="U192" i="6"/>
  <c r="AT191" i="6"/>
  <c r="AS191" i="6"/>
  <c r="AP191" i="6"/>
  <c r="AO191" i="6"/>
  <c r="AN191" i="6"/>
  <c r="AM191" i="6"/>
  <c r="AL191" i="6"/>
  <c r="AK191" i="6"/>
  <c r="AJ191" i="6"/>
  <c r="AI191" i="6"/>
  <c r="AH191" i="6"/>
  <c r="AG191" i="6"/>
  <c r="AF191" i="6"/>
  <c r="AE191" i="6"/>
  <c r="AD191" i="6"/>
  <c r="AC191" i="6"/>
  <c r="AB191" i="6"/>
  <c r="AA191" i="6"/>
  <c r="Z191" i="6"/>
  <c r="Y191" i="6"/>
  <c r="X191" i="6"/>
  <c r="W191" i="6"/>
  <c r="V191" i="6"/>
  <c r="U191" i="6"/>
  <c r="AT190" i="6"/>
  <c r="AS190" i="6"/>
  <c r="AP190" i="6"/>
  <c r="AO190" i="6"/>
  <c r="AN190" i="6"/>
  <c r="AM190" i="6"/>
  <c r="AL190" i="6"/>
  <c r="AK190" i="6"/>
  <c r="AJ190" i="6"/>
  <c r="AI190" i="6"/>
  <c r="AH190" i="6"/>
  <c r="AG190" i="6"/>
  <c r="AF190" i="6"/>
  <c r="AE190" i="6"/>
  <c r="AD190" i="6"/>
  <c r="AC190" i="6"/>
  <c r="AB190" i="6"/>
  <c r="AA190" i="6"/>
  <c r="Z190" i="6"/>
  <c r="Y190" i="6"/>
  <c r="X190" i="6"/>
  <c r="W190" i="6"/>
  <c r="V190" i="6"/>
  <c r="U190" i="6"/>
  <c r="AT189" i="6"/>
  <c r="AS189" i="6"/>
  <c r="AP189" i="6"/>
  <c r="AO189" i="6"/>
  <c r="AN189" i="6"/>
  <c r="AM189" i="6"/>
  <c r="AL189" i="6"/>
  <c r="AK189" i="6"/>
  <c r="AJ189" i="6"/>
  <c r="AI189" i="6"/>
  <c r="AH189" i="6"/>
  <c r="AG189" i="6"/>
  <c r="AF189" i="6"/>
  <c r="AE189" i="6"/>
  <c r="AD189" i="6"/>
  <c r="AC189" i="6"/>
  <c r="AB189" i="6"/>
  <c r="AA189" i="6"/>
  <c r="Z189" i="6"/>
  <c r="Y189" i="6"/>
  <c r="X189" i="6"/>
  <c r="W189" i="6"/>
  <c r="V189" i="6"/>
  <c r="U189" i="6"/>
  <c r="AT188" i="6"/>
  <c r="AS188" i="6"/>
  <c r="AP188" i="6"/>
  <c r="AO188" i="6"/>
  <c r="AN188" i="6"/>
  <c r="AM188" i="6"/>
  <c r="AL188" i="6"/>
  <c r="AK188" i="6"/>
  <c r="AJ188" i="6"/>
  <c r="AI188" i="6"/>
  <c r="AH188" i="6"/>
  <c r="AG188" i="6"/>
  <c r="AF188" i="6"/>
  <c r="AE188" i="6"/>
  <c r="AD188" i="6"/>
  <c r="AC188" i="6"/>
  <c r="AB188" i="6"/>
  <c r="AA188" i="6"/>
  <c r="Z188" i="6"/>
  <c r="Y188" i="6"/>
  <c r="X188" i="6"/>
  <c r="W188" i="6"/>
  <c r="V188" i="6"/>
  <c r="U188" i="6"/>
  <c r="AT187" i="6"/>
  <c r="AS187" i="6"/>
  <c r="AP187" i="6"/>
  <c r="AO187" i="6"/>
  <c r="AN187" i="6"/>
  <c r="AM187" i="6"/>
  <c r="AL187" i="6"/>
  <c r="AK187" i="6"/>
  <c r="AJ187" i="6"/>
  <c r="AI187" i="6"/>
  <c r="AH187" i="6"/>
  <c r="AG187" i="6"/>
  <c r="AF187" i="6"/>
  <c r="AE187" i="6"/>
  <c r="AD187" i="6"/>
  <c r="AC187" i="6"/>
  <c r="AB187" i="6"/>
  <c r="AA187" i="6"/>
  <c r="Z187" i="6"/>
  <c r="Y187" i="6"/>
  <c r="X187" i="6"/>
  <c r="W187" i="6"/>
  <c r="V187" i="6"/>
  <c r="U187" i="6"/>
  <c r="AT186" i="6"/>
  <c r="AS186" i="6"/>
  <c r="AP186" i="6"/>
  <c r="AO186" i="6"/>
  <c r="AN186" i="6"/>
  <c r="AM186" i="6"/>
  <c r="AL186" i="6"/>
  <c r="AK186" i="6"/>
  <c r="AJ186" i="6"/>
  <c r="AI186" i="6"/>
  <c r="AH186" i="6"/>
  <c r="AG186" i="6"/>
  <c r="AF186" i="6"/>
  <c r="AE186" i="6"/>
  <c r="AD186" i="6"/>
  <c r="AC186" i="6"/>
  <c r="AB186" i="6"/>
  <c r="AA186" i="6"/>
  <c r="Z186" i="6"/>
  <c r="Y186" i="6"/>
  <c r="X186" i="6"/>
  <c r="W186" i="6"/>
  <c r="V186" i="6"/>
  <c r="U186" i="6"/>
  <c r="AT185" i="6"/>
  <c r="AS185" i="6"/>
  <c r="AP185" i="6"/>
  <c r="AO185" i="6"/>
  <c r="AN185" i="6"/>
  <c r="AM185" i="6"/>
  <c r="AL185" i="6"/>
  <c r="AK185" i="6"/>
  <c r="AJ185" i="6"/>
  <c r="AI185" i="6"/>
  <c r="AH185" i="6"/>
  <c r="AG185" i="6"/>
  <c r="AF185" i="6"/>
  <c r="AE185" i="6"/>
  <c r="AD185" i="6"/>
  <c r="AC185" i="6"/>
  <c r="AB185" i="6"/>
  <c r="AA185" i="6"/>
  <c r="Z185" i="6"/>
  <c r="Y185" i="6"/>
  <c r="X185" i="6"/>
  <c r="W185" i="6"/>
  <c r="V185" i="6"/>
  <c r="U185" i="6"/>
  <c r="AT184" i="6"/>
  <c r="AS184" i="6"/>
  <c r="AP184" i="6"/>
  <c r="AO184" i="6"/>
  <c r="AN184" i="6"/>
  <c r="AM184" i="6"/>
  <c r="AL184" i="6"/>
  <c r="AK184" i="6"/>
  <c r="AJ184" i="6"/>
  <c r="AI184" i="6"/>
  <c r="AH184" i="6"/>
  <c r="AG184" i="6"/>
  <c r="AF184" i="6"/>
  <c r="AE184" i="6"/>
  <c r="AD184" i="6"/>
  <c r="AC184" i="6"/>
  <c r="AB184" i="6"/>
  <c r="AA184" i="6"/>
  <c r="Z184" i="6"/>
  <c r="Y184" i="6"/>
  <c r="X184" i="6"/>
  <c r="W184" i="6"/>
  <c r="V184" i="6"/>
  <c r="U184" i="6"/>
  <c r="AT183" i="6"/>
  <c r="AS183" i="6"/>
  <c r="AP183" i="6"/>
  <c r="AO183" i="6"/>
  <c r="AN183" i="6"/>
  <c r="AM183" i="6"/>
  <c r="AL183" i="6"/>
  <c r="AK183" i="6"/>
  <c r="AJ183" i="6"/>
  <c r="AI183" i="6"/>
  <c r="AH183" i="6"/>
  <c r="AG183" i="6"/>
  <c r="AF183" i="6"/>
  <c r="AE183" i="6"/>
  <c r="AD183" i="6"/>
  <c r="AC183" i="6"/>
  <c r="AB183" i="6"/>
  <c r="AA183" i="6"/>
  <c r="Z183" i="6"/>
  <c r="Y183" i="6"/>
  <c r="X183" i="6"/>
  <c r="W183" i="6"/>
  <c r="V183" i="6"/>
  <c r="U183" i="6"/>
  <c r="AT182" i="6"/>
  <c r="AS182" i="6"/>
  <c r="AP182" i="6"/>
  <c r="AO182" i="6"/>
  <c r="AN182" i="6"/>
  <c r="AM182" i="6"/>
  <c r="AL182" i="6"/>
  <c r="AK182" i="6"/>
  <c r="AJ182" i="6"/>
  <c r="AI182" i="6"/>
  <c r="AH182" i="6"/>
  <c r="AG182" i="6"/>
  <c r="AF182" i="6"/>
  <c r="AE182" i="6"/>
  <c r="AD182" i="6"/>
  <c r="AC182" i="6"/>
  <c r="AB182" i="6"/>
  <c r="AA182" i="6"/>
  <c r="Z182" i="6"/>
  <c r="Y182" i="6"/>
  <c r="X182" i="6"/>
  <c r="W182" i="6"/>
  <c r="V182" i="6"/>
  <c r="U182" i="6"/>
  <c r="AT181" i="6"/>
  <c r="AS181" i="6"/>
  <c r="AP181" i="6"/>
  <c r="AO181" i="6"/>
  <c r="AN181" i="6"/>
  <c r="AM181" i="6"/>
  <c r="AL181" i="6"/>
  <c r="AK181" i="6"/>
  <c r="AJ181" i="6"/>
  <c r="AI181" i="6"/>
  <c r="AH181" i="6"/>
  <c r="AG181" i="6"/>
  <c r="AF181" i="6"/>
  <c r="AE181" i="6"/>
  <c r="AD181" i="6"/>
  <c r="AC181" i="6"/>
  <c r="AB181" i="6"/>
  <c r="AA181" i="6"/>
  <c r="Z181" i="6"/>
  <c r="Y181" i="6"/>
  <c r="X181" i="6"/>
  <c r="W181" i="6"/>
  <c r="V181" i="6"/>
  <c r="U181" i="6"/>
  <c r="AT180" i="6"/>
  <c r="AS180" i="6"/>
  <c r="AP180" i="6"/>
  <c r="AO180" i="6"/>
  <c r="AN180" i="6"/>
  <c r="AM180" i="6"/>
  <c r="AL180" i="6"/>
  <c r="AK180" i="6"/>
  <c r="AJ180" i="6"/>
  <c r="AI180" i="6"/>
  <c r="AH180" i="6"/>
  <c r="AG180" i="6"/>
  <c r="AF180" i="6"/>
  <c r="AE180" i="6"/>
  <c r="AD180" i="6"/>
  <c r="AC180" i="6"/>
  <c r="AB180" i="6"/>
  <c r="AA180" i="6"/>
  <c r="Z180" i="6"/>
  <c r="Y180" i="6"/>
  <c r="X180" i="6"/>
  <c r="W180" i="6"/>
  <c r="V180" i="6"/>
  <c r="U180" i="6"/>
  <c r="AT179" i="6"/>
  <c r="AS179" i="6"/>
  <c r="AP179" i="6"/>
  <c r="AO179" i="6"/>
  <c r="AN179" i="6"/>
  <c r="AM179" i="6"/>
  <c r="AL179" i="6"/>
  <c r="AK179" i="6"/>
  <c r="AJ179" i="6"/>
  <c r="AI179" i="6"/>
  <c r="AH179" i="6"/>
  <c r="AG179" i="6"/>
  <c r="AF179" i="6"/>
  <c r="AE179" i="6"/>
  <c r="AD179" i="6"/>
  <c r="AC179" i="6"/>
  <c r="AB179" i="6"/>
  <c r="AA179" i="6"/>
  <c r="Z179" i="6"/>
  <c r="Y179" i="6"/>
  <c r="X179" i="6"/>
  <c r="W179" i="6"/>
  <c r="V179" i="6"/>
  <c r="U179" i="6"/>
  <c r="AT178" i="6"/>
  <c r="AS178" i="6"/>
  <c r="AP178" i="6"/>
  <c r="AO178" i="6"/>
  <c r="AN178" i="6"/>
  <c r="AM178" i="6"/>
  <c r="AL178" i="6"/>
  <c r="AK178" i="6"/>
  <c r="AJ178" i="6"/>
  <c r="AI178" i="6"/>
  <c r="AH178" i="6"/>
  <c r="AG178" i="6"/>
  <c r="AF178" i="6"/>
  <c r="AE178" i="6"/>
  <c r="AD178" i="6"/>
  <c r="AC178" i="6"/>
  <c r="AB178" i="6"/>
  <c r="AA178" i="6"/>
  <c r="Z178" i="6"/>
  <c r="Y178" i="6"/>
  <c r="X178" i="6"/>
  <c r="W178" i="6"/>
  <c r="V178" i="6"/>
  <c r="U178" i="6"/>
  <c r="AT177" i="6"/>
  <c r="AS177" i="6"/>
  <c r="AP177" i="6"/>
  <c r="AO177" i="6"/>
  <c r="AN177" i="6"/>
  <c r="AM177" i="6"/>
  <c r="AL177" i="6"/>
  <c r="AK177" i="6"/>
  <c r="AJ177" i="6"/>
  <c r="AI177" i="6"/>
  <c r="AH177" i="6"/>
  <c r="AG177" i="6"/>
  <c r="AF177" i="6"/>
  <c r="AE177" i="6"/>
  <c r="AD177" i="6"/>
  <c r="AC177" i="6"/>
  <c r="AB177" i="6"/>
  <c r="AA177" i="6"/>
  <c r="Z177" i="6"/>
  <c r="Y177" i="6"/>
  <c r="X177" i="6"/>
  <c r="W177" i="6"/>
  <c r="V177" i="6"/>
  <c r="U177" i="6"/>
  <c r="AT176" i="6"/>
  <c r="AS176" i="6"/>
  <c r="AP176" i="6"/>
  <c r="AO176" i="6"/>
  <c r="AN176" i="6"/>
  <c r="AM176" i="6"/>
  <c r="AL176" i="6"/>
  <c r="AK176" i="6"/>
  <c r="AJ176" i="6"/>
  <c r="AI176" i="6"/>
  <c r="AH176" i="6"/>
  <c r="AG176" i="6"/>
  <c r="AF176" i="6"/>
  <c r="AE176" i="6"/>
  <c r="AD176" i="6"/>
  <c r="AC176" i="6"/>
  <c r="AB176" i="6"/>
  <c r="AA176" i="6"/>
  <c r="Z176" i="6"/>
  <c r="Y176" i="6"/>
  <c r="X176" i="6"/>
  <c r="W176" i="6"/>
  <c r="V176" i="6"/>
  <c r="U176" i="6"/>
  <c r="AT175" i="6"/>
  <c r="AS175" i="6"/>
  <c r="AP175" i="6"/>
  <c r="AO175" i="6"/>
  <c r="AN175" i="6"/>
  <c r="AM175" i="6"/>
  <c r="AL175" i="6"/>
  <c r="AK175" i="6"/>
  <c r="AJ175" i="6"/>
  <c r="AI175" i="6"/>
  <c r="AH175" i="6"/>
  <c r="AG175" i="6"/>
  <c r="AF175" i="6"/>
  <c r="AE175" i="6"/>
  <c r="AD175" i="6"/>
  <c r="AC175" i="6"/>
  <c r="AB175" i="6"/>
  <c r="AA175" i="6"/>
  <c r="Z175" i="6"/>
  <c r="Y175" i="6"/>
  <c r="X175" i="6"/>
  <c r="W175" i="6"/>
  <c r="V175" i="6"/>
  <c r="U175" i="6"/>
  <c r="AT174" i="6"/>
  <c r="AS174" i="6"/>
  <c r="AP174" i="6"/>
  <c r="AO174" i="6"/>
  <c r="AN174" i="6"/>
  <c r="AM174" i="6"/>
  <c r="AL174" i="6"/>
  <c r="AK174" i="6"/>
  <c r="AJ174" i="6"/>
  <c r="AI174" i="6"/>
  <c r="AH174" i="6"/>
  <c r="AG174" i="6"/>
  <c r="AF174" i="6"/>
  <c r="AE174" i="6"/>
  <c r="AD174" i="6"/>
  <c r="AC174" i="6"/>
  <c r="AB174" i="6"/>
  <c r="AA174" i="6"/>
  <c r="Z174" i="6"/>
  <c r="Y174" i="6"/>
  <c r="X174" i="6"/>
  <c r="W174" i="6"/>
  <c r="V174" i="6"/>
  <c r="U174" i="6"/>
  <c r="AT173" i="6"/>
  <c r="AS173" i="6"/>
  <c r="AP173" i="6"/>
  <c r="AO173" i="6"/>
  <c r="AN173" i="6"/>
  <c r="AM173" i="6"/>
  <c r="AL173" i="6"/>
  <c r="AK173" i="6"/>
  <c r="AJ173" i="6"/>
  <c r="AI173" i="6"/>
  <c r="AH173" i="6"/>
  <c r="AG173" i="6"/>
  <c r="AF173" i="6"/>
  <c r="AE173" i="6"/>
  <c r="AD173" i="6"/>
  <c r="AC173" i="6"/>
  <c r="AB173" i="6"/>
  <c r="AA173" i="6"/>
  <c r="Z173" i="6"/>
  <c r="Y173" i="6"/>
  <c r="X173" i="6"/>
  <c r="W173" i="6"/>
  <c r="V173" i="6"/>
  <c r="U173" i="6"/>
  <c r="AT172" i="6"/>
  <c r="AS172" i="6"/>
  <c r="AP172" i="6"/>
  <c r="AO172" i="6"/>
  <c r="AN172" i="6"/>
  <c r="AM172" i="6"/>
  <c r="AL172" i="6"/>
  <c r="AK172" i="6"/>
  <c r="AJ172" i="6"/>
  <c r="AI172" i="6"/>
  <c r="AH172" i="6"/>
  <c r="AG172" i="6"/>
  <c r="AF172" i="6"/>
  <c r="AE172" i="6"/>
  <c r="AD172" i="6"/>
  <c r="AC172" i="6"/>
  <c r="AB172" i="6"/>
  <c r="AA172" i="6"/>
  <c r="Z172" i="6"/>
  <c r="Y172" i="6"/>
  <c r="X172" i="6"/>
  <c r="W172" i="6"/>
  <c r="V172" i="6"/>
  <c r="U172" i="6"/>
  <c r="AT171" i="6"/>
  <c r="AS171" i="6"/>
  <c r="AP171" i="6"/>
  <c r="AO171" i="6"/>
  <c r="AN171" i="6"/>
  <c r="AM171" i="6"/>
  <c r="AL171" i="6"/>
  <c r="AK171" i="6"/>
  <c r="AJ171" i="6"/>
  <c r="AI171" i="6"/>
  <c r="AH171" i="6"/>
  <c r="AG171" i="6"/>
  <c r="AF171" i="6"/>
  <c r="AE171" i="6"/>
  <c r="AD171" i="6"/>
  <c r="AC171" i="6"/>
  <c r="AB171" i="6"/>
  <c r="AA171" i="6"/>
  <c r="Z171" i="6"/>
  <c r="Y171" i="6"/>
  <c r="X171" i="6"/>
  <c r="W171" i="6"/>
  <c r="V171" i="6"/>
  <c r="U171" i="6"/>
  <c r="AT170" i="6"/>
  <c r="AS170" i="6"/>
  <c r="AP170" i="6"/>
  <c r="AO170" i="6"/>
  <c r="AN170" i="6"/>
  <c r="AM170" i="6"/>
  <c r="AL170" i="6"/>
  <c r="AK170" i="6"/>
  <c r="AJ170" i="6"/>
  <c r="AI170" i="6"/>
  <c r="AH170" i="6"/>
  <c r="AG170" i="6"/>
  <c r="AF170" i="6"/>
  <c r="AE170" i="6"/>
  <c r="AD170" i="6"/>
  <c r="AC170" i="6"/>
  <c r="AB170" i="6"/>
  <c r="AA170" i="6"/>
  <c r="Z170" i="6"/>
  <c r="Y170" i="6"/>
  <c r="X170" i="6"/>
  <c r="W170" i="6"/>
  <c r="V170" i="6"/>
  <c r="U170" i="6"/>
  <c r="AT169" i="6"/>
  <c r="AS169" i="6"/>
  <c r="AP169" i="6"/>
  <c r="AO169" i="6"/>
  <c r="AN169" i="6"/>
  <c r="AM169" i="6"/>
  <c r="AL169" i="6"/>
  <c r="AK169" i="6"/>
  <c r="AJ169" i="6"/>
  <c r="AI169" i="6"/>
  <c r="AH169" i="6"/>
  <c r="AG169" i="6"/>
  <c r="AF169" i="6"/>
  <c r="AE169" i="6"/>
  <c r="AD169" i="6"/>
  <c r="AC169" i="6"/>
  <c r="AB169" i="6"/>
  <c r="AA169" i="6"/>
  <c r="Z169" i="6"/>
  <c r="Y169" i="6"/>
  <c r="X169" i="6"/>
  <c r="W169" i="6"/>
  <c r="V169" i="6"/>
  <c r="U169" i="6"/>
  <c r="AT168" i="6"/>
  <c r="AS168" i="6"/>
  <c r="AP168" i="6"/>
  <c r="AO168" i="6"/>
  <c r="AN168" i="6"/>
  <c r="AM168" i="6"/>
  <c r="AL168" i="6"/>
  <c r="AK168" i="6"/>
  <c r="AJ168" i="6"/>
  <c r="AI168" i="6"/>
  <c r="AH168" i="6"/>
  <c r="AG168" i="6"/>
  <c r="AF168" i="6"/>
  <c r="AE168" i="6"/>
  <c r="AD168" i="6"/>
  <c r="AC168" i="6"/>
  <c r="AB168" i="6"/>
  <c r="AA168" i="6"/>
  <c r="Z168" i="6"/>
  <c r="Y168" i="6"/>
  <c r="X168" i="6"/>
  <c r="W168" i="6"/>
  <c r="V168" i="6"/>
  <c r="U168" i="6"/>
  <c r="AT167" i="6"/>
  <c r="AS167" i="6"/>
  <c r="AP167" i="6"/>
  <c r="AO167" i="6"/>
  <c r="AN167" i="6"/>
  <c r="AM167" i="6"/>
  <c r="AL167" i="6"/>
  <c r="AK167" i="6"/>
  <c r="AJ167" i="6"/>
  <c r="AI167" i="6"/>
  <c r="AH167" i="6"/>
  <c r="AG167" i="6"/>
  <c r="AF167" i="6"/>
  <c r="AE167" i="6"/>
  <c r="AD167" i="6"/>
  <c r="AC167" i="6"/>
  <c r="AB167" i="6"/>
  <c r="AA167" i="6"/>
  <c r="Z167" i="6"/>
  <c r="Y167" i="6"/>
  <c r="X167" i="6"/>
  <c r="W167" i="6"/>
  <c r="V167" i="6"/>
  <c r="U167" i="6"/>
  <c r="AT166" i="6"/>
  <c r="AS166" i="6"/>
  <c r="AP166" i="6"/>
  <c r="AO166" i="6"/>
  <c r="AN166" i="6"/>
  <c r="AM166" i="6"/>
  <c r="AL166" i="6"/>
  <c r="AK166" i="6"/>
  <c r="AJ166" i="6"/>
  <c r="AI166" i="6"/>
  <c r="AH166" i="6"/>
  <c r="AG166" i="6"/>
  <c r="AF166" i="6"/>
  <c r="AE166" i="6"/>
  <c r="AD166" i="6"/>
  <c r="AC166" i="6"/>
  <c r="AB166" i="6"/>
  <c r="AA166" i="6"/>
  <c r="Z166" i="6"/>
  <c r="Y166" i="6"/>
  <c r="X166" i="6"/>
  <c r="W166" i="6"/>
  <c r="V166" i="6"/>
  <c r="U166" i="6"/>
  <c r="AT165" i="6"/>
  <c r="AS165" i="6"/>
  <c r="AP165" i="6"/>
  <c r="AO165" i="6"/>
  <c r="AN165" i="6"/>
  <c r="AM165" i="6"/>
  <c r="AL165" i="6"/>
  <c r="AK165" i="6"/>
  <c r="AJ165" i="6"/>
  <c r="AI165" i="6"/>
  <c r="AH165" i="6"/>
  <c r="AG165" i="6"/>
  <c r="AF165" i="6"/>
  <c r="AE165" i="6"/>
  <c r="AD165" i="6"/>
  <c r="AC165" i="6"/>
  <c r="AB165" i="6"/>
  <c r="AA165" i="6"/>
  <c r="Z165" i="6"/>
  <c r="Y165" i="6"/>
  <c r="X165" i="6"/>
  <c r="W165" i="6"/>
  <c r="V165" i="6"/>
  <c r="U165" i="6"/>
  <c r="AT164" i="6"/>
  <c r="AS164" i="6"/>
  <c r="AP164" i="6"/>
  <c r="AO164" i="6"/>
  <c r="AN164" i="6"/>
  <c r="AM164" i="6"/>
  <c r="AL164" i="6"/>
  <c r="AK164" i="6"/>
  <c r="AJ164" i="6"/>
  <c r="AI164" i="6"/>
  <c r="AH164" i="6"/>
  <c r="AG164" i="6"/>
  <c r="AF164" i="6"/>
  <c r="AE164" i="6"/>
  <c r="AD164" i="6"/>
  <c r="AC164" i="6"/>
  <c r="AB164" i="6"/>
  <c r="AA164" i="6"/>
  <c r="Z164" i="6"/>
  <c r="Y164" i="6"/>
  <c r="X164" i="6"/>
  <c r="W164" i="6"/>
  <c r="V164" i="6"/>
  <c r="U164" i="6"/>
  <c r="AT163" i="6"/>
  <c r="AS163" i="6"/>
  <c r="AP163" i="6"/>
  <c r="AO163" i="6"/>
  <c r="AN163" i="6"/>
  <c r="AM163" i="6"/>
  <c r="AL163" i="6"/>
  <c r="AK163" i="6"/>
  <c r="AJ163" i="6"/>
  <c r="AI163" i="6"/>
  <c r="AH163" i="6"/>
  <c r="AG163" i="6"/>
  <c r="AF163" i="6"/>
  <c r="AE163" i="6"/>
  <c r="AD163" i="6"/>
  <c r="AC163" i="6"/>
  <c r="AB163" i="6"/>
  <c r="AA163" i="6"/>
  <c r="Z163" i="6"/>
  <c r="Y163" i="6"/>
  <c r="X163" i="6"/>
  <c r="W163" i="6"/>
  <c r="V163" i="6"/>
  <c r="U163" i="6"/>
  <c r="AT162" i="6"/>
  <c r="AS162" i="6"/>
  <c r="AP162" i="6"/>
  <c r="AO162" i="6"/>
  <c r="AN162" i="6"/>
  <c r="AM162" i="6"/>
  <c r="AL162" i="6"/>
  <c r="AK162" i="6"/>
  <c r="AJ162" i="6"/>
  <c r="AI162" i="6"/>
  <c r="AH162" i="6"/>
  <c r="AG162" i="6"/>
  <c r="AF162" i="6"/>
  <c r="AE162" i="6"/>
  <c r="AD162" i="6"/>
  <c r="AC162" i="6"/>
  <c r="AB162" i="6"/>
  <c r="AA162" i="6"/>
  <c r="Z162" i="6"/>
  <c r="Y162" i="6"/>
  <c r="X162" i="6"/>
  <c r="W162" i="6"/>
  <c r="V162" i="6"/>
  <c r="U162" i="6"/>
  <c r="AT161" i="6"/>
  <c r="AS161" i="6"/>
  <c r="AP161" i="6"/>
  <c r="AO161" i="6"/>
  <c r="AN161" i="6"/>
  <c r="AM161" i="6"/>
  <c r="AL161" i="6"/>
  <c r="AK161" i="6"/>
  <c r="AJ161" i="6"/>
  <c r="AI161" i="6"/>
  <c r="AH161" i="6"/>
  <c r="AG161" i="6"/>
  <c r="AF161" i="6"/>
  <c r="AE161" i="6"/>
  <c r="AD161" i="6"/>
  <c r="AC161" i="6"/>
  <c r="AB161" i="6"/>
  <c r="AA161" i="6"/>
  <c r="Z161" i="6"/>
  <c r="Y161" i="6"/>
  <c r="X161" i="6"/>
  <c r="W161" i="6"/>
  <c r="V161" i="6"/>
  <c r="U161" i="6"/>
  <c r="AT160" i="6"/>
  <c r="AS160" i="6"/>
  <c r="AP160" i="6"/>
  <c r="AO160" i="6"/>
  <c r="AN160" i="6"/>
  <c r="AM160" i="6"/>
  <c r="AL160" i="6"/>
  <c r="AK160" i="6"/>
  <c r="AJ160" i="6"/>
  <c r="AI160" i="6"/>
  <c r="AH160" i="6"/>
  <c r="AG160" i="6"/>
  <c r="AF160" i="6"/>
  <c r="AE160" i="6"/>
  <c r="AD160" i="6"/>
  <c r="AC160" i="6"/>
  <c r="AB160" i="6"/>
  <c r="AA160" i="6"/>
  <c r="Z160" i="6"/>
  <c r="Y160" i="6"/>
  <c r="X160" i="6"/>
  <c r="W160" i="6"/>
  <c r="V160" i="6"/>
  <c r="U160" i="6"/>
  <c r="AT159" i="6"/>
  <c r="AS159" i="6"/>
  <c r="AP159" i="6"/>
  <c r="AO159" i="6"/>
  <c r="AN159" i="6"/>
  <c r="AM159" i="6"/>
  <c r="AL159" i="6"/>
  <c r="AK159" i="6"/>
  <c r="AJ159" i="6"/>
  <c r="AI159" i="6"/>
  <c r="AH159" i="6"/>
  <c r="AG159" i="6"/>
  <c r="AF159" i="6"/>
  <c r="AE159" i="6"/>
  <c r="AD159" i="6"/>
  <c r="AC159" i="6"/>
  <c r="AB159" i="6"/>
  <c r="AA159" i="6"/>
  <c r="Z159" i="6"/>
  <c r="Y159" i="6"/>
  <c r="X159" i="6"/>
  <c r="W159" i="6"/>
  <c r="V159" i="6"/>
  <c r="U159" i="6"/>
  <c r="AT158" i="6"/>
  <c r="AS158" i="6"/>
  <c r="AP158" i="6"/>
  <c r="AO158" i="6"/>
  <c r="AN158" i="6"/>
  <c r="AM158" i="6"/>
  <c r="AL158" i="6"/>
  <c r="AK158" i="6"/>
  <c r="AJ158" i="6"/>
  <c r="AI158" i="6"/>
  <c r="AH158" i="6"/>
  <c r="AG158" i="6"/>
  <c r="AF158" i="6"/>
  <c r="AE158" i="6"/>
  <c r="AD158" i="6"/>
  <c r="AC158" i="6"/>
  <c r="AB158" i="6"/>
  <c r="AA158" i="6"/>
  <c r="Z158" i="6"/>
  <c r="Y158" i="6"/>
  <c r="X158" i="6"/>
  <c r="W158" i="6"/>
  <c r="V158" i="6"/>
  <c r="U158" i="6"/>
  <c r="AT157" i="6"/>
  <c r="AS157" i="6"/>
  <c r="AP157" i="6"/>
  <c r="AO157" i="6"/>
  <c r="AN157" i="6"/>
  <c r="AM157" i="6"/>
  <c r="AL157" i="6"/>
  <c r="AK157" i="6"/>
  <c r="AJ157" i="6"/>
  <c r="AI157" i="6"/>
  <c r="AH157" i="6"/>
  <c r="AG157" i="6"/>
  <c r="AF157" i="6"/>
  <c r="AE157" i="6"/>
  <c r="AD157" i="6"/>
  <c r="AC157" i="6"/>
  <c r="AB157" i="6"/>
  <c r="AA157" i="6"/>
  <c r="Z157" i="6"/>
  <c r="Y157" i="6"/>
  <c r="X157" i="6"/>
  <c r="W157" i="6"/>
  <c r="V157" i="6"/>
  <c r="U157" i="6"/>
  <c r="AT156" i="6"/>
  <c r="AS156" i="6"/>
  <c r="AP156" i="6"/>
  <c r="AO156" i="6"/>
  <c r="AN156" i="6"/>
  <c r="AM156" i="6"/>
  <c r="AL156" i="6"/>
  <c r="AK156" i="6"/>
  <c r="AJ156" i="6"/>
  <c r="AI156" i="6"/>
  <c r="AH156" i="6"/>
  <c r="AG156" i="6"/>
  <c r="AF156" i="6"/>
  <c r="AE156" i="6"/>
  <c r="AD156" i="6"/>
  <c r="AC156" i="6"/>
  <c r="AB156" i="6"/>
  <c r="AA156" i="6"/>
  <c r="Z156" i="6"/>
  <c r="Y156" i="6"/>
  <c r="X156" i="6"/>
  <c r="W156" i="6"/>
  <c r="V156" i="6"/>
  <c r="U156" i="6"/>
  <c r="AT155" i="6"/>
  <c r="AS155" i="6"/>
  <c r="AP155" i="6"/>
  <c r="AO155" i="6"/>
  <c r="AN155" i="6"/>
  <c r="AM155" i="6"/>
  <c r="AL155" i="6"/>
  <c r="AK155" i="6"/>
  <c r="AJ155" i="6"/>
  <c r="AI155" i="6"/>
  <c r="AH155" i="6"/>
  <c r="AG155" i="6"/>
  <c r="AF155" i="6"/>
  <c r="AE155" i="6"/>
  <c r="AD155" i="6"/>
  <c r="AC155" i="6"/>
  <c r="AB155" i="6"/>
  <c r="AA155" i="6"/>
  <c r="Z155" i="6"/>
  <c r="Y155" i="6"/>
  <c r="X155" i="6"/>
  <c r="W155" i="6"/>
  <c r="V155" i="6"/>
  <c r="U155" i="6"/>
  <c r="AT154" i="6"/>
  <c r="AS154" i="6"/>
  <c r="AP154" i="6"/>
  <c r="AO154" i="6"/>
  <c r="AN154" i="6"/>
  <c r="AM154" i="6"/>
  <c r="AL154" i="6"/>
  <c r="AK154" i="6"/>
  <c r="AJ154" i="6"/>
  <c r="AI154" i="6"/>
  <c r="AH154" i="6"/>
  <c r="AG154" i="6"/>
  <c r="AF154" i="6"/>
  <c r="AE154" i="6"/>
  <c r="AD154" i="6"/>
  <c r="AC154" i="6"/>
  <c r="AB154" i="6"/>
  <c r="AA154" i="6"/>
  <c r="Z154" i="6"/>
  <c r="Y154" i="6"/>
  <c r="X154" i="6"/>
  <c r="W154" i="6"/>
  <c r="V154" i="6"/>
  <c r="U154" i="6"/>
  <c r="AT153" i="6"/>
  <c r="AS153" i="6"/>
  <c r="AP153" i="6"/>
  <c r="AO153" i="6"/>
  <c r="AN153" i="6"/>
  <c r="AM153" i="6"/>
  <c r="AL153" i="6"/>
  <c r="AK153" i="6"/>
  <c r="AJ153" i="6"/>
  <c r="AI153" i="6"/>
  <c r="AH153" i="6"/>
  <c r="AG153" i="6"/>
  <c r="AF153" i="6"/>
  <c r="AE153" i="6"/>
  <c r="AD153" i="6"/>
  <c r="AC153" i="6"/>
  <c r="AB153" i="6"/>
  <c r="AA153" i="6"/>
  <c r="Z153" i="6"/>
  <c r="Y153" i="6"/>
  <c r="X153" i="6"/>
  <c r="W153" i="6"/>
  <c r="V153" i="6"/>
  <c r="U153" i="6"/>
  <c r="AT152" i="6"/>
  <c r="AS152" i="6"/>
  <c r="AP152" i="6"/>
  <c r="AO152" i="6"/>
  <c r="AN152" i="6"/>
  <c r="AM152" i="6"/>
  <c r="AL152" i="6"/>
  <c r="AK152" i="6"/>
  <c r="AJ152" i="6"/>
  <c r="AI152" i="6"/>
  <c r="AH152" i="6"/>
  <c r="AG152" i="6"/>
  <c r="AF152" i="6"/>
  <c r="AE152" i="6"/>
  <c r="AD152" i="6"/>
  <c r="AC152" i="6"/>
  <c r="AB152" i="6"/>
  <c r="AA152" i="6"/>
  <c r="Z152" i="6"/>
  <c r="Y152" i="6"/>
  <c r="X152" i="6"/>
  <c r="W152" i="6"/>
  <c r="V152" i="6"/>
  <c r="U152" i="6"/>
  <c r="AT151" i="6"/>
  <c r="AS151" i="6"/>
  <c r="AP151" i="6"/>
  <c r="AO151" i="6"/>
  <c r="AN151" i="6"/>
  <c r="AM151" i="6"/>
  <c r="AL151" i="6"/>
  <c r="AK151" i="6"/>
  <c r="AJ151" i="6"/>
  <c r="AI151" i="6"/>
  <c r="AH151" i="6"/>
  <c r="AG151" i="6"/>
  <c r="AF151" i="6"/>
  <c r="AE151" i="6"/>
  <c r="AD151" i="6"/>
  <c r="AC151" i="6"/>
  <c r="AB151" i="6"/>
  <c r="AA151" i="6"/>
  <c r="Z151" i="6"/>
  <c r="Y151" i="6"/>
  <c r="X151" i="6"/>
  <c r="W151" i="6"/>
  <c r="V151" i="6"/>
  <c r="U151" i="6"/>
  <c r="AT150" i="6"/>
  <c r="AS150" i="6"/>
  <c r="AP150" i="6"/>
  <c r="AO150" i="6"/>
  <c r="AN150" i="6"/>
  <c r="AM150" i="6"/>
  <c r="AL150" i="6"/>
  <c r="AK150" i="6"/>
  <c r="AJ150" i="6"/>
  <c r="AI150" i="6"/>
  <c r="AH150" i="6"/>
  <c r="AG150" i="6"/>
  <c r="AF150" i="6"/>
  <c r="AE150" i="6"/>
  <c r="AD150" i="6"/>
  <c r="AC150" i="6"/>
  <c r="AB150" i="6"/>
  <c r="AA150" i="6"/>
  <c r="Z150" i="6"/>
  <c r="Y150" i="6"/>
  <c r="X150" i="6"/>
  <c r="W150" i="6"/>
  <c r="V150" i="6"/>
  <c r="U150" i="6"/>
  <c r="AT149" i="6"/>
  <c r="AS149" i="6"/>
  <c r="AP149" i="6"/>
  <c r="AO149" i="6"/>
  <c r="AN149" i="6"/>
  <c r="AM149" i="6"/>
  <c r="AL149" i="6"/>
  <c r="AK149" i="6"/>
  <c r="AJ149" i="6"/>
  <c r="AI149" i="6"/>
  <c r="AH149" i="6"/>
  <c r="AG149" i="6"/>
  <c r="AF149" i="6"/>
  <c r="AE149" i="6"/>
  <c r="AD149" i="6"/>
  <c r="AC149" i="6"/>
  <c r="AB149" i="6"/>
  <c r="AA149" i="6"/>
  <c r="Z149" i="6"/>
  <c r="Y149" i="6"/>
  <c r="X149" i="6"/>
  <c r="W149" i="6"/>
  <c r="V149" i="6"/>
  <c r="U149" i="6"/>
  <c r="AT148" i="6"/>
  <c r="AS148" i="6"/>
  <c r="AP148" i="6"/>
  <c r="AO148" i="6"/>
  <c r="AN148" i="6"/>
  <c r="AM148" i="6"/>
  <c r="AL148" i="6"/>
  <c r="AK148" i="6"/>
  <c r="AJ148" i="6"/>
  <c r="AI148" i="6"/>
  <c r="AH148" i="6"/>
  <c r="AG148" i="6"/>
  <c r="AF148" i="6"/>
  <c r="AE148" i="6"/>
  <c r="AD148" i="6"/>
  <c r="AC148" i="6"/>
  <c r="AB148" i="6"/>
  <c r="AA148" i="6"/>
  <c r="Z148" i="6"/>
  <c r="Y148" i="6"/>
  <c r="X148" i="6"/>
  <c r="W148" i="6"/>
  <c r="V148" i="6"/>
  <c r="U148" i="6"/>
  <c r="AT147" i="6"/>
  <c r="AS147" i="6"/>
  <c r="AP147" i="6"/>
  <c r="AO147" i="6"/>
  <c r="AN147" i="6"/>
  <c r="AM147" i="6"/>
  <c r="AL147" i="6"/>
  <c r="AK147" i="6"/>
  <c r="AJ147" i="6"/>
  <c r="AI147" i="6"/>
  <c r="AH147" i="6"/>
  <c r="AG147" i="6"/>
  <c r="AF147" i="6"/>
  <c r="AE147" i="6"/>
  <c r="AD147" i="6"/>
  <c r="AC147" i="6"/>
  <c r="AB147" i="6"/>
  <c r="AA147" i="6"/>
  <c r="Z147" i="6"/>
  <c r="Y147" i="6"/>
  <c r="X147" i="6"/>
  <c r="W147" i="6"/>
  <c r="V147" i="6"/>
  <c r="U147" i="6"/>
  <c r="AT146" i="6"/>
  <c r="AS146" i="6"/>
  <c r="AP146" i="6"/>
  <c r="AO146" i="6"/>
  <c r="AN146" i="6"/>
  <c r="AM146" i="6"/>
  <c r="AL146" i="6"/>
  <c r="AK146" i="6"/>
  <c r="AJ146" i="6"/>
  <c r="AI146" i="6"/>
  <c r="AH146" i="6"/>
  <c r="AG146" i="6"/>
  <c r="AF146" i="6"/>
  <c r="AE146" i="6"/>
  <c r="AD146" i="6"/>
  <c r="AC146" i="6"/>
  <c r="AB146" i="6"/>
  <c r="AA146" i="6"/>
  <c r="Z146" i="6"/>
  <c r="Y146" i="6"/>
  <c r="X146" i="6"/>
  <c r="W146" i="6"/>
  <c r="V146" i="6"/>
  <c r="U146" i="6"/>
  <c r="AT145" i="6"/>
  <c r="AS145" i="6"/>
  <c r="AP145" i="6"/>
  <c r="AO145" i="6"/>
  <c r="AN145" i="6"/>
  <c r="AM145" i="6"/>
  <c r="AL145" i="6"/>
  <c r="AK145" i="6"/>
  <c r="AJ145" i="6"/>
  <c r="AI145" i="6"/>
  <c r="AH145" i="6"/>
  <c r="AG145" i="6"/>
  <c r="AF145" i="6"/>
  <c r="AE145" i="6"/>
  <c r="AD145" i="6"/>
  <c r="AC145" i="6"/>
  <c r="AB145" i="6"/>
  <c r="AA145" i="6"/>
  <c r="Z145" i="6"/>
  <c r="Y145" i="6"/>
  <c r="X145" i="6"/>
  <c r="W145" i="6"/>
  <c r="V145" i="6"/>
  <c r="U145" i="6"/>
  <c r="AT144" i="6"/>
  <c r="AS144" i="6"/>
  <c r="AP144" i="6"/>
  <c r="AO144" i="6"/>
  <c r="AN144" i="6"/>
  <c r="AM144" i="6"/>
  <c r="AL144" i="6"/>
  <c r="AK144" i="6"/>
  <c r="AJ144" i="6"/>
  <c r="AI144" i="6"/>
  <c r="AH144" i="6"/>
  <c r="AG144" i="6"/>
  <c r="AF144" i="6"/>
  <c r="AE144" i="6"/>
  <c r="AD144" i="6"/>
  <c r="AC144" i="6"/>
  <c r="AB144" i="6"/>
  <c r="AA144" i="6"/>
  <c r="Z144" i="6"/>
  <c r="Y144" i="6"/>
  <c r="X144" i="6"/>
  <c r="W144" i="6"/>
  <c r="V144" i="6"/>
  <c r="U144" i="6"/>
  <c r="AT143" i="6"/>
  <c r="AS143" i="6"/>
  <c r="AP143" i="6"/>
  <c r="AO143" i="6"/>
  <c r="AN143" i="6"/>
  <c r="AM143" i="6"/>
  <c r="AL143" i="6"/>
  <c r="AK143" i="6"/>
  <c r="AJ143" i="6"/>
  <c r="AI143" i="6"/>
  <c r="AH143" i="6"/>
  <c r="AG143" i="6"/>
  <c r="AF143" i="6"/>
  <c r="AE143" i="6"/>
  <c r="AD143" i="6"/>
  <c r="AC143" i="6"/>
  <c r="AB143" i="6"/>
  <c r="AA143" i="6"/>
  <c r="Z143" i="6"/>
  <c r="Y143" i="6"/>
  <c r="X143" i="6"/>
  <c r="W143" i="6"/>
  <c r="V143" i="6"/>
  <c r="U143" i="6"/>
  <c r="AT142" i="6"/>
  <c r="AS142" i="6"/>
  <c r="AP142" i="6"/>
  <c r="AO142" i="6"/>
  <c r="AN142" i="6"/>
  <c r="AM142" i="6"/>
  <c r="AL142" i="6"/>
  <c r="AK142" i="6"/>
  <c r="AJ142" i="6"/>
  <c r="AI142" i="6"/>
  <c r="AH142" i="6"/>
  <c r="AG142" i="6"/>
  <c r="AF142" i="6"/>
  <c r="AE142" i="6"/>
  <c r="AD142" i="6"/>
  <c r="AC142" i="6"/>
  <c r="AB142" i="6"/>
  <c r="AA142" i="6"/>
  <c r="Z142" i="6"/>
  <c r="Y142" i="6"/>
  <c r="X142" i="6"/>
  <c r="W142" i="6"/>
  <c r="V142" i="6"/>
  <c r="U142" i="6"/>
  <c r="AT141" i="6"/>
  <c r="AS141" i="6"/>
  <c r="AP141" i="6"/>
  <c r="AO141" i="6"/>
  <c r="AN141" i="6"/>
  <c r="AM141" i="6"/>
  <c r="AL141" i="6"/>
  <c r="AK141" i="6"/>
  <c r="AJ141" i="6"/>
  <c r="AI141" i="6"/>
  <c r="AH141" i="6"/>
  <c r="AG141" i="6"/>
  <c r="AF141" i="6"/>
  <c r="AE141" i="6"/>
  <c r="AD141" i="6"/>
  <c r="AC141" i="6"/>
  <c r="AB141" i="6"/>
  <c r="AA141" i="6"/>
  <c r="Z141" i="6"/>
  <c r="Y141" i="6"/>
  <c r="X141" i="6"/>
  <c r="W141" i="6"/>
  <c r="V141" i="6"/>
  <c r="U141" i="6"/>
  <c r="AT140" i="6"/>
  <c r="AS140" i="6"/>
  <c r="AP140" i="6"/>
  <c r="AO140" i="6"/>
  <c r="AN140" i="6"/>
  <c r="AM140" i="6"/>
  <c r="AL140" i="6"/>
  <c r="AK140" i="6"/>
  <c r="AJ140" i="6"/>
  <c r="AI140" i="6"/>
  <c r="AH140" i="6"/>
  <c r="AG140" i="6"/>
  <c r="AF140" i="6"/>
  <c r="AE140" i="6"/>
  <c r="AD140" i="6"/>
  <c r="AC140" i="6"/>
  <c r="AB140" i="6"/>
  <c r="AA140" i="6"/>
  <c r="Z140" i="6"/>
  <c r="Y140" i="6"/>
  <c r="X140" i="6"/>
  <c r="W140" i="6"/>
  <c r="V140" i="6"/>
  <c r="U140" i="6"/>
  <c r="AT139" i="6"/>
  <c r="AS139" i="6"/>
  <c r="AP139" i="6"/>
  <c r="AO139" i="6"/>
  <c r="AN139" i="6"/>
  <c r="AM139" i="6"/>
  <c r="AL139" i="6"/>
  <c r="AK139" i="6"/>
  <c r="AJ139" i="6"/>
  <c r="AI139" i="6"/>
  <c r="AH139" i="6"/>
  <c r="AG139" i="6"/>
  <c r="AF139" i="6"/>
  <c r="AE139" i="6"/>
  <c r="AD139" i="6"/>
  <c r="AC139" i="6"/>
  <c r="AB139" i="6"/>
  <c r="AA139" i="6"/>
  <c r="Z139" i="6"/>
  <c r="Y139" i="6"/>
  <c r="X139" i="6"/>
  <c r="W139" i="6"/>
  <c r="V139" i="6"/>
  <c r="U139" i="6"/>
  <c r="AT138" i="6"/>
  <c r="AS138" i="6"/>
  <c r="AP138" i="6"/>
  <c r="AO138" i="6"/>
  <c r="AN138" i="6"/>
  <c r="AM138" i="6"/>
  <c r="AL138" i="6"/>
  <c r="AK138" i="6"/>
  <c r="AJ138" i="6"/>
  <c r="AI138" i="6"/>
  <c r="AH138" i="6"/>
  <c r="AG138" i="6"/>
  <c r="AF138" i="6"/>
  <c r="AE138" i="6"/>
  <c r="AD138" i="6"/>
  <c r="AC138" i="6"/>
  <c r="AB138" i="6"/>
  <c r="AA138" i="6"/>
  <c r="Z138" i="6"/>
  <c r="Y138" i="6"/>
  <c r="X138" i="6"/>
  <c r="W138" i="6"/>
  <c r="V138" i="6"/>
  <c r="U138" i="6"/>
  <c r="AT137" i="6"/>
  <c r="AS137" i="6"/>
  <c r="AP137" i="6"/>
  <c r="AO137" i="6"/>
  <c r="AN137" i="6"/>
  <c r="AM137" i="6"/>
  <c r="AL137" i="6"/>
  <c r="AK137" i="6"/>
  <c r="AJ137" i="6"/>
  <c r="AI137" i="6"/>
  <c r="AH137" i="6"/>
  <c r="AG137" i="6"/>
  <c r="AF137" i="6"/>
  <c r="AE137" i="6"/>
  <c r="AD137" i="6"/>
  <c r="AC137" i="6"/>
  <c r="AB137" i="6"/>
  <c r="AA137" i="6"/>
  <c r="Z137" i="6"/>
  <c r="Y137" i="6"/>
  <c r="X137" i="6"/>
  <c r="W137" i="6"/>
  <c r="V137" i="6"/>
  <c r="U137" i="6"/>
  <c r="AT136" i="6"/>
  <c r="AS136" i="6"/>
  <c r="AP136" i="6"/>
  <c r="AO136" i="6"/>
  <c r="AN136" i="6"/>
  <c r="AM136" i="6"/>
  <c r="AL136" i="6"/>
  <c r="AK136" i="6"/>
  <c r="AJ136" i="6"/>
  <c r="AI136" i="6"/>
  <c r="AH136" i="6"/>
  <c r="AG136" i="6"/>
  <c r="AF136" i="6"/>
  <c r="AE136" i="6"/>
  <c r="AD136" i="6"/>
  <c r="AC136" i="6"/>
  <c r="AB136" i="6"/>
  <c r="AA136" i="6"/>
  <c r="Z136" i="6"/>
  <c r="Y136" i="6"/>
  <c r="X136" i="6"/>
  <c r="W136" i="6"/>
  <c r="V136" i="6"/>
  <c r="U136" i="6"/>
  <c r="AT135" i="6"/>
  <c r="AS135" i="6"/>
  <c r="AP135" i="6"/>
  <c r="AO135" i="6"/>
  <c r="AN135" i="6"/>
  <c r="AM135" i="6"/>
  <c r="AL135" i="6"/>
  <c r="AK135" i="6"/>
  <c r="AJ135" i="6"/>
  <c r="AI135" i="6"/>
  <c r="AH135" i="6"/>
  <c r="AG135" i="6"/>
  <c r="AF135" i="6"/>
  <c r="AE135" i="6"/>
  <c r="AD135" i="6"/>
  <c r="AC135" i="6"/>
  <c r="AB135" i="6"/>
  <c r="AA135" i="6"/>
  <c r="Z135" i="6"/>
  <c r="Y135" i="6"/>
  <c r="X135" i="6"/>
  <c r="W135" i="6"/>
  <c r="V135" i="6"/>
  <c r="U135" i="6"/>
  <c r="AT134" i="6"/>
  <c r="AS134" i="6"/>
  <c r="AP134" i="6"/>
  <c r="AO134" i="6"/>
  <c r="AN134" i="6"/>
  <c r="AM134" i="6"/>
  <c r="AL134" i="6"/>
  <c r="AK134" i="6"/>
  <c r="AJ134" i="6"/>
  <c r="AI134" i="6"/>
  <c r="AH134" i="6"/>
  <c r="AG134" i="6"/>
  <c r="AF134" i="6"/>
  <c r="AE134" i="6"/>
  <c r="AD134" i="6"/>
  <c r="AC134" i="6"/>
  <c r="AB134" i="6"/>
  <c r="AA134" i="6"/>
  <c r="Z134" i="6"/>
  <c r="Y134" i="6"/>
  <c r="X134" i="6"/>
  <c r="W134" i="6"/>
  <c r="V134" i="6"/>
  <c r="U134" i="6"/>
  <c r="AT133" i="6"/>
  <c r="AS133" i="6"/>
  <c r="AP133" i="6"/>
  <c r="AO133" i="6"/>
  <c r="AN133" i="6"/>
  <c r="AM133" i="6"/>
  <c r="AL133" i="6"/>
  <c r="AK133" i="6"/>
  <c r="AJ133" i="6"/>
  <c r="AI133" i="6"/>
  <c r="AH133" i="6"/>
  <c r="AG133" i="6"/>
  <c r="AF133" i="6"/>
  <c r="AE133" i="6"/>
  <c r="AD133" i="6"/>
  <c r="AC133" i="6"/>
  <c r="AB133" i="6"/>
  <c r="AA133" i="6"/>
  <c r="Z133" i="6"/>
  <c r="Y133" i="6"/>
  <c r="X133" i="6"/>
  <c r="W133" i="6"/>
  <c r="V133" i="6"/>
  <c r="U133" i="6"/>
  <c r="AT132" i="6"/>
  <c r="AS132" i="6"/>
  <c r="AP132" i="6"/>
  <c r="AO132" i="6"/>
  <c r="AN132" i="6"/>
  <c r="AM132" i="6"/>
  <c r="AL132" i="6"/>
  <c r="AK132" i="6"/>
  <c r="AJ132" i="6"/>
  <c r="AI132" i="6"/>
  <c r="AH132" i="6"/>
  <c r="AG132" i="6"/>
  <c r="AF132" i="6"/>
  <c r="AE132" i="6"/>
  <c r="AD132" i="6"/>
  <c r="AC132" i="6"/>
  <c r="AB132" i="6"/>
  <c r="AA132" i="6"/>
  <c r="Z132" i="6"/>
  <c r="Y132" i="6"/>
  <c r="X132" i="6"/>
  <c r="W132" i="6"/>
  <c r="V132" i="6"/>
  <c r="U132" i="6"/>
  <c r="AT131" i="6"/>
  <c r="AS131" i="6"/>
  <c r="AP131" i="6"/>
  <c r="AO131" i="6"/>
  <c r="AN131" i="6"/>
  <c r="AM131" i="6"/>
  <c r="AL131" i="6"/>
  <c r="AK131" i="6"/>
  <c r="AJ131" i="6"/>
  <c r="AI131" i="6"/>
  <c r="AH131" i="6"/>
  <c r="AG131" i="6"/>
  <c r="AF131" i="6"/>
  <c r="AE131" i="6"/>
  <c r="AD131" i="6"/>
  <c r="AC131" i="6"/>
  <c r="AB131" i="6"/>
  <c r="AA131" i="6"/>
  <c r="Z131" i="6"/>
  <c r="Y131" i="6"/>
  <c r="X131" i="6"/>
  <c r="W131" i="6"/>
  <c r="V131" i="6"/>
  <c r="U131" i="6"/>
  <c r="AT130" i="6"/>
  <c r="AS130" i="6"/>
  <c r="AP130" i="6"/>
  <c r="AO130" i="6"/>
  <c r="AN130" i="6"/>
  <c r="AM130" i="6"/>
  <c r="AL130" i="6"/>
  <c r="AK130" i="6"/>
  <c r="AJ130" i="6"/>
  <c r="AI130" i="6"/>
  <c r="AH130" i="6"/>
  <c r="AG130" i="6"/>
  <c r="AF130" i="6"/>
  <c r="AE130" i="6"/>
  <c r="AD130" i="6"/>
  <c r="AC130" i="6"/>
  <c r="AB130" i="6"/>
  <c r="AA130" i="6"/>
  <c r="Z130" i="6"/>
  <c r="Y130" i="6"/>
  <c r="X130" i="6"/>
  <c r="W130" i="6"/>
  <c r="V130" i="6"/>
  <c r="U130" i="6"/>
  <c r="AT129" i="6"/>
  <c r="AS129" i="6"/>
  <c r="AP129" i="6"/>
  <c r="AO129" i="6"/>
  <c r="AN129" i="6"/>
  <c r="AM129" i="6"/>
  <c r="AL129" i="6"/>
  <c r="AK129" i="6"/>
  <c r="AJ129" i="6"/>
  <c r="AI129" i="6"/>
  <c r="AH129" i="6"/>
  <c r="AG129" i="6"/>
  <c r="AF129" i="6"/>
  <c r="AE129" i="6"/>
  <c r="AD129" i="6"/>
  <c r="AC129" i="6"/>
  <c r="AB129" i="6"/>
  <c r="AA129" i="6"/>
  <c r="Z129" i="6"/>
  <c r="Y129" i="6"/>
  <c r="X129" i="6"/>
  <c r="W129" i="6"/>
  <c r="V129" i="6"/>
  <c r="U129" i="6"/>
  <c r="AT128" i="6"/>
  <c r="AS128" i="6"/>
  <c r="AP128" i="6"/>
  <c r="AO128" i="6"/>
  <c r="AN128" i="6"/>
  <c r="AM128" i="6"/>
  <c r="AL128" i="6"/>
  <c r="AK128" i="6"/>
  <c r="AJ128" i="6"/>
  <c r="AI128" i="6"/>
  <c r="AH128" i="6"/>
  <c r="AG128" i="6"/>
  <c r="AF128" i="6"/>
  <c r="AE128" i="6"/>
  <c r="AD128" i="6"/>
  <c r="AC128" i="6"/>
  <c r="AB128" i="6"/>
  <c r="AA128" i="6"/>
  <c r="Z128" i="6"/>
  <c r="Y128" i="6"/>
  <c r="X128" i="6"/>
  <c r="W128" i="6"/>
  <c r="V128" i="6"/>
  <c r="U128" i="6"/>
  <c r="AT127" i="6"/>
  <c r="AS127" i="6"/>
  <c r="AP127" i="6"/>
  <c r="AO127" i="6"/>
  <c r="AN127" i="6"/>
  <c r="AM127" i="6"/>
  <c r="AL127" i="6"/>
  <c r="AK127" i="6"/>
  <c r="AJ127" i="6"/>
  <c r="AI127" i="6"/>
  <c r="AH127" i="6"/>
  <c r="AG127" i="6"/>
  <c r="AF127" i="6"/>
  <c r="AE127" i="6"/>
  <c r="AD127" i="6"/>
  <c r="AC127" i="6"/>
  <c r="AB127" i="6"/>
  <c r="AA127" i="6"/>
  <c r="Z127" i="6"/>
  <c r="Y127" i="6"/>
  <c r="X127" i="6"/>
  <c r="W127" i="6"/>
  <c r="V127" i="6"/>
  <c r="U127" i="6"/>
  <c r="AT126" i="6"/>
  <c r="AS126" i="6"/>
  <c r="AP126" i="6"/>
  <c r="AO126" i="6"/>
  <c r="AN126" i="6"/>
  <c r="AM126" i="6"/>
  <c r="AL126" i="6"/>
  <c r="AK126" i="6"/>
  <c r="AJ126" i="6"/>
  <c r="AI126" i="6"/>
  <c r="AH126" i="6"/>
  <c r="AG126" i="6"/>
  <c r="AF126" i="6"/>
  <c r="AE126" i="6"/>
  <c r="AD126" i="6"/>
  <c r="AC126" i="6"/>
  <c r="AB126" i="6"/>
  <c r="AA126" i="6"/>
  <c r="Z126" i="6"/>
  <c r="Y126" i="6"/>
  <c r="X126" i="6"/>
  <c r="W126" i="6"/>
  <c r="V126" i="6"/>
  <c r="U126" i="6"/>
  <c r="AT125" i="6"/>
  <c r="AS125" i="6"/>
  <c r="AP125" i="6"/>
  <c r="AO125" i="6"/>
  <c r="AN125" i="6"/>
  <c r="AM125" i="6"/>
  <c r="AL125" i="6"/>
  <c r="AK125" i="6"/>
  <c r="AJ125" i="6"/>
  <c r="AI125" i="6"/>
  <c r="AH125" i="6"/>
  <c r="AG125" i="6"/>
  <c r="AF125" i="6"/>
  <c r="AE125" i="6"/>
  <c r="AD125" i="6"/>
  <c r="AC125" i="6"/>
  <c r="AB125" i="6"/>
  <c r="AA125" i="6"/>
  <c r="Z125" i="6"/>
  <c r="Y125" i="6"/>
  <c r="X125" i="6"/>
  <c r="W125" i="6"/>
  <c r="V125" i="6"/>
  <c r="U125" i="6"/>
  <c r="AT124" i="6"/>
  <c r="AS124" i="6"/>
  <c r="AP124" i="6"/>
  <c r="AO124" i="6"/>
  <c r="AN124" i="6"/>
  <c r="AM124" i="6"/>
  <c r="AL124" i="6"/>
  <c r="AK124" i="6"/>
  <c r="AJ124" i="6"/>
  <c r="AI124" i="6"/>
  <c r="AH124" i="6"/>
  <c r="AG124" i="6"/>
  <c r="AF124" i="6"/>
  <c r="AE124" i="6"/>
  <c r="AD124" i="6"/>
  <c r="AC124" i="6"/>
  <c r="AB124" i="6"/>
  <c r="AA124" i="6"/>
  <c r="Z124" i="6"/>
  <c r="Y124" i="6"/>
  <c r="X124" i="6"/>
  <c r="W124" i="6"/>
  <c r="V124" i="6"/>
  <c r="U124" i="6"/>
  <c r="AT123" i="6"/>
  <c r="AS123" i="6"/>
  <c r="AP123" i="6"/>
  <c r="AO123" i="6"/>
  <c r="AN123" i="6"/>
  <c r="AM123" i="6"/>
  <c r="AL123" i="6"/>
  <c r="AK123" i="6"/>
  <c r="AJ123" i="6"/>
  <c r="AI123" i="6"/>
  <c r="AH123" i="6"/>
  <c r="AG123" i="6"/>
  <c r="AF123" i="6"/>
  <c r="AE123" i="6"/>
  <c r="AD123" i="6"/>
  <c r="AC123" i="6"/>
  <c r="AB123" i="6"/>
  <c r="AA123" i="6"/>
  <c r="Z123" i="6"/>
  <c r="Y123" i="6"/>
  <c r="X123" i="6"/>
  <c r="W123" i="6"/>
  <c r="V123" i="6"/>
  <c r="U123" i="6"/>
  <c r="AT122" i="6"/>
  <c r="AS122" i="6"/>
  <c r="AP122" i="6"/>
  <c r="AO122" i="6"/>
  <c r="AN122" i="6"/>
  <c r="AM122" i="6"/>
  <c r="AL122" i="6"/>
  <c r="AK122" i="6"/>
  <c r="AJ122" i="6"/>
  <c r="AI122" i="6"/>
  <c r="AH122" i="6"/>
  <c r="AG122" i="6"/>
  <c r="AF122" i="6"/>
  <c r="AE122" i="6"/>
  <c r="AD122" i="6"/>
  <c r="AC122" i="6"/>
  <c r="AB122" i="6"/>
  <c r="AA122" i="6"/>
  <c r="Z122" i="6"/>
  <c r="Y122" i="6"/>
  <c r="X122" i="6"/>
  <c r="W122" i="6"/>
  <c r="V122" i="6"/>
  <c r="U122" i="6"/>
  <c r="AT121" i="6"/>
  <c r="AS121" i="6"/>
  <c r="AP121" i="6"/>
  <c r="AO121" i="6"/>
  <c r="AN121" i="6"/>
  <c r="AM121" i="6"/>
  <c r="AL121" i="6"/>
  <c r="AK121" i="6"/>
  <c r="AJ121" i="6"/>
  <c r="AI121" i="6"/>
  <c r="AH121" i="6"/>
  <c r="AG121" i="6"/>
  <c r="AF121" i="6"/>
  <c r="AE121" i="6"/>
  <c r="AD121" i="6"/>
  <c r="AC121" i="6"/>
  <c r="AB121" i="6"/>
  <c r="AA121" i="6"/>
  <c r="Z121" i="6"/>
  <c r="Y121" i="6"/>
  <c r="X121" i="6"/>
  <c r="W121" i="6"/>
  <c r="V121" i="6"/>
  <c r="U121" i="6"/>
  <c r="AT120" i="6"/>
  <c r="AS120" i="6"/>
  <c r="AP120" i="6"/>
  <c r="AO120" i="6"/>
  <c r="AN120" i="6"/>
  <c r="AM120" i="6"/>
  <c r="AL120" i="6"/>
  <c r="AK120" i="6"/>
  <c r="AJ120" i="6"/>
  <c r="AI120" i="6"/>
  <c r="AH120" i="6"/>
  <c r="AG120" i="6"/>
  <c r="AF120" i="6"/>
  <c r="AE120" i="6"/>
  <c r="AD120" i="6"/>
  <c r="AC120" i="6"/>
  <c r="AB120" i="6"/>
  <c r="AA120" i="6"/>
  <c r="Z120" i="6"/>
  <c r="Y120" i="6"/>
  <c r="X120" i="6"/>
  <c r="W120" i="6"/>
  <c r="V120" i="6"/>
  <c r="U120" i="6"/>
  <c r="AT119" i="6"/>
  <c r="AS119" i="6"/>
  <c r="AP119" i="6"/>
  <c r="AO119" i="6"/>
  <c r="AN119" i="6"/>
  <c r="AM119" i="6"/>
  <c r="AL119" i="6"/>
  <c r="AK119" i="6"/>
  <c r="AJ119" i="6"/>
  <c r="AI119" i="6"/>
  <c r="AH119" i="6"/>
  <c r="AG119" i="6"/>
  <c r="AF119" i="6"/>
  <c r="AE119" i="6"/>
  <c r="AD119" i="6"/>
  <c r="AC119" i="6"/>
  <c r="AB119" i="6"/>
  <c r="AA119" i="6"/>
  <c r="Z119" i="6"/>
  <c r="Y119" i="6"/>
  <c r="X119" i="6"/>
  <c r="W119" i="6"/>
  <c r="V119" i="6"/>
  <c r="U119" i="6"/>
  <c r="AT118" i="6"/>
  <c r="AS118" i="6"/>
  <c r="AP118" i="6"/>
  <c r="AO118" i="6"/>
  <c r="AN118" i="6"/>
  <c r="AM118" i="6"/>
  <c r="AL118" i="6"/>
  <c r="AK118" i="6"/>
  <c r="AJ118" i="6"/>
  <c r="AI118" i="6"/>
  <c r="AH118" i="6"/>
  <c r="AG118" i="6"/>
  <c r="AF118" i="6"/>
  <c r="AE118" i="6"/>
  <c r="AD118" i="6"/>
  <c r="AC118" i="6"/>
  <c r="AB118" i="6"/>
  <c r="AA118" i="6"/>
  <c r="Z118" i="6"/>
  <c r="Y118" i="6"/>
  <c r="X118" i="6"/>
  <c r="W118" i="6"/>
  <c r="V118" i="6"/>
  <c r="U118" i="6"/>
  <c r="AT117" i="6"/>
  <c r="AS117" i="6"/>
  <c r="AP117" i="6"/>
  <c r="AO117" i="6"/>
  <c r="AN117" i="6"/>
  <c r="AM117" i="6"/>
  <c r="AL117" i="6"/>
  <c r="AK117" i="6"/>
  <c r="AJ117" i="6"/>
  <c r="AI117" i="6"/>
  <c r="AH117" i="6"/>
  <c r="AG117" i="6"/>
  <c r="AF117" i="6"/>
  <c r="AE117" i="6"/>
  <c r="AD117" i="6"/>
  <c r="AC117" i="6"/>
  <c r="AB117" i="6"/>
  <c r="AA117" i="6"/>
  <c r="Z117" i="6"/>
  <c r="Y117" i="6"/>
  <c r="X117" i="6"/>
  <c r="W117" i="6"/>
  <c r="V117" i="6"/>
  <c r="U117" i="6"/>
  <c r="AT116" i="6"/>
  <c r="AS116" i="6"/>
  <c r="AP116" i="6"/>
  <c r="AO116" i="6"/>
  <c r="AN116" i="6"/>
  <c r="AM116" i="6"/>
  <c r="AL116" i="6"/>
  <c r="AK116" i="6"/>
  <c r="AJ116" i="6"/>
  <c r="AI116" i="6"/>
  <c r="AH116" i="6"/>
  <c r="AG116" i="6"/>
  <c r="AF116" i="6"/>
  <c r="AE116" i="6"/>
  <c r="AD116" i="6"/>
  <c r="AC116" i="6"/>
  <c r="AB116" i="6"/>
  <c r="AA116" i="6"/>
  <c r="Z116" i="6"/>
  <c r="Y116" i="6"/>
  <c r="X116" i="6"/>
  <c r="W116" i="6"/>
  <c r="V116" i="6"/>
  <c r="U116" i="6"/>
  <c r="AT115" i="6"/>
  <c r="AS115" i="6"/>
  <c r="AP115" i="6"/>
  <c r="AO115" i="6"/>
  <c r="AN115" i="6"/>
  <c r="AM115" i="6"/>
  <c r="AL115" i="6"/>
  <c r="AK115" i="6"/>
  <c r="AJ115" i="6"/>
  <c r="AI115" i="6"/>
  <c r="AH115" i="6"/>
  <c r="AG115" i="6"/>
  <c r="AF115" i="6"/>
  <c r="AE115" i="6"/>
  <c r="AD115" i="6"/>
  <c r="AC115" i="6"/>
  <c r="AB115" i="6"/>
  <c r="AA115" i="6"/>
  <c r="Z115" i="6"/>
  <c r="Y115" i="6"/>
  <c r="X115" i="6"/>
  <c r="W115" i="6"/>
  <c r="V115" i="6"/>
  <c r="U115" i="6"/>
  <c r="AT114" i="6"/>
  <c r="AS114" i="6"/>
  <c r="AP114" i="6"/>
  <c r="AO114" i="6"/>
  <c r="AN114" i="6"/>
  <c r="AM114" i="6"/>
  <c r="AL114" i="6"/>
  <c r="AK114" i="6"/>
  <c r="AJ114" i="6"/>
  <c r="AI114" i="6"/>
  <c r="AH114" i="6"/>
  <c r="AG114" i="6"/>
  <c r="AF114" i="6"/>
  <c r="AE114" i="6"/>
  <c r="AD114" i="6"/>
  <c r="AC114" i="6"/>
  <c r="AB114" i="6"/>
  <c r="AA114" i="6"/>
  <c r="Z114" i="6"/>
  <c r="Y114" i="6"/>
  <c r="X114" i="6"/>
  <c r="W114" i="6"/>
  <c r="V114" i="6"/>
  <c r="U114" i="6"/>
  <c r="AT113" i="6"/>
  <c r="AS113" i="6"/>
  <c r="AP113" i="6"/>
  <c r="AO113" i="6"/>
  <c r="AN113" i="6"/>
  <c r="AM113" i="6"/>
  <c r="AL113" i="6"/>
  <c r="AK113" i="6"/>
  <c r="AJ113" i="6"/>
  <c r="AI113" i="6"/>
  <c r="AH113" i="6"/>
  <c r="AG113" i="6"/>
  <c r="AF113" i="6"/>
  <c r="AE113" i="6"/>
  <c r="AD113" i="6"/>
  <c r="AC113" i="6"/>
  <c r="AB113" i="6"/>
  <c r="AA113" i="6"/>
  <c r="Z113" i="6"/>
  <c r="Y113" i="6"/>
  <c r="X113" i="6"/>
  <c r="W113" i="6"/>
  <c r="V113" i="6"/>
  <c r="U113" i="6"/>
  <c r="AT112" i="6"/>
  <c r="AS112" i="6"/>
  <c r="AP112" i="6"/>
  <c r="AO112" i="6"/>
  <c r="AN112" i="6"/>
  <c r="AM112" i="6"/>
  <c r="AL112" i="6"/>
  <c r="AK112" i="6"/>
  <c r="AJ112" i="6"/>
  <c r="AI112" i="6"/>
  <c r="AH112" i="6"/>
  <c r="AG112" i="6"/>
  <c r="AF112" i="6"/>
  <c r="AE112" i="6"/>
  <c r="AD112" i="6"/>
  <c r="AC112" i="6"/>
  <c r="AB112" i="6"/>
  <c r="AA112" i="6"/>
  <c r="Z112" i="6"/>
  <c r="Y112" i="6"/>
  <c r="X112" i="6"/>
  <c r="W112" i="6"/>
  <c r="V112" i="6"/>
  <c r="U112" i="6"/>
  <c r="AT111" i="6"/>
  <c r="AS111" i="6"/>
  <c r="AP111" i="6"/>
  <c r="AO111" i="6"/>
  <c r="AN111" i="6"/>
  <c r="AM111" i="6"/>
  <c r="AL111" i="6"/>
  <c r="AK111" i="6"/>
  <c r="AJ111" i="6"/>
  <c r="AI111" i="6"/>
  <c r="AH111" i="6"/>
  <c r="AG111" i="6"/>
  <c r="AF111" i="6"/>
  <c r="AE111" i="6"/>
  <c r="AD111" i="6"/>
  <c r="AC111" i="6"/>
  <c r="AB111" i="6"/>
  <c r="AA111" i="6"/>
  <c r="Z111" i="6"/>
  <c r="Y111" i="6"/>
  <c r="X111" i="6"/>
  <c r="W111" i="6"/>
  <c r="V111" i="6"/>
  <c r="U111" i="6"/>
  <c r="AT110" i="6"/>
  <c r="AS110" i="6"/>
  <c r="AP110" i="6"/>
  <c r="AO110" i="6"/>
  <c r="AN110" i="6"/>
  <c r="AM110" i="6"/>
  <c r="AL110" i="6"/>
  <c r="AK110" i="6"/>
  <c r="AJ110" i="6"/>
  <c r="AI110" i="6"/>
  <c r="AH110" i="6"/>
  <c r="AG110" i="6"/>
  <c r="AF110" i="6"/>
  <c r="AE110" i="6"/>
  <c r="AD110" i="6"/>
  <c r="AC110" i="6"/>
  <c r="AB110" i="6"/>
  <c r="AA110" i="6"/>
  <c r="Z110" i="6"/>
  <c r="Y110" i="6"/>
  <c r="X110" i="6"/>
  <c r="W110" i="6"/>
  <c r="V110" i="6"/>
  <c r="U110" i="6"/>
  <c r="AT109" i="6"/>
  <c r="AS109" i="6"/>
  <c r="AP109" i="6"/>
  <c r="AO109" i="6"/>
  <c r="AN109" i="6"/>
  <c r="AM109" i="6"/>
  <c r="AL109" i="6"/>
  <c r="AK109" i="6"/>
  <c r="AJ109" i="6"/>
  <c r="AI109" i="6"/>
  <c r="AH109" i="6"/>
  <c r="AG109" i="6"/>
  <c r="AF109" i="6"/>
  <c r="AE109" i="6"/>
  <c r="AD109" i="6"/>
  <c r="AC109" i="6"/>
  <c r="AB109" i="6"/>
  <c r="AA109" i="6"/>
  <c r="Z109" i="6"/>
  <c r="Y109" i="6"/>
  <c r="X109" i="6"/>
  <c r="W109" i="6"/>
  <c r="V109" i="6"/>
  <c r="U109" i="6"/>
  <c r="AT108" i="6"/>
  <c r="AS108" i="6"/>
  <c r="AP108" i="6"/>
  <c r="AO108" i="6"/>
  <c r="AN108" i="6"/>
  <c r="AM108" i="6"/>
  <c r="AL108" i="6"/>
  <c r="AK108" i="6"/>
  <c r="AJ108" i="6"/>
  <c r="AI108" i="6"/>
  <c r="AH108" i="6"/>
  <c r="AG108" i="6"/>
  <c r="AF108" i="6"/>
  <c r="AE108" i="6"/>
  <c r="AD108" i="6"/>
  <c r="AC108" i="6"/>
  <c r="AB108" i="6"/>
  <c r="AA108" i="6"/>
  <c r="Z108" i="6"/>
  <c r="Y108" i="6"/>
  <c r="X108" i="6"/>
  <c r="W108" i="6"/>
  <c r="V108" i="6"/>
  <c r="U108" i="6"/>
  <c r="AT107" i="6"/>
  <c r="AS107" i="6"/>
  <c r="AP107" i="6"/>
  <c r="AO107" i="6"/>
  <c r="AN107" i="6"/>
  <c r="AM107" i="6"/>
  <c r="AL107" i="6"/>
  <c r="AK107" i="6"/>
  <c r="AJ107" i="6"/>
  <c r="AI107" i="6"/>
  <c r="AH107" i="6"/>
  <c r="AG107" i="6"/>
  <c r="AF107" i="6"/>
  <c r="AE107" i="6"/>
  <c r="AD107" i="6"/>
  <c r="AC107" i="6"/>
  <c r="AB107" i="6"/>
  <c r="AA107" i="6"/>
  <c r="Z107" i="6"/>
  <c r="Y107" i="6"/>
  <c r="X107" i="6"/>
  <c r="W107" i="6"/>
  <c r="V107" i="6"/>
  <c r="U107" i="6"/>
  <c r="AT106" i="6"/>
  <c r="AS106" i="6"/>
  <c r="AP106" i="6"/>
  <c r="AO106" i="6"/>
  <c r="AN106" i="6"/>
  <c r="AM106" i="6"/>
  <c r="AL106" i="6"/>
  <c r="AK106" i="6"/>
  <c r="AJ106" i="6"/>
  <c r="AI106" i="6"/>
  <c r="AH106" i="6"/>
  <c r="AG106" i="6"/>
  <c r="AF106" i="6"/>
  <c r="AE106" i="6"/>
  <c r="AD106" i="6"/>
  <c r="AC106" i="6"/>
  <c r="AB106" i="6"/>
  <c r="AA106" i="6"/>
  <c r="Z106" i="6"/>
  <c r="Y106" i="6"/>
  <c r="X106" i="6"/>
  <c r="W106" i="6"/>
  <c r="V106" i="6"/>
  <c r="U106" i="6"/>
  <c r="AT105" i="6"/>
  <c r="AS105" i="6"/>
  <c r="AP105" i="6"/>
  <c r="AO105" i="6"/>
  <c r="AN105" i="6"/>
  <c r="AM105" i="6"/>
  <c r="AL105" i="6"/>
  <c r="AK105" i="6"/>
  <c r="AJ105" i="6"/>
  <c r="AI105" i="6"/>
  <c r="AH105" i="6"/>
  <c r="AG105" i="6"/>
  <c r="AF105" i="6"/>
  <c r="AE105" i="6"/>
  <c r="AD105" i="6"/>
  <c r="AC105" i="6"/>
  <c r="AB105" i="6"/>
  <c r="AA105" i="6"/>
  <c r="Z105" i="6"/>
  <c r="Y105" i="6"/>
  <c r="X105" i="6"/>
  <c r="W105" i="6"/>
  <c r="V105" i="6"/>
  <c r="U105" i="6"/>
  <c r="AT104" i="6"/>
  <c r="AS104" i="6"/>
  <c r="AP104" i="6"/>
  <c r="AO104" i="6"/>
  <c r="AN104" i="6"/>
  <c r="AM104" i="6"/>
  <c r="AL104" i="6"/>
  <c r="AK104" i="6"/>
  <c r="AJ104" i="6"/>
  <c r="AI104" i="6"/>
  <c r="AH104" i="6"/>
  <c r="AG104" i="6"/>
  <c r="AF104" i="6"/>
  <c r="AE104" i="6"/>
  <c r="AD104" i="6"/>
  <c r="AC104" i="6"/>
  <c r="AB104" i="6"/>
  <c r="AA104" i="6"/>
  <c r="Z104" i="6"/>
  <c r="Y104" i="6"/>
  <c r="X104" i="6"/>
  <c r="W104" i="6"/>
  <c r="V104" i="6"/>
  <c r="U104" i="6"/>
  <c r="AT103" i="6"/>
  <c r="AS103" i="6"/>
  <c r="AP103" i="6"/>
  <c r="AO103" i="6"/>
  <c r="AN103" i="6"/>
  <c r="AM103" i="6"/>
  <c r="AL103" i="6"/>
  <c r="AK103" i="6"/>
  <c r="AJ103" i="6"/>
  <c r="AI103" i="6"/>
  <c r="AH103" i="6"/>
  <c r="AG103" i="6"/>
  <c r="AF103" i="6"/>
  <c r="AE103" i="6"/>
  <c r="AD103" i="6"/>
  <c r="AC103" i="6"/>
  <c r="AB103" i="6"/>
  <c r="AA103" i="6"/>
  <c r="Z103" i="6"/>
  <c r="Y103" i="6"/>
  <c r="X103" i="6"/>
  <c r="W103" i="6"/>
  <c r="V103" i="6"/>
  <c r="U103" i="6"/>
  <c r="AT102" i="6"/>
  <c r="AS102" i="6"/>
  <c r="AP102" i="6"/>
  <c r="AO102" i="6"/>
  <c r="AN102" i="6"/>
  <c r="AM102" i="6"/>
  <c r="AL102" i="6"/>
  <c r="AK102" i="6"/>
  <c r="AJ102" i="6"/>
  <c r="AI102" i="6"/>
  <c r="AH102" i="6"/>
  <c r="AG102" i="6"/>
  <c r="AF102" i="6"/>
  <c r="AE102" i="6"/>
  <c r="AD102" i="6"/>
  <c r="AC102" i="6"/>
  <c r="AB102" i="6"/>
  <c r="AA102" i="6"/>
  <c r="Z102" i="6"/>
  <c r="Y102" i="6"/>
  <c r="X102" i="6"/>
  <c r="W102" i="6"/>
  <c r="V102" i="6"/>
  <c r="U102" i="6"/>
  <c r="AT101" i="6"/>
  <c r="AS101" i="6"/>
  <c r="AP101" i="6"/>
  <c r="AO101" i="6"/>
  <c r="AN101" i="6"/>
  <c r="AM101" i="6"/>
  <c r="AL101" i="6"/>
  <c r="AK101" i="6"/>
  <c r="AJ101" i="6"/>
  <c r="AI101" i="6"/>
  <c r="AH101" i="6"/>
  <c r="AG101" i="6"/>
  <c r="AF101" i="6"/>
  <c r="AE101" i="6"/>
  <c r="AD101" i="6"/>
  <c r="AC101" i="6"/>
  <c r="AB101" i="6"/>
  <c r="AA101" i="6"/>
  <c r="Z101" i="6"/>
  <c r="Y101" i="6"/>
  <c r="X101" i="6"/>
  <c r="W101" i="6"/>
  <c r="V101" i="6"/>
  <c r="U101" i="6"/>
  <c r="AT100" i="6"/>
  <c r="AS100" i="6"/>
  <c r="AP100" i="6"/>
  <c r="AO100" i="6"/>
  <c r="AN100" i="6"/>
  <c r="AM100" i="6"/>
  <c r="AL100" i="6"/>
  <c r="AK100" i="6"/>
  <c r="AJ100" i="6"/>
  <c r="AI100" i="6"/>
  <c r="AH100" i="6"/>
  <c r="AG100" i="6"/>
  <c r="AF100" i="6"/>
  <c r="AE100" i="6"/>
  <c r="AD100" i="6"/>
  <c r="AC100" i="6"/>
  <c r="AB100" i="6"/>
  <c r="AA100" i="6"/>
  <c r="Z100" i="6"/>
  <c r="Y100" i="6"/>
  <c r="X100" i="6"/>
  <c r="W100" i="6"/>
  <c r="V100" i="6"/>
  <c r="U100" i="6"/>
  <c r="AT99" i="6"/>
  <c r="AS99" i="6"/>
  <c r="AP99" i="6"/>
  <c r="AO99" i="6"/>
  <c r="AN99" i="6"/>
  <c r="AM99" i="6"/>
  <c r="AL99" i="6"/>
  <c r="AK99" i="6"/>
  <c r="AJ99" i="6"/>
  <c r="AI99" i="6"/>
  <c r="AH99" i="6"/>
  <c r="AG99" i="6"/>
  <c r="AF99" i="6"/>
  <c r="AE99" i="6"/>
  <c r="AD99" i="6"/>
  <c r="AC99" i="6"/>
  <c r="AB99" i="6"/>
  <c r="AA99" i="6"/>
  <c r="Z99" i="6"/>
  <c r="Y99" i="6"/>
  <c r="X99" i="6"/>
  <c r="W99" i="6"/>
  <c r="V99" i="6"/>
  <c r="U99" i="6"/>
  <c r="AT98" i="6"/>
  <c r="AS98" i="6"/>
  <c r="AP98" i="6"/>
  <c r="AO98" i="6"/>
  <c r="AN98" i="6"/>
  <c r="AM98" i="6"/>
  <c r="AL98" i="6"/>
  <c r="AK98" i="6"/>
  <c r="AJ98" i="6"/>
  <c r="AI98" i="6"/>
  <c r="AH98" i="6"/>
  <c r="AG98" i="6"/>
  <c r="AF98" i="6"/>
  <c r="AE98" i="6"/>
  <c r="AD98" i="6"/>
  <c r="AC98" i="6"/>
  <c r="AB98" i="6"/>
  <c r="AA98" i="6"/>
  <c r="Z98" i="6"/>
  <c r="Y98" i="6"/>
  <c r="X98" i="6"/>
  <c r="W98" i="6"/>
  <c r="V98" i="6"/>
  <c r="U98" i="6"/>
  <c r="AT97" i="6"/>
  <c r="AS97" i="6"/>
  <c r="AP97" i="6"/>
  <c r="AO97" i="6"/>
  <c r="AN97" i="6"/>
  <c r="AM97" i="6"/>
  <c r="AL97" i="6"/>
  <c r="AK97" i="6"/>
  <c r="AJ97" i="6"/>
  <c r="AI97" i="6"/>
  <c r="AH97" i="6"/>
  <c r="AG97" i="6"/>
  <c r="AF97" i="6"/>
  <c r="AE97" i="6"/>
  <c r="AD97" i="6"/>
  <c r="AC97" i="6"/>
  <c r="AB97" i="6"/>
  <c r="AA97" i="6"/>
  <c r="Z97" i="6"/>
  <c r="Y97" i="6"/>
  <c r="X97" i="6"/>
  <c r="W97" i="6"/>
  <c r="V97" i="6"/>
  <c r="U97" i="6"/>
  <c r="AT96" i="6"/>
  <c r="AS96" i="6"/>
  <c r="AP96" i="6"/>
  <c r="AO96" i="6"/>
  <c r="AN96" i="6"/>
  <c r="AM96" i="6"/>
  <c r="AL96" i="6"/>
  <c r="AK96" i="6"/>
  <c r="AJ96" i="6"/>
  <c r="AI96" i="6"/>
  <c r="AH96" i="6"/>
  <c r="AG96" i="6"/>
  <c r="AF96" i="6"/>
  <c r="AE96" i="6"/>
  <c r="AD96" i="6"/>
  <c r="AC96" i="6"/>
  <c r="AB96" i="6"/>
  <c r="AA96" i="6"/>
  <c r="Z96" i="6"/>
  <c r="Y96" i="6"/>
  <c r="X96" i="6"/>
  <c r="W96" i="6"/>
  <c r="V96" i="6"/>
  <c r="U96" i="6"/>
  <c r="AT95" i="6"/>
  <c r="AS95" i="6"/>
  <c r="AP95" i="6"/>
  <c r="AO95" i="6"/>
  <c r="AN95" i="6"/>
  <c r="AM95" i="6"/>
  <c r="AL95" i="6"/>
  <c r="AK95" i="6"/>
  <c r="AJ95" i="6"/>
  <c r="AI95" i="6"/>
  <c r="AH95" i="6"/>
  <c r="AG95" i="6"/>
  <c r="AF95" i="6"/>
  <c r="AE95" i="6"/>
  <c r="AD95" i="6"/>
  <c r="AC95" i="6"/>
  <c r="AB95" i="6"/>
  <c r="AA95" i="6"/>
  <c r="Z95" i="6"/>
  <c r="Y95" i="6"/>
  <c r="X95" i="6"/>
  <c r="W95" i="6"/>
  <c r="V95" i="6"/>
  <c r="U95" i="6"/>
  <c r="AT94" i="6"/>
  <c r="AS94" i="6"/>
  <c r="AP94" i="6"/>
  <c r="AO94" i="6"/>
  <c r="AN94" i="6"/>
  <c r="AM94" i="6"/>
  <c r="AL94" i="6"/>
  <c r="AK94" i="6"/>
  <c r="AJ94" i="6"/>
  <c r="AI94" i="6"/>
  <c r="AH94" i="6"/>
  <c r="AG94" i="6"/>
  <c r="AF94" i="6"/>
  <c r="AE94" i="6"/>
  <c r="AD94" i="6"/>
  <c r="AC94" i="6"/>
  <c r="AB94" i="6"/>
  <c r="AA94" i="6"/>
  <c r="Z94" i="6"/>
  <c r="Y94" i="6"/>
  <c r="X94" i="6"/>
  <c r="W94" i="6"/>
  <c r="V94" i="6"/>
  <c r="U94" i="6"/>
  <c r="AT93" i="6"/>
  <c r="AS93" i="6"/>
  <c r="AP93" i="6"/>
  <c r="AO93" i="6"/>
  <c r="AN93" i="6"/>
  <c r="AM93" i="6"/>
  <c r="AL93" i="6"/>
  <c r="AK93" i="6"/>
  <c r="AJ93" i="6"/>
  <c r="AI93" i="6"/>
  <c r="AH93" i="6"/>
  <c r="AG93" i="6"/>
  <c r="AF93" i="6"/>
  <c r="AE93" i="6"/>
  <c r="AD93" i="6"/>
  <c r="AC93" i="6"/>
  <c r="AB93" i="6"/>
  <c r="AA93" i="6"/>
  <c r="Z93" i="6"/>
  <c r="Y93" i="6"/>
  <c r="X93" i="6"/>
  <c r="W93" i="6"/>
  <c r="V93" i="6"/>
  <c r="U93" i="6"/>
  <c r="AT92" i="6"/>
  <c r="AS92" i="6"/>
  <c r="AP92" i="6"/>
  <c r="AO92" i="6"/>
  <c r="AN92" i="6"/>
  <c r="AM92" i="6"/>
  <c r="AL92" i="6"/>
  <c r="AK92" i="6"/>
  <c r="AJ92" i="6"/>
  <c r="AI92" i="6"/>
  <c r="AH92" i="6"/>
  <c r="AG92" i="6"/>
  <c r="AF92" i="6"/>
  <c r="AE92" i="6"/>
  <c r="AD92" i="6"/>
  <c r="AC92" i="6"/>
  <c r="AB92" i="6"/>
  <c r="AA92" i="6"/>
  <c r="Z92" i="6"/>
  <c r="Y92" i="6"/>
  <c r="X92" i="6"/>
  <c r="W92" i="6"/>
  <c r="V92" i="6"/>
  <c r="U92" i="6"/>
  <c r="AT91" i="6"/>
  <c r="AS91" i="6"/>
  <c r="AP91" i="6"/>
  <c r="AO91" i="6"/>
  <c r="AN91" i="6"/>
  <c r="AM91" i="6"/>
  <c r="AL91" i="6"/>
  <c r="AK91" i="6"/>
  <c r="AJ91" i="6"/>
  <c r="AI91" i="6"/>
  <c r="AH91" i="6"/>
  <c r="AG91" i="6"/>
  <c r="AF91" i="6"/>
  <c r="AE91" i="6"/>
  <c r="AD91" i="6"/>
  <c r="AC91" i="6"/>
  <c r="AB91" i="6"/>
  <c r="AA91" i="6"/>
  <c r="Z91" i="6"/>
  <c r="Y91" i="6"/>
  <c r="X91" i="6"/>
  <c r="W91" i="6"/>
  <c r="V91" i="6"/>
  <c r="U91" i="6"/>
  <c r="AT90" i="6"/>
  <c r="AS90" i="6"/>
  <c r="AP90" i="6"/>
  <c r="AO90" i="6"/>
  <c r="AN90" i="6"/>
  <c r="AM90" i="6"/>
  <c r="AL90" i="6"/>
  <c r="AK90" i="6"/>
  <c r="AJ90" i="6"/>
  <c r="AI90" i="6"/>
  <c r="AH90" i="6"/>
  <c r="AG90" i="6"/>
  <c r="AF90" i="6"/>
  <c r="AE90" i="6"/>
  <c r="AD90" i="6"/>
  <c r="AC90" i="6"/>
  <c r="AB90" i="6"/>
  <c r="AA90" i="6"/>
  <c r="Z90" i="6"/>
  <c r="Y90" i="6"/>
  <c r="X90" i="6"/>
  <c r="W90" i="6"/>
  <c r="V90" i="6"/>
  <c r="U90" i="6"/>
  <c r="AT89" i="6"/>
  <c r="AS89" i="6"/>
  <c r="AP89" i="6"/>
  <c r="AO89" i="6"/>
  <c r="AN89" i="6"/>
  <c r="AM89" i="6"/>
  <c r="AL89" i="6"/>
  <c r="AK89" i="6"/>
  <c r="AJ89" i="6"/>
  <c r="AI89" i="6"/>
  <c r="AH89" i="6"/>
  <c r="AG89" i="6"/>
  <c r="AF89" i="6"/>
  <c r="AE89" i="6"/>
  <c r="AD89" i="6"/>
  <c r="AC89" i="6"/>
  <c r="AB89" i="6"/>
  <c r="AA89" i="6"/>
  <c r="Z89" i="6"/>
  <c r="Y89" i="6"/>
  <c r="X89" i="6"/>
  <c r="W89" i="6"/>
  <c r="V89" i="6"/>
  <c r="U89" i="6"/>
  <c r="AT88" i="6"/>
  <c r="AS88" i="6"/>
  <c r="AP88" i="6"/>
  <c r="AO88" i="6"/>
  <c r="AN88" i="6"/>
  <c r="AM88" i="6"/>
  <c r="AL88" i="6"/>
  <c r="AK88" i="6"/>
  <c r="AJ88" i="6"/>
  <c r="AI88" i="6"/>
  <c r="AH88" i="6"/>
  <c r="AG88" i="6"/>
  <c r="AF88" i="6"/>
  <c r="AE88" i="6"/>
  <c r="AD88" i="6"/>
  <c r="AC88" i="6"/>
  <c r="AB88" i="6"/>
  <c r="AA88" i="6"/>
  <c r="Z88" i="6"/>
  <c r="Y88" i="6"/>
  <c r="X88" i="6"/>
  <c r="W88" i="6"/>
  <c r="V88" i="6"/>
  <c r="U88" i="6"/>
  <c r="AT87" i="6"/>
  <c r="AS87" i="6"/>
  <c r="AP87" i="6"/>
  <c r="AO87" i="6"/>
  <c r="AN87" i="6"/>
  <c r="AM87" i="6"/>
  <c r="AL87" i="6"/>
  <c r="AK87" i="6"/>
  <c r="AJ87" i="6"/>
  <c r="AI87" i="6"/>
  <c r="AH87" i="6"/>
  <c r="AG87" i="6"/>
  <c r="AF87" i="6"/>
  <c r="AE87" i="6"/>
  <c r="AD87" i="6"/>
  <c r="AC87" i="6"/>
  <c r="AB87" i="6"/>
  <c r="AA87" i="6"/>
  <c r="Z87" i="6"/>
  <c r="Y87" i="6"/>
  <c r="X87" i="6"/>
  <c r="W87" i="6"/>
  <c r="V87" i="6"/>
  <c r="U87" i="6"/>
  <c r="AT86" i="6"/>
  <c r="AS86" i="6"/>
  <c r="AP86" i="6"/>
  <c r="AO86" i="6"/>
  <c r="AN86" i="6"/>
  <c r="AM86" i="6"/>
  <c r="AL86" i="6"/>
  <c r="AK86" i="6"/>
  <c r="AJ86" i="6"/>
  <c r="AI86" i="6"/>
  <c r="AH86" i="6"/>
  <c r="AG86" i="6"/>
  <c r="AF86" i="6"/>
  <c r="AE86" i="6"/>
  <c r="AD86" i="6"/>
  <c r="AC86" i="6"/>
  <c r="AB86" i="6"/>
  <c r="AA86" i="6"/>
  <c r="Z86" i="6"/>
  <c r="Y86" i="6"/>
  <c r="X86" i="6"/>
  <c r="W86" i="6"/>
  <c r="V86" i="6"/>
  <c r="U86" i="6"/>
  <c r="AT85" i="6"/>
  <c r="AS85" i="6"/>
  <c r="AP85" i="6"/>
  <c r="AO85" i="6"/>
  <c r="AN85" i="6"/>
  <c r="AM85" i="6"/>
  <c r="AL85" i="6"/>
  <c r="AK85" i="6"/>
  <c r="AJ85" i="6"/>
  <c r="AI85" i="6"/>
  <c r="AH85" i="6"/>
  <c r="AG85" i="6"/>
  <c r="AF85" i="6"/>
  <c r="AE85" i="6"/>
  <c r="AD85" i="6"/>
  <c r="AC85" i="6"/>
  <c r="AB85" i="6"/>
  <c r="AA85" i="6"/>
  <c r="Z85" i="6"/>
  <c r="Y85" i="6"/>
  <c r="X85" i="6"/>
  <c r="W85" i="6"/>
  <c r="V85" i="6"/>
  <c r="U85" i="6"/>
  <c r="AT84" i="6"/>
  <c r="AS84" i="6"/>
  <c r="AP84" i="6"/>
  <c r="AO84" i="6"/>
  <c r="AN84" i="6"/>
  <c r="AM84" i="6"/>
  <c r="AL84" i="6"/>
  <c r="AK84" i="6"/>
  <c r="AJ84" i="6"/>
  <c r="AI84" i="6"/>
  <c r="AH84" i="6"/>
  <c r="AG84" i="6"/>
  <c r="AF84" i="6"/>
  <c r="AE84" i="6"/>
  <c r="AD84" i="6"/>
  <c r="AC84" i="6"/>
  <c r="AB84" i="6"/>
  <c r="AA84" i="6"/>
  <c r="Z84" i="6"/>
  <c r="Y84" i="6"/>
  <c r="X84" i="6"/>
  <c r="W84" i="6"/>
  <c r="V84" i="6"/>
  <c r="U84" i="6"/>
  <c r="AT83" i="6"/>
  <c r="AS83" i="6"/>
  <c r="AP83" i="6"/>
  <c r="AO83" i="6"/>
  <c r="AN83" i="6"/>
  <c r="AM83" i="6"/>
  <c r="AL83" i="6"/>
  <c r="AK83" i="6"/>
  <c r="AJ83" i="6"/>
  <c r="AI83" i="6"/>
  <c r="AH83" i="6"/>
  <c r="AG83" i="6"/>
  <c r="AF83" i="6"/>
  <c r="AE83" i="6"/>
  <c r="AD83" i="6"/>
  <c r="AC83" i="6"/>
  <c r="AB83" i="6"/>
  <c r="AA83" i="6"/>
  <c r="Z83" i="6"/>
  <c r="Y83" i="6"/>
  <c r="X83" i="6"/>
  <c r="W83" i="6"/>
  <c r="V83" i="6"/>
  <c r="U83" i="6"/>
  <c r="AT82" i="6"/>
  <c r="AS82" i="6"/>
  <c r="AP82" i="6"/>
  <c r="AO82" i="6"/>
  <c r="AN82" i="6"/>
  <c r="AM82" i="6"/>
  <c r="AL82" i="6"/>
  <c r="AK82" i="6"/>
  <c r="AJ82" i="6"/>
  <c r="AI82" i="6"/>
  <c r="AH82" i="6"/>
  <c r="AG82" i="6"/>
  <c r="AF82" i="6"/>
  <c r="AE82" i="6"/>
  <c r="AD82" i="6"/>
  <c r="AC82" i="6"/>
  <c r="AB82" i="6"/>
  <c r="AA82" i="6"/>
  <c r="Z82" i="6"/>
  <c r="Y82" i="6"/>
  <c r="X82" i="6"/>
  <c r="W82" i="6"/>
  <c r="V82" i="6"/>
  <c r="U82" i="6"/>
  <c r="AT81" i="6"/>
  <c r="AS81" i="6"/>
  <c r="AP81" i="6"/>
  <c r="AO81" i="6"/>
  <c r="AN81" i="6"/>
  <c r="AM81" i="6"/>
  <c r="AL81" i="6"/>
  <c r="AK81" i="6"/>
  <c r="AJ81" i="6"/>
  <c r="AI81" i="6"/>
  <c r="AH81" i="6"/>
  <c r="AG81" i="6"/>
  <c r="AF81" i="6"/>
  <c r="AE81" i="6"/>
  <c r="AD81" i="6"/>
  <c r="AC81" i="6"/>
  <c r="AB81" i="6"/>
  <c r="AA81" i="6"/>
  <c r="Z81" i="6"/>
  <c r="Y81" i="6"/>
  <c r="X81" i="6"/>
  <c r="W81" i="6"/>
  <c r="V81" i="6"/>
  <c r="U81" i="6"/>
  <c r="AT80" i="6"/>
  <c r="AS80" i="6"/>
  <c r="AP80" i="6"/>
  <c r="AO80" i="6"/>
  <c r="AN80" i="6"/>
  <c r="AM80" i="6"/>
  <c r="AL80" i="6"/>
  <c r="AK80" i="6"/>
  <c r="AJ80" i="6"/>
  <c r="AI80" i="6"/>
  <c r="AH80" i="6"/>
  <c r="AG80" i="6"/>
  <c r="AF80" i="6"/>
  <c r="AE80" i="6"/>
  <c r="AD80" i="6"/>
  <c r="AC80" i="6"/>
  <c r="AB80" i="6"/>
  <c r="AA80" i="6"/>
  <c r="Z80" i="6"/>
  <c r="Y80" i="6"/>
  <c r="X80" i="6"/>
  <c r="W80" i="6"/>
  <c r="V80" i="6"/>
  <c r="U80" i="6"/>
  <c r="AT79" i="6"/>
  <c r="AS79" i="6"/>
  <c r="AP79" i="6"/>
  <c r="AO79" i="6"/>
  <c r="AN79" i="6"/>
  <c r="AM79" i="6"/>
  <c r="AL79" i="6"/>
  <c r="AK79" i="6"/>
  <c r="AJ79" i="6"/>
  <c r="AI79" i="6"/>
  <c r="AH79" i="6"/>
  <c r="AG79" i="6"/>
  <c r="AF79" i="6"/>
  <c r="AE79" i="6"/>
  <c r="AD79" i="6"/>
  <c r="AC79" i="6"/>
  <c r="AB79" i="6"/>
  <c r="AA79" i="6"/>
  <c r="Z79" i="6"/>
  <c r="Y79" i="6"/>
  <c r="X79" i="6"/>
  <c r="W79" i="6"/>
  <c r="V79" i="6"/>
  <c r="U79" i="6"/>
  <c r="AT78" i="6"/>
  <c r="AS78" i="6"/>
  <c r="AP78" i="6"/>
  <c r="AO78" i="6"/>
  <c r="AN78" i="6"/>
  <c r="AM78" i="6"/>
  <c r="AL78" i="6"/>
  <c r="AK78" i="6"/>
  <c r="AJ78" i="6"/>
  <c r="AI78" i="6"/>
  <c r="AH78" i="6"/>
  <c r="AG78" i="6"/>
  <c r="AF78" i="6"/>
  <c r="AE78" i="6"/>
  <c r="AD78" i="6"/>
  <c r="AC78" i="6"/>
  <c r="AB78" i="6"/>
  <c r="AA78" i="6"/>
  <c r="Z78" i="6"/>
  <c r="Y78" i="6"/>
  <c r="X78" i="6"/>
  <c r="W78" i="6"/>
  <c r="V78" i="6"/>
  <c r="U78" i="6"/>
  <c r="AT77" i="6"/>
  <c r="AS77" i="6"/>
  <c r="AP77" i="6"/>
  <c r="AO77" i="6"/>
  <c r="AN77" i="6"/>
  <c r="AM77" i="6"/>
  <c r="AL77" i="6"/>
  <c r="AK77" i="6"/>
  <c r="AJ77" i="6"/>
  <c r="AI77" i="6"/>
  <c r="AH77" i="6"/>
  <c r="AG77" i="6"/>
  <c r="AF77" i="6"/>
  <c r="AE77" i="6"/>
  <c r="AD77" i="6"/>
  <c r="AC77" i="6"/>
  <c r="AB77" i="6"/>
  <c r="AA77" i="6"/>
  <c r="Z77" i="6"/>
  <c r="Y77" i="6"/>
  <c r="X77" i="6"/>
  <c r="W77" i="6"/>
  <c r="V77" i="6"/>
  <c r="U77" i="6"/>
  <c r="AT76" i="6"/>
  <c r="AS76" i="6"/>
  <c r="AP76" i="6"/>
  <c r="AO76" i="6"/>
  <c r="AN76" i="6"/>
  <c r="AM76" i="6"/>
  <c r="AL76" i="6"/>
  <c r="AK76" i="6"/>
  <c r="AJ76" i="6"/>
  <c r="AI76" i="6"/>
  <c r="AH76" i="6"/>
  <c r="AG76" i="6"/>
  <c r="AF76" i="6"/>
  <c r="AE76" i="6"/>
  <c r="AD76" i="6"/>
  <c r="AC76" i="6"/>
  <c r="AB76" i="6"/>
  <c r="AA76" i="6"/>
  <c r="Z76" i="6"/>
  <c r="Y76" i="6"/>
  <c r="X76" i="6"/>
  <c r="W76" i="6"/>
  <c r="V76" i="6"/>
  <c r="U76" i="6"/>
  <c r="AT75" i="6"/>
  <c r="AS75" i="6"/>
  <c r="AP75" i="6"/>
  <c r="AO75" i="6"/>
  <c r="AN75" i="6"/>
  <c r="AM75" i="6"/>
  <c r="AL75" i="6"/>
  <c r="AK75" i="6"/>
  <c r="AJ75" i="6"/>
  <c r="AI75" i="6"/>
  <c r="AH75" i="6"/>
  <c r="AG75" i="6"/>
  <c r="AF75" i="6"/>
  <c r="AE75" i="6"/>
  <c r="AD75" i="6"/>
  <c r="AC75" i="6"/>
  <c r="AB75" i="6"/>
  <c r="AA75" i="6"/>
  <c r="Z75" i="6"/>
  <c r="Y75" i="6"/>
  <c r="X75" i="6"/>
  <c r="W75" i="6"/>
  <c r="V75" i="6"/>
  <c r="U75" i="6"/>
  <c r="AT74" i="6"/>
  <c r="AS74" i="6"/>
  <c r="AP74" i="6"/>
  <c r="AO74" i="6"/>
  <c r="AN74" i="6"/>
  <c r="AM74" i="6"/>
  <c r="AL74" i="6"/>
  <c r="AK74" i="6"/>
  <c r="AJ74" i="6"/>
  <c r="AI74" i="6"/>
  <c r="AH74" i="6"/>
  <c r="AG74" i="6"/>
  <c r="AF74" i="6"/>
  <c r="AE74" i="6"/>
  <c r="AD74" i="6"/>
  <c r="AC74" i="6"/>
  <c r="AB74" i="6"/>
  <c r="AA74" i="6"/>
  <c r="Z74" i="6"/>
  <c r="Y74" i="6"/>
  <c r="X74" i="6"/>
  <c r="W74" i="6"/>
  <c r="V74" i="6"/>
  <c r="U74" i="6"/>
  <c r="AT73" i="6"/>
  <c r="AS73" i="6"/>
  <c r="AP73" i="6"/>
  <c r="AO73" i="6"/>
  <c r="AN73" i="6"/>
  <c r="AM73" i="6"/>
  <c r="AL73" i="6"/>
  <c r="AK73" i="6"/>
  <c r="AJ73" i="6"/>
  <c r="AI73" i="6"/>
  <c r="AH73" i="6"/>
  <c r="AG73" i="6"/>
  <c r="AF73" i="6"/>
  <c r="AE73" i="6"/>
  <c r="AD73" i="6"/>
  <c r="AC73" i="6"/>
  <c r="AB73" i="6"/>
  <c r="AA73" i="6"/>
  <c r="Z73" i="6"/>
  <c r="Y73" i="6"/>
  <c r="X73" i="6"/>
  <c r="W73" i="6"/>
  <c r="V73" i="6"/>
  <c r="U73" i="6"/>
  <c r="AT72" i="6"/>
  <c r="AS72" i="6"/>
  <c r="AP72" i="6"/>
  <c r="AO72" i="6"/>
  <c r="AN72" i="6"/>
  <c r="AM72" i="6"/>
  <c r="AL72" i="6"/>
  <c r="AK72" i="6"/>
  <c r="AJ72" i="6"/>
  <c r="AI72" i="6"/>
  <c r="AH72" i="6"/>
  <c r="AG72" i="6"/>
  <c r="AF72" i="6"/>
  <c r="AE72" i="6"/>
  <c r="AD72" i="6"/>
  <c r="AC72" i="6"/>
  <c r="AB72" i="6"/>
  <c r="AA72" i="6"/>
  <c r="Z72" i="6"/>
  <c r="Y72" i="6"/>
  <c r="X72" i="6"/>
  <c r="W72" i="6"/>
  <c r="V72" i="6"/>
  <c r="U72" i="6"/>
  <c r="AT71" i="6"/>
  <c r="AS71" i="6"/>
  <c r="AP71" i="6"/>
  <c r="AO71" i="6"/>
  <c r="AN71" i="6"/>
  <c r="AM71" i="6"/>
  <c r="AL71" i="6"/>
  <c r="AK71" i="6"/>
  <c r="AJ71" i="6"/>
  <c r="AI71" i="6"/>
  <c r="AH71" i="6"/>
  <c r="AG71" i="6"/>
  <c r="AF71" i="6"/>
  <c r="AE71" i="6"/>
  <c r="AD71" i="6"/>
  <c r="AC71" i="6"/>
  <c r="AB71" i="6"/>
  <c r="AA71" i="6"/>
  <c r="Z71" i="6"/>
  <c r="Y71" i="6"/>
  <c r="X71" i="6"/>
  <c r="W71" i="6"/>
  <c r="V71" i="6"/>
  <c r="U71" i="6"/>
  <c r="AT70" i="6"/>
  <c r="AS70" i="6"/>
  <c r="AP70" i="6"/>
  <c r="AO70" i="6"/>
  <c r="AN70" i="6"/>
  <c r="AM70" i="6"/>
  <c r="AL70" i="6"/>
  <c r="AK70" i="6"/>
  <c r="AJ70" i="6"/>
  <c r="AI70" i="6"/>
  <c r="AH70" i="6"/>
  <c r="AG70" i="6"/>
  <c r="AF70" i="6"/>
  <c r="AE70" i="6"/>
  <c r="AD70" i="6"/>
  <c r="AC70" i="6"/>
  <c r="AB70" i="6"/>
  <c r="AA70" i="6"/>
  <c r="Z70" i="6"/>
  <c r="Y70" i="6"/>
  <c r="X70" i="6"/>
  <c r="W70" i="6"/>
  <c r="V70" i="6"/>
  <c r="U70" i="6"/>
  <c r="AT69" i="6"/>
  <c r="AS69" i="6"/>
  <c r="AP69" i="6"/>
  <c r="AO69" i="6"/>
  <c r="AN69" i="6"/>
  <c r="AM69" i="6"/>
  <c r="AL69" i="6"/>
  <c r="AK69" i="6"/>
  <c r="AJ69" i="6"/>
  <c r="AI69" i="6"/>
  <c r="AH69" i="6"/>
  <c r="AG69" i="6"/>
  <c r="AF69" i="6"/>
  <c r="AE69" i="6"/>
  <c r="AD69" i="6"/>
  <c r="AC69" i="6"/>
  <c r="AB69" i="6"/>
  <c r="AA69" i="6"/>
  <c r="Z69" i="6"/>
  <c r="Y69" i="6"/>
  <c r="X69" i="6"/>
  <c r="W69" i="6"/>
  <c r="V69" i="6"/>
  <c r="U69" i="6"/>
  <c r="AT68" i="6"/>
  <c r="AS68" i="6"/>
  <c r="AP68" i="6"/>
  <c r="AO68" i="6"/>
  <c r="AN68" i="6"/>
  <c r="AM68" i="6"/>
  <c r="AL68" i="6"/>
  <c r="AK68" i="6"/>
  <c r="AJ68" i="6"/>
  <c r="AI68" i="6"/>
  <c r="AH68" i="6"/>
  <c r="AG68" i="6"/>
  <c r="AF68" i="6"/>
  <c r="AE68" i="6"/>
  <c r="AD68" i="6"/>
  <c r="AC68" i="6"/>
  <c r="AB68" i="6"/>
  <c r="AA68" i="6"/>
  <c r="Z68" i="6"/>
  <c r="Y68" i="6"/>
  <c r="X68" i="6"/>
  <c r="W68" i="6"/>
  <c r="V68" i="6"/>
  <c r="U68" i="6"/>
  <c r="AT67" i="6"/>
  <c r="AS67" i="6"/>
  <c r="AP67" i="6"/>
  <c r="AO67" i="6"/>
  <c r="AN67" i="6"/>
  <c r="AM67" i="6"/>
  <c r="AL67" i="6"/>
  <c r="AK67" i="6"/>
  <c r="AJ67" i="6"/>
  <c r="AI67" i="6"/>
  <c r="AH67" i="6"/>
  <c r="AG67" i="6"/>
  <c r="AF67" i="6"/>
  <c r="AE67" i="6"/>
  <c r="AD67" i="6"/>
  <c r="AC67" i="6"/>
  <c r="AB67" i="6"/>
  <c r="AA67" i="6"/>
  <c r="Z67" i="6"/>
  <c r="Y67" i="6"/>
  <c r="X67" i="6"/>
  <c r="W67" i="6"/>
  <c r="V67" i="6"/>
  <c r="U67" i="6"/>
  <c r="AT66" i="6"/>
  <c r="AS66" i="6"/>
  <c r="AP66" i="6"/>
  <c r="AO66" i="6"/>
  <c r="AN66" i="6"/>
  <c r="AM66" i="6"/>
  <c r="AL66" i="6"/>
  <c r="AK66" i="6"/>
  <c r="AJ66" i="6"/>
  <c r="AI66" i="6"/>
  <c r="AH66" i="6"/>
  <c r="AG66" i="6"/>
  <c r="AF66" i="6"/>
  <c r="AE66" i="6"/>
  <c r="AD66" i="6"/>
  <c r="AC66" i="6"/>
  <c r="AB66" i="6"/>
  <c r="AA66" i="6"/>
  <c r="Z66" i="6"/>
  <c r="Y66" i="6"/>
  <c r="X66" i="6"/>
  <c r="W66" i="6"/>
  <c r="V66" i="6"/>
  <c r="U66" i="6"/>
  <c r="AT65" i="6"/>
  <c r="AS65" i="6"/>
  <c r="AP65" i="6"/>
  <c r="AO65" i="6"/>
  <c r="AN65" i="6"/>
  <c r="AM65" i="6"/>
  <c r="AL65" i="6"/>
  <c r="AK65" i="6"/>
  <c r="AJ65" i="6"/>
  <c r="AI65" i="6"/>
  <c r="AH65" i="6"/>
  <c r="AG65" i="6"/>
  <c r="AF65" i="6"/>
  <c r="AE65" i="6"/>
  <c r="AD65" i="6"/>
  <c r="AC65" i="6"/>
  <c r="AB65" i="6"/>
  <c r="AA65" i="6"/>
  <c r="Z65" i="6"/>
  <c r="Y65" i="6"/>
  <c r="X65" i="6"/>
  <c r="W65" i="6"/>
  <c r="V65" i="6"/>
  <c r="U65" i="6"/>
  <c r="AT64" i="6"/>
  <c r="AS64" i="6"/>
  <c r="AP64" i="6"/>
  <c r="AO64" i="6"/>
  <c r="AN64" i="6"/>
  <c r="AM64" i="6"/>
  <c r="AL64" i="6"/>
  <c r="AK64" i="6"/>
  <c r="AJ64" i="6"/>
  <c r="AI64" i="6"/>
  <c r="AH64" i="6"/>
  <c r="AG64" i="6"/>
  <c r="AF64" i="6"/>
  <c r="AE64" i="6"/>
  <c r="AD64" i="6"/>
  <c r="AC64" i="6"/>
  <c r="AB64" i="6"/>
  <c r="AA64" i="6"/>
  <c r="Z64" i="6"/>
  <c r="Y64" i="6"/>
  <c r="X64" i="6"/>
  <c r="W64" i="6"/>
  <c r="V64" i="6"/>
  <c r="U64" i="6"/>
  <c r="AT63" i="6"/>
  <c r="AS63" i="6"/>
  <c r="AP63" i="6"/>
  <c r="AO63" i="6"/>
  <c r="AN63" i="6"/>
  <c r="AM63" i="6"/>
  <c r="AL63" i="6"/>
  <c r="AK63" i="6"/>
  <c r="AJ63" i="6"/>
  <c r="AI63" i="6"/>
  <c r="AH63" i="6"/>
  <c r="AG63" i="6"/>
  <c r="AF63" i="6"/>
  <c r="AE63" i="6"/>
  <c r="AD63" i="6"/>
  <c r="AC63" i="6"/>
  <c r="AB63" i="6"/>
  <c r="AA63" i="6"/>
  <c r="Z63" i="6"/>
  <c r="Y63" i="6"/>
  <c r="X63" i="6"/>
  <c r="W63" i="6"/>
  <c r="V63" i="6"/>
  <c r="U63" i="6"/>
  <c r="AT62" i="6"/>
  <c r="AS62" i="6"/>
  <c r="AP62" i="6"/>
  <c r="AO62" i="6"/>
  <c r="AN62" i="6"/>
  <c r="AM62" i="6"/>
  <c r="AL62" i="6"/>
  <c r="AK62" i="6"/>
  <c r="AJ62" i="6"/>
  <c r="AI62" i="6"/>
  <c r="AH62" i="6"/>
  <c r="AG62" i="6"/>
  <c r="AF62" i="6"/>
  <c r="AE62" i="6"/>
  <c r="AD62" i="6"/>
  <c r="AC62" i="6"/>
  <c r="AB62" i="6"/>
  <c r="AA62" i="6"/>
  <c r="Z62" i="6"/>
  <c r="Y62" i="6"/>
  <c r="X62" i="6"/>
  <c r="W62" i="6"/>
  <c r="V62" i="6"/>
  <c r="U62" i="6"/>
  <c r="AT61" i="6"/>
  <c r="AS61" i="6"/>
  <c r="AP61" i="6"/>
  <c r="AO61" i="6"/>
  <c r="AN61" i="6"/>
  <c r="AM61" i="6"/>
  <c r="AL61" i="6"/>
  <c r="AK61" i="6"/>
  <c r="AJ61" i="6"/>
  <c r="AI61" i="6"/>
  <c r="AH61" i="6"/>
  <c r="AG61" i="6"/>
  <c r="AF61" i="6"/>
  <c r="AE61" i="6"/>
  <c r="AD61" i="6"/>
  <c r="AC61" i="6"/>
  <c r="AB61" i="6"/>
  <c r="AA61" i="6"/>
  <c r="Z61" i="6"/>
  <c r="Y61" i="6"/>
  <c r="X61" i="6"/>
  <c r="W61" i="6"/>
  <c r="V61" i="6"/>
  <c r="U61" i="6"/>
  <c r="AT60" i="6"/>
  <c r="AS60" i="6"/>
  <c r="AP60" i="6"/>
  <c r="AO60" i="6"/>
  <c r="AN60" i="6"/>
  <c r="AM60" i="6"/>
  <c r="AL60" i="6"/>
  <c r="AK60" i="6"/>
  <c r="AJ60" i="6"/>
  <c r="AI60" i="6"/>
  <c r="AH60" i="6"/>
  <c r="AG60" i="6"/>
  <c r="AF60" i="6"/>
  <c r="AE60" i="6"/>
  <c r="AD60" i="6"/>
  <c r="AC60" i="6"/>
  <c r="AB60" i="6"/>
  <c r="AA60" i="6"/>
  <c r="Z60" i="6"/>
  <c r="Y60" i="6"/>
  <c r="X60" i="6"/>
  <c r="W60" i="6"/>
  <c r="V60" i="6"/>
  <c r="U60" i="6"/>
  <c r="AT59" i="6"/>
  <c r="AS59" i="6"/>
  <c r="AP59" i="6"/>
  <c r="AO59" i="6"/>
  <c r="AN59" i="6"/>
  <c r="AM59" i="6"/>
  <c r="AL59" i="6"/>
  <c r="AK59" i="6"/>
  <c r="AJ59" i="6"/>
  <c r="AI59" i="6"/>
  <c r="AH59" i="6"/>
  <c r="AG59" i="6"/>
  <c r="AF59" i="6"/>
  <c r="AE59" i="6"/>
  <c r="AD59" i="6"/>
  <c r="AC59" i="6"/>
  <c r="AB59" i="6"/>
  <c r="AA59" i="6"/>
  <c r="Z59" i="6"/>
  <c r="Y59" i="6"/>
  <c r="X59" i="6"/>
  <c r="W59" i="6"/>
  <c r="V59" i="6"/>
  <c r="U59" i="6"/>
  <c r="AT58" i="6"/>
  <c r="AS58" i="6"/>
  <c r="AP58" i="6"/>
  <c r="AO58" i="6"/>
  <c r="AN58" i="6"/>
  <c r="AM58" i="6"/>
  <c r="AL58" i="6"/>
  <c r="AK58" i="6"/>
  <c r="AJ58" i="6"/>
  <c r="AI58" i="6"/>
  <c r="AH58" i="6"/>
  <c r="AG58" i="6"/>
  <c r="AF58" i="6"/>
  <c r="AE58" i="6"/>
  <c r="AD58" i="6"/>
  <c r="AC58" i="6"/>
  <c r="AB58" i="6"/>
  <c r="AA58" i="6"/>
  <c r="Z58" i="6"/>
  <c r="Y58" i="6"/>
  <c r="X58" i="6"/>
  <c r="W58" i="6"/>
  <c r="V58" i="6"/>
  <c r="U58" i="6"/>
  <c r="AT57" i="6"/>
  <c r="AS57" i="6"/>
  <c r="AP57" i="6"/>
  <c r="AO57" i="6"/>
  <c r="AN57" i="6"/>
  <c r="AM57" i="6"/>
  <c r="AL57" i="6"/>
  <c r="AK57" i="6"/>
  <c r="AJ57" i="6"/>
  <c r="AI57" i="6"/>
  <c r="AH57" i="6"/>
  <c r="AG57" i="6"/>
  <c r="AF57" i="6"/>
  <c r="AE57" i="6"/>
  <c r="AD57" i="6"/>
  <c r="AC57" i="6"/>
  <c r="AB57" i="6"/>
  <c r="AA57" i="6"/>
  <c r="Z57" i="6"/>
  <c r="Y57" i="6"/>
  <c r="X57" i="6"/>
  <c r="W57" i="6"/>
  <c r="V57" i="6"/>
  <c r="U57" i="6"/>
  <c r="AT56" i="6"/>
  <c r="AS56" i="6"/>
  <c r="AP56" i="6"/>
  <c r="AO56" i="6"/>
  <c r="AN56" i="6"/>
  <c r="AM56" i="6"/>
  <c r="AL56" i="6"/>
  <c r="AK56" i="6"/>
  <c r="AJ56" i="6"/>
  <c r="AI56" i="6"/>
  <c r="AH56" i="6"/>
  <c r="AG56" i="6"/>
  <c r="AF56" i="6"/>
  <c r="AE56" i="6"/>
  <c r="AD56" i="6"/>
  <c r="AC56" i="6"/>
  <c r="AB56" i="6"/>
  <c r="AA56" i="6"/>
  <c r="Z56" i="6"/>
  <c r="Y56" i="6"/>
  <c r="X56" i="6"/>
  <c r="W56" i="6"/>
  <c r="V56" i="6"/>
  <c r="U56" i="6"/>
  <c r="AT55" i="6"/>
  <c r="AS55" i="6"/>
  <c r="AP55" i="6"/>
  <c r="AO55" i="6"/>
  <c r="AN55" i="6"/>
  <c r="AM55" i="6"/>
  <c r="AL55" i="6"/>
  <c r="AK55" i="6"/>
  <c r="AJ55" i="6"/>
  <c r="AI55" i="6"/>
  <c r="AH55" i="6"/>
  <c r="AG55" i="6"/>
  <c r="AF55" i="6"/>
  <c r="AE55" i="6"/>
  <c r="AD55" i="6"/>
  <c r="AC55" i="6"/>
  <c r="AB55" i="6"/>
  <c r="AA55" i="6"/>
  <c r="Z55" i="6"/>
  <c r="Y55" i="6"/>
  <c r="X55" i="6"/>
  <c r="W55" i="6"/>
  <c r="V55" i="6"/>
  <c r="U55" i="6"/>
  <c r="AT54" i="6"/>
  <c r="AS54" i="6"/>
  <c r="AP54" i="6"/>
  <c r="AO54" i="6"/>
  <c r="AN54" i="6"/>
  <c r="AM54" i="6"/>
  <c r="AL54" i="6"/>
  <c r="AK54" i="6"/>
  <c r="AJ54" i="6"/>
  <c r="AI54" i="6"/>
  <c r="AH54" i="6"/>
  <c r="AG54" i="6"/>
  <c r="AF54" i="6"/>
  <c r="AE54" i="6"/>
  <c r="AD54" i="6"/>
  <c r="AC54" i="6"/>
  <c r="AB54" i="6"/>
  <c r="AA54" i="6"/>
  <c r="Z54" i="6"/>
  <c r="Y54" i="6"/>
  <c r="X54" i="6"/>
  <c r="W54" i="6"/>
  <c r="V54" i="6"/>
  <c r="U54" i="6"/>
  <c r="AT53" i="6"/>
  <c r="AS53" i="6"/>
  <c r="AP53" i="6"/>
  <c r="AO53" i="6"/>
  <c r="AN53" i="6"/>
  <c r="AM53" i="6"/>
  <c r="AL53" i="6"/>
  <c r="AK53" i="6"/>
  <c r="AJ53" i="6"/>
  <c r="AI53" i="6"/>
  <c r="AH53" i="6"/>
  <c r="AG53" i="6"/>
  <c r="AF53" i="6"/>
  <c r="AE53" i="6"/>
  <c r="AD53" i="6"/>
  <c r="AC53" i="6"/>
  <c r="AB53" i="6"/>
  <c r="AA53" i="6"/>
  <c r="Z53" i="6"/>
  <c r="Y53" i="6"/>
  <c r="X53" i="6"/>
  <c r="W53" i="6"/>
  <c r="V53" i="6"/>
  <c r="U53" i="6"/>
  <c r="AT52" i="6"/>
  <c r="AS52" i="6"/>
  <c r="AP52" i="6"/>
  <c r="AO52" i="6"/>
  <c r="AN52" i="6"/>
  <c r="AM52" i="6"/>
  <c r="AL52" i="6"/>
  <c r="AK52" i="6"/>
  <c r="AJ52" i="6"/>
  <c r="AI52" i="6"/>
  <c r="AH52" i="6"/>
  <c r="AG52" i="6"/>
  <c r="AF52" i="6"/>
  <c r="AE52" i="6"/>
  <c r="AD52" i="6"/>
  <c r="AC52" i="6"/>
  <c r="AB52" i="6"/>
  <c r="AA52" i="6"/>
  <c r="Z52" i="6"/>
  <c r="Y52" i="6"/>
  <c r="X52" i="6"/>
  <c r="W52" i="6"/>
  <c r="V52" i="6"/>
  <c r="U52" i="6"/>
  <c r="AT51" i="6"/>
  <c r="AS51" i="6"/>
  <c r="AP51" i="6"/>
  <c r="AO51" i="6"/>
  <c r="AN51" i="6"/>
  <c r="AM51" i="6"/>
  <c r="AL51" i="6"/>
  <c r="AK51" i="6"/>
  <c r="AJ51" i="6"/>
  <c r="AI51" i="6"/>
  <c r="AH51" i="6"/>
  <c r="AG51" i="6"/>
  <c r="AF51" i="6"/>
  <c r="AE51" i="6"/>
  <c r="AD51" i="6"/>
  <c r="AC51" i="6"/>
  <c r="AB51" i="6"/>
  <c r="AA51" i="6"/>
  <c r="Z51" i="6"/>
  <c r="Y51" i="6"/>
  <c r="X51" i="6"/>
  <c r="W51" i="6"/>
  <c r="V51" i="6"/>
  <c r="U51" i="6"/>
  <c r="AT50" i="6"/>
  <c r="AS50" i="6"/>
  <c r="AP50" i="6"/>
  <c r="AO50" i="6"/>
  <c r="AN50" i="6"/>
  <c r="AM50" i="6"/>
  <c r="AL50" i="6"/>
  <c r="AK50" i="6"/>
  <c r="AJ50" i="6"/>
  <c r="AI50" i="6"/>
  <c r="AH50" i="6"/>
  <c r="AG50" i="6"/>
  <c r="AF50" i="6"/>
  <c r="AE50" i="6"/>
  <c r="AD50" i="6"/>
  <c r="AC50" i="6"/>
  <c r="AB50" i="6"/>
  <c r="AA50" i="6"/>
  <c r="Z50" i="6"/>
  <c r="Y50" i="6"/>
  <c r="X50" i="6"/>
  <c r="W50" i="6"/>
  <c r="V50" i="6"/>
  <c r="U50" i="6"/>
  <c r="AT49" i="6"/>
  <c r="AS49" i="6"/>
  <c r="AP49" i="6"/>
  <c r="AO49" i="6"/>
  <c r="AN49" i="6"/>
  <c r="AM49" i="6"/>
  <c r="AL49" i="6"/>
  <c r="AK49" i="6"/>
  <c r="AJ49" i="6"/>
  <c r="AI49" i="6"/>
  <c r="AH49" i="6"/>
  <c r="AG49" i="6"/>
  <c r="AF49" i="6"/>
  <c r="AE49" i="6"/>
  <c r="AD49" i="6"/>
  <c r="AC49" i="6"/>
  <c r="AB49" i="6"/>
  <c r="AA49" i="6"/>
  <c r="Z49" i="6"/>
  <c r="Y49" i="6"/>
  <c r="X49" i="6"/>
  <c r="W49" i="6"/>
  <c r="V49" i="6"/>
  <c r="U49" i="6"/>
  <c r="AT48" i="6"/>
  <c r="AS48" i="6"/>
  <c r="AP48" i="6"/>
  <c r="AO48" i="6"/>
  <c r="AN48" i="6"/>
  <c r="AM48" i="6"/>
  <c r="AL48" i="6"/>
  <c r="AK48" i="6"/>
  <c r="AJ48" i="6"/>
  <c r="AI48" i="6"/>
  <c r="AH48" i="6"/>
  <c r="AG48" i="6"/>
  <c r="AF48" i="6"/>
  <c r="AE48" i="6"/>
  <c r="AD48" i="6"/>
  <c r="AC48" i="6"/>
  <c r="AB48" i="6"/>
  <c r="AA48" i="6"/>
  <c r="Z48" i="6"/>
  <c r="Y48" i="6"/>
  <c r="X48" i="6"/>
  <c r="W48" i="6"/>
  <c r="V48" i="6"/>
  <c r="U48" i="6"/>
  <c r="AT47" i="6"/>
  <c r="AS47" i="6"/>
  <c r="AP47" i="6"/>
  <c r="AO47" i="6"/>
  <c r="AN47" i="6"/>
  <c r="AM47" i="6"/>
  <c r="AL47" i="6"/>
  <c r="AK47" i="6"/>
  <c r="AJ47" i="6"/>
  <c r="AI47" i="6"/>
  <c r="AH47" i="6"/>
  <c r="AG47" i="6"/>
  <c r="AF47" i="6"/>
  <c r="AE47" i="6"/>
  <c r="AD47" i="6"/>
  <c r="AC47" i="6"/>
  <c r="AB47" i="6"/>
  <c r="AA47" i="6"/>
  <c r="Z47" i="6"/>
  <c r="Y47" i="6"/>
  <c r="X47" i="6"/>
  <c r="W47" i="6"/>
  <c r="V47" i="6"/>
  <c r="U47" i="6"/>
  <c r="AT46" i="6"/>
  <c r="AS46" i="6"/>
  <c r="AP46" i="6"/>
  <c r="AO46" i="6"/>
  <c r="AN46" i="6"/>
  <c r="AM46" i="6"/>
  <c r="AL46" i="6"/>
  <c r="AK46" i="6"/>
  <c r="AJ46" i="6"/>
  <c r="AI46" i="6"/>
  <c r="AH46" i="6"/>
  <c r="AG46" i="6"/>
  <c r="AF46" i="6"/>
  <c r="AE46" i="6"/>
  <c r="AD46" i="6"/>
  <c r="AC46" i="6"/>
  <c r="AB46" i="6"/>
  <c r="AA46" i="6"/>
  <c r="Z46" i="6"/>
  <c r="Y46" i="6"/>
  <c r="X46" i="6"/>
  <c r="W46" i="6"/>
  <c r="V46" i="6"/>
  <c r="U46" i="6"/>
  <c r="AT45" i="6"/>
  <c r="AS45" i="6"/>
  <c r="AP45" i="6"/>
  <c r="AO45" i="6"/>
  <c r="AN45" i="6"/>
  <c r="AM45" i="6"/>
  <c r="AL45" i="6"/>
  <c r="AK45" i="6"/>
  <c r="AJ45" i="6"/>
  <c r="AI45" i="6"/>
  <c r="AH45" i="6"/>
  <c r="AG45" i="6"/>
  <c r="AF45" i="6"/>
  <c r="AE45" i="6"/>
  <c r="AD45" i="6"/>
  <c r="AC45" i="6"/>
  <c r="AB45" i="6"/>
  <c r="AA45" i="6"/>
  <c r="Z45" i="6"/>
  <c r="Y45" i="6"/>
  <c r="X45" i="6"/>
  <c r="W45" i="6"/>
  <c r="V45" i="6"/>
  <c r="U45" i="6"/>
  <c r="AT44" i="6"/>
  <c r="AS44" i="6"/>
  <c r="AP44" i="6"/>
  <c r="AO44" i="6"/>
  <c r="AN44" i="6"/>
  <c r="AM44" i="6"/>
  <c r="AL44" i="6"/>
  <c r="AK44" i="6"/>
  <c r="AJ44" i="6"/>
  <c r="AI44" i="6"/>
  <c r="AH44" i="6"/>
  <c r="AG44" i="6"/>
  <c r="AF44" i="6"/>
  <c r="AE44" i="6"/>
  <c r="AD44" i="6"/>
  <c r="AC44" i="6"/>
  <c r="AB44" i="6"/>
  <c r="AA44" i="6"/>
  <c r="Z44" i="6"/>
  <c r="Y44" i="6"/>
  <c r="X44" i="6"/>
  <c r="W44" i="6"/>
  <c r="V44" i="6"/>
  <c r="U44" i="6"/>
  <c r="AT43" i="6"/>
  <c r="AS43" i="6"/>
  <c r="AP43" i="6"/>
  <c r="AO43" i="6"/>
  <c r="AN43" i="6"/>
  <c r="AM43" i="6"/>
  <c r="AL43" i="6"/>
  <c r="AK43" i="6"/>
  <c r="AJ43" i="6"/>
  <c r="AI43" i="6"/>
  <c r="AH43" i="6"/>
  <c r="AG43" i="6"/>
  <c r="AF43" i="6"/>
  <c r="AE43" i="6"/>
  <c r="AD43" i="6"/>
  <c r="AC43" i="6"/>
  <c r="AB43" i="6"/>
  <c r="AA43" i="6"/>
  <c r="Z43" i="6"/>
  <c r="Y43" i="6"/>
  <c r="X43" i="6"/>
  <c r="W43" i="6"/>
  <c r="V43" i="6"/>
  <c r="U43" i="6"/>
  <c r="AT42" i="6"/>
  <c r="AS42" i="6"/>
  <c r="AP42" i="6"/>
  <c r="AO42" i="6"/>
  <c r="AN42" i="6"/>
  <c r="AM42" i="6"/>
  <c r="AL42" i="6"/>
  <c r="AK42" i="6"/>
  <c r="AJ42" i="6"/>
  <c r="AI42" i="6"/>
  <c r="AH42" i="6"/>
  <c r="AG42" i="6"/>
  <c r="AF42" i="6"/>
  <c r="AE42" i="6"/>
  <c r="AD42" i="6"/>
  <c r="AC42" i="6"/>
  <c r="AB42" i="6"/>
  <c r="AA42" i="6"/>
  <c r="Z42" i="6"/>
  <c r="Y42" i="6"/>
  <c r="X42" i="6"/>
  <c r="W42" i="6"/>
  <c r="V42" i="6"/>
  <c r="U42" i="6"/>
  <c r="AT41" i="6"/>
  <c r="AS41" i="6"/>
  <c r="AP41" i="6"/>
  <c r="AO41" i="6"/>
  <c r="AN41" i="6"/>
  <c r="AM41" i="6"/>
  <c r="AL41" i="6"/>
  <c r="AK41" i="6"/>
  <c r="AJ41" i="6"/>
  <c r="AI41" i="6"/>
  <c r="AH41" i="6"/>
  <c r="AG41" i="6"/>
  <c r="AF41" i="6"/>
  <c r="AE41" i="6"/>
  <c r="AD41" i="6"/>
  <c r="AC41" i="6"/>
  <c r="AB41" i="6"/>
  <c r="AA41" i="6"/>
  <c r="Z41" i="6"/>
  <c r="Y41" i="6"/>
  <c r="X41" i="6"/>
  <c r="W41" i="6"/>
  <c r="V41" i="6"/>
  <c r="U41" i="6"/>
  <c r="AT40" i="6"/>
  <c r="AS40" i="6"/>
  <c r="AP40" i="6"/>
  <c r="AO40" i="6"/>
  <c r="AN40" i="6"/>
  <c r="AM40" i="6"/>
  <c r="AL40" i="6"/>
  <c r="AK40" i="6"/>
  <c r="AJ40" i="6"/>
  <c r="AI40" i="6"/>
  <c r="AH40" i="6"/>
  <c r="AG40" i="6"/>
  <c r="AF40" i="6"/>
  <c r="AE40" i="6"/>
  <c r="AD40" i="6"/>
  <c r="AC40" i="6"/>
  <c r="AB40" i="6"/>
  <c r="AA40" i="6"/>
  <c r="Z40" i="6"/>
  <c r="Y40" i="6"/>
  <c r="X40" i="6"/>
  <c r="W40" i="6"/>
  <c r="V40" i="6"/>
  <c r="U40" i="6"/>
  <c r="AT39" i="6"/>
  <c r="AS39" i="6"/>
  <c r="AP39" i="6"/>
  <c r="AO39" i="6"/>
  <c r="AN39" i="6"/>
  <c r="AM39" i="6"/>
  <c r="AL39" i="6"/>
  <c r="AK39" i="6"/>
  <c r="AJ39" i="6"/>
  <c r="AI39" i="6"/>
  <c r="AH39" i="6"/>
  <c r="AG39" i="6"/>
  <c r="AF39" i="6"/>
  <c r="AE39" i="6"/>
  <c r="AD39" i="6"/>
  <c r="AC39" i="6"/>
  <c r="AB39" i="6"/>
  <c r="AA39" i="6"/>
  <c r="Z39" i="6"/>
  <c r="Y39" i="6"/>
  <c r="X39" i="6"/>
  <c r="W39" i="6"/>
  <c r="V39" i="6"/>
  <c r="U39" i="6"/>
  <c r="AT38" i="6"/>
  <c r="AS38" i="6"/>
  <c r="AP38" i="6"/>
  <c r="AO38" i="6"/>
  <c r="AN38" i="6"/>
  <c r="AM38" i="6"/>
  <c r="AL38" i="6"/>
  <c r="AK38" i="6"/>
  <c r="AJ38" i="6"/>
  <c r="AI38" i="6"/>
  <c r="AH38" i="6"/>
  <c r="AG38" i="6"/>
  <c r="AF38" i="6"/>
  <c r="AE38" i="6"/>
  <c r="AD38" i="6"/>
  <c r="AC38" i="6"/>
  <c r="AB38" i="6"/>
  <c r="AA38" i="6"/>
  <c r="Z38" i="6"/>
  <c r="Y38" i="6"/>
  <c r="X38" i="6"/>
  <c r="W38" i="6"/>
  <c r="V38" i="6"/>
  <c r="U38" i="6"/>
  <c r="AT37" i="6"/>
  <c r="AS37" i="6"/>
  <c r="AP37" i="6"/>
  <c r="AO37" i="6"/>
  <c r="AN37" i="6"/>
  <c r="AM37" i="6"/>
  <c r="AL37" i="6"/>
  <c r="AK37" i="6"/>
  <c r="AJ37" i="6"/>
  <c r="AI37" i="6"/>
  <c r="AH37" i="6"/>
  <c r="AG37" i="6"/>
  <c r="AF37" i="6"/>
  <c r="AE37" i="6"/>
  <c r="AD37" i="6"/>
  <c r="AC37" i="6"/>
  <c r="AB37" i="6"/>
  <c r="AA37" i="6"/>
  <c r="Z37" i="6"/>
  <c r="Y37" i="6"/>
  <c r="X37" i="6"/>
  <c r="W37" i="6"/>
  <c r="V37" i="6"/>
  <c r="U37" i="6"/>
  <c r="AT36" i="6"/>
  <c r="AS36" i="6"/>
  <c r="AP36" i="6"/>
  <c r="AO36" i="6"/>
  <c r="AN36" i="6"/>
  <c r="AM36" i="6"/>
  <c r="AL36" i="6"/>
  <c r="AK36" i="6"/>
  <c r="AJ36" i="6"/>
  <c r="AI36" i="6"/>
  <c r="AH36" i="6"/>
  <c r="AG36" i="6"/>
  <c r="AF36" i="6"/>
  <c r="AE36" i="6"/>
  <c r="AD36" i="6"/>
  <c r="AC36" i="6"/>
  <c r="AB36" i="6"/>
  <c r="AA36" i="6"/>
  <c r="Z36" i="6"/>
  <c r="Y36" i="6"/>
  <c r="X36" i="6"/>
  <c r="W36" i="6"/>
  <c r="V36" i="6"/>
  <c r="U36" i="6"/>
  <c r="AT35" i="6"/>
  <c r="AS35" i="6"/>
  <c r="AP35" i="6"/>
  <c r="AO35" i="6"/>
  <c r="AN35" i="6"/>
  <c r="AM35" i="6"/>
  <c r="AL35" i="6"/>
  <c r="AK35" i="6"/>
  <c r="AJ35" i="6"/>
  <c r="AI35" i="6"/>
  <c r="AH35" i="6"/>
  <c r="AG35" i="6"/>
  <c r="AF35" i="6"/>
  <c r="AE35" i="6"/>
  <c r="AD35" i="6"/>
  <c r="AC35" i="6"/>
  <c r="AB35" i="6"/>
  <c r="AA35" i="6"/>
  <c r="Z35" i="6"/>
  <c r="Y35" i="6"/>
  <c r="X35" i="6"/>
  <c r="W35" i="6"/>
  <c r="V35" i="6"/>
  <c r="U35" i="6"/>
  <c r="AT34" i="6"/>
  <c r="AS34" i="6"/>
  <c r="AP34" i="6"/>
  <c r="AO34" i="6"/>
  <c r="AN34" i="6"/>
  <c r="AM34" i="6"/>
  <c r="AL34" i="6"/>
  <c r="AK34" i="6"/>
  <c r="AJ34" i="6"/>
  <c r="AI34" i="6"/>
  <c r="AH34" i="6"/>
  <c r="AG34" i="6"/>
  <c r="AF34" i="6"/>
  <c r="AE34" i="6"/>
  <c r="AD34" i="6"/>
  <c r="AC34" i="6"/>
  <c r="AB34" i="6"/>
  <c r="AA34" i="6"/>
  <c r="Z34" i="6"/>
  <c r="Y34" i="6"/>
  <c r="X34" i="6"/>
  <c r="W34" i="6"/>
  <c r="V34" i="6"/>
  <c r="U34" i="6"/>
  <c r="AT33" i="6"/>
  <c r="AS33" i="6"/>
  <c r="AP33" i="6"/>
  <c r="AO33" i="6"/>
  <c r="AN33" i="6"/>
  <c r="AM33" i="6"/>
  <c r="AL33" i="6"/>
  <c r="AK33" i="6"/>
  <c r="AJ33" i="6"/>
  <c r="AI33" i="6"/>
  <c r="AH33" i="6"/>
  <c r="AG33" i="6"/>
  <c r="AF33" i="6"/>
  <c r="AE33" i="6"/>
  <c r="AD33" i="6"/>
  <c r="AC33" i="6"/>
  <c r="AB33" i="6"/>
  <c r="AA33" i="6"/>
  <c r="Z33" i="6"/>
  <c r="Y33" i="6"/>
  <c r="X33" i="6"/>
  <c r="W33" i="6"/>
  <c r="V33" i="6"/>
  <c r="U33" i="6"/>
  <c r="AT32" i="6"/>
  <c r="AS32" i="6"/>
  <c r="AP32" i="6"/>
  <c r="AO32" i="6"/>
  <c r="AN32" i="6"/>
  <c r="AM32" i="6"/>
  <c r="AL32" i="6"/>
  <c r="AK32" i="6"/>
  <c r="AJ32" i="6"/>
  <c r="AI32" i="6"/>
  <c r="AH32" i="6"/>
  <c r="AG32" i="6"/>
  <c r="AF32" i="6"/>
  <c r="AE32" i="6"/>
  <c r="AD32" i="6"/>
  <c r="AC32" i="6"/>
  <c r="AB32" i="6"/>
  <c r="AA32" i="6"/>
  <c r="Z32" i="6"/>
  <c r="Y32" i="6"/>
  <c r="X32" i="6"/>
  <c r="W32" i="6"/>
  <c r="V32" i="6"/>
  <c r="U32" i="6"/>
  <c r="AT31" i="6"/>
  <c r="AS31" i="6"/>
  <c r="AP31" i="6"/>
  <c r="AO31" i="6"/>
  <c r="AN31" i="6"/>
  <c r="AM31" i="6"/>
  <c r="AL31" i="6"/>
  <c r="AK31" i="6"/>
  <c r="AJ31" i="6"/>
  <c r="AI31" i="6"/>
  <c r="AH31" i="6"/>
  <c r="AG31" i="6"/>
  <c r="AF31" i="6"/>
  <c r="AE31" i="6"/>
  <c r="AD31" i="6"/>
  <c r="AC31" i="6"/>
  <c r="AB31" i="6"/>
  <c r="AA31" i="6"/>
  <c r="Z31" i="6"/>
  <c r="Y31" i="6"/>
  <c r="X31" i="6"/>
  <c r="W31" i="6"/>
  <c r="V31" i="6"/>
  <c r="U31" i="6"/>
  <c r="AT30" i="6"/>
  <c r="AP30" i="6"/>
  <c r="AO30" i="6"/>
  <c r="AL30" i="6"/>
  <c r="AS30" i="6" s="1"/>
  <c r="AK30" i="6"/>
  <c r="AE30" i="6"/>
  <c r="AG30" i="6" s="1"/>
  <c r="AC30" i="6"/>
  <c r="AA30" i="6"/>
  <c r="AB30" i="6" s="1"/>
  <c r="P39" i="7" s="1"/>
  <c r="Z30" i="6"/>
  <c r="C30" i="5" s="1"/>
  <c r="Y30" i="6"/>
  <c r="X30" i="6"/>
  <c r="W30" i="6"/>
  <c r="V30" i="6"/>
  <c r="L30" i="5" s="1"/>
  <c r="U30" i="6"/>
  <c r="B30" i="5" s="1"/>
  <c r="AT29" i="6"/>
  <c r="AP29" i="6"/>
  <c r="AO29" i="6"/>
  <c r="AL29" i="6"/>
  <c r="AS29" i="6" s="1"/>
  <c r="AK29" i="6"/>
  <c r="AE29" i="6"/>
  <c r="AG29" i="6" s="1"/>
  <c r="AC29" i="6"/>
  <c r="AA29" i="6"/>
  <c r="Z29" i="6"/>
  <c r="C29" i="5" s="1"/>
  <c r="Y29" i="6"/>
  <c r="X29" i="6"/>
  <c r="W29" i="6"/>
  <c r="V29" i="6"/>
  <c r="L29" i="5" s="1"/>
  <c r="U29" i="6"/>
  <c r="B29" i="5" s="1"/>
  <c r="AT28" i="6"/>
  <c r="AP28" i="6"/>
  <c r="AO28" i="6"/>
  <c r="AL28" i="6"/>
  <c r="AS28" i="6" s="1"/>
  <c r="AK28" i="6"/>
  <c r="AE28" i="6"/>
  <c r="AG28" i="6" s="1"/>
  <c r="AC28" i="6"/>
  <c r="AA28" i="6"/>
  <c r="Z28" i="6"/>
  <c r="C28" i="5" s="1"/>
  <c r="Y28" i="6"/>
  <c r="X28" i="6"/>
  <c r="W28" i="6"/>
  <c r="V28" i="6"/>
  <c r="L28" i="5" s="1"/>
  <c r="U28" i="6"/>
  <c r="B28" i="5" s="1"/>
  <c r="AT27" i="6"/>
  <c r="AP27" i="6"/>
  <c r="AO27" i="6"/>
  <c r="AL27" i="6"/>
  <c r="AS27" i="6" s="1"/>
  <c r="AK27" i="6"/>
  <c r="AE27" i="6"/>
  <c r="AC27" i="6"/>
  <c r="AA27" i="6"/>
  <c r="AB27" i="6" s="1"/>
  <c r="P36" i="7" s="1"/>
  <c r="Z27" i="6"/>
  <c r="C27" i="5" s="1"/>
  <c r="Y27" i="6"/>
  <c r="X27" i="6"/>
  <c r="W27" i="6"/>
  <c r="V27" i="6"/>
  <c r="L27" i="5" s="1"/>
  <c r="U27" i="6"/>
  <c r="AT26" i="6"/>
  <c r="AP26" i="6"/>
  <c r="AO26" i="6"/>
  <c r="AL26" i="6"/>
  <c r="AS26" i="6" s="1"/>
  <c r="AK26" i="6"/>
  <c r="AE26" i="6"/>
  <c r="AG26" i="6" s="1"/>
  <c r="AC26" i="6"/>
  <c r="AA26" i="6"/>
  <c r="AM26" i="6" s="1"/>
  <c r="Z26" i="6"/>
  <c r="C26" i="5" s="1"/>
  <c r="Y26" i="6"/>
  <c r="X26" i="6"/>
  <c r="W26" i="6"/>
  <c r="V26" i="6"/>
  <c r="L26" i="5" s="1"/>
  <c r="U26" i="6"/>
  <c r="AT25" i="6"/>
  <c r="AP25" i="6"/>
  <c r="AO25" i="6"/>
  <c r="AL25" i="6"/>
  <c r="AS25" i="6" s="1"/>
  <c r="AK25" i="6"/>
  <c r="AE25" i="6"/>
  <c r="AC25" i="6"/>
  <c r="AA25" i="6"/>
  <c r="AM25" i="6" s="1"/>
  <c r="Z25" i="6"/>
  <c r="C25" i="5" s="1"/>
  <c r="Y25" i="6"/>
  <c r="X25" i="6"/>
  <c r="W25" i="6"/>
  <c r="V25" i="6"/>
  <c r="L25" i="5" s="1"/>
  <c r="U25" i="6"/>
  <c r="B25" i="5" s="1"/>
  <c r="AT24" i="6"/>
  <c r="AP24" i="6"/>
  <c r="AO24" i="6"/>
  <c r="AL24" i="6"/>
  <c r="AS24" i="6" s="1"/>
  <c r="AK24" i="6"/>
  <c r="AE24" i="6"/>
  <c r="AG24" i="6" s="1"/>
  <c r="AC24" i="6"/>
  <c r="AA24" i="6"/>
  <c r="AM24" i="6" s="1"/>
  <c r="Z24" i="6"/>
  <c r="C24" i="5" s="1"/>
  <c r="Y24" i="6"/>
  <c r="X24" i="6"/>
  <c r="W24" i="6"/>
  <c r="V24" i="6"/>
  <c r="L24" i="5" s="1"/>
  <c r="U24" i="6"/>
  <c r="B24" i="5" s="1"/>
  <c r="AT23" i="6"/>
  <c r="AP23" i="6"/>
  <c r="AO23" i="6"/>
  <c r="AL23" i="6"/>
  <c r="AS23" i="6" s="1"/>
  <c r="AK23" i="6"/>
  <c r="AE23" i="6"/>
  <c r="AG23" i="6" s="1"/>
  <c r="AC23" i="6"/>
  <c r="AA23" i="6"/>
  <c r="AB23" i="6" s="1"/>
  <c r="P32" i="7" s="1"/>
  <c r="Z23" i="6"/>
  <c r="C23" i="5" s="1"/>
  <c r="Y23" i="6"/>
  <c r="X23" i="6"/>
  <c r="W23" i="6"/>
  <c r="V23" i="6"/>
  <c r="L23" i="5" s="1"/>
  <c r="U23" i="6"/>
  <c r="B23" i="5" s="1"/>
  <c r="AT22" i="6"/>
  <c r="AP22" i="6"/>
  <c r="AO22" i="6"/>
  <c r="AL22" i="6"/>
  <c r="AS22" i="6" s="1"/>
  <c r="AK22" i="6"/>
  <c r="AE22" i="6"/>
  <c r="AG22" i="6" s="1"/>
  <c r="AC22" i="6"/>
  <c r="AA22" i="6"/>
  <c r="AB22" i="6" s="1"/>
  <c r="Z22" i="6"/>
  <c r="C22" i="5" s="1"/>
  <c r="Y22" i="6"/>
  <c r="X22" i="6"/>
  <c r="W22" i="6"/>
  <c r="V22" i="6"/>
  <c r="L22" i="5" s="1"/>
  <c r="U22" i="6"/>
  <c r="B22" i="5" s="1"/>
  <c r="AT21" i="6"/>
  <c r="AP21" i="6"/>
  <c r="AO21" i="6"/>
  <c r="AL21" i="6"/>
  <c r="AS21" i="6" s="1"/>
  <c r="AK21" i="6"/>
  <c r="AE21" i="6"/>
  <c r="AG21" i="6" s="1"/>
  <c r="AC21" i="6"/>
  <c r="AA21" i="6"/>
  <c r="Z21" i="6"/>
  <c r="C21" i="5" s="1"/>
  <c r="Y21" i="6"/>
  <c r="X21" i="6"/>
  <c r="W21" i="6"/>
  <c r="V21" i="6"/>
  <c r="L21" i="5" s="1"/>
  <c r="U21" i="6"/>
  <c r="B21" i="5" s="1"/>
  <c r="AT20" i="6"/>
  <c r="AP20" i="6"/>
  <c r="AO20" i="6"/>
  <c r="AL20" i="6"/>
  <c r="AS20" i="6" s="1"/>
  <c r="AK20" i="6"/>
  <c r="AE20" i="6"/>
  <c r="AC20" i="6"/>
  <c r="AA20" i="6"/>
  <c r="AB20" i="6" s="1"/>
  <c r="Z20" i="6"/>
  <c r="C20" i="5" s="1"/>
  <c r="Y20" i="6"/>
  <c r="X20" i="6"/>
  <c r="W20" i="6"/>
  <c r="V20" i="6"/>
  <c r="L20" i="5" s="1"/>
  <c r="U20" i="6"/>
  <c r="AT19" i="6"/>
  <c r="AP19" i="6"/>
  <c r="AO19" i="6"/>
  <c r="AL19" i="6"/>
  <c r="AS19" i="6" s="1"/>
  <c r="AK19" i="6"/>
  <c r="AE19" i="6"/>
  <c r="AG19" i="6" s="1"/>
  <c r="AC19" i="6"/>
  <c r="AA19" i="6"/>
  <c r="AM19" i="6" s="1"/>
  <c r="Z19" i="6"/>
  <c r="C19" i="5" s="1"/>
  <c r="Y19" i="6"/>
  <c r="X19" i="6"/>
  <c r="W19" i="6"/>
  <c r="V19" i="6"/>
  <c r="L19" i="5" s="1"/>
  <c r="U19" i="6"/>
  <c r="AT18" i="6"/>
  <c r="AP18" i="6"/>
  <c r="AO18" i="6"/>
  <c r="AL18" i="6"/>
  <c r="AS18" i="6" s="1"/>
  <c r="AK18" i="6"/>
  <c r="AE18" i="6"/>
  <c r="AC18" i="6"/>
  <c r="AA18" i="6"/>
  <c r="AM18" i="6" s="1"/>
  <c r="Z18" i="6"/>
  <c r="Y18" i="6"/>
  <c r="X18" i="6"/>
  <c r="W18" i="6"/>
  <c r="V18" i="6"/>
  <c r="L18" i="5" s="1"/>
  <c r="U18" i="6"/>
  <c r="B18" i="5" s="1"/>
  <c r="AT17" i="6"/>
  <c r="AP17" i="6"/>
  <c r="AO17" i="6"/>
  <c r="AL17" i="6"/>
  <c r="AS17" i="6" s="1"/>
  <c r="AK17" i="6"/>
  <c r="AE17" i="6"/>
  <c r="AG17" i="6" s="1"/>
  <c r="AC17" i="6"/>
  <c r="AA17" i="6"/>
  <c r="AM17" i="6" s="1"/>
  <c r="Z17" i="6"/>
  <c r="C17" i="5" s="1"/>
  <c r="Y17" i="6"/>
  <c r="X17" i="6"/>
  <c r="W17" i="6"/>
  <c r="V17" i="6"/>
  <c r="L17" i="5" s="1"/>
  <c r="U17" i="6"/>
  <c r="B17" i="5" s="1"/>
  <c r="AT16" i="6"/>
  <c r="AP16" i="6"/>
  <c r="AO16" i="6"/>
  <c r="AL16" i="6"/>
  <c r="AS16" i="6" s="1"/>
  <c r="AK16" i="6"/>
  <c r="AE16" i="6"/>
  <c r="AG16" i="6" s="1"/>
  <c r="AC16" i="6"/>
  <c r="AA16" i="6"/>
  <c r="AB16" i="6" s="1"/>
  <c r="P25" i="7" s="1"/>
  <c r="Z16" i="6"/>
  <c r="C16" i="5" s="1"/>
  <c r="Y16" i="6"/>
  <c r="X16" i="6"/>
  <c r="W16" i="6"/>
  <c r="V16" i="6"/>
  <c r="L16" i="5" s="1"/>
  <c r="U16" i="6"/>
  <c r="B16" i="5" s="1"/>
  <c r="AT15" i="6"/>
  <c r="AP15" i="6"/>
  <c r="AO15" i="6"/>
  <c r="AL15" i="6"/>
  <c r="AS15" i="6" s="1"/>
  <c r="AK15" i="6"/>
  <c r="AE15" i="6"/>
  <c r="AG15" i="6" s="1"/>
  <c r="AC15" i="6"/>
  <c r="AA15" i="6"/>
  <c r="AM15" i="6" s="1"/>
  <c r="Z15" i="6"/>
  <c r="C15" i="5" s="1"/>
  <c r="Y15" i="6"/>
  <c r="X15" i="6"/>
  <c r="W15" i="6"/>
  <c r="V15" i="6"/>
  <c r="L15" i="5" s="1"/>
  <c r="U15" i="6"/>
  <c r="B15" i="5" s="1"/>
  <c r="AT14" i="6"/>
  <c r="AP14" i="6"/>
  <c r="AO14" i="6"/>
  <c r="AL14" i="6"/>
  <c r="AS14" i="6" s="1"/>
  <c r="AK14" i="6"/>
  <c r="AE14" i="6"/>
  <c r="AG14" i="6" s="1"/>
  <c r="AC14" i="6"/>
  <c r="AA14" i="6"/>
  <c r="AM14" i="6" s="1"/>
  <c r="Z14" i="6"/>
  <c r="C14" i="5" s="1"/>
  <c r="Y14" i="6"/>
  <c r="X14" i="6"/>
  <c r="W14" i="6"/>
  <c r="V14" i="6"/>
  <c r="L14" i="5" s="1"/>
  <c r="U14" i="6"/>
  <c r="AT13" i="6"/>
  <c r="AP13" i="6"/>
  <c r="AO13" i="6"/>
  <c r="AL13" i="6"/>
  <c r="AS13" i="6" s="1"/>
  <c r="AK13" i="6"/>
  <c r="AE13" i="6"/>
  <c r="AG13" i="6" s="1"/>
  <c r="AC13" i="6"/>
  <c r="AA13" i="6"/>
  <c r="AM13" i="6" s="1"/>
  <c r="Z13" i="6"/>
  <c r="C13" i="5" s="1"/>
  <c r="Y13" i="6"/>
  <c r="X13" i="6"/>
  <c r="W13" i="6"/>
  <c r="V13" i="6"/>
  <c r="L13" i="5" s="1"/>
  <c r="U13" i="6"/>
  <c r="B13" i="5" s="1"/>
  <c r="AT12" i="6"/>
  <c r="AP12" i="6"/>
  <c r="AO12" i="6"/>
  <c r="AL12" i="6"/>
  <c r="AS12" i="6" s="1"/>
  <c r="AK12" i="6"/>
  <c r="AE12" i="6"/>
  <c r="AC12" i="6"/>
  <c r="AA12" i="6"/>
  <c r="AM12" i="6" s="1"/>
  <c r="Z12" i="6"/>
  <c r="C12" i="5" s="1"/>
  <c r="Y12" i="6"/>
  <c r="X12" i="6"/>
  <c r="W12" i="6"/>
  <c r="V12" i="6"/>
  <c r="L12" i="5" s="1"/>
  <c r="U12" i="6"/>
  <c r="AT11" i="6"/>
  <c r="AP11" i="6"/>
  <c r="AO11" i="6"/>
  <c r="AL11" i="6"/>
  <c r="AS11" i="6" s="1"/>
  <c r="AK11" i="6"/>
  <c r="AE11" i="6"/>
  <c r="AC11" i="6"/>
  <c r="AA11" i="6"/>
  <c r="Z11" i="6"/>
  <c r="C11" i="5" s="1"/>
  <c r="Y11" i="6"/>
  <c r="X11" i="6"/>
  <c r="W11" i="6"/>
  <c r="V11" i="6"/>
  <c r="L11" i="5" s="1"/>
  <c r="U11" i="6"/>
  <c r="B11" i="5" s="1"/>
  <c r="AT10" i="6"/>
  <c r="AP10" i="6"/>
  <c r="AO10" i="6"/>
  <c r="AL10" i="6"/>
  <c r="AS10" i="6" s="1"/>
  <c r="AK10" i="6"/>
  <c r="AE10" i="6"/>
  <c r="AC10" i="6"/>
  <c r="AA10" i="6"/>
  <c r="AB10" i="6" s="1"/>
  <c r="P19" i="7" s="1"/>
  <c r="Z10" i="6"/>
  <c r="C10" i="5" s="1"/>
  <c r="Y10" i="6"/>
  <c r="X10" i="6"/>
  <c r="W10" i="6"/>
  <c r="V10" i="6"/>
  <c r="L10" i="5" s="1"/>
  <c r="U10" i="6"/>
  <c r="AT9" i="6"/>
  <c r="AP9" i="6"/>
  <c r="AO9" i="6"/>
  <c r="AL9" i="6"/>
  <c r="AS9" i="6" s="1"/>
  <c r="AK9" i="6"/>
  <c r="AE9" i="6"/>
  <c r="AG9" i="6" s="1"/>
  <c r="AC9" i="6"/>
  <c r="AA9" i="6"/>
  <c r="AB9" i="6" s="1"/>
  <c r="P18" i="7" s="1"/>
  <c r="Z9" i="6"/>
  <c r="C9" i="5" s="1"/>
  <c r="Y9" i="6"/>
  <c r="X9" i="6"/>
  <c r="W9" i="6"/>
  <c r="V9" i="6"/>
  <c r="L9" i="5" s="1"/>
  <c r="U9" i="6"/>
  <c r="B9" i="5" s="1"/>
  <c r="N258" i="5"/>
  <c r="L258" i="5"/>
  <c r="K258" i="5"/>
  <c r="J258" i="5"/>
  <c r="I258" i="5"/>
  <c r="H258" i="5"/>
  <c r="G258" i="5"/>
  <c r="F258" i="5"/>
  <c r="E258" i="5"/>
  <c r="D258" i="5"/>
  <c r="C258" i="5"/>
  <c r="B258" i="5"/>
  <c r="A258" i="5"/>
  <c r="M258" i="5" s="1"/>
  <c r="N257" i="5"/>
  <c r="L257" i="5"/>
  <c r="K257" i="5"/>
  <c r="J257" i="5"/>
  <c r="I257" i="5"/>
  <c r="H257" i="5"/>
  <c r="G257" i="5"/>
  <c r="F257" i="5"/>
  <c r="E257" i="5"/>
  <c r="D257" i="5"/>
  <c r="C257" i="5"/>
  <c r="B257" i="5"/>
  <c r="A257" i="5"/>
  <c r="M257" i="5" s="1"/>
  <c r="N256" i="5"/>
  <c r="L256" i="5"/>
  <c r="K256" i="5"/>
  <c r="J256" i="5"/>
  <c r="I256" i="5"/>
  <c r="H256" i="5"/>
  <c r="G256" i="5"/>
  <c r="F256" i="5"/>
  <c r="E256" i="5"/>
  <c r="D256" i="5"/>
  <c r="C256" i="5"/>
  <c r="B256" i="5"/>
  <c r="A256" i="5"/>
  <c r="M256" i="5" s="1"/>
  <c r="N255" i="5"/>
  <c r="L255" i="5"/>
  <c r="K255" i="5"/>
  <c r="J255" i="5"/>
  <c r="I255" i="5"/>
  <c r="H255" i="5"/>
  <c r="G255" i="5"/>
  <c r="F255" i="5"/>
  <c r="E255" i="5"/>
  <c r="D255" i="5"/>
  <c r="C255" i="5"/>
  <c r="B255" i="5"/>
  <c r="A255" i="5"/>
  <c r="M255" i="5" s="1"/>
  <c r="N254" i="5"/>
  <c r="L254" i="5"/>
  <c r="K254" i="5"/>
  <c r="J254" i="5"/>
  <c r="I254" i="5"/>
  <c r="H254" i="5"/>
  <c r="G254" i="5"/>
  <c r="F254" i="5"/>
  <c r="E254" i="5"/>
  <c r="D254" i="5"/>
  <c r="C254" i="5"/>
  <c r="B254" i="5"/>
  <c r="A254" i="5"/>
  <c r="M254" i="5" s="1"/>
  <c r="N253" i="5"/>
  <c r="L253" i="5"/>
  <c r="K253" i="5"/>
  <c r="J253" i="5"/>
  <c r="I253" i="5"/>
  <c r="H253" i="5"/>
  <c r="G253" i="5"/>
  <c r="F253" i="5"/>
  <c r="E253" i="5"/>
  <c r="D253" i="5"/>
  <c r="C253" i="5"/>
  <c r="B253" i="5"/>
  <c r="A253" i="5"/>
  <c r="M253" i="5" s="1"/>
  <c r="N252" i="5"/>
  <c r="L252" i="5"/>
  <c r="K252" i="5"/>
  <c r="J252" i="5"/>
  <c r="I252" i="5"/>
  <c r="H252" i="5"/>
  <c r="G252" i="5"/>
  <c r="F252" i="5"/>
  <c r="E252" i="5"/>
  <c r="D252" i="5"/>
  <c r="C252" i="5"/>
  <c r="B252" i="5"/>
  <c r="A252" i="5"/>
  <c r="M252" i="5" s="1"/>
  <c r="N251" i="5"/>
  <c r="L251" i="5"/>
  <c r="K251" i="5"/>
  <c r="J251" i="5"/>
  <c r="I251" i="5"/>
  <c r="H251" i="5"/>
  <c r="G251" i="5"/>
  <c r="F251" i="5"/>
  <c r="E251" i="5"/>
  <c r="D251" i="5"/>
  <c r="C251" i="5"/>
  <c r="B251" i="5"/>
  <c r="A251" i="5"/>
  <c r="M251" i="5" s="1"/>
  <c r="N250" i="5"/>
  <c r="L250" i="5"/>
  <c r="K250" i="5"/>
  <c r="J250" i="5"/>
  <c r="I250" i="5"/>
  <c r="H250" i="5"/>
  <c r="G250" i="5"/>
  <c r="F250" i="5"/>
  <c r="E250" i="5"/>
  <c r="D250" i="5"/>
  <c r="C250" i="5"/>
  <c r="B250" i="5"/>
  <c r="A250" i="5"/>
  <c r="M250" i="5" s="1"/>
  <c r="N249" i="5"/>
  <c r="L249" i="5"/>
  <c r="K249" i="5"/>
  <c r="J249" i="5"/>
  <c r="I249" i="5"/>
  <c r="H249" i="5"/>
  <c r="G249" i="5"/>
  <c r="F249" i="5"/>
  <c r="E249" i="5"/>
  <c r="D249" i="5"/>
  <c r="C249" i="5"/>
  <c r="B249" i="5"/>
  <c r="A249" i="5"/>
  <c r="M249" i="5" s="1"/>
  <c r="N248" i="5"/>
  <c r="L248" i="5"/>
  <c r="K248" i="5"/>
  <c r="J248" i="5"/>
  <c r="I248" i="5"/>
  <c r="H248" i="5"/>
  <c r="G248" i="5"/>
  <c r="F248" i="5"/>
  <c r="E248" i="5"/>
  <c r="D248" i="5"/>
  <c r="C248" i="5"/>
  <c r="B248" i="5"/>
  <c r="A248" i="5"/>
  <c r="M248" i="5" s="1"/>
  <c r="N247" i="5"/>
  <c r="L247" i="5"/>
  <c r="K247" i="5"/>
  <c r="J247" i="5"/>
  <c r="I247" i="5"/>
  <c r="H247" i="5"/>
  <c r="G247" i="5"/>
  <c r="F247" i="5"/>
  <c r="E247" i="5"/>
  <c r="D247" i="5"/>
  <c r="C247" i="5"/>
  <c r="B247" i="5"/>
  <c r="A247" i="5"/>
  <c r="M247" i="5" s="1"/>
  <c r="N246" i="5"/>
  <c r="L246" i="5"/>
  <c r="K246" i="5"/>
  <c r="J246" i="5"/>
  <c r="I246" i="5"/>
  <c r="H246" i="5"/>
  <c r="G246" i="5"/>
  <c r="F246" i="5"/>
  <c r="E246" i="5"/>
  <c r="D246" i="5"/>
  <c r="C246" i="5"/>
  <c r="B246" i="5"/>
  <c r="A246" i="5"/>
  <c r="M246" i="5" s="1"/>
  <c r="N245" i="5"/>
  <c r="L245" i="5"/>
  <c r="K245" i="5"/>
  <c r="J245" i="5"/>
  <c r="I245" i="5"/>
  <c r="H245" i="5"/>
  <c r="G245" i="5"/>
  <c r="F245" i="5"/>
  <c r="E245" i="5"/>
  <c r="D245" i="5"/>
  <c r="C245" i="5"/>
  <c r="B245" i="5"/>
  <c r="A245" i="5"/>
  <c r="M245" i="5" s="1"/>
  <c r="N244" i="5"/>
  <c r="L244" i="5"/>
  <c r="K244" i="5"/>
  <c r="J244" i="5"/>
  <c r="I244" i="5"/>
  <c r="H244" i="5"/>
  <c r="G244" i="5"/>
  <c r="F244" i="5"/>
  <c r="E244" i="5"/>
  <c r="D244" i="5"/>
  <c r="C244" i="5"/>
  <c r="B244" i="5"/>
  <c r="A244" i="5"/>
  <c r="M244" i="5" s="1"/>
  <c r="N243" i="5"/>
  <c r="L243" i="5"/>
  <c r="K243" i="5"/>
  <c r="J243" i="5"/>
  <c r="I243" i="5"/>
  <c r="H243" i="5"/>
  <c r="G243" i="5"/>
  <c r="F243" i="5"/>
  <c r="E243" i="5"/>
  <c r="D243" i="5"/>
  <c r="C243" i="5"/>
  <c r="B243" i="5"/>
  <c r="A243" i="5"/>
  <c r="M243" i="5" s="1"/>
  <c r="N242" i="5"/>
  <c r="L242" i="5"/>
  <c r="K242" i="5"/>
  <c r="J242" i="5"/>
  <c r="I242" i="5"/>
  <c r="H242" i="5"/>
  <c r="G242" i="5"/>
  <c r="F242" i="5"/>
  <c r="E242" i="5"/>
  <c r="D242" i="5"/>
  <c r="C242" i="5"/>
  <c r="B242" i="5"/>
  <c r="A242" i="5"/>
  <c r="M242" i="5" s="1"/>
  <c r="N241" i="5"/>
  <c r="L241" i="5"/>
  <c r="K241" i="5"/>
  <c r="J241" i="5"/>
  <c r="I241" i="5"/>
  <c r="H241" i="5"/>
  <c r="G241" i="5"/>
  <c r="F241" i="5"/>
  <c r="E241" i="5"/>
  <c r="D241" i="5"/>
  <c r="C241" i="5"/>
  <c r="B241" i="5"/>
  <c r="A241" i="5"/>
  <c r="M241" i="5" s="1"/>
  <c r="N240" i="5"/>
  <c r="L240" i="5"/>
  <c r="K240" i="5"/>
  <c r="J240" i="5"/>
  <c r="I240" i="5"/>
  <c r="H240" i="5"/>
  <c r="G240" i="5"/>
  <c r="F240" i="5"/>
  <c r="E240" i="5"/>
  <c r="D240" i="5"/>
  <c r="C240" i="5"/>
  <c r="B240" i="5"/>
  <c r="A240" i="5"/>
  <c r="M240" i="5" s="1"/>
  <c r="N239" i="5"/>
  <c r="L239" i="5"/>
  <c r="K239" i="5"/>
  <c r="J239" i="5"/>
  <c r="I239" i="5"/>
  <c r="H239" i="5"/>
  <c r="G239" i="5"/>
  <c r="F239" i="5"/>
  <c r="E239" i="5"/>
  <c r="D239" i="5"/>
  <c r="C239" i="5"/>
  <c r="B239" i="5"/>
  <c r="A239" i="5"/>
  <c r="M239" i="5" s="1"/>
  <c r="N238" i="5"/>
  <c r="L238" i="5"/>
  <c r="K238" i="5"/>
  <c r="J238" i="5"/>
  <c r="I238" i="5"/>
  <c r="H238" i="5"/>
  <c r="G238" i="5"/>
  <c r="F238" i="5"/>
  <c r="E238" i="5"/>
  <c r="D238" i="5"/>
  <c r="C238" i="5"/>
  <c r="B238" i="5"/>
  <c r="A238" i="5"/>
  <c r="M238" i="5" s="1"/>
  <c r="N237" i="5"/>
  <c r="L237" i="5"/>
  <c r="K237" i="5"/>
  <c r="J237" i="5"/>
  <c r="I237" i="5"/>
  <c r="H237" i="5"/>
  <c r="G237" i="5"/>
  <c r="F237" i="5"/>
  <c r="E237" i="5"/>
  <c r="D237" i="5"/>
  <c r="C237" i="5"/>
  <c r="B237" i="5"/>
  <c r="A237" i="5"/>
  <c r="M237" i="5" s="1"/>
  <c r="N236" i="5"/>
  <c r="L236" i="5"/>
  <c r="K236" i="5"/>
  <c r="J236" i="5"/>
  <c r="I236" i="5"/>
  <c r="H236" i="5"/>
  <c r="G236" i="5"/>
  <c r="F236" i="5"/>
  <c r="E236" i="5"/>
  <c r="D236" i="5"/>
  <c r="C236" i="5"/>
  <c r="B236" i="5"/>
  <c r="A236" i="5"/>
  <c r="M236" i="5" s="1"/>
  <c r="N235" i="5"/>
  <c r="L235" i="5"/>
  <c r="K235" i="5"/>
  <c r="J235" i="5"/>
  <c r="I235" i="5"/>
  <c r="H235" i="5"/>
  <c r="G235" i="5"/>
  <c r="F235" i="5"/>
  <c r="E235" i="5"/>
  <c r="D235" i="5"/>
  <c r="C235" i="5"/>
  <c r="B235" i="5"/>
  <c r="A235" i="5"/>
  <c r="M235" i="5" s="1"/>
  <c r="N234" i="5"/>
  <c r="L234" i="5"/>
  <c r="K234" i="5"/>
  <c r="J234" i="5"/>
  <c r="I234" i="5"/>
  <c r="H234" i="5"/>
  <c r="G234" i="5"/>
  <c r="F234" i="5"/>
  <c r="E234" i="5"/>
  <c r="D234" i="5"/>
  <c r="C234" i="5"/>
  <c r="B234" i="5"/>
  <c r="A234" i="5"/>
  <c r="M234" i="5" s="1"/>
  <c r="N233" i="5"/>
  <c r="L233" i="5"/>
  <c r="K233" i="5"/>
  <c r="J233" i="5"/>
  <c r="I233" i="5"/>
  <c r="H233" i="5"/>
  <c r="G233" i="5"/>
  <c r="F233" i="5"/>
  <c r="E233" i="5"/>
  <c r="D233" i="5"/>
  <c r="C233" i="5"/>
  <c r="B233" i="5"/>
  <c r="A233" i="5"/>
  <c r="M233" i="5" s="1"/>
  <c r="N232" i="5"/>
  <c r="L232" i="5"/>
  <c r="K232" i="5"/>
  <c r="J232" i="5"/>
  <c r="I232" i="5"/>
  <c r="H232" i="5"/>
  <c r="G232" i="5"/>
  <c r="F232" i="5"/>
  <c r="E232" i="5"/>
  <c r="D232" i="5"/>
  <c r="C232" i="5"/>
  <c r="B232" i="5"/>
  <c r="A232" i="5"/>
  <c r="M232" i="5" s="1"/>
  <c r="N231" i="5"/>
  <c r="L231" i="5"/>
  <c r="K231" i="5"/>
  <c r="J231" i="5"/>
  <c r="I231" i="5"/>
  <c r="H231" i="5"/>
  <c r="G231" i="5"/>
  <c r="F231" i="5"/>
  <c r="E231" i="5"/>
  <c r="D231" i="5"/>
  <c r="C231" i="5"/>
  <c r="B231" i="5"/>
  <c r="A231" i="5"/>
  <c r="M231" i="5" s="1"/>
  <c r="N230" i="5"/>
  <c r="L230" i="5"/>
  <c r="K230" i="5"/>
  <c r="J230" i="5"/>
  <c r="I230" i="5"/>
  <c r="H230" i="5"/>
  <c r="G230" i="5"/>
  <c r="F230" i="5"/>
  <c r="E230" i="5"/>
  <c r="D230" i="5"/>
  <c r="C230" i="5"/>
  <c r="B230" i="5"/>
  <c r="A230" i="5"/>
  <c r="M230" i="5" s="1"/>
  <c r="N229" i="5"/>
  <c r="L229" i="5"/>
  <c r="K229" i="5"/>
  <c r="J229" i="5"/>
  <c r="I229" i="5"/>
  <c r="H229" i="5"/>
  <c r="G229" i="5"/>
  <c r="F229" i="5"/>
  <c r="E229" i="5"/>
  <c r="D229" i="5"/>
  <c r="C229" i="5"/>
  <c r="B229" i="5"/>
  <c r="A229" i="5"/>
  <c r="M229" i="5" s="1"/>
  <c r="N228" i="5"/>
  <c r="L228" i="5"/>
  <c r="K228" i="5"/>
  <c r="J228" i="5"/>
  <c r="I228" i="5"/>
  <c r="H228" i="5"/>
  <c r="G228" i="5"/>
  <c r="F228" i="5"/>
  <c r="E228" i="5"/>
  <c r="D228" i="5"/>
  <c r="C228" i="5"/>
  <c r="B228" i="5"/>
  <c r="A228" i="5"/>
  <c r="M228" i="5" s="1"/>
  <c r="N227" i="5"/>
  <c r="L227" i="5"/>
  <c r="K227" i="5"/>
  <c r="J227" i="5"/>
  <c r="I227" i="5"/>
  <c r="H227" i="5"/>
  <c r="G227" i="5"/>
  <c r="F227" i="5"/>
  <c r="E227" i="5"/>
  <c r="D227" i="5"/>
  <c r="C227" i="5"/>
  <c r="B227" i="5"/>
  <c r="A227" i="5"/>
  <c r="M227" i="5" s="1"/>
  <c r="N226" i="5"/>
  <c r="L226" i="5"/>
  <c r="K226" i="5"/>
  <c r="J226" i="5"/>
  <c r="I226" i="5"/>
  <c r="H226" i="5"/>
  <c r="G226" i="5"/>
  <c r="F226" i="5"/>
  <c r="E226" i="5"/>
  <c r="D226" i="5"/>
  <c r="C226" i="5"/>
  <c r="B226" i="5"/>
  <c r="A226" i="5"/>
  <c r="M226" i="5" s="1"/>
  <c r="N225" i="5"/>
  <c r="L225" i="5"/>
  <c r="K225" i="5"/>
  <c r="J225" i="5"/>
  <c r="I225" i="5"/>
  <c r="H225" i="5"/>
  <c r="G225" i="5"/>
  <c r="F225" i="5"/>
  <c r="E225" i="5"/>
  <c r="D225" i="5"/>
  <c r="C225" i="5"/>
  <c r="B225" i="5"/>
  <c r="A225" i="5"/>
  <c r="M225" i="5" s="1"/>
  <c r="N224" i="5"/>
  <c r="L224" i="5"/>
  <c r="K224" i="5"/>
  <c r="J224" i="5"/>
  <c r="I224" i="5"/>
  <c r="H224" i="5"/>
  <c r="G224" i="5"/>
  <c r="F224" i="5"/>
  <c r="E224" i="5"/>
  <c r="D224" i="5"/>
  <c r="C224" i="5"/>
  <c r="B224" i="5"/>
  <c r="A224" i="5"/>
  <c r="M224" i="5" s="1"/>
  <c r="N223" i="5"/>
  <c r="L223" i="5"/>
  <c r="K223" i="5"/>
  <c r="J223" i="5"/>
  <c r="I223" i="5"/>
  <c r="H223" i="5"/>
  <c r="G223" i="5"/>
  <c r="F223" i="5"/>
  <c r="E223" i="5"/>
  <c r="D223" i="5"/>
  <c r="C223" i="5"/>
  <c r="B223" i="5"/>
  <c r="A223" i="5"/>
  <c r="M223" i="5" s="1"/>
  <c r="N222" i="5"/>
  <c r="L222" i="5"/>
  <c r="K222" i="5"/>
  <c r="J222" i="5"/>
  <c r="I222" i="5"/>
  <c r="H222" i="5"/>
  <c r="G222" i="5"/>
  <c r="F222" i="5"/>
  <c r="E222" i="5"/>
  <c r="D222" i="5"/>
  <c r="C222" i="5"/>
  <c r="B222" i="5"/>
  <c r="A222" i="5"/>
  <c r="M222" i="5" s="1"/>
  <c r="N221" i="5"/>
  <c r="L221" i="5"/>
  <c r="K221" i="5"/>
  <c r="J221" i="5"/>
  <c r="I221" i="5"/>
  <c r="H221" i="5"/>
  <c r="G221" i="5"/>
  <c r="F221" i="5"/>
  <c r="E221" i="5"/>
  <c r="D221" i="5"/>
  <c r="C221" i="5"/>
  <c r="B221" i="5"/>
  <c r="A221" i="5"/>
  <c r="M221" i="5" s="1"/>
  <c r="N220" i="5"/>
  <c r="L220" i="5"/>
  <c r="K220" i="5"/>
  <c r="J220" i="5"/>
  <c r="I220" i="5"/>
  <c r="H220" i="5"/>
  <c r="G220" i="5"/>
  <c r="F220" i="5"/>
  <c r="E220" i="5"/>
  <c r="D220" i="5"/>
  <c r="C220" i="5"/>
  <c r="B220" i="5"/>
  <c r="A220" i="5"/>
  <c r="M220" i="5" s="1"/>
  <c r="N219" i="5"/>
  <c r="L219" i="5"/>
  <c r="K219" i="5"/>
  <c r="J219" i="5"/>
  <c r="I219" i="5"/>
  <c r="H219" i="5"/>
  <c r="G219" i="5"/>
  <c r="F219" i="5"/>
  <c r="E219" i="5"/>
  <c r="D219" i="5"/>
  <c r="C219" i="5"/>
  <c r="B219" i="5"/>
  <c r="A219" i="5"/>
  <c r="M219" i="5" s="1"/>
  <c r="N218" i="5"/>
  <c r="L218" i="5"/>
  <c r="K218" i="5"/>
  <c r="J218" i="5"/>
  <c r="I218" i="5"/>
  <c r="H218" i="5"/>
  <c r="G218" i="5"/>
  <c r="F218" i="5"/>
  <c r="E218" i="5"/>
  <c r="D218" i="5"/>
  <c r="C218" i="5"/>
  <c r="B218" i="5"/>
  <c r="A218" i="5"/>
  <c r="M218" i="5" s="1"/>
  <c r="N217" i="5"/>
  <c r="L217" i="5"/>
  <c r="K217" i="5"/>
  <c r="J217" i="5"/>
  <c r="I217" i="5"/>
  <c r="H217" i="5"/>
  <c r="G217" i="5"/>
  <c r="F217" i="5"/>
  <c r="E217" i="5"/>
  <c r="D217" i="5"/>
  <c r="C217" i="5"/>
  <c r="B217" i="5"/>
  <c r="A217" i="5"/>
  <c r="M217" i="5" s="1"/>
  <c r="N216" i="5"/>
  <c r="L216" i="5"/>
  <c r="K216" i="5"/>
  <c r="J216" i="5"/>
  <c r="I216" i="5"/>
  <c r="H216" i="5"/>
  <c r="G216" i="5"/>
  <c r="F216" i="5"/>
  <c r="E216" i="5"/>
  <c r="D216" i="5"/>
  <c r="C216" i="5"/>
  <c r="B216" i="5"/>
  <c r="A216" i="5"/>
  <c r="M216" i="5" s="1"/>
  <c r="N215" i="5"/>
  <c r="L215" i="5"/>
  <c r="K215" i="5"/>
  <c r="J215" i="5"/>
  <c r="I215" i="5"/>
  <c r="H215" i="5"/>
  <c r="G215" i="5"/>
  <c r="F215" i="5"/>
  <c r="E215" i="5"/>
  <c r="D215" i="5"/>
  <c r="C215" i="5"/>
  <c r="B215" i="5"/>
  <c r="A215" i="5"/>
  <c r="M215" i="5" s="1"/>
  <c r="N214" i="5"/>
  <c r="L214" i="5"/>
  <c r="K214" i="5"/>
  <c r="J214" i="5"/>
  <c r="I214" i="5"/>
  <c r="H214" i="5"/>
  <c r="G214" i="5"/>
  <c r="F214" i="5"/>
  <c r="E214" i="5"/>
  <c r="D214" i="5"/>
  <c r="C214" i="5"/>
  <c r="B214" i="5"/>
  <c r="A214" i="5"/>
  <c r="M214" i="5" s="1"/>
  <c r="N213" i="5"/>
  <c r="L213" i="5"/>
  <c r="K213" i="5"/>
  <c r="J213" i="5"/>
  <c r="I213" i="5"/>
  <c r="H213" i="5"/>
  <c r="G213" i="5"/>
  <c r="F213" i="5"/>
  <c r="E213" i="5"/>
  <c r="D213" i="5"/>
  <c r="C213" i="5"/>
  <c r="B213" i="5"/>
  <c r="A213" i="5"/>
  <c r="M213" i="5" s="1"/>
  <c r="N212" i="5"/>
  <c r="L212" i="5"/>
  <c r="K212" i="5"/>
  <c r="J212" i="5"/>
  <c r="I212" i="5"/>
  <c r="H212" i="5"/>
  <c r="G212" i="5"/>
  <c r="F212" i="5"/>
  <c r="E212" i="5"/>
  <c r="D212" i="5"/>
  <c r="C212" i="5"/>
  <c r="B212" i="5"/>
  <c r="A212" i="5"/>
  <c r="M212" i="5" s="1"/>
  <c r="N211" i="5"/>
  <c r="L211" i="5"/>
  <c r="K211" i="5"/>
  <c r="J211" i="5"/>
  <c r="I211" i="5"/>
  <c r="H211" i="5"/>
  <c r="G211" i="5"/>
  <c r="F211" i="5"/>
  <c r="E211" i="5"/>
  <c r="D211" i="5"/>
  <c r="C211" i="5"/>
  <c r="B211" i="5"/>
  <c r="A211" i="5"/>
  <c r="M211" i="5" s="1"/>
  <c r="N210" i="5"/>
  <c r="L210" i="5"/>
  <c r="K210" i="5"/>
  <c r="J210" i="5"/>
  <c r="I210" i="5"/>
  <c r="H210" i="5"/>
  <c r="G210" i="5"/>
  <c r="F210" i="5"/>
  <c r="E210" i="5"/>
  <c r="D210" i="5"/>
  <c r="C210" i="5"/>
  <c r="B210" i="5"/>
  <c r="A210" i="5"/>
  <c r="M210" i="5" s="1"/>
  <c r="N209" i="5"/>
  <c r="L209" i="5"/>
  <c r="K209" i="5"/>
  <c r="J209" i="5"/>
  <c r="I209" i="5"/>
  <c r="H209" i="5"/>
  <c r="G209" i="5"/>
  <c r="F209" i="5"/>
  <c r="E209" i="5"/>
  <c r="D209" i="5"/>
  <c r="C209" i="5"/>
  <c r="B209" i="5"/>
  <c r="A209" i="5"/>
  <c r="M209" i="5" s="1"/>
  <c r="N208" i="5"/>
  <c r="L208" i="5"/>
  <c r="K208" i="5"/>
  <c r="J208" i="5"/>
  <c r="I208" i="5"/>
  <c r="H208" i="5"/>
  <c r="G208" i="5"/>
  <c r="F208" i="5"/>
  <c r="E208" i="5"/>
  <c r="D208" i="5"/>
  <c r="C208" i="5"/>
  <c r="B208" i="5"/>
  <c r="A208" i="5"/>
  <c r="M208" i="5" s="1"/>
  <c r="N207" i="5"/>
  <c r="L207" i="5"/>
  <c r="K207" i="5"/>
  <c r="J207" i="5"/>
  <c r="I207" i="5"/>
  <c r="H207" i="5"/>
  <c r="G207" i="5"/>
  <c r="F207" i="5"/>
  <c r="E207" i="5"/>
  <c r="D207" i="5"/>
  <c r="C207" i="5"/>
  <c r="B207" i="5"/>
  <c r="A207" i="5"/>
  <c r="M207" i="5" s="1"/>
  <c r="N206" i="5"/>
  <c r="L206" i="5"/>
  <c r="K206" i="5"/>
  <c r="J206" i="5"/>
  <c r="I206" i="5"/>
  <c r="H206" i="5"/>
  <c r="G206" i="5"/>
  <c r="F206" i="5"/>
  <c r="E206" i="5"/>
  <c r="D206" i="5"/>
  <c r="C206" i="5"/>
  <c r="B206" i="5"/>
  <c r="A206" i="5"/>
  <c r="M206" i="5" s="1"/>
  <c r="N205" i="5"/>
  <c r="L205" i="5"/>
  <c r="K205" i="5"/>
  <c r="J205" i="5"/>
  <c r="I205" i="5"/>
  <c r="H205" i="5"/>
  <c r="G205" i="5"/>
  <c r="F205" i="5"/>
  <c r="E205" i="5"/>
  <c r="D205" i="5"/>
  <c r="C205" i="5"/>
  <c r="B205" i="5"/>
  <c r="A205" i="5"/>
  <c r="M205" i="5" s="1"/>
  <c r="N204" i="5"/>
  <c r="L204" i="5"/>
  <c r="K204" i="5"/>
  <c r="J204" i="5"/>
  <c r="I204" i="5"/>
  <c r="H204" i="5"/>
  <c r="G204" i="5"/>
  <c r="F204" i="5"/>
  <c r="E204" i="5"/>
  <c r="D204" i="5"/>
  <c r="C204" i="5"/>
  <c r="B204" i="5"/>
  <c r="A204" i="5"/>
  <c r="M204" i="5" s="1"/>
  <c r="N203" i="5"/>
  <c r="L203" i="5"/>
  <c r="K203" i="5"/>
  <c r="J203" i="5"/>
  <c r="I203" i="5"/>
  <c r="H203" i="5"/>
  <c r="G203" i="5"/>
  <c r="F203" i="5"/>
  <c r="E203" i="5"/>
  <c r="D203" i="5"/>
  <c r="C203" i="5"/>
  <c r="B203" i="5"/>
  <c r="A203" i="5"/>
  <c r="M203" i="5" s="1"/>
  <c r="N202" i="5"/>
  <c r="L202" i="5"/>
  <c r="K202" i="5"/>
  <c r="J202" i="5"/>
  <c r="I202" i="5"/>
  <c r="H202" i="5"/>
  <c r="G202" i="5"/>
  <c r="F202" i="5"/>
  <c r="E202" i="5"/>
  <c r="D202" i="5"/>
  <c r="C202" i="5"/>
  <c r="B202" i="5"/>
  <c r="A202" i="5"/>
  <c r="M202" i="5" s="1"/>
  <c r="N201" i="5"/>
  <c r="L201" i="5"/>
  <c r="K201" i="5"/>
  <c r="J201" i="5"/>
  <c r="I201" i="5"/>
  <c r="H201" i="5"/>
  <c r="G201" i="5"/>
  <c r="F201" i="5"/>
  <c r="E201" i="5"/>
  <c r="D201" i="5"/>
  <c r="C201" i="5"/>
  <c r="B201" i="5"/>
  <c r="A201" i="5"/>
  <c r="M201" i="5" s="1"/>
  <c r="N200" i="5"/>
  <c r="L200" i="5"/>
  <c r="K200" i="5"/>
  <c r="J200" i="5"/>
  <c r="I200" i="5"/>
  <c r="H200" i="5"/>
  <c r="G200" i="5"/>
  <c r="F200" i="5"/>
  <c r="E200" i="5"/>
  <c r="D200" i="5"/>
  <c r="C200" i="5"/>
  <c r="B200" i="5"/>
  <c r="A200" i="5"/>
  <c r="M200" i="5" s="1"/>
  <c r="N199" i="5"/>
  <c r="L199" i="5"/>
  <c r="K199" i="5"/>
  <c r="J199" i="5"/>
  <c r="I199" i="5"/>
  <c r="H199" i="5"/>
  <c r="G199" i="5"/>
  <c r="F199" i="5"/>
  <c r="E199" i="5"/>
  <c r="D199" i="5"/>
  <c r="C199" i="5"/>
  <c r="B199" i="5"/>
  <c r="A199" i="5"/>
  <c r="M199" i="5" s="1"/>
  <c r="N198" i="5"/>
  <c r="L198" i="5"/>
  <c r="K198" i="5"/>
  <c r="J198" i="5"/>
  <c r="I198" i="5"/>
  <c r="H198" i="5"/>
  <c r="G198" i="5"/>
  <c r="F198" i="5"/>
  <c r="E198" i="5"/>
  <c r="D198" i="5"/>
  <c r="C198" i="5"/>
  <c r="B198" i="5"/>
  <c r="A198" i="5"/>
  <c r="M198" i="5" s="1"/>
  <c r="N197" i="5"/>
  <c r="L197" i="5"/>
  <c r="K197" i="5"/>
  <c r="J197" i="5"/>
  <c r="I197" i="5"/>
  <c r="H197" i="5"/>
  <c r="G197" i="5"/>
  <c r="F197" i="5"/>
  <c r="E197" i="5"/>
  <c r="D197" i="5"/>
  <c r="C197" i="5"/>
  <c r="B197" i="5"/>
  <c r="A197" i="5"/>
  <c r="M197" i="5" s="1"/>
  <c r="N196" i="5"/>
  <c r="L196" i="5"/>
  <c r="K196" i="5"/>
  <c r="J196" i="5"/>
  <c r="I196" i="5"/>
  <c r="H196" i="5"/>
  <c r="G196" i="5"/>
  <c r="F196" i="5"/>
  <c r="E196" i="5"/>
  <c r="D196" i="5"/>
  <c r="C196" i="5"/>
  <c r="B196" i="5"/>
  <c r="A196" i="5"/>
  <c r="M196" i="5" s="1"/>
  <c r="N195" i="5"/>
  <c r="L195" i="5"/>
  <c r="K195" i="5"/>
  <c r="J195" i="5"/>
  <c r="I195" i="5"/>
  <c r="H195" i="5"/>
  <c r="G195" i="5"/>
  <c r="F195" i="5"/>
  <c r="E195" i="5"/>
  <c r="D195" i="5"/>
  <c r="C195" i="5"/>
  <c r="B195" i="5"/>
  <c r="A195" i="5"/>
  <c r="M195" i="5" s="1"/>
  <c r="N194" i="5"/>
  <c r="L194" i="5"/>
  <c r="K194" i="5"/>
  <c r="J194" i="5"/>
  <c r="I194" i="5"/>
  <c r="H194" i="5"/>
  <c r="G194" i="5"/>
  <c r="F194" i="5"/>
  <c r="E194" i="5"/>
  <c r="D194" i="5"/>
  <c r="C194" i="5"/>
  <c r="B194" i="5"/>
  <c r="A194" i="5"/>
  <c r="M194" i="5" s="1"/>
  <c r="N193" i="5"/>
  <c r="L193" i="5"/>
  <c r="K193" i="5"/>
  <c r="J193" i="5"/>
  <c r="I193" i="5"/>
  <c r="H193" i="5"/>
  <c r="G193" i="5"/>
  <c r="F193" i="5"/>
  <c r="E193" i="5"/>
  <c r="D193" i="5"/>
  <c r="C193" i="5"/>
  <c r="B193" i="5"/>
  <c r="A193" i="5"/>
  <c r="M193" i="5" s="1"/>
  <c r="N192" i="5"/>
  <c r="L192" i="5"/>
  <c r="K192" i="5"/>
  <c r="J192" i="5"/>
  <c r="I192" i="5"/>
  <c r="H192" i="5"/>
  <c r="G192" i="5"/>
  <c r="F192" i="5"/>
  <c r="E192" i="5"/>
  <c r="D192" i="5"/>
  <c r="C192" i="5"/>
  <c r="B192" i="5"/>
  <c r="A192" i="5"/>
  <c r="M192" i="5" s="1"/>
  <c r="N191" i="5"/>
  <c r="L191" i="5"/>
  <c r="K191" i="5"/>
  <c r="J191" i="5"/>
  <c r="I191" i="5"/>
  <c r="H191" i="5"/>
  <c r="G191" i="5"/>
  <c r="F191" i="5"/>
  <c r="E191" i="5"/>
  <c r="D191" i="5"/>
  <c r="C191" i="5"/>
  <c r="B191" i="5"/>
  <c r="A191" i="5"/>
  <c r="M191" i="5" s="1"/>
  <c r="N190" i="5"/>
  <c r="L190" i="5"/>
  <c r="K190" i="5"/>
  <c r="J190" i="5"/>
  <c r="I190" i="5"/>
  <c r="H190" i="5"/>
  <c r="G190" i="5"/>
  <c r="F190" i="5"/>
  <c r="E190" i="5"/>
  <c r="D190" i="5"/>
  <c r="C190" i="5"/>
  <c r="B190" i="5"/>
  <c r="A190" i="5"/>
  <c r="M190" i="5" s="1"/>
  <c r="N189" i="5"/>
  <c r="L189" i="5"/>
  <c r="K189" i="5"/>
  <c r="J189" i="5"/>
  <c r="I189" i="5"/>
  <c r="H189" i="5"/>
  <c r="G189" i="5"/>
  <c r="F189" i="5"/>
  <c r="E189" i="5"/>
  <c r="D189" i="5"/>
  <c r="C189" i="5"/>
  <c r="B189" i="5"/>
  <c r="A189" i="5"/>
  <c r="M189" i="5" s="1"/>
  <c r="N188" i="5"/>
  <c r="L188" i="5"/>
  <c r="K188" i="5"/>
  <c r="J188" i="5"/>
  <c r="I188" i="5"/>
  <c r="H188" i="5"/>
  <c r="G188" i="5"/>
  <c r="F188" i="5"/>
  <c r="E188" i="5"/>
  <c r="D188" i="5"/>
  <c r="C188" i="5"/>
  <c r="B188" i="5"/>
  <c r="A188" i="5"/>
  <c r="M188" i="5" s="1"/>
  <c r="N187" i="5"/>
  <c r="L187" i="5"/>
  <c r="K187" i="5"/>
  <c r="J187" i="5"/>
  <c r="I187" i="5"/>
  <c r="H187" i="5"/>
  <c r="G187" i="5"/>
  <c r="F187" i="5"/>
  <c r="E187" i="5"/>
  <c r="D187" i="5"/>
  <c r="C187" i="5"/>
  <c r="B187" i="5"/>
  <c r="A187" i="5"/>
  <c r="M187" i="5" s="1"/>
  <c r="N186" i="5"/>
  <c r="L186" i="5"/>
  <c r="K186" i="5"/>
  <c r="J186" i="5"/>
  <c r="I186" i="5"/>
  <c r="H186" i="5"/>
  <c r="G186" i="5"/>
  <c r="F186" i="5"/>
  <c r="E186" i="5"/>
  <c r="D186" i="5"/>
  <c r="C186" i="5"/>
  <c r="B186" i="5"/>
  <c r="A186" i="5"/>
  <c r="M186" i="5" s="1"/>
  <c r="N185" i="5"/>
  <c r="L185" i="5"/>
  <c r="K185" i="5"/>
  <c r="J185" i="5"/>
  <c r="I185" i="5"/>
  <c r="H185" i="5"/>
  <c r="G185" i="5"/>
  <c r="F185" i="5"/>
  <c r="E185" i="5"/>
  <c r="D185" i="5"/>
  <c r="C185" i="5"/>
  <c r="B185" i="5"/>
  <c r="A185" i="5"/>
  <c r="M185" i="5" s="1"/>
  <c r="N184" i="5"/>
  <c r="L184" i="5"/>
  <c r="K184" i="5"/>
  <c r="J184" i="5"/>
  <c r="I184" i="5"/>
  <c r="H184" i="5"/>
  <c r="G184" i="5"/>
  <c r="F184" i="5"/>
  <c r="E184" i="5"/>
  <c r="D184" i="5"/>
  <c r="C184" i="5"/>
  <c r="B184" i="5"/>
  <c r="A184" i="5"/>
  <c r="M184" i="5" s="1"/>
  <c r="N183" i="5"/>
  <c r="L183" i="5"/>
  <c r="K183" i="5"/>
  <c r="J183" i="5"/>
  <c r="I183" i="5"/>
  <c r="H183" i="5"/>
  <c r="G183" i="5"/>
  <c r="F183" i="5"/>
  <c r="E183" i="5"/>
  <c r="D183" i="5"/>
  <c r="C183" i="5"/>
  <c r="B183" i="5"/>
  <c r="A183" i="5"/>
  <c r="M183" i="5" s="1"/>
  <c r="N182" i="5"/>
  <c r="L182" i="5"/>
  <c r="K182" i="5"/>
  <c r="J182" i="5"/>
  <c r="I182" i="5"/>
  <c r="H182" i="5"/>
  <c r="G182" i="5"/>
  <c r="F182" i="5"/>
  <c r="E182" i="5"/>
  <c r="D182" i="5"/>
  <c r="C182" i="5"/>
  <c r="B182" i="5"/>
  <c r="A182" i="5"/>
  <c r="M182" i="5" s="1"/>
  <c r="N181" i="5"/>
  <c r="L181" i="5"/>
  <c r="K181" i="5"/>
  <c r="J181" i="5"/>
  <c r="I181" i="5"/>
  <c r="H181" i="5"/>
  <c r="G181" i="5"/>
  <c r="F181" i="5"/>
  <c r="E181" i="5"/>
  <c r="D181" i="5"/>
  <c r="C181" i="5"/>
  <c r="B181" i="5"/>
  <c r="A181" i="5"/>
  <c r="M181" i="5" s="1"/>
  <c r="N180" i="5"/>
  <c r="L180" i="5"/>
  <c r="K180" i="5"/>
  <c r="J180" i="5"/>
  <c r="I180" i="5"/>
  <c r="H180" i="5"/>
  <c r="G180" i="5"/>
  <c r="F180" i="5"/>
  <c r="E180" i="5"/>
  <c r="D180" i="5"/>
  <c r="C180" i="5"/>
  <c r="B180" i="5"/>
  <c r="A180" i="5"/>
  <c r="M180" i="5" s="1"/>
  <c r="N179" i="5"/>
  <c r="L179" i="5"/>
  <c r="K179" i="5"/>
  <c r="J179" i="5"/>
  <c r="I179" i="5"/>
  <c r="H179" i="5"/>
  <c r="G179" i="5"/>
  <c r="F179" i="5"/>
  <c r="E179" i="5"/>
  <c r="D179" i="5"/>
  <c r="C179" i="5"/>
  <c r="B179" i="5"/>
  <c r="A179" i="5"/>
  <c r="M179" i="5" s="1"/>
  <c r="N178" i="5"/>
  <c r="L178" i="5"/>
  <c r="K178" i="5"/>
  <c r="J178" i="5"/>
  <c r="I178" i="5"/>
  <c r="H178" i="5"/>
  <c r="G178" i="5"/>
  <c r="F178" i="5"/>
  <c r="E178" i="5"/>
  <c r="D178" i="5"/>
  <c r="C178" i="5"/>
  <c r="B178" i="5"/>
  <c r="A178" i="5"/>
  <c r="M178" i="5" s="1"/>
  <c r="N177" i="5"/>
  <c r="L177" i="5"/>
  <c r="K177" i="5"/>
  <c r="J177" i="5"/>
  <c r="I177" i="5"/>
  <c r="H177" i="5"/>
  <c r="G177" i="5"/>
  <c r="F177" i="5"/>
  <c r="E177" i="5"/>
  <c r="D177" i="5"/>
  <c r="C177" i="5"/>
  <c r="B177" i="5"/>
  <c r="A177" i="5"/>
  <c r="M177" i="5" s="1"/>
  <c r="N176" i="5"/>
  <c r="L176" i="5"/>
  <c r="K176" i="5"/>
  <c r="J176" i="5"/>
  <c r="I176" i="5"/>
  <c r="H176" i="5"/>
  <c r="G176" i="5"/>
  <c r="F176" i="5"/>
  <c r="E176" i="5"/>
  <c r="D176" i="5"/>
  <c r="C176" i="5"/>
  <c r="B176" i="5"/>
  <c r="A176" i="5"/>
  <c r="M176" i="5" s="1"/>
  <c r="N175" i="5"/>
  <c r="L175" i="5"/>
  <c r="K175" i="5"/>
  <c r="J175" i="5"/>
  <c r="I175" i="5"/>
  <c r="H175" i="5"/>
  <c r="G175" i="5"/>
  <c r="F175" i="5"/>
  <c r="E175" i="5"/>
  <c r="D175" i="5"/>
  <c r="C175" i="5"/>
  <c r="B175" i="5"/>
  <c r="A175" i="5"/>
  <c r="M175" i="5" s="1"/>
  <c r="N174" i="5"/>
  <c r="L174" i="5"/>
  <c r="K174" i="5"/>
  <c r="J174" i="5"/>
  <c r="I174" i="5"/>
  <c r="H174" i="5"/>
  <c r="G174" i="5"/>
  <c r="F174" i="5"/>
  <c r="E174" i="5"/>
  <c r="D174" i="5"/>
  <c r="C174" i="5"/>
  <c r="B174" i="5"/>
  <c r="A174" i="5"/>
  <c r="M174" i="5" s="1"/>
  <c r="N173" i="5"/>
  <c r="L173" i="5"/>
  <c r="K173" i="5"/>
  <c r="J173" i="5"/>
  <c r="I173" i="5"/>
  <c r="H173" i="5"/>
  <c r="G173" i="5"/>
  <c r="F173" i="5"/>
  <c r="E173" i="5"/>
  <c r="D173" i="5"/>
  <c r="C173" i="5"/>
  <c r="B173" i="5"/>
  <c r="A173" i="5"/>
  <c r="M173" i="5" s="1"/>
  <c r="N172" i="5"/>
  <c r="L172" i="5"/>
  <c r="K172" i="5"/>
  <c r="J172" i="5"/>
  <c r="I172" i="5"/>
  <c r="H172" i="5"/>
  <c r="G172" i="5"/>
  <c r="F172" i="5"/>
  <c r="E172" i="5"/>
  <c r="D172" i="5"/>
  <c r="C172" i="5"/>
  <c r="B172" i="5"/>
  <c r="A172" i="5"/>
  <c r="M172" i="5" s="1"/>
  <c r="N171" i="5"/>
  <c r="L171" i="5"/>
  <c r="K171" i="5"/>
  <c r="J171" i="5"/>
  <c r="I171" i="5"/>
  <c r="H171" i="5"/>
  <c r="G171" i="5"/>
  <c r="F171" i="5"/>
  <c r="E171" i="5"/>
  <c r="D171" i="5"/>
  <c r="C171" i="5"/>
  <c r="B171" i="5"/>
  <c r="A171" i="5"/>
  <c r="M171" i="5" s="1"/>
  <c r="N170" i="5"/>
  <c r="L170" i="5"/>
  <c r="K170" i="5"/>
  <c r="J170" i="5"/>
  <c r="I170" i="5"/>
  <c r="H170" i="5"/>
  <c r="G170" i="5"/>
  <c r="F170" i="5"/>
  <c r="E170" i="5"/>
  <c r="D170" i="5"/>
  <c r="C170" i="5"/>
  <c r="B170" i="5"/>
  <c r="A170" i="5"/>
  <c r="M170" i="5" s="1"/>
  <c r="N169" i="5"/>
  <c r="L169" i="5"/>
  <c r="K169" i="5"/>
  <c r="J169" i="5"/>
  <c r="I169" i="5"/>
  <c r="H169" i="5"/>
  <c r="G169" i="5"/>
  <c r="F169" i="5"/>
  <c r="E169" i="5"/>
  <c r="D169" i="5"/>
  <c r="C169" i="5"/>
  <c r="B169" i="5"/>
  <c r="A169" i="5"/>
  <c r="M169" i="5" s="1"/>
  <c r="N168" i="5"/>
  <c r="L168" i="5"/>
  <c r="K168" i="5"/>
  <c r="J168" i="5"/>
  <c r="I168" i="5"/>
  <c r="H168" i="5"/>
  <c r="G168" i="5"/>
  <c r="F168" i="5"/>
  <c r="E168" i="5"/>
  <c r="D168" i="5"/>
  <c r="C168" i="5"/>
  <c r="B168" i="5"/>
  <c r="A168" i="5"/>
  <c r="M168" i="5" s="1"/>
  <c r="N167" i="5"/>
  <c r="L167" i="5"/>
  <c r="K167" i="5"/>
  <c r="J167" i="5"/>
  <c r="I167" i="5"/>
  <c r="H167" i="5"/>
  <c r="G167" i="5"/>
  <c r="F167" i="5"/>
  <c r="E167" i="5"/>
  <c r="D167" i="5"/>
  <c r="C167" i="5"/>
  <c r="B167" i="5"/>
  <c r="A167" i="5"/>
  <c r="M167" i="5" s="1"/>
  <c r="N166" i="5"/>
  <c r="L166" i="5"/>
  <c r="K166" i="5"/>
  <c r="J166" i="5"/>
  <c r="I166" i="5"/>
  <c r="H166" i="5"/>
  <c r="G166" i="5"/>
  <c r="F166" i="5"/>
  <c r="E166" i="5"/>
  <c r="D166" i="5"/>
  <c r="C166" i="5"/>
  <c r="B166" i="5"/>
  <c r="A166" i="5"/>
  <c r="M166" i="5" s="1"/>
  <c r="N165" i="5"/>
  <c r="L165" i="5"/>
  <c r="K165" i="5"/>
  <c r="J165" i="5"/>
  <c r="I165" i="5"/>
  <c r="H165" i="5"/>
  <c r="G165" i="5"/>
  <c r="F165" i="5"/>
  <c r="E165" i="5"/>
  <c r="D165" i="5"/>
  <c r="C165" i="5"/>
  <c r="B165" i="5"/>
  <c r="A165" i="5"/>
  <c r="M165" i="5" s="1"/>
  <c r="N164" i="5"/>
  <c r="L164" i="5"/>
  <c r="K164" i="5"/>
  <c r="J164" i="5"/>
  <c r="I164" i="5"/>
  <c r="H164" i="5"/>
  <c r="G164" i="5"/>
  <c r="F164" i="5"/>
  <c r="E164" i="5"/>
  <c r="D164" i="5"/>
  <c r="C164" i="5"/>
  <c r="B164" i="5"/>
  <c r="A164" i="5"/>
  <c r="M164" i="5" s="1"/>
  <c r="N163" i="5"/>
  <c r="L163" i="5"/>
  <c r="K163" i="5"/>
  <c r="J163" i="5"/>
  <c r="I163" i="5"/>
  <c r="H163" i="5"/>
  <c r="G163" i="5"/>
  <c r="F163" i="5"/>
  <c r="E163" i="5"/>
  <c r="D163" i="5"/>
  <c r="C163" i="5"/>
  <c r="B163" i="5"/>
  <c r="A163" i="5"/>
  <c r="M163" i="5" s="1"/>
  <c r="N162" i="5"/>
  <c r="L162" i="5"/>
  <c r="K162" i="5"/>
  <c r="J162" i="5"/>
  <c r="I162" i="5"/>
  <c r="H162" i="5"/>
  <c r="G162" i="5"/>
  <c r="F162" i="5"/>
  <c r="E162" i="5"/>
  <c r="D162" i="5"/>
  <c r="C162" i="5"/>
  <c r="B162" i="5"/>
  <c r="A162" i="5"/>
  <c r="M162" i="5" s="1"/>
  <c r="N161" i="5"/>
  <c r="L161" i="5"/>
  <c r="K161" i="5"/>
  <c r="J161" i="5"/>
  <c r="I161" i="5"/>
  <c r="H161" i="5"/>
  <c r="G161" i="5"/>
  <c r="F161" i="5"/>
  <c r="E161" i="5"/>
  <c r="D161" i="5"/>
  <c r="C161" i="5"/>
  <c r="B161" i="5"/>
  <c r="A161" i="5"/>
  <c r="M161" i="5" s="1"/>
  <c r="N160" i="5"/>
  <c r="L160" i="5"/>
  <c r="K160" i="5"/>
  <c r="J160" i="5"/>
  <c r="I160" i="5"/>
  <c r="H160" i="5"/>
  <c r="G160" i="5"/>
  <c r="F160" i="5"/>
  <c r="E160" i="5"/>
  <c r="D160" i="5"/>
  <c r="C160" i="5"/>
  <c r="B160" i="5"/>
  <c r="A160" i="5"/>
  <c r="M160" i="5" s="1"/>
  <c r="N159" i="5"/>
  <c r="L159" i="5"/>
  <c r="K159" i="5"/>
  <c r="J159" i="5"/>
  <c r="I159" i="5"/>
  <c r="H159" i="5"/>
  <c r="G159" i="5"/>
  <c r="F159" i="5"/>
  <c r="E159" i="5"/>
  <c r="D159" i="5"/>
  <c r="C159" i="5"/>
  <c r="B159" i="5"/>
  <c r="A159" i="5"/>
  <c r="M159" i="5" s="1"/>
  <c r="N158" i="5"/>
  <c r="L158" i="5"/>
  <c r="K158" i="5"/>
  <c r="J158" i="5"/>
  <c r="I158" i="5"/>
  <c r="H158" i="5"/>
  <c r="G158" i="5"/>
  <c r="F158" i="5"/>
  <c r="E158" i="5"/>
  <c r="D158" i="5"/>
  <c r="C158" i="5"/>
  <c r="B158" i="5"/>
  <c r="A158" i="5"/>
  <c r="M158" i="5" s="1"/>
  <c r="N157" i="5"/>
  <c r="L157" i="5"/>
  <c r="K157" i="5"/>
  <c r="J157" i="5"/>
  <c r="I157" i="5"/>
  <c r="H157" i="5"/>
  <c r="G157" i="5"/>
  <c r="F157" i="5"/>
  <c r="E157" i="5"/>
  <c r="D157" i="5"/>
  <c r="C157" i="5"/>
  <c r="B157" i="5"/>
  <c r="A157" i="5"/>
  <c r="M157" i="5" s="1"/>
  <c r="N156" i="5"/>
  <c r="L156" i="5"/>
  <c r="K156" i="5"/>
  <c r="J156" i="5"/>
  <c r="I156" i="5"/>
  <c r="H156" i="5"/>
  <c r="G156" i="5"/>
  <c r="F156" i="5"/>
  <c r="E156" i="5"/>
  <c r="D156" i="5"/>
  <c r="C156" i="5"/>
  <c r="B156" i="5"/>
  <c r="A156" i="5"/>
  <c r="M156" i="5" s="1"/>
  <c r="N155" i="5"/>
  <c r="L155" i="5"/>
  <c r="K155" i="5"/>
  <c r="J155" i="5"/>
  <c r="I155" i="5"/>
  <c r="H155" i="5"/>
  <c r="G155" i="5"/>
  <c r="F155" i="5"/>
  <c r="E155" i="5"/>
  <c r="D155" i="5"/>
  <c r="C155" i="5"/>
  <c r="B155" i="5"/>
  <c r="A155" i="5"/>
  <c r="M155" i="5" s="1"/>
  <c r="N154" i="5"/>
  <c r="L154" i="5"/>
  <c r="K154" i="5"/>
  <c r="J154" i="5"/>
  <c r="I154" i="5"/>
  <c r="H154" i="5"/>
  <c r="G154" i="5"/>
  <c r="F154" i="5"/>
  <c r="E154" i="5"/>
  <c r="D154" i="5"/>
  <c r="C154" i="5"/>
  <c r="B154" i="5"/>
  <c r="A154" i="5"/>
  <c r="M154" i="5" s="1"/>
  <c r="N153" i="5"/>
  <c r="L153" i="5"/>
  <c r="K153" i="5"/>
  <c r="J153" i="5"/>
  <c r="I153" i="5"/>
  <c r="H153" i="5"/>
  <c r="G153" i="5"/>
  <c r="F153" i="5"/>
  <c r="E153" i="5"/>
  <c r="D153" i="5"/>
  <c r="C153" i="5"/>
  <c r="B153" i="5"/>
  <c r="A153" i="5"/>
  <c r="M153" i="5" s="1"/>
  <c r="N152" i="5"/>
  <c r="L152" i="5"/>
  <c r="K152" i="5"/>
  <c r="J152" i="5"/>
  <c r="I152" i="5"/>
  <c r="H152" i="5"/>
  <c r="G152" i="5"/>
  <c r="F152" i="5"/>
  <c r="E152" i="5"/>
  <c r="D152" i="5"/>
  <c r="C152" i="5"/>
  <c r="B152" i="5"/>
  <c r="A152" i="5"/>
  <c r="M152" i="5" s="1"/>
  <c r="N151" i="5"/>
  <c r="L151" i="5"/>
  <c r="K151" i="5"/>
  <c r="J151" i="5"/>
  <c r="I151" i="5"/>
  <c r="H151" i="5"/>
  <c r="G151" i="5"/>
  <c r="F151" i="5"/>
  <c r="E151" i="5"/>
  <c r="D151" i="5"/>
  <c r="C151" i="5"/>
  <c r="B151" i="5"/>
  <c r="A151" i="5"/>
  <c r="M151" i="5" s="1"/>
  <c r="N150" i="5"/>
  <c r="L150" i="5"/>
  <c r="K150" i="5"/>
  <c r="J150" i="5"/>
  <c r="I150" i="5"/>
  <c r="H150" i="5"/>
  <c r="G150" i="5"/>
  <c r="F150" i="5"/>
  <c r="E150" i="5"/>
  <c r="D150" i="5"/>
  <c r="C150" i="5"/>
  <c r="B150" i="5"/>
  <c r="A150" i="5"/>
  <c r="M150" i="5" s="1"/>
  <c r="N149" i="5"/>
  <c r="L149" i="5"/>
  <c r="K149" i="5"/>
  <c r="J149" i="5"/>
  <c r="I149" i="5"/>
  <c r="H149" i="5"/>
  <c r="G149" i="5"/>
  <c r="F149" i="5"/>
  <c r="E149" i="5"/>
  <c r="D149" i="5"/>
  <c r="C149" i="5"/>
  <c r="B149" i="5"/>
  <c r="A149" i="5"/>
  <c r="M149" i="5" s="1"/>
  <c r="N148" i="5"/>
  <c r="L148" i="5"/>
  <c r="K148" i="5"/>
  <c r="J148" i="5"/>
  <c r="I148" i="5"/>
  <c r="H148" i="5"/>
  <c r="G148" i="5"/>
  <c r="F148" i="5"/>
  <c r="E148" i="5"/>
  <c r="D148" i="5"/>
  <c r="C148" i="5"/>
  <c r="B148" i="5"/>
  <c r="A148" i="5"/>
  <c r="M148" i="5" s="1"/>
  <c r="N147" i="5"/>
  <c r="L147" i="5"/>
  <c r="K147" i="5"/>
  <c r="J147" i="5"/>
  <c r="I147" i="5"/>
  <c r="H147" i="5"/>
  <c r="G147" i="5"/>
  <c r="F147" i="5"/>
  <c r="E147" i="5"/>
  <c r="D147" i="5"/>
  <c r="C147" i="5"/>
  <c r="B147" i="5"/>
  <c r="A147" i="5"/>
  <c r="M147" i="5" s="1"/>
  <c r="N146" i="5"/>
  <c r="L146" i="5"/>
  <c r="K146" i="5"/>
  <c r="J146" i="5"/>
  <c r="I146" i="5"/>
  <c r="H146" i="5"/>
  <c r="G146" i="5"/>
  <c r="F146" i="5"/>
  <c r="E146" i="5"/>
  <c r="D146" i="5"/>
  <c r="C146" i="5"/>
  <c r="B146" i="5"/>
  <c r="A146" i="5"/>
  <c r="M146" i="5" s="1"/>
  <c r="N145" i="5"/>
  <c r="L145" i="5"/>
  <c r="K145" i="5"/>
  <c r="J145" i="5"/>
  <c r="I145" i="5"/>
  <c r="H145" i="5"/>
  <c r="G145" i="5"/>
  <c r="F145" i="5"/>
  <c r="E145" i="5"/>
  <c r="D145" i="5"/>
  <c r="C145" i="5"/>
  <c r="B145" i="5"/>
  <c r="A145" i="5"/>
  <c r="M145" i="5" s="1"/>
  <c r="N144" i="5"/>
  <c r="L144" i="5"/>
  <c r="K144" i="5"/>
  <c r="J144" i="5"/>
  <c r="I144" i="5"/>
  <c r="H144" i="5"/>
  <c r="G144" i="5"/>
  <c r="F144" i="5"/>
  <c r="E144" i="5"/>
  <c r="D144" i="5"/>
  <c r="C144" i="5"/>
  <c r="B144" i="5"/>
  <c r="A144" i="5"/>
  <c r="M144" i="5" s="1"/>
  <c r="N143" i="5"/>
  <c r="L143" i="5"/>
  <c r="K143" i="5"/>
  <c r="J143" i="5"/>
  <c r="I143" i="5"/>
  <c r="H143" i="5"/>
  <c r="G143" i="5"/>
  <c r="F143" i="5"/>
  <c r="E143" i="5"/>
  <c r="D143" i="5"/>
  <c r="C143" i="5"/>
  <c r="B143" i="5"/>
  <c r="A143" i="5"/>
  <c r="M143" i="5" s="1"/>
  <c r="N142" i="5"/>
  <c r="L142" i="5"/>
  <c r="K142" i="5"/>
  <c r="J142" i="5"/>
  <c r="I142" i="5"/>
  <c r="H142" i="5"/>
  <c r="G142" i="5"/>
  <c r="F142" i="5"/>
  <c r="E142" i="5"/>
  <c r="D142" i="5"/>
  <c r="C142" i="5"/>
  <c r="B142" i="5"/>
  <c r="A142" i="5"/>
  <c r="M142" i="5" s="1"/>
  <c r="N141" i="5"/>
  <c r="L141" i="5"/>
  <c r="K141" i="5"/>
  <c r="J141" i="5"/>
  <c r="I141" i="5"/>
  <c r="H141" i="5"/>
  <c r="G141" i="5"/>
  <c r="F141" i="5"/>
  <c r="E141" i="5"/>
  <c r="D141" i="5"/>
  <c r="C141" i="5"/>
  <c r="B141" i="5"/>
  <c r="A141" i="5"/>
  <c r="M141" i="5" s="1"/>
  <c r="N140" i="5"/>
  <c r="L140" i="5"/>
  <c r="K140" i="5"/>
  <c r="J140" i="5"/>
  <c r="I140" i="5"/>
  <c r="H140" i="5"/>
  <c r="G140" i="5"/>
  <c r="F140" i="5"/>
  <c r="E140" i="5"/>
  <c r="D140" i="5"/>
  <c r="C140" i="5"/>
  <c r="B140" i="5"/>
  <c r="A140" i="5"/>
  <c r="M140" i="5" s="1"/>
  <c r="N139" i="5"/>
  <c r="L139" i="5"/>
  <c r="K139" i="5"/>
  <c r="J139" i="5"/>
  <c r="I139" i="5"/>
  <c r="H139" i="5"/>
  <c r="G139" i="5"/>
  <c r="F139" i="5"/>
  <c r="E139" i="5"/>
  <c r="D139" i="5"/>
  <c r="C139" i="5"/>
  <c r="B139" i="5"/>
  <c r="A139" i="5"/>
  <c r="M139" i="5" s="1"/>
  <c r="N138" i="5"/>
  <c r="L138" i="5"/>
  <c r="K138" i="5"/>
  <c r="J138" i="5"/>
  <c r="I138" i="5"/>
  <c r="H138" i="5"/>
  <c r="G138" i="5"/>
  <c r="F138" i="5"/>
  <c r="E138" i="5"/>
  <c r="D138" i="5"/>
  <c r="C138" i="5"/>
  <c r="B138" i="5"/>
  <c r="A138" i="5"/>
  <c r="M138" i="5" s="1"/>
  <c r="N137" i="5"/>
  <c r="L137" i="5"/>
  <c r="K137" i="5"/>
  <c r="J137" i="5"/>
  <c r="I137" i="5"/>
  <c r="H137" i="5"/>
  <c r="G137" i="5"/>
  <c r="F137" i="5"/>
  <c r="E137" i="5"/>
  <c r="D137" i="5"/>
  <c r="C137" i="5"/>
  <c r="B137" i="5"/>
  <c r="A137" i="5"/>
  <c r="M137" i="5" s="1"/>
  <c r="N136" i="5"/>
  <c r="L136" i="5"/>
  <c r="K136" i="5"/>
  <c r="J136" i="5"/>
  <c r="I136" i="5"/>
  <c r="H136" i="5"/>
  <c r="G136" i="5"/>
  <c r="F136" i="5"/>
  <c r="E136" i="5"/>
  <c r="D136" i="5"/>
  <c r="C136" i="5"/>
  <c r="B136" i="5"/>
  <c r="A136" i="5"/>
  <c r="M136" i="5" s="1"/>
  <c r="N135" i="5"/>
  <c r="L135" i="5"/>
  <c r="K135" i="5"/>
  <c r="J135" i="5"/>
  <c r="I135" i="5"/>
  <c r="H135" i="5"/>
  <c r="G135" i="5"/>
  <c r="F135" i="5"/>
  <c r="E135" i="5"/>
  <c r="D135" i="5"/>
  <c r="C135" i="5"/>
  <c r="B135" i="5"/>
  <c r="A135" i="5"/>
  <c r="M135" i="5" s="1"/>
  <c r="N134" i="5"/>
  <c r="L134" i="5"/>
  <c r="K134" i="5"/>
  <c r="J134" i="5"/>
  <c r="I134" i="5"/>
  <c r="H134" i="5"/>
  <c r="G134" i="5"/>
  <c r="F134" i="5"/>
  <c r="E134" i="5"/>
  <c r="D134" i="5"/>
  <c r="C134" i="5"/>
  <c r="B134" i="5"/>
  <c r="A134" i="5"/>
  <c r="M134" i="5" s="1"/>
  <c r="N133" i="5"/>
  <c r="L133" i="5"/>
  <c r="K133" i="5"/>
  <c r="J133" i="5"/>
  <c r="I133" i="5"/>
  <c r="H133" i="5"/>
  <c r="G133" i="5"/>
  <c r="F133" i="5"/>
  <c r="E133" i="5"/>
  <c r="D133" i="5"/>
  <c r="C133" i="5"/>
  <c r="B133" i="5"/>
  <c r="A133" i="5"/>
  <c r="M133" i="5" s="1"/>
  <c r="N132" i="5"/>
  <c r="L132" i="5"/>
  <c r="K132" i="5"/>
  <c r="J132" i="5"/>
  <c r="I132" i="5"/>
  <c r="H132" i="5"/>
  <c r="G132" i="5"/>
  <c r="F132" i="5"/>
  <c r="E132" i="5"/>
  <c r="D132" i="5"/>
  <c r="C132" i="5"/>
  <c r="B132" i="5"/>
  <c r="A132" i="5"/>
  <c r="M132" i="5" s="1"/>
  <c r="N131" i="5"/>
  <c r="L131" i="5"/>
  <c r="K131" i="5"/>
  <c r="J131" i="5"/>
  <c r="I131" i="5"/>
  <c r="H131" i="5"/>
  <c r="G131" i="5"/>
  <c r="F131" i="5"/>
  <c r="E131" i="5"/>
  <c r="D131" i="5"/>
  <c r="C131" i="5"/>
  <c r="B131" i="5"/>
  <c r="A131" i="5"/>
  <c r="M131" i="5" s="1"/>
  <c r="N130" i="5"/>
  <c r="L130" i="5"/>
  <c r="K130" i="5"/>
  <c r="J130" i="5"/>
  <c r="I130" i="5"/>
  <c r="H130" i="5"/>
  <c r="G130" i="5"/>
  <c r="F130" i="5"/>
  <c r="E130" i="5"/>
  <c r="D130" i="5"/>
  <c r="C130" i="5"/>
  <c r="B130" i="5"/>
  <c r="A130" i="5"/>
  <c r="M130" i="5" s="1"/>
  <c r="N129" i="5"/>
  <c r="L129" i="5"/>
  <c r="K129" i="5"/>
  <c r="J129" i="5"/>
  <c r="I129" i="5"/>
  <c r="H129" i="5"/>
  <c r="G129" i="5"/>
  <c r="F129" i="5"/>
  <c r="E129" i="5"/>
  <c r="D129" i="5"/>
  <c r="C129" i="5"/>
  <c r="B129" i="5"/>
  <c r="A129" i="5"/>
  <c r="M129" i="5" s="1"/>
  <c r="N128" i="5"/>
  <c r="L128" i="5"/>
  <c r="K128" i="5"/>
  <c r="J128" i="5"/>
  <c r="I128" i="5"/>
  <c r="H128" i="5"/>
  <c r="G128" i="5"/>
  <c r="F128" i="5"/>
  <c r="E128" i="5"/>
  <c r="D128" i="5"/>
  <c r="C128" i="5"/>
  <c r="B128" i="5"/>
  <c r="A128" i="5"/>
  <c r="M128" i="5" s="1"/>
  <c r="N127" i="5"/>
  <c r="L127" i="5"/>
  <c r="K127" i="5"/>
  <c r="J127" i="5"/>
  <c r="I127" i="5"/>
  <c r="H127" i="5"/>
  <c r="G127" i="5"/>
  <c r="F127" i="5"/>
  <c r="E127" i="5"/>
  <c r="D127" i="5"/>
  <c r="C127" i="5"/>
  <c r="B127" i="5"/>
  <c r="A127" i="5"/>
  <c r="M127" i="5" s="1"/>
  <c r="N126" i="5"/>
  <c r="L126" i="5"/>
  <c r="K126" i="5"/>
  <c r="J126" i="5"/>
  <c r="I126" i="5"/>
  <c r="H126" i="5"/>
  <c r="G126" i="5"/>
  <c r="F126" i="5"/>
  <c r="E126" i="5"/>
  <c r="D126" i="5"/>
  <c r="C126" i="5"/>
  <c r="B126" i="5"/>
  <c r="A126" i="5"/>
  <c r="M126" i="5" s="1"/>
  <c r="N125" i="5"/>
  <c r="L125" i="5"/>
  <c r="K125" i="5"/>
  <c r="J125" i="5"/>
  <c r="I125" i="5"/>
  <c r="H125" i="5"/>
  <c r="G125" i="5"/>
  <c r="F125" i="5"/>
  <c r="E125" i="5"/>
  <c r="D125" i="5"/>
  <c r="C125" i="5"/>
  <c r="B125" i="5"/>
  <c r="A125" i="5"/>
  <c r="M125" i="5" s="1"/>
  <c r="N124" i="5"/>
  <c r="L124" i="5"/>
  <c r="K124" i="5"/>
  <c r="J124" i="5"/>
  <c r="I124" i="5"/>
  <c r="H124" i="5"/>
  <c r="G124" i="5"/>
  <c r="F124" i="5"/>
  <c r="E124" i="5"/>
  <c r="D124" i="5"/>
  <c r="C124" i="5"/>
  <c r="B124" i="5"/>
  <c r="A124" i="5"/>
  <c r="M124" i="5" s="1"/>
  <c r="N123" i="5"/>
  <c r="L123" i="5"/>
  <c r="K123" i="5"/>
  <c r="J123" i="5"/>
  <c r="I123" i="5"/>
  <c r="H123" i="5"/>
  <c r="G123" i="5"/>
  <c r="F123" i="5"/>
  <c r="E123" i="5"/>
  <c r="D123" i="5"/>
  <c r="C123" i="5"/>
  <c r="B123" i="5"/>
  <c r="A123" i="5"/>
  <c r="M123" i="5" s="1"/>
  <c r="N122" i="5"/>
  <c r="L122" i="5"/>
  <c r="K122" i="5"/>
  <c r="J122" i="5"/>
  <c r="I122" i="5"/>
  <c r="H122" i="5"/>
  <c r="G122" i="5"/>
  <c r="F122" i="5"/>
  <c r="E122" i="5"/>
  <c r="D122" i="5"/>
  <c r="C122" i="5"/>
  <c r="B122" i="5"/>
  <c r="A122" i="5"/>
  <c r="M122" i="5" s="1"/>
  <c r="N121" i="5"/>
  <c r="L121" i="5"/>
  <c r="K121" i="5"/>
  <c r="J121" i="5"/>
  <c r="I121" i="5"/>
  <c r="H121" i="5"/>
  <c r="G121" i="5"/>
  <c r="F121" i="5"/>
  <c r="E121" i="5"/>
  <c r="D121" i="5"/>
  <c r="C121" i="5"/>
  <c r="B121" i="5"/>
  <c r="A121" i="5"/>
  <c r="M121" i="5" s="1"/>
  <c r="N120" i="5"/>
  <c r="L120" i="5"/>
  <c r="K120" i="5"/>
  <c r="J120" i="5"/>
  <c r="I120" i="5"/>
  <c r="H120" i="5"/>
  <c r="G120" i="5"/>
  <c r="F120" i="5"/>
  <c r="E120" i="5"/>
  <c r="D120" i="5"/>
  <c r="C120" i="5"/>
  <c r="B120" i="5"/>
  <c r="A120" i="5"/>
  <c r="M120" i="5" s="1"/>
  <c r="N119" i="5"/>
  <c r="L119" i="5"/>
  <c r="K119" i="5"/>
  <c r="J119" i="5"/>
  <c r="I119" i="5"/>
  <c r="H119" i="5"/>
  <c r="G119" i="5"/>
  <c r="F119" i="5"/>
  <c r="E119" i="5"/>
  <c r="D119" i="5"/>
  <c r="C119" i="5"/>
  <c r="B119" i="5"/>
  <c r="A119" i="5"/>
  <c r="M119" i="5" s="1"/>
  <c r="N118" i="5"/>
  <c r="L118" i="5"/>
  <c r="K118" i="5"/>
  <c r="J118" i="5"/>
  <c r="I118" i="5"/>
  <c r="H118" i="5"/>
  <c r="G118" i="5"/>
  <c r="F118" i="5"/>
  <c r="E118" i="5"/>
  <c r="D118" i="5"/>
  <c r="C118" i="5"/>
  <c r="B118" i="5"/>
  <c r="A118" i="5"/>
  <c r="M118" i="5" s="1"/>
  <c r="N117" i="5"/>
  <c r="L117" i="5"/>
  <c r="K117" i="5"/>
  <c r="J117" i="5"/>
  <c r="I117" i="5"/>
  <c r="H117" i="5"/>
  <c r="G117" i="5"/>
  <c r="F117" i="5"/>
  <c r="E117" i="5"/>
  <c r="D117" i="5"/>
  <c r="C117" i="5"/>
  <c r="B117" i="5"/>
  <c r="A117" i="5"/>
  <c r="M117" i="5" s="1"/>
  <c r="N116" i="5"/>
  <c r="L116" i="5"/>
  <c r="K116" i="5"/>
  <c r="J116" i="5"/>
  <c r="I116" i="5"/>
  <c r="H116" i="5"/>
  <c r="G116" i="5"/>
  <c r="F116" i="5"/>
  <c r="E116" i="5"/>
  <c r="D116" i="5"/>
  <c r="C116" i="5"/>
  <c r="B116" i="5"/>
  <c r="A116" i="5"/>
  <c r="M116" i="5" s="1"/>
  <c r="N115" i="5"/>
  <c r="L115" i="5"/>
  <c r="K115" i="5"/>
  <c r="J115" i="5"/>
  <c r="I115" i="5"/>
  <c r="H115" i="5"/>
  <c r="G115" i="5"/>
  <c r="F115" i="5"/>
  <c r="E115" i="5"/>
  <c r="D115" i="5"/>
  <c r="C115" i="5"/>
  <c r="B115" i="5"/>
  <c r="A115" i="5"/>
  <c r="M115" i="5" s="1"/>
  <c r="N114" i="5"/>
  <c r="L114" i="5"/>
  <c r="K114" i="5"/>
  <c r="J114" i="5"/>
  <c r="I114" i="5"/>
  <c r="H114" i="5"/>
  <c r="G114" i="5"/>
  <c r="F114" i="5"/>
  <c r="E114" i="5"/>
  <c r="D114" i="5"/>
  <c r="C114" i="5"/>
  <c r="B114" i="5"/>
  <c r="A114" i="5"/>
  <c r="M114" i="5" s="1"/>
  <c r="N113" i="5"/>
  <c r="L113" i="5"/>
  <c r="K113" i="5"/>
  <c r="J113" i="5"/>
  <c r="I113" i="5"/>
  <c r="H113" i="5"/>
  <c r="G113" i="5"/>
  <c r="F113" i="5"/>
  <c r="E113" i="5"/>
  <c r="D113" i="5"/>
  <c r="C113" i="5"/>
  <c r="B113" i="5"/>
  <c r="A113" i="5"/>
  <c r="M113" i="5" s="1"/>
  <c r="N112" i="5"/>
  <c r="L112" i="5"/>
  <c r="K112" i="5"/>
  <c r="J112" i="5"/>
  <c r="I112" i="5"/>
  <c r="H112" i="5"/>
  <c r="G112" i="5"/>
  <c r="F112" i="5"/>
  <c r="E112" i="5"/>
  <c r="D112" i="5"/>
  <c r="C112" i="5"/>
  <c r="B112" i="5"/>
  <c r="A112" i="5"/>
  <c r="M112" i="5" s="1"/>
  <c r="N111" i="5"/>
  <c r="L111" i="5"/>
  <c r="K111" i="5"/>
  <c r="J111" i="5"/>
  <c r="I111" i="5"/>
  <c r="H111" i="5"/>
  <c r="G111" i="5"/>
  <c r="F111" i="5"/>
  <c r="E111" i="5"/>
  <c r="D111" i="5"/>
  <c r="C111" i="5"/>
  <c r="B111" i="5"/>
  <c r="A111" i="5"/>
  <c r="M111" i="5" s="1"/>
  <c r="N110" i="5"/>
  <c r="L110" i="5"/>
  <c r="K110" i="5"/>
  <c r="J110" i="5"/>
  <c r="I110" i="5"/>
  <c r="H110" i="5"/>
  <c r="G110" i="5"/>
  <c r="F110" i="5"/>
  <c r="E110" i="5"/>
  <c r="D110" i="5"/>
  <c r="C110" i="5"/>
  <c r="B110" i="5"/>
  <c r="A110" i="5"/>
  <c r="M110" i="5" s="1"/>
  <c r="N109" i="5"/>
  <c r="L109" i="5"/>
  <c r="K109" i="5"/>
  <c r="J109" i="5"/>
  <c r="I109" i="5"/>
  <c r="H109" i="5"/>
  <c r="G109" i="5"/>
  <c r="F109" i="5"/>
  <c r="E109" i="5"/>
  <c r="D109" i="5"/>
  <c r="C109" i="5"/>
  <c r="B109" i="5"/>
  <c r="A109" i="5"/>
  <c r="M109" i="5" s="1"/>
  <c r="N108" i="5"/>
  <c r="L108" i="5"/>
  <c r="K108" i="5"/>
  <c r="J108" i="5"/>
  <c r="I108" i="5"/>
  <c r="H108" i="5"/>
  <c r="G108" i="5"/>
  <c r="F108" i="5"/>
  <c r="E108" i="5"/>
  <c r="D108" i="5"/>
  <c r="C108" i="5"/>
  <c r="B108" i="5"/>
  <c r="A108" i="5"/>
  <c r="M108" i="5" s="1"/>
  <c r="N107" i="5"/>
  <c r="L107" i="5"/>
  <c r="K107" i="5"/>
  <c r="J107" i="5"/>
  <c r="I107" i="5"/>
  <c r="H107" i="5"/>
  <c r="G107" i="5"/>
  <c r="F107" i="5"/>
  <c r="E107" i="5"/>
  <c r="D107" i="5"/>
  <c r="C107" i="5"/>
  <c r="B107" i="5"/>
  <c r="A107" i="5"/>
  <c r="M107" i="5" s="1"/>
  <c r="N106" i="5"/>
  <c r="L106" i="5"/>
  <c r="K106" i="5"/>
  <c r="J106" i="5"/>
  <c r="I106" i="5"/>
  <c r="H106" i="5"/>
  <c r="G106" i="5"/>
  <c r="F106" i="5"/>
  <c r="E106" i="5"/>
  <c r="D106" i="5"/>
  <c r="C106" i="5"/>
  <c r="B106" i="5"/>
  <c r="A106" i="5"/>
  <c r="M106" i="5" s="1"/>
  <c r="N105" i="5"/>
  <c r="L105" i="5"/>
  <c r="K105" i="5"/>
  <c r="J105" i="5"/>
  <c r="I105" i="5"/>
  <c r="H105" i="5"/>
  <c r="G105" i="5"/>
  <c r="F105" i="5"/>
  <c r="E105" i="5"/>
  <c r="D105" i="5"/>
  <c r="C105" i="5"/>
  <c r="B105" i="5"/>
  <c r="A105" i="5"/>
  <c r="M105" i="5" s="1"/>
  <c r="N104" i="5"/>
  <c r="L104" i="5"/>
  <c r="K104" i="5"/>
  <c r="J104" i="5"/>
  <c r="I104" i="5"/>
  <c r="H104" i="5"/>
  <c r="G104" i="5"/>
  <c r="F104" i="5"/>
  <c r="E104" i="5"/>
  <c r="D104" i="5"/>
  <c r="C104" i="5"/>
  <c r="B104" i="5"/>
  <c r="A104" i="5"/>
  <c r="M104" i="5" s="1"/>
  <c r="N103" i="5"/>
  <c r="L103" i="5"/>
  <c r="K103" i="5"/>
  <c r="J103" i="5"/>
  <c r="I103" i="5"/>
  <c r="H103" i="5"/>
  <c r="G103" i="5"/>
  <c r="F103" i="5"/>
  <c r="E103" i="5"/>
  <c r="D103" i="5"/>
  <c r="C103" i="5"/>
  <c r="B103" i="5"/>
  <c r="A103" i="5"/>
  <c r="M103" i="5" s="1"/>
  <c r="N102" i="5"/>
  <c r="L102" i="5"/>
  <c r="K102" i="5"/>
  <c r="J102" i="5"/>
  <c r="I102" i="5"/>
  <c r="H102" i="5"/>
  <c r="G102" i="5"/>
  <c r="F102" i="5"/>
  <c r="E102" i="5"/>
  <c r="D102" i="5"/>
  <c r="C102" i="5"/>
  <c r="B102" i="5"/>
  <c r="A102" i="5"/>
  <c r="M102" i="5" s="1"/>
  <c r="N101" i="5"/>
  <c r="L101" i="5"/>
  <c r="K101" i="5"/>
  <c r="J101" i="5"/>
  <c r="I101" i="5"/>
  <c r="H101" i="5"/>
  <c r="G101" i="5"/>
  <c r="F101" i="5"/>
  <c r="E101" i="5"/>
  <c r="D101" i="5"/>
  <c r="C101" i="5"/>
  <c r="B101" i="5"/>
  <c r="A101" i="5"/>
  <c r="M101" i="5" s="1"/>
  <c r="N100" i="5"/>
  <c r="L100" i="5"/>
  <c r="K100" i="5"/>
  <c r="J100" i="5"/>
  <c r="I100" i="5"/>
  <c r="H100" i="5"/>
  <c r="G100" i="5"/>
  <c r="F100" i="5"/>
  <c r="E100" i="5"/>
  <c r="D100" i="5"/>
  <c r="C100" i="5"/>
  <c r="B100" i="5"/>
  <c r="A100" i="5"/>
  <c r="M100" i="5" s="1"/>
  <c r="N99" i="5"/>
  <c r="L99" i="5"/>
  <c r="K99" i="5"/>
  <c r="J99" i="5"/>
  <c r="I99" i="5"/>
  <c r="H99" i="5"/>
  <c r="G99" i="5"/>
  <c r="F99" i="5"/>
  <c r="E99" i="5"/>
  <c r="D99" i="5"/>
  <c r="C99" i="5"/>
  <c r="B99" i="5"/>
  <c r="A99" i="5"/>
  <c r="M99" i="5" s="1"/>
  <c r="N98" i="5"/>
  <c r="L98" i="5"/>
  <c r="K98" i="5"/>
  <c r="J98" i="5"/>
  <c r="I98" i="5"/>
  <c r="H98" i="5"/>
  <c r="G98" i="5"/>
  <c r="F98" i="5"/>
  <c r="E98" i="5"/>
  <c r="D98" i="5"/>
  <c r="C98" i="5"/>
  <c r="B98" i="5"/>
  <c r="A98" i="5"/>
  <c r="M98" i="5" s="1"/>
  <c r="N97" i="5"/>
  <c r="L97" i="5"/>
  <c r="K97" i="5"/>
  <c r="J97" i="5"/>
  <c r="I97" i="5"/>
  <c r="H97" i="5"/>
  <c r="G97" i="5"/>
  <c r="F97" i="5"/>
  <c r="E97" i="5"/>
  <c r="D97" i="5"/>
  <c r="C97" i="5"/>
  <c r="B97" i="5"/>
  <c r="A97" i="5"/>
  <c r="M97" i="5" s="1"/>
  <c r="N96" i="5"/>
  <c r="L96" i="5"/>
  <c r="K96" i="5"/>
  <c r="J96" i="5"/>
  <c r="I96" i="5"/>
  <c r="H96" i="5"/>
  <c r="G96" i="5"/>
  <c r="F96" i="5"/>
  <c r="E96" i="5"/>
  <c r="D96" i="5"/>
  <c r="C96" i="5"/>
  <c r="B96" i="5"/>
  <c r="A96" i="5"/>
  <c r="M96" i="5" s="1"/>
  <c r="N95" i="5"/>
  <c r="L95" i="5"/>
  <c r="K95" i="5"/>
  <c r="J95" i="5"/>
  <c r="I95" i="5"/>
  <c r="H95" i="5"/>
  <c r="G95" i="5"/>
  <c r="F95" i="5"/>
  <c r="E95" i="5"/>
  <c r="D95" i="5"/>
  <c r="C95" i="5"/>
  <c r="B95" i="5"/>
  <c r="A95" i="5"/>
  <c r="M95" i="5" s="1"/>
  <c r="N94" i="5"/>
  <c r="L94" i="5"/>
  <c r="K94" i="5"/>
  <c r="J94" i="5"/>
  <c r="I94" i="5"/>
  <c r="H94" i="5"/>
  <c r="G94" i="5"/>
  <c r="F94" i="5"/>
  <c r="E94" i="5"/>
  <c r="D94" i="5"/>
  <c r="C94" i="5"/>
  <c r="B94" i="5"/>
  <c r="A94" i="5"/>
  <c r="M94" i="5" s="1"/>
  <c r="N93" i="5"/>
  <c r="L93" i="5"/>
  <c r="K93" i="5"/>
  <c r="J93" i="5"/>
  <c r="I93" i="5"/>
  <c r="H93" i="5"/>
  <c r="G93" i="5"/>
  <c r="F93" i="5"/>
  <c r="E93" i="5"/>
  <c r="D93" i="5"/>
  <c r="C93" i="5"/>
  <c r="B93" i="5"/>
  <c r="A93" i="5"/>
  <c r="M93" i="5" s="1"/>
  <c r="N92" i="5"/>
  <c r="L92" i="5"/>
  <c r="K92" i="5"/>
  <c r="J92" i="5"/>
  <c r="I92" i="5"/>
  <c r="H92" i="5"/>
  <c r="G92" i="5"/>
  <c r="F92" i="5"/>
  <c r="E92" i="5"/>
  <c r="D92" i="5"/>
  <c r="C92" i="5"/>
  <c r="B92" i="5"/>
  <c r="A92" i="5"/>
  <c r="M92" i="5" s="1"/>
  <c r="N91" i="5"/>
  <c r="L91" i="5"/>
  <c r="K91" i="5"/>
  <c r="J91" i="5"/>
  <c r="I91" i="5"/>
  <c r="H91" i="5"/>
  <c r="G91" i="5"/>
  <c r="F91" i="5"/>
  <c r="E91" i="5"/>
  <c r="D91" i="5"/>
  <c r="C91" i="5"/>
  <c r="B91" i="5"/>
  <c r="A91" i="5"/>
  <c r="M91" i="5" s="1"/>
  <c r="N90" i="5"/>
  <c r="L90" i="5"/>
  <c r="K90" i="5"/>
  <c r="J90" i="5"/>
  <c r="I90" i="5"/>
  <c r="H90" i="5"/>
  <c r="G90" i="5"/>
  <c r="F90" i="5"/>
  <c r="E90" i="5"/>
  <c r="D90" i="5"/>
  <c r="C90" i="5"/>
  <c r="B90" i="5"/>
  <c r="A90" i="5"/>
  <c r="M90" i="5" s="1"/>
  <c r="N89" i="5"/>
  <c r="L89" i="5"/>
  <c r="K89" i="5"/>
  <c r="J89" i="5"/>
  <c r="I89" i="5"/>
  <c r="H89" i="5"/>
  <c r="G89" i="5"/>
  <c r="F89" i="5"/>
  <c r="E89" i="5"/>
  <c r="D89" i="5"/>
  <c r="C89" i="5"/>
  <c r="B89" i="5"/>
  <c r="A89" i="5"/>
  <c r="M89" i="5" s="1"/>
  <c r="N88" i="5"/>
  <c r="L88" i="5"/>
  <c r="K88" i="5"/>
  <c r="J88" i="5"/>
  <c r="I88" i="5"/>
  <c r="H88" i="5"/>
  <c r="G88" i="5"/>
  <c r="F88" i="5"/>
  <c r="E88" i="5"/>
  <c r="D88" i="5"/>
  <c r="C88" i="5"/>
  <c r="B88" i="5"/>
  <c r="A88" i="5"/>
  <c r="M88" i="5" s="1"/>
  <c r="N87" i="5"/>
  <c r="L87" i="5"/>
  <c r="K87" i="5"/>
  <c r="J87" i="5"/>
  <c r="I87" i="5"/>
  <c r="H87" i="5"/>
  <c r="G87" i="5"/>
  <c r="F87" i="5"/>
  <c r="E87" i="5"/>
  <c r="D87" i="5"/>
  <c r="C87" i="5"/>
  <c r="B87" i="5"/>
  <c r="A87" i="5"/>
  <c r="M87" i="5" s="1"/>
  <c r="N86" i="5"/>
  <c r="L86" i="5"/>
  <c r="K86" i="5"/>
  <c r="J86" i="5"/>
  <c r="I86" i="5"/>
  <c r="H86" i="5"/>
  <c r="G86" i="5"/>
  <c r="F86" i="5"/>
  <c r="E86" i="5"/>
  <c r="D86" i="5"/>
  <c r="C86" i="5"/>
  <c r="B86" i="5"/>
  <c r="A86" i="5"/>
  <c r="M86" i="5" s="1"/>
  <c r="N85" i="5"/>
  <c r="L85" i="5"/>
  <c r="K85" i="5"/>
  <c r="J85" i="5"/>
  <c r="I85" i="5"/>
  <c r="H85" i="5"/>
  <c r="G85" i="5"/>
  <c r="F85" i="5"/>
  <c r="E85" i="5"/>
  <c r="D85" i="5"/>
  <c r="C85" i="5"/>
  <c r="B85" i="5"/>
  <c r="A85" i="5"/>
  <c r="M85" i="5" s="1"/>
  <c r="N84" i="5"/>
  <c r="L84" i="5"/>
  <c r="K84" i="5"/>
  <c r="J84" i="5"/>
  <c r="I84" i="5"/>
  <c r="H84" i="5"/>
  <c r="G84" i="5"/>
  <c r="F84" i="5"/>
  <c r="E84" i="5"/>
  <c r="D84" i="5"/>
  <c r="C84" i="5"/>
  <c r="B84" i="5"/>
  <c r="A84" i="5"/>
  <c r="M84" i="5" s="1"/>
  <c r="N83" i="5"/>
  <c r="L83" i="5"/>
  <c r="K83" i="5"/>
  <c r="J83" i="5"/>
  <c r="I83" i="5"/>
  <c r="H83" i="5"/>
  <c r="G83" i="5"/>
  <c r="F83" i="5"/>
  <c r="E83" i="5"/>
  <c r="D83" i="5"/>
  <c r="C83" i="5"/>
  <c r="B83" i="5"/>
  <c r="A83" i="5"/>
  <c r="M83" i="5" s="1"/>
  <c r="N82" i="5"/>
  <c r="L82" i="5"/>
  <c r="K82" i="5"/>
  <c r="J82" i="5"/>
  <c r="I82" i="5"/>
  <c r="H82" i="5"/>
  <c r="G82" i="5"/>
  <c r="F82" i="5"/>
  <c r="E82" i="5"/>
  <c r="D82" i="5"/>
  <c r="C82" i="5"/>
  <c r="B82" i="5"/>
  <c r="A82" i="5"/>
  <c r="M82" i="5" s="1"/>
  <c r="N81" i="5"/>
  <c r="L81" i="5"/>
  <c r="K81" i="5"/>
  <c r="J81" i="5"/>
  <c r="I81" i="5"/>
  <c r="H81" i="5"/>
  <c r="G81" i="5"/>
  <c r="F81" i="5"/>
  <c r="E81" i="5"/>
  <c r="D81" i="5"/>
  <c r="C81" i="5"/>
  <c r="B81" i="5"/>
  <c r="A81" i="5"/>
  <c r="M81" i="5" s="1"/>
  <c r="N80" i="5"/>
  <c r="L80" i="5"/>
  <c r="K80" i="5"/>
  <c r="J80" i="5"/>
  <c r="I80" i="5"/>
  <c r="H80" i="5"/>
  <c r="G80" i="5"/>
  <c r="F80" i="5"/>
  <c r="E80" i="5"/>
  <c r="D80" i="5"/>
  <c r="C80" i="5"/>
  <c r="B80" i="5"/>
  <c r="A80" i="5"/>
  <c r="M80" i="5" s="1"/>
  <c r="N79" i="5"/>
  <c r="L79" i="5"/>
  <c r="K79" i="5"/>
  <c r="J79" i="5"/>
  <c r="I79" i="5"/>
  <c r="H79" i="5"/>
  <c r="G79" i="5"/>
  <c r="F79" i="5"/>
  <c r="E79" i="5"/>
  <c r="D79" i="5"/>
  <c r="C79" i="5"/>
  <c r="B79" i="5"/>
  <c r="A79" i="5"/>
  <c r="M79" i="5" s="1"/>
  <c r="N78" i="5"/>
  <c r="L78" i="5"/>
  <c r="K78" i="5"/>
  <c r="J78" i="5"/>
  <c r="I78" i="5"/>
  <c r="H78" i="5"/>
  <c r="G78" i="5"/>
  <c r="F78" i="5"/>
  <c r="E78" i="5"/>
  <c r="D78" i="5"/>
  <c r="C78" i="5"/>
  <c r="B78" i="5"/>
  <c r="A78" i="5"/>
  <c r="M78" i="5" s="1"/>
  <c r="N77" i="5"/>
  <c r="L77" i="5"/>
  <c r="K77" i="5"/>
  <c r="J77" i="5"/>
  <c r="I77" i="5"/>
  <c r="H77" i="5"/>
  <c r="G77" i="5"/>
  <c r="F77" i="5"/>
  <c r="E77" i="5"/>
  <c r="D77" i="5"/>
  <c r="C77" i="5"/>
  <c r="B77" i="5"/>
  <c r="A77" i="5"/>
  <c r="M77" i="5" s="1"/>
  <c r="N76" i="5"/>
  <c r="L76" i="5"/>
  <c r="K76" i="5"/>
  <c r="J76" i="5"/>
  <c r="I76" i="5"/>
  <c r="H76" i="5"/>
  <c r="G76" i="5"/>
  <c r="F76" i="5"/>
  <c r="E76" i="5"/>
  <c r="D76" i="5"/>
  <c r="C76" i="5"/>
  <c r="B76" i="5"/>
  <c r="A76" i="5"/>
  <c r="M76" i="5" s="1"/>
  <c r="N75" i="5"/>
  <c r="L75" i="5"/>
  <c r="K75" i="5"/>
  <c r="J75" i="5"/>
  <c r="I75" i="5"/>
  <c r="H75" i="5"/>
  <c r="G75" i="5"/>
  <c r="F75" i="5"/>
  <c r="E75" i="5"/>
  <c r="D75" i="5"/>
  <c r="C75" i="5"/>
  <c r="B75" i="5"/>
  <c r="A75" i="5"/>
  <c r="M75" i="5" s="1"/>
  <c r="N74" i="5"/>
  <c r="L74" i="5"/>
  <c r="K74" i="5"/>
  <c r="J74" i="5"/>
  <c r="I74" i="5"/>
  <c r="H74" i="5"/>
  <c r="G74" i="5"/>
  <c r="F74" i="5"/>
  <c r="E74" i="5"/>
  <c r="D74" i="5"/>
  <c r="C74" i="5"/>
  <c r="B74" i="5"/>
  <c r="A74" i="5"/>
  <c r="M74" i="5" s="1"/>
  <c r="N73" i="5"/>
  <c r="L73" i="5"/>
  <c r="K73" i="5"/>
  <c r="J73" i="5"/>
  <c r="I73" i="5"/>
  <c r="H73" i="5"/>
  <c r="G73" i="5"/>
  <c r="F73" i="5"/>
  <c r="E73" i="5"/>
  <c r="D73" i="5"/>
  <c r="C73" i="5"/>
  <c r="B73" i="5"/>
  <c r="A73" i="5"/>
  <c r="M73" i="5" s="1"/>
  <c r="N72" i="5"/>
  <c r="L72" i="5"/>
  <c r="K72" i="5"/>
  <c r="J72" i="5"/>
  <c r="I72" i="5"/>
  <c r="H72" i="5"/>
  <c r="G72" i="5"/>
  <c r="F72" i="5"/>
  <c r="E72" i="5"/>
  <c r="D72" i="5"/>
  <c r="C72" i="5"/>
  <c r="B72" i="5"/>
  <c r="A72" i="5"/>
  <c r="M72" i="5" s="1"/>
  <c r="N71" i="5"/>
  <c r="L71" i="5"/>
  <c r="K71" i="5"/>
  <c r="J71" i="5"/>
  <c r="I71" i="5"/>
  <c r="H71" i="5"/>
  <c r="G71" i="5"/>
  <c r="F71" i="5"/>
  <c r="E71" i="5"/>
  <c r="D71" i="5"/>
  <c r="C71" i="5"/>
  <c r="B71" i="5"/>
  <c r="A71" i="5"/>
  <c r="M71" i="5" s="1"/>
  <c r="N70" i="5"/>
  <c r="L70" i="5"/>
  <c r="K70" i="5"/>
  <c r="J70" i="5"/>
  <c r="I70" i="5"/>
  <c r="H70" i="5"/>
  <c r="G70" i="5"/>
  <c r="F70" i="5"/>
  <c r="E70" i="5"/>
  <c r="D70" i="5"/>
  <c r="C70" i="5"/>
  <c r="B70" i="5"/>
  <c r="A70" i="5"/>
  <c r="M70" i="5" s="1"/>
  <c r="N69" i="5"/>
  <c r="L69" i="5"/>
  <c r="K69" i="5"/>
  <c r="J69" i="5"/>
  <c r="I69" i="5"/>
  <c r="H69" i="5"/>
  <c r="G69" i="5"/>
  <c r="F69" i="5"/>
  <c r="E69" i="5"/>
  <c r="D69" i="5"/>
  <c r="C69" i="5"/>
  <c r="B69" i="5"/>
  <c r="A69" i="5"/>
  <c r="M69" i="5" s="1"/>
  <c r="N68" i="5"/>
  <c r="L68" i="5"/>
  <c r="K68" i="5"/>
  <c r="J68" i="5"/>
  <c r="I68" i="5"/>
  <c r="H68" i="5"/>
  <c r="G68" i="5"/>
  <c r="F68" i="5"/>
  <c r="E68" i="5"/>
  <c r="D68" i="5"/>
  <c r="C68" i="5"/>
  <c r="B68" i="5"/>
  <c r="A68" i="5"/>
  <c r="M68" i="5" s="1"/>
  <c r="N67" i="5"/>
  <c r="L67" i="5"/>
  <c r="K67" i="5"/>
  <c r="J67" i="5"/>
  <c r="I67" i="5"/>
  <c r="H67" i="5"/>
  <c r="G67" i="5"/>
  <c r="F67" i="5"/>
  <c r="E67" i="5"/>
  <c r="D67" i="5"/>
  <c r="C67" i="5"/>
  <c r="B67" i="5"/>
  <c r="A67" i="5"/>
  <c r="M67" i="5" s="1"/>
  <c r="N66" i="5"/>
  <c r="L66" i="5"/>
  <c r="K66" i="5"/>
  <c r="J66" i="5"/>
  <c r="I66" i="5"/>
  <c r="H66" i="5"/>
  <c r="G66" i="5"/>
  <c r="F66" i="5"/>
  <c r="E66" i="5"/>
  <c r="D66" i="5"/>
  <c r="C66" i="5"/>
  <c r="B66" i="5"/>
  <c r="A66" i="5"/>
  <c r="M66" i="5" s="1"/>
  <c r="N65" i="5"/>
  <c r="L65" i="5"/>
  <c r="K65" i="5"/>
  <c r="J65" i="5"/>
  <c r="I65" i="5"/>
  <c r="H65" i="5"/>
  <c r="G65" i="5"/>
  <c r="F65" i="5"/>
  <c r="E65" i="5"/>
  <c r="D65" i="5"/>
  <c r="C65" i="5"/>
  <c r="B65" i="5"/>
  <c r="A65" i="5"/>
  <c r="M65" i="5" s="1"/>
  <c r="N64" i="5"/>
  <c r="L64" i="5"/>
  <c r="K64" i="5"/>
  <c r="J64" i="5"/>
  <c r="I64" i="5"/>
  <c r="H64" i="5"/>
  <c r="G64" i="5"/>
  <c r="F64" i="5"/>
  <c r="E64" i="5"/>
  <c r="D64" i="5"/>
  <c r="C64" i="5"/>
  <c r="B64" i="5"/>
  <c r="A64" i="5"/>
  <c r="M64" i="5" s="1"/>
  <c r="N63" i="5"/>
  <c r="L63" i="5"/>
  <c r="K63" i="5"/>
  <c r="J63" i="5"/>
  <c r="I63" i="5"/>
  <c r="H63" i="5"/>
  <c r="G63" i="5"/>
  <c r="F63" i="5"/>
  <c r="E63" i="5"/>
  <c r="D63" i="5"/>
  <c r="C63" i="5"/>
  <c r="B63" i="5"/>
  <c r="A63" i="5"/>
  <c r="M63" i="5" s="1"/>
  <c r="N62" i="5"/>
  <c r="L62" i="5"/>
  <c r="K62" i="5"/>
  <c r="J62" i="5"/>
  <c r="I62" i="5"/>
  <c r="H62" i="5"/>
  <c r="G62" i="5"/>
  <c r="F62" i="5"/>
  <c r="E62" i="5"/>
  <c r="D62" i="5"/>
  <c r="C62" i="5"/>
  <c r="B62" i="5"/>
  <c r="A62" i="5"/>
  <c r="M62" i="5" s="1"/>
  <c r="N61" i="5"/>
  <c r="L61" i="5"/>
  <c r="K61" i="5"/>
  <c r="J61" i="5"/>
  <c r="I61" i="5"/>
  <c r="H61" i="5"/>
  <c r="G61" i="5"/>
  <c r="F61" i="5"/>
  <c r="E61" i="5"/>
  <c r="D61" i="5"/>
  <c r="C61" i="5"/>
  <c r="B61" i="5"/>
  <c r="A61" i="5"/>
  <c r="M61" i="5" s="1"/>
  <c r="N60" i="5"/>
  <c r="L60" i="5"/>
  <c r="K60" i="5"/>
  <c r="J60" i="5"/>
  <c r="I60" i="5"/>
  <c r="H60" i="5"/>
  <c r="G60" i="5"/>
  <c r="F60" i="5"/>
  <c r="E60" i="5"/>
  <c r="D60" i="5"/>
  <c r="C60" i="5"/>
  <c r="B60" i="5"/>
  <c r="A60" i="5"/>
  <c r="M60" i="5" s="1"/>
  <c r="N59" i="5"/>
  <c r="L59" i="5"/>
  <c r="K59" i="5"/>
  <c r="J59" i="5"/>
  <c r="I59" i="5"/>
  <c r="H59" i="5"/>
  <c r="G59" i="5"/>
  <c r="F59" i="5"/>
  <c r="E59" i="5"/>
  <c r="D59" i="5"/>
  <c r="C59" i="5"/>
  <c r="B59" i="5"/>
  <c r="A59" i="5"/>
  <c r="M59" i="5" s="1"/>
  <c r="N58" i="5"/>
  <c r="L58" i="5"/>
  <c r="K58" i="5"/>
  <c r="J58" i="5"/>
  <c r="I58" i="5"/>
  <c r="H58" i="5"/>
  <c r="G58" i="5"/>
  <c r="F58" i="5"/>
  <c r="E58" i="5"/>
  <c r="D58" i="5"/>
  <c r="C58" i="5"/>
  <c r="B58" i="5"/>
  <c r="A58" i="5"/>
  <c r="M58" i="5" s="1"/>
  <c r="N57" i="5"/>
  <c r="L57" i="5"/>
  <c r="K57" i="5"/>
  <c r="J57" i="5"/>
  <c r="I57" i="5"/>
  <c r="H57" i="5"/>
  <c r="G57" i="5"/>
  <c r="F57" i="5"/>
  <c r="E57" i="5"/>
  <c r="D57" i="5"/>
  <c r="C57" i="5"/>
  <c r="B57" i="5"/>
  <c r="A57" i="5"/>
  <c r="M57" i="5" s="1"/>
  <c r="N56" i="5"/>
  <c r="L56" i="5"/>
  <c r="K56" i="5"/>
  <c r="J56" i="5"/>
  <c r="I56" i="5"/>
  <c r="H56" i="5"/>
  <c r="G56" i="5"/>
  <c r="F56" i="5"/>
  <c r="E56" i="5"/>
  <c r="D56" i="5"/>
  <c r="C56" i="5"/>
  <c r="B56" i="5"/>
  <c r="A56" i="5"/>
  <c r="M56" i="5" s="1"/>
  <c r="N55" i="5"/>
  <c r="L55" i="5"/>
  <c r="K55" i="5"/>
  <c r="J55" i="5"/>
  <c r="I55" i="5"/>
  <c r="H55" i="5"/>
  <c r="G55" i="5"/>
  <c r="F55" i="5"/>
  <c r="E55" i="5"/>
  <c r="D55" i="5"/>
  <c r="C55" i="5"/>
  <c r="B55" i="5"/>
  <c r="A55" i="5"/>
  <c r="M55" i="5" s="1"/>
  <c r="N54" i="5"/>
  <c r="L54" i="5"/>
  <c r="K54" i="5"/>
  <c r="J54" i="5"/>
  <c r="I54" i="5"/>
  <c r="H54" i="5"/>
  <c r="G54" i="5"/>
  <c r="F54" i="5"/>
  <c r="E54" i="5"/>
  <c r="D54" i="5"/>
  <c r="C54" i="5"/>
  <c r="B54" i="5"/>
  <c r="A54" i="5"/>
  <c r="M54" i="5" s="1"/>
  <c r="N53" i="5"/>
  <c r="L53" i="5"/>
  <c r="K53" i="5"/>
  <c r="J53" i="5"/>
  <c r="I53" i="5"/>
  <c r="H53" i="5"/>
  <c r="G53" i="5"/>
  <c r="F53" i="5"/>
  <c r="E53" i="5"/>
  <c r="D53" i="5"/>
  <c r="C53" i="5"/>
  <c r="B53" i="5"/>
  <c r="A53" i="5"/>
  <c r="M53" i="5" s="1"/>
  <c r="N52" i="5"/>
  <c r="L52" i="5"/>
  <c r="K52" i="5"/>
  <c r="J52" i="5"/>
  <c r="I52" i="5"/>
  <c r="H52" i="5"/>
  <c r="G52" i="5"/>
  <c r="F52" i="5"/>
  <c r="E52" i="5"/>
  <c r="D52" i="5"/>
  <c r="C52" i="5"/>
  <c r="B52" i="5"/>
  <c r="A52" i="5"/>
  <c r="M52" i="5" s="1"/>
  <c r="N51" i="5"/>
  <c r="L51" i="5"/>
  <c r="K51" i="5"/>
  <c r="J51" i="5"/>
  <c r="I51" i="5"/>
  <c r="H51" i="5"/>
  <c r="G51" i="5"/>
  <c r="F51" i="5"/>
  <c r="E51" i="5"/>
  <c r="D51" i="5"/>
  <c r="C51" i="5"/>
  <c r="B51" i="5"/>
  <c r="A51" i="5"/>
  <c r="M51" i="5" s="1"/>
  <c r="N50" i="5"/>
  <c r="L50" i="5"/>
  <c r="K50" i="5"/>
  <c r="J50" i="5"/>
  <c r="I50" i="5"/>
  <c r="H50" i="5"/>
  <c r="G50" i="5"/>
  <c r="F50" i="5"/>
  <c r="E50" i="5"/>
  <c r="D50" i="5"/>
  <c r="C50" i="5"/>
  <c r="B50" i="5"/>
  <c r="A50" i="5"/>
  <c r="M50" i="5" s="1"/>
  <c r="N49" i="5"/>
  <c r="L49" i="5"/>
  <c r="K49" i="5"/>
  <c r="J49" i="5"/>
  <c r="I49" i="5"/>
  <c r="H49" i="5"/>
  <c r="G49" i="5"/>
  <c r="F49" i="5"/>
  <c r="E49" i="5"/>
  <c r="D49" i="5"/>
  <c r="C49" i="5"/>
  <c r="B49" i="5"/>
  <c r="A49" i="5"/>
  <c r="M49" i="5" s="1"/>
  <c r="N48" i="5"/>
  <c r="L48" i="5"/>
  <c r="K48" i="5"/>
  <c r="J48" i="5"/>
  <c r="I48" i="5"/>
  <c r="H48" i="5"/>
  <c r="G48" i="5"/>
  <c r="F48" i="5"/>
  <c r="E48" i="5"/>
  <c r="D48" i="5"/>
  <c r="C48" i="5"/>
  <c r="B48" i="5"/>
  <c r="A48" i="5"/>
  <c r="M48" i="5" s="1"/>
  <c r="N47" i="5"/>
  <c r="L47" i="5"/>
  <c r="K47" i="5"/>
  <c r="J47" i="5"/>
  <c r="I47" i="5"/>
  <c r="H47" i="5"/>
  <c r="G47" i="5"/>
  <c r="F47" i="5"/>
  <c r="E47" i="5"/>
  <c r="D47" i="5"/>
  <c r="C47" i="5"/>
  <c r="B47" i="5"/>
  <c r="A47" i="5"/>
  <c r="M47" i="5" s="1"/>
  <c r="N46" i="5"/>
  <c r="L46" i="5"/>
  <c r="K46" i="5"/>
  <c r="J46" i="5"/>
  <c r="I46" i="5"/>
  <c r="H46" i="5"/>
  <c r="G46" i="5"/>
  <c r="F46" i="5"/>
  <c r="E46" i="5"/>
  <c r="D46" i="5"/>
  <c r="C46" i="5"/>
  <c r="B46" i="5"/>
  <c r="A46" i="5"/>
  <c r="M46" i="5" s="1"/>
  <c r="N45" i="5"/>
  <c r="L45" i="5"/>
  <c r="K45" i="5"/>
  <c r="J45" i="5"/>
  <c r="I45" i="5"/>
  <c r="H45" i="5"/>
  <c r="G45" i="5"/>
  <c r="F45" i="5"/>
  <c r="E45" i="5"/>
  <c r="D45" i="5"/>
  <c r="C45" i="5"/>
  <c r="B45" i="5"/>
  <c r="A45" i="5"/>
  <c r="M45" i="5" s="1"/>
  <c r="N44" i="5"/>
  <c r="L44" i="5"/>
  <c r="K44" i="5"/>
  <c r="J44" i="5"/>
  <c r="I44" i="5"/>
  <c r="H44" i="5"/>
  <c r="G44" i="5"/>
  <c r="F44" i="5"/>
  <c r="E44" i="5"/>
  <c r="D44" i="5"/>
  <c r="C44" i="5"/>
  <c r="B44" i="5"/>
  <c r="A44" i="5"/>
  <c r="M44" i="5" s="1"/>
  <c r="N43" i="5"/>
  <c r="L43" i="5"/>
  <c r="K43" i="5"/>
  <c r="J43" i="5"/>
  <c r="I43" i="5"/>
  <c r="H43" i="5"/>
  <c r="G43" i="5"/>
  <c r="F43" i="5"/>
  <c r="E43" i="5"/>
  <c r="D43" i="5"/>
  <c r="C43" i="5"/>
  <c r="B43" i="5"/>
  <c r="A43" i="5"/>
  <c r="M43" i="5" s="1"/>
  <c r="N42" i="5"/>
  <c r="L42" i="5"/>
  <c r="K42" i="5"/>
  <c r="J42" i="5"/>
  <c r="I42" i="5"/>
  <c r="H42" i="5"/>
  <c r="G42" i="5"/>
  <c r="F42" i="5"/>
  <c r="E42" i="5"/>
  <c r="D42" i="5"/>
  <c r="C42" i="5"/>
  <c r="B42" i="5"/>
  <c r="A42" i="5"/>
  <c r="M42" i="5" s="1"/>
  <c r="N41" i="5"/>
  <c r="L41" i="5"/>
  <c r="K41" i="5"/>
  <c r="J41" i="5"/>
  <c r="I41" i="5"/>
  <c r="H41" i="5"/>
  <c r="G41" i="5"/>
  <c r="F41" i="5"/>
  <c r="E41" i="5"/>
  <c r="D41" i="5"/>
  <c r="C41" i="5"/>
  <c r="B41" i="5"/>
  <c r="A41" i="5"/>
  <c r="M41" i="5" s="1"/>
  <c r="N40" i="5"/>
  <c r="L40" i="5"/>
  <c r="K40" i="5"/>
  <c r="J40" i="5"/>
  <c r="I40" i="5"/>
  <c r="H40" i="5"/>
  <c r="G40" i="5"/>
  <c r="F40" i="5"/>
  <c r="E40" i="5"/>
  <c r="D40" i="5"/>
  <c r="C40" i="5"/>
  <c r="B40" i="5"/>
  <c r="A40" i="5"/>
  <c r="M40" i="5" s="1"/>
  <c r="N39" i="5"/>
  <c r="L39" i="5"/>
  <c r="K39" i="5"/>
  <c r="J39" i="5"/>
  <c r="I39" i="5"/>
  <c r="H39" i="5"/>
  <c r="G39" i="5"/>
  <c r="F39" i="5"/>
  <c r="E39" i="5"/>
  <c r="D39" i="5"/>
  <c r="C39" i="5"/>
  <c r="B39" i="5"/>
  <c r="A39" i="5"/>
  <c r="M39" i="5" s="1"/>
  <c r="N38" i="5"/>
  <c r="L38" i="5"/>
  <c r="K38" i="5"/>
  <c r="J38" i="5"/>
  <c r="I38" i="5"/>
  <c r="H38" i="5"/>
  <c r="G38" i="5"/>
  <c r="F38" i="5"/>
  <c r="E38" i="5"/>
  <c r="D38" i="5"/>
  <c r="C38" i="5"/>
  <c r="B38" i="5"/>
  <c r="A38" i="5"/>
  <c r="M38" i="5" s="1"/>
  <c r="N37" i="5"/>
  <c r="L37" i="5"/>
  <c r="K37" i="5"/>
  <c r="J37" i="5"/>
  <c r="I37" i="5"/>
  <c r="H37" i="5"/>
  <c r="G37" i="5"/>
  <c r="F37" i="5"/>
  <c r="E37" i="5"/>
  <c r="D37" i="5"/>
  <c r="C37" i="5"/>
  <c r="B37" i="5"/>
  <c r="A37" i="5"/>
  <c r="M37" i="5" s="1"/>
  <c r="N36" i="5"/>
  <c r="L36" i="5"/>
  <c r="K36" i="5"/>
  <c r="J36" i="5"/>
  <c r="I36" i="5"/>
  <c r="H36" i="5"/>
  <c r="G36" i="5"/>
  <c r="F36" i="5"/>
  <c r="E36" i="5"/>
  <c r="D36" i="5"/>
  <c r="C36" i="5"/>
  <c r="B36" i="5"/>
  <c r="A36" i="5"/>
  <c r="M36" i="5" s="1"/>
  <c r="N35" i="5"/>
  <c r="L35" i="5"/>
  <c r="K35" i="5"/>
  <c r="J35" i="5"/>
  <c r="I35" i="5"/>
  <c r="H35" i="5"/>
  <c r="G35" i="5"/>
  <c r="F35" i="5"/>
  <c r="E35" i="5"/>
  <c r="D35" i="5"/>
  <c r="C35" i="5"/>
  <c r="B35" i="5"/>
  <c r="A35" i="5"/>
  <c r="M35" i="5" s="1"/>
  <c r="N34" i="5"/>
  <c r="L34" i="5"/>
  <c r="K34" i="5"/>
  <c r="J34" i="5"/>
  <c r="I34" i="5"/>
  <c r="H34" i="5"/>
  <c r="G34" i="5"/>
  <c r="F34" i="5"/>
  <c r="E34" i="5"/>
  <c r="D34" i="5"/>
  <c r="C34" i="5"/>
  <c r="B34" i="5"/>
  <c r="A34" i="5"/>
  <c r="M34" i="5" s="1"/>
  <c r="N33" i="5"/>
  <c r="L33" i="5"/>
  <c r="K33" i="5"/>
  <c r="J33" i="5"/>
  <c r="I33" i="5"/>
  <c r="H33" i="5"/>
  <c r="G33" i="5"/>
  <c r="F33" i="5"/>
  <c r="E33" i="5"/>
  <c r="D33" i="5"/>
  <c r="C33" i="5"/>
  <c r="B33" i="5"/>
  <c r="A33" i="5"/>
  <c r="M33" i="5" s="1"/>
  <c r="N32" i="5"/>
  <c r="L32" i="5"/>
  <c r="K32" i="5"/>
  <c r="J32" i="5"/>
  <c r="I32" i="5"/>
  <c r="H32" i="5"/>
  <c r="G32" i="5"/>
  <c r="F32" i="5"/>
  <c r="E32" i="5"/>
  <c r="D32" i="5"/>
  <c r="C32" i="5"/>
  <c r="B32" i="5"/>
  <c r="A32" i="5"/>
  <c r="M32" i="5" s="1"/>
  <c r="N31" i="5"/>
  <c r="L31" i="5"/>
  <c r="K31" i="5"/>
  <c r="J31" i="5"/>
  <c r="I31" i="5"/>
  <c r="H31" i="5"/>
  <c r="G31" i="5"/>
  <c r="F31" i="5"/>
  <c r="E31" i="5"/>
  <c r="D31" i="5"/>
  <c r="C31" i="5"/>
  <c r="B31" i="5"/>
  <c r="A31" i="5"/>
  <c r="M31" i="5" s="1"/>
  <c r="N30" i="5"/>
  <c r="I30" i="5"/>
  <c r="H30" i="5"/>
  <c r="G30" i="5"/>
  <c r="F30" i="5"/>
  <c r="E30" i="5"/>
  <c r="D30" i="5"/>
  <c r="A30" i="5"/>
  <c r="M30" i="5" s="1"/>
  <c r="N29" i="5"/>
  <c r="I29" i="5"/>
  <c r="H29" i="5"/>
  <c r="G29" i="5"/>
  <c r="F29" i="5"/>
  <c r="E29" i="5"/>
  <c r="D29" i="5"/>
  <c r="A29" i="5"/>
  <c r="M29" i="5" s="1"/>
  <c r="N28" i="5"/>
  <c r="I28" i="5"/>
  <c r="H28" i="5"/>
  <c r="G28" i="5"/>
  <c r="F28" i="5"/>
  <c r="E28" i="5"/>
  <c r="D28" i="5"/>
  <c r="A28" i="5"/>
  <c r="M28" i="5" s="1"/>
  <c r="N27" i="5"/>
  <c r="I27" i="5"/>
  <c r="H27" i="5"/>
  <c r="G27" i="5"/>
  <c r="F27" i="5"/>
  <c r="E27" i="5"/>
  <c r="D27" i="5"/>
  <c r="A27" i="5"/>
  <c r="M27" i="5" s="1"/>
  <c r="N26" i="5"/>
  <c r="I26" i="5"/>
  <c r="H26" i="5"/>
  <c r="G26" i="5"/>
  <c r="F26" i="5"/>
  <c r="E26" i="5"/>
  <c r="D26" i="5"/>
  <c r="A26" i="5"/>
  <c r="M26" i="5" s="1"/>
  <c r="N25" i="5"/>
  <c r="I25" i="5"/>
  <c r="H25" i="5"/>
  <c r="G25" i="5"/>
  <c r="F25" i="5"/>
  <c r="E25" i="5"/>
  <c r="D25" i="5"/>
  <c r="A25" i="5"/>
  <c r="M25" i="5" s="1"/>
  <c r="N24" i="5"/>
  <c r="I24" i="5"/>
  <c r="H24" i="5"/>
  <c r="G24" i="5"/>
  <c r="F24" i="5"/>
  <c r="E24" i="5"/>
  <c r="D24" i="5"/>
  <c r="A24" i="5"/>
  <c r="M24" i="5" s="1"/>
  <c r="N23" i="5"/>
  <c r="I23" i="5"/>
  <c r="H23" i="5"/>
  <c r="G23" i="5"/>
  <c r="F23" i="5"/>
  <c r="E23" i="5"/>
  <c r="D23" i="5"/>
  <c r="A23" i="5"/>
  <c r="M23" i="5" s="1"/>
  <c r="N22" i="5"/>
  <c r="I22" i="5"/>
  <c r="H22" i="5"/>
  <c r="G22" i="5"/>
  <c r="F22" i="5"/>
  <c r="E22" i="5"/>
  <c r="D22" i="5"/>
  <c r="A22" i="5"/>
  <c r="M22" i="5" s="1"/>
  <c r="N21" i="5"/>
  <c r="I21" i="5"/>
  <c r="H21" i="5"/>
  <c r="G21" i="5"/>
  <c r="F21" i="5"/>
  <c r="E21" i="5"/>
  <c r="D21" i="5"/>
  <c r="A21" i="5"/>
  <c r="M21" i="5" s="1"/>
  <c r="N20" i="5"/>
  <c r="I20" i="5"/>
  <c r="H20" i="5"/>
  <c r="G20" i="5"/>
  <c r="F20" i="5"/>
  <c r="E20" i="5"/>
  <c r="D20" i="5"/>
  <c r="A20" i="5"/>
  <c r="M20" i="5" s="1"/>
  <c r="N19" i="5"/>
  <c r="I19" i="5"/>
  <c r="H19" i="5"/>
  <c r="G19" i="5"/>
  <c r="F19" i="5"/>
  <c r="E19" i="5"/>
  <c r="D19" i="5"/>
  <c r="A19" i="5"/>
  <c r="M19" i="5" s="1"/>
  <c r="N18" i="5"/>
  <c r="I18" i="5"/>
  <c r="H18" i="5"/>
  <c r="G18" i="5"/>
  <c r="F18" i="5"/>
  <c r="E18" i="5"/>
  <c r="D18" i="5"/>
  <c r="A18" i="5"/>
  <c r="M18" i="5" s="1"/>
  <c r="N17" i="5"/>
  <c r="I17" i="5"/>
  <c r="H17" i="5"/>
  <c r="G17" i="5"/>
  <c r="F17" i="5"/>
  <c r="E17" i="5"/>
  <c r="D17" i="5"/>
  <c r="A17" i="5"/>
  <c r="M17" i="5" s="1"/>
  <c r="N16" i="5"/>
  <c r="I16" i="5"/>
  <c r="H16" i="5"/>
  <c r="G16" i="5"/>
  <c r="F16" i="5"/>
  <c r="E16" i="5"/>
  <c r="D16" i="5"/>
  <c r="A16" i="5"/>
  <c r="M16" i="5" s="1"/>
  <c r="N15" i="5"/>
  <c r="I15" i="5"/>
  <c r="H15" i="5"/>
  <c r="G15" i="5"/>
  <c r="F15" i="5"/>
  <c r="E15" i="5"/>
  <c r="D15" i="5"/>
  <c r="A15" i="5"/>
  <c r="M15" i="5" s="1"/>
  <c r="N14" i="5"/>
  <c r="I14" i="5"/>
  <c r="H14" i="5"/>
  <c r="G14" i="5"/>
  <c r="F14" i="5"/>
  <c r="E14" i="5"/>
  <c r="D14" i="5"/>
  <c r="A14" i="5"/>
  <c r="M14" i="5" s="1"/>
  <c r="N13" i="5"/>
  <c r="I13" i="5"/>
  <c r="H13" i="5"/>
  <c r="G13" i="5"/>
  <c r="F13" i="5"/>
  <c r="E13" i="5"/>
  <c r="D13" i="5"/>
  <c r="A13" i="5"/>
  <c r="M13" i="5" s="1"/>
  <c r="N12" i="5"/>
  <c r="I12" i="5"/>
  <c r="H12" i="5"/>
  <c r="G12" i="5"/>
  <c r="F12" i="5"/>
  <c r="E12" i="5"/>
  <c r="D12" i="5"/>
  <c r="A12" i="5"/>
  <c r="M12" i="5" s="1"/>
  <c r="N11" i="5"/>
  <c r="I11" i="5"/>
  <c r="H11" i="5"/>
  <c r="G11" i="5"/>
  <c r="F11" i="5"/>
  <c r="E11" i="5"/>
  <c r="D11" i="5"/>
  <c r="A11" i="5"/>
  <c r="M11" i="5" s="1"/>
  <c r="N10" i="5"/>
  <c r="I10" i="5"/>
  <c r="H10" i="5"/>
  <c r="G10" i="5"/>
  <c r="F10" i="5"/>
  <c r="E10" i="5"/>
  <c r="D10" i="5"/>
  <c r="A10" i="5"/>
  <c r="M10" i="5" s="1"/>
  <c r="N9" i="5"/>
  <c r="I9" i="5"/>
  <c r="H9" i="5"/>
  <c r="G9" i="5"/>
  <c r="F9" i="5"/>
  <c r="E9" i="5"/>
  <c r="D9" i="5"/>
  <c r="A9" i="5"/>
  <c r="M9" i="5" s="1"/>
  <c r="Q508" i="4"/>
  <c r="P508" i="4"/>
  <c r="O508" i="4"/>
  <c r="M508" i="4"/>
  <c r="L508" i="4"/>
  <c r="K508" i="4"/>
  <c r="J508" i="4"/>
  <c r="Q507" i="4"/>
  <c r="P507" i="4"/>
  <c r="O507" i="4"/>
  <c r="M507" i="4"/>
  <c r="L507" i="4"/>
  <c r="K507" i="4"/>
  <c r="J507" i="4"/>
  <c r="Q506" i="4"/>
  <c r="P506" i="4"/>
  <c r="O506" i="4"/>
  <c r="M506" i="4"/>
  <c r="L506" i="4"/>
  <c r="K506" i="4"/>
  <c r="J506" i="4"/>
  <c r="Q505" i="4"/>
  <c r="P505" i="4"/>
  <c r="O505" i="4"/>
  <c r="M505" i="4"/>
  <c r="L505" i="4"/>
  <c r="K505" i="4"/>
  <c r="J505" i="4"/>
  <c r="Q504" i="4"/>
  <c r="P504" i="4"/>
  <c r="O504" i="4"/>
  <c r="M504" i="4"/>
  <c r="L504" i="4"/>
  <c r="K504" i="4"/>
  <c r="J504" i="4"/>
  <c r="Q503" i="4"/>
  <c r="P503" i="4"/>
  <c r="O503" i="4"/>
  <c r="M503" i="4"/>
  <c r="L503" i="4"/>
  <c r="K503" i="4"/>
  <c r="J503" i="4"/>
  <c r="Q502" i="4"/>
  <c r="P502" i="4"/>
  <c r="O502" i="4"/>
  <c r="M502" i="4"/>
  <c r="L502" i="4"/>
  <c r="K502" i="4"/>
  <c r="J502" i="4"/>
  <c r="Q501" i="4"/>
  <c r="P501" i="4"/>
  <c r="O501" i="4"/>
  <c r="M501" i="4"/>
  <c r="L501" i="4"/>
  <c r="K501" i="4"/>
  <c r="J501" i="4"/>
  <c r="Q500" i="4"/>
  <c r="P500" i="4"/>
  <c r="O500" i="4"/>
  <c r="M500" i="4"/>
  <c r="L500" i="4"/>
  <c r="K500" i="4"/>
  <c r="J500" i="4"/>
  <c r="Q499" i="4"/>
  <c r="P499" i="4"/>
  <c r="O499" i="4"/>
  <c r="M499" i="4"/>
  <c r="L499" i="4"/>
  <c r="K499" i="4"/>
  <c r="J499" i="4"/>
  <c r="Q498" i="4"/>
  <c r="P498" i="4"/>
  <c r="O498" i="4"/>
  <c r="M498" i="4"/>
  <c r="L498" i="4"/>
  <c r="K498" i="4"/>
  <c r="J498" i="4"/>
  <c r="Q497" i="4"/>
  <c r="P497" i="4"/>
  <c r="O497" i="4"/>
  <c r="M497" i="4"/>
  <c r="L497" i="4"/>
  <c r="K497" i="4"/>
  <c r="J497" i="4"/>
  <c r="Q496" i="4"/>
  <c r="P496" i="4"/>
  <c r="O496" i="4"/>
  <c r="M496" i="4"/>
  <c r="L496" i="4"/>
  <c r="K496" i="4"/>
  <c r="J496" i="4"/>
  <c r="Q495" i="4"/>
  <c r="P495" i="4"/>
  <c r="O495" i="4"/>
  <c r="M495" i="4"/>
  <c r="L495" i="4"/>
  <c r="K495" i="4"/>
  <c r="J495" i="4"/>
  <c r="Q494" i="4"/>
  <c r="P494" i="4"/>
  <c r="O494" i="4"/>
  <c r="M494" i="4"/>
  <c r="L494" i="4"/>
  <c r="K494" i="4"/>
  <c r="J494" i="4"/>
  <c r="Q493" i="4"/>
  <c r="P493" i="4"/>
  <c r="O493" i="4"/>
  <c r="M493" i="4"/>
  <c r="L493" i="4"/>
  <c r="K493" i="4"/>
  <c r="J493" i="4"/>
  <c r="Q492" i="4"/>
  <c r="P492" i="4"/>
  <c r="O492" i="4"/>
  <c r="M492" i="4"/>
  <c r="L492" i="4"/>
  <c r="K492" i="4"/>
  <c r="J492" i="4"/>
  <c r="Q491" i="4"/>
  <c r="P491" i="4"/>
  <c r="O491" i="4"/>
  <c r="M491" i="4"/>
  <c r="L491" i="4"/>
  <c r="K491" i="4"/>
  <c r="J491" i="4"/>
  <c r="Q490" i="4"/>
  <c r="P490" i="4"/>
  <c r="O490" i="4"/>
  <c r="M490" i="4"/>
  <c r="L490" i="4"/>
  <c r="K490" i="4"/>
  <c r="J490" i="4"/>
  <c r="Q489" i="4"/>
  <c r="P489" i="4"/>
  <c r="O489" i="4"/>
  <c r="M489" i="4"/>
  <c r="L489" i="4"/>
  <c r="K489" i="4"/>
  <c r="J489" i="4"/>
  <c r="Q488" i="4"/>
  <c r="P488" i="4"/>
  <c r="O488" i="4"/>
  <c r="M488" i="4"/>
  <c r="L488" i="4"/>
  <c r="K488" i="4"/>
  <c r="J488" i="4"/>
  <c r="Q487" i="4"/>
  <c r="P487" i="4"/>
  <c r="O487" i="4"/>
  <c r="M487" i="4"/>
  <c r="L487" i="4"/>
  <c r="K487" i="4"/>
  <c r="J487" i="4"/>
  <c r="Q486" i="4"/>
  <c r="P486" i="4"/>
  <c r="O486" i="4"/>
  <c r="M486" i="4"/>
  <c r="L486" i="4"/>
  <c r="K486" i="4"/>
  <c r="J486" i="4"/>
  <c r="Q485" i="4"/>
  <c r="P485" i="4"/>
  <c r="O485" i="4"/>
  <c r="M485" i="4"/>
  <c r="L485" i="4"/>
  <c r="K485" i="4"/>
  <c r="J485" i="4"/>
  <c r="Q484" i="4"/>
  <c r="P484" i="4"/>
  <c r="O484" i="4"/>
  <c r="M484" i="4"/>
  <c r="L484" i="4"/>
  <c r="K484" i="4"/>
  <c r="J484" i="4"/>
  <c r="Q483" i="4"/>
  <c r="P483" i="4"/>
  <c r="O483" i="4"/>
  <c r="M483" i="4"/>
  <c r="L483" i="4"/>
  <c r="K483" i="4"/>
  <c r="J483" i="4"/>
  <c r="Q482" i="4"/>
  <c r="P482" i="4"/>
  <c r="O482" i="4"/>
  <c r="M482" i="4"/>
  <c r="L482" i="4"/>
  <c r="K482" i="4"/>
  <c r="J482" i="4"/>
  <c r="Q481" i="4"/>
  <c r="P481" i="4"/>
  <c r="O481" i="4"/>
  <c r="M481" i="4"/>
  <c r="L481" i="4"/>
  <c r="K481" i="4"/>
  <c r="J481" i="4"/>
  <c r="Q480" i="4"/>
  <c r="P480" i="4"/>
  <c r="O480" i="4"/>
  <c r="M480" i="4"/>
  <c r="L480" i="4"/>
  <c r="K480" i="4"/>
  <c r="J480" i="4"/>
  <c r="Q479" i="4"/>
  <c r="P479" i="4"/>
  <c r="O479" i="4"/>
  <c r="M479" i="4"/>
  <c r="L479" i="4"/>
  <c r="K479" i="4"/>
  <c r="J479" i="4"/>
  <c r="Q478" i="4"/>
  <c r="P478" i="4"/>
  <c r="O478" i="4"/>
  <c r="M478" i="4"/>
  <c r="L478" i="4"/>
  <c r="K478" i="4"/>
  <c r="J478" i="4"/>
  <c r="Q477" i="4"/>
  <c r="P477" i="4"/>
  <c r="O477" i="4"/>
  <c r="M477" i="4"/>
  <c r="L477" i="4"/>
  <c r="K477" i="4"/>
  <c r="J477" i="4"/>
  <c r="Q476" i="4"/>
  <c r="P476" i="4"/>
  <c r="O476" i="4"/>
  <c r="M476" i="4"/>
  <c r="L476" i="4"/>
  <c r="K476" i="4"/>
  <c r="J476" i="4"/>
  <c r="Q475" i="4"/>
  <c r="P475" i="4"/>
  <c r="O475" i="4"/>
  <c r="M475" i="4"/>
  <c r="L475" i="4"/>
  <c r="K475" i="4"/>
  <c r="J475" i="4"/>
  <c r="Q474" i="4"/>
  <c r="P474" i="4"/>
  <c r="O474" i="4"/>
  <c r="M474" i="4"/>
  <c r="L474" i="4"/>
  <c r="K474" i="4"/>
  <c r="J474" i="4"/>
  <c r="Q473" i="4"/>
  <c r="P473" i="4"/>
  <c r="O473" i="4"/>
  <c r="M473" i="4"/>
  <c r="L473" i="4"/>
  <c r="K473" i="4"/>
  <c r="J473" i="4"/>
  <c r="Q472" i="4"/>
  <c r="P472" i="4"/>
  <c r="O472" i="4"/>
  <c r="M472" i="4"/>
  <c r="L472" i="4"/>
  <c r="K472" i="4"/>
  <c r="J472" i="4"/>
  <c r="Q471" i="4"/>
  <c r="P471" i="4"/>
  <c r="O471" i="4"/>
  <c r="M471" i="4"/>
  <c r="L471" i="4"/>
  <c r="K471" i="4"/>
  <c r="J471" i="4"/>
  <c r="Q470" i="4"/>
  <c r="P470" i="4"/>
  <c r="O470" i="4"/>
  <c r="M470" i="4"/>
  <c r="L470" i="4"/>
  <c r="K470" i="4"/>
  <c r="J470" i="4"/>
  <c r="Q469" i="4"/>
  <c r="P469" i="4"/>
  <c r="O469" i="4"/>
  <c r="M469" i="4"/>
  <c r="L469" i="4"/>
  <c r="K469" i="4"/>
  <c r="J469" i="4"/>
  <c r="Q468" i="4"/>
  <c r="P468" i="4"/>
  <c r="O468" i="4"/>
  <c r="M468" i="4"/>
  <c r="L468" i="4"/>
  <c r="K468" i="4"/>
  <c r="J468" i="4"/>
  <c r="Q467" i="4"/>
  <c r="P467" i="4"/>
  <c r="O467" i="4"/>
  <c r="M467" i="4"/>
  <c r="L467" i="4"/>
  <c r="K467" i="4"/>
  <c r="J467" i="4"/>
  <c r="Q466" i="4"/>
  <c r="P466" i="4"/>
  <c r="O466" i="4"/>
  <c r="M466" i="4"/>
  <c r="L466" i="4"/>
  <c r="K466" i="4"/>
  <c r="J466" i="4"/>
  <c r="Q465" i="4"/>
  <c r="P465" i="4"/>
  <c r="O465" i="4"/>
  <c r="M465" i="4"/>
  <c r="L465" i="4"/>
  <c r="K465" i="4"/>
  <c r="J465" i="4"/>
  <c r="Q464" i="4"/>
  <c r="P464" i="4"/>
  <c r="O464" i="4"/>
  <c r="M464" i="4"/>
  <c r="L464" i="4"/>
  <c r="K464" i="4"/>
  <c r="J464" i="4"/>
  <c r="Q463" i="4"/>
  <c r="P463" i="4"/>
  <c r="O463" i="4"/>
  <c r="M463" i="4"/>
  <c r="L463" i="4"/>
  <c r="K463" i="4"/>
  <c r="J463" i="4"/>
  <c r="Q462" i="4"/>
  <c r="P462" i="4"/>
  <c r="O462" i="4"/>
  <c r="M462" i="4"/>
  <c r="L462" i="4"/>
  <c r="K462" i="4"/>
  <c r="J462" i="4"/>
  <c r="Q461" i="4"/>
  <c r="P461" i="4"/>
  <c r="O461" i="4"/>
  <c r="M461" i="4"/>
  <c r="L461" i="4"/>
  <c r="K461" i="4"/>
  <c r="J461" i="4"/>
  <c r="Q460" i="4"/>
  <c r="P460" i="4"/>
  <c r="O460" i="4"/>
  <c r="M460" i="4"/>
  <c r="L460" i="4"/>
  <c r="K460" i="4"/>
  <c r="J460" i="4"/>
  <c r="Q459" i="4"/>
  <c r="P459" i="4"/>
  <c r="O459" i="4"/>
  <c r="M459" i="4"/>
  <c r="L459" i="4"/>
  <c r="K459" i="4"/>
  <c r="J459" i="4"/>
  <c r="Q458" i="4"/>
  <c r="P458" i="4"/>
  <c r="O458" i="4"/>
  <c r="M458" i="4"/>
  <c r="L458" i="4"/>
  <c r="K458" i="4"/>
  <c r="J458" i="4"/>
  <c r="Q457" i="4"/>
  <c r="P457" i="4"/>
  <c r="O457" i="4"/>
  <c r="M457" i="4"/>
  <c r="L457" i="4"/>
  <c r="K457" i="4"/>
  <c r="J457" i="4"/>
  <c r="Q456" i="4"/>
  <c r="P456" i="4"/>
  <c r="O456" i="4"/>
  <c r="M456" i="4"/>
  <c r="L456" i="4"/>
  <c r="K456" i="4"/>
  <c r="J456" i="4"/>
  <c r="Q455" i="4"/>
  <c r="P455" i="4"/>
  <c r="O455" i="4"/>
  <c r="M455" i="4"/>
  <c r="L455" i="4"/>
  <c r="K455" i="4"/>
  <c r="J455" i="4"/>
  <c r="Q454" i="4"/>
  <c r="P454" i="4"/>
  <c r="O454" i="4"/>
  <c r="M454" i="4"/>
  <c r="L454" i="4"/>
  <c r="K454" i="4"/>
  <c r="J454" i="4"/>
  <c r="Q453" i="4"/>
  <c r="P453" i="4"/>
  <c r="O453" i="4"/>
  <c r="M453" i="4"/>
  <c r="L453" i="4"/>
  <c r="K453" i="4"/>
  <c r="J453" i="4"/>
  <c r="Q452" i="4"/>
  <c r="P452" i="4"/>
  <c r="O452" i="4"/>
  <c r="M452" i="4"/>
  <c r="L452" i="4"/>
  <c r="K452" i="4"/>
  <c r="J452" i="4"/>
  <c r="Q451" i="4"/>
  <c r="P451" i="4"/>
  <c r="O451" i="4"/>
  <c r="M451" i="4"/>
  <c r="L451" i="4"/>
  <c r="K451" i="4"/>
  <c r="J451" i="4"/>
  <c r="Q450" i="4"/>
  <c r="P450" i="4"/>
  <c r="O450" i="4"/>
  <c r="M450" i="4"/>
  <c r="L450" i="4"/>
  <c r="K450" i="4"/>
  <c r="J450" i="4"/>
  <c r="Q449" i="4"/>
  <c r="P449" i="4"/>
  <c r="O449" i="4"/>
  <c r="M449" i="4"/>
  <c r="L449" i="4"/>
  <c r="K449" i="4"/>
  <c r="J449" i="4"/>
  <c r="Q448" i="4"/>
  <c r="P448" i="4"/>
  <c r="O448" i="4"/>
  <c r="M448" i="4"/>
  <c r="L448" i="4"/>
  <c r="K448" i="4"/>
  <c r="J448" i="4"/>
  <c r="Q447" i="4"/>
  <c r="P447" i="4"/>
  <c r="O447" i="4"/>
  <c r="M447" i="4"/>
  <c r="L447" i="4"/>
  <c r="K447" i="4"/>
  <c r="J447" i="4"/>
  <c r="Q446" i="4"/>
  <c r="P446" i="4"/>
  <c r="O446" i="4"/>
  <c r="M446" i="4"/>
  <c r="L446" i="4"/>
  <c r="K446" i="4"/>
  <c r="J446" i="4"/>
  <c r="Q445" i="4"/>
  <c r="P445" i="4"/>
  <c r="O445" i="4"/>
  <c r="M445" i="4"/>
  <c r="L445" i="4"/>
  <c r="K445" i="4"/>
  <c r="J445" i="4"/>
  <c r="Q444" i="4"/>
  <c r="P444" i="4"/>
  <c r="O444" i="4"/>
  <c r="M444" i="4"/>
  <c r="L444" i="4"/>
  <c r="K444" i="4"/>
  <c r="J444" i="4"/>
  <c r="Q443" i="4"/>
  <c r="P443" i="4"/>
  <c r="O443" i="4"/>
  <c r="M443" i="4"/>
  <c r="L443" i="4"/>
  <c r="K443" i="4"/>
  <c r="J443" i="4"/>
  <c r="Q442" i="4"/>
  <c r="P442" i="4"/>
  <c r="O442" i="4"/>
  <c r="M442" i="4"/>
  <c r="L442" i="4"/>
  <c r="K442" i="4"/>
  <c r="J442" i="4"/>
  <c r="Q441" i="4"/>
  <c r="P441" i="4"/>
  <c r="O441" i="4"/>
  <c r="M441" i="4"/>
  <c r="L441" i="4"/>
  <c r="K441" i="4"/>
  <c r="J441" i="4"/>
  <c r="Q440" i="4"/>
  <c r="P440" i="4"/>
  <c r="O440" i="4"/>
  <c r="M440" i="4"/>
  <c r="L440" i="4"/>
  <c r="K440" i="4"/>
  <c r="J440" i="4"/>
  <c r="Q439" i="4"/>
  <c r="P439" i="4"/>
  <c r="O439" i="4"/>
  <c r="M439" i="4"/>
  <c r="L439" i="4"/>
  <c r="K439" i="4"/>
  <c r="J439" i="4"/>
  <c r="Q438" i="4"/>
  <c r="P438" i="4"/>
  <c r="O438" i="4"/>
  <c r="M438" i="4"/>
  <c r="L438" i="4"/>
  <c r="K438" i="4"/>
  <c r="J438" i="4"/>
  <c r="Q437" i="4"/>
  <c r="P437" i="4"/>
  <c r="O437" i="4"/>
  <c r="M437" i="4"/>
  <c r="L437" i="4"/>
  <c r="K437" i="4"/>
  <c r="J437" i="4"/>
  <c r="Q436" i="4"/>
  <c r="P436" i="4"/>
  <c r="O436" i="4"/>
  <c r="M436" i="4"/>
  <c r="L436" i="4"/>
  <c r="K436" i="4"/>
  <c r="J436" i="4"/>
  <c r="Q435" i="4"/>
  <c r="P435" i="4"/>
  <c r="O435" i="4"/>
  <c r="M435" i="4"/>
  <c r="L435" i="4"/>
  <c r="K435" i="4"/>
  <c r="J435" i="4"/>
  <c r="Q434" i="4"/>
  <c r="P434" i="4"/>
  <c r="O434" i="4"/>
  <c r="M434" i="4"/>
  <c r="L434" i="4"/>
  <c r="K434" i="4"/>
  <c r="J434" i="4"/>
  <c r="Q433" i="4"/>
  <c r="P433" i="4"/>
  <c r="O433" i="4"/>
  <c r="M433" i="4"/>
  <c r="L433" i="4"/>
  <c r="K433" i="4"/>
  <c r="J433" i="4"/>
  <c r="Q432" i="4"/>
  <c r="P432" i="4"/>
  <c r="O432" i="4"/>
  <c r="M432" i="4"/>
  <c r="L432" i="4"/>
  <c r="K432" i="4"/>
  <c r="J432" i="4"/>
  <c r="Q431" i="4"/>
  <c r="P431" i="4"/>
  <c r="O431" i="4"/>
  <c r="M431" i="4"/>
  <c r="L431" i="4"/>
  <c r="K431" i="4"/>
  <c r="J431" i="4"/>
  <c r="Q430" i="4"/>
  <c r="P430" i="4"/>
  <c r="O430" i="4"/>
  <c r="M430" i="4"/>
  <c r="L430" i="4"/>
  <c r="K430" i="4"/>
  <c r="J430" i="4"/>
  <c r="Q429" i="4"/>
  <c r="P429" i="4"/>
  <c r="O429" i="4"/>
  <c r="M429" i="4"/>
  <c r="L429" i="4"/>
  <c r="K429" i="4"/>
  <c r="J429" i="4"/>
  <c r="Q428" i="4"/>
  <c r="P428" i="4"/>
  <c r="O428" i="4"/>
  <c r="M428" i="4"/>
  <c r="L428" i="4"/>
  <c r="K428" i="4"/>
  <c r="J428" i="4"/>
  <c r="Q427" i="4"/>
  <c r="P427" i="4"/>
  <c r="O427" i="4"/>
  <c r="M427" i="4"/>
  <c r="L427" i="4"/>
  <c r="K427" i="4"/>
  <c r="J427" i="4"/>
  <c r="Q426" i="4"/>
  <c r="P426" i="4"/>
  <c r="O426" i="4"/>
  <c r="M426" i="4"/>
  <c r="L426" i="4"/>
  <c r="K426" i="4"/>
  <c r="J426" i="4"/>
  <c r="Q425" i="4"/>
  <c r="P425" i="4"/>
  <c r="O425" i="4"/>
  <c r="M425" i="4"/>
  <c r="L425" i="4"/>
  <c r="K425" i="4"/>
  <c r="J425" i="4"/>
  <c r="Q424" i="4"/>
  <c r="P424" i="4"/>
  <c r="O424" i="4"/>
  <c r="M424" i="4"/>
  <c r="L424" i="4"/>
  <c r="K424" i="4"/>
  <c r="J424" i="4"/>
  <c r="Q423" i="4"/>
  <c r="P423" i="4"/>
  <c r="O423" i="4"/>
  <c r="M423" i="4"/>
  <c r="L423" i="4"/>
  <c r="K423" i="4"/>
  <c r="J423" i="4"/>
  <c r="Q422" i="4"/>
  <c r="P422" i="4"/>
  <c r="O422" i="4"/>
  <c r="M422" i="4"/>
  <c r="L422" i="4"/>
  <c r="K422" i="4"/>
  <c r="J422" i="4"/>
  <c r="Q421" i="4"/>
  <c r="P421" i="4"/>
  <c r="O421" i="4"/>
  <c r="M421" i="4"/>
  <c r="L421" i="4"/>
  <c r="K421" i="4"/>
  <c r="J421" i="4"/>
  <c r="Q420" i="4"/>
  <c r="P420" i="4"/>
  <c r="O420" i="4"/>
  <c r="M420" i="4"/>
  <c r="L420" i="4"/>
  <c r="K420" i="4"/>
  <c r="J420" i="4"/>
  <c r="Q419" i="4"/>
  <c r="P419" i="4"/>
  <c r="O419" i="4"/>
  <c r="M419" i="4"/>
  <c r="L419" i="4"/>
  <c r="K419" i="4"/>
  <c r="J419" i="4"/>
  <c r="Q418" i="4"/>
  <c r="P418" i="4"/>
  <c r="O418" i="4"/>
  <c r="M418" i="4"/>
  <c r="L418" i="4"/>
  <c r="K418" i="4"/>
  <c r="J418" i="4"/>
  <c r="Q417" i="4"/>
  <c r="P417" i="4"/>
  <c r="O417" i="4"/>
  <c r="M417" i="4"/>
  <c r="L417" i="4"/>
  <c r="K417" i="4"/>
  <c r="J417" i="4"/>
  <c r="Q416" i="4"/>
  <c r="P416" i="4"/>
  <c r="O416" i="4"/>
  <c r="M416" i="4"/>
  <c r="L416" i="4"/>
  <c r="K416" i="4"/>
  <c r="J416" i="4"/>
  <c r="Q415" i="4"/>
  <c r="P415" i="4"/>
  <c r="O415" i="4"/>
  <c r="M415" i="4"/>
  <c r="L415" i="4"/>
  <c r="K415" i="4"/>
  <c r="J415" i="4"/>
  <c r="Q414" i="4"/>
  <c r="P414" i="4"/>
  <c r="O414" i="4"/>
  <c r="M414" i="4"/>
  <c r="L414" i="4"/>
  <c r="K414" i="4"/>
  <c r="J414" i="4"/>
  <c r="Q413" i="4"/>
  <c r="P413" i="4"/>
  <c r="O413" i="4"/>
  <c r="M413" i="4"/>
  <c r="L413" i="4"/>
  <c r="K413" i="4"/>
  <c r="J413" i="4"/>
  <c r="Q412" i="4"/>
  <c r="P412" i="4"/>
  <c r="O412" i="4"/>
  <c r="M412" i="4"/>
  <c r="L412" i="4"/>
  <c r="K412" i="4"/>
  <c r="J412" i="4"/>
  <c r="Q411" i="4"/>
  <c r="P411" i="4"/>
  <c r="O411" i="4"/>
  <c r="M411" i="4"/>
  <c r="L411" i="4"/>
  <c r="K411" i="4"/>
  <c r="J411" i="4"/>
  <c r="Q410" i="4"/>
  <c r="P410" i="4"/>
  <c r="O410" i="4"/>
  <c r="M410" i="4"/>
  <c r="L410" i="4"/>
  <c r="K410" i="4"/>
  <c r="J410" i="4"/>
  <c r="Q409" i="4"/>
  <c r="P409" i="4"/>
  <c r="O409" i="4"/>
  <c r="M409" i="4"/>
  <c r="L409" i="4"/>
  <c r="K409" i="4"/>
  <c r="J409" i="4"/>
  <c r="Q408" i="4"/>
  <c r="P408" i="4"/>
  <c r="O408" i="4"/>
  <c r="M408" i="4"/>
  <c r="L408" i="4"/>
  <c r="K408" i="4"/>
  <c r="J408" i="4"/>
  <c r="Q407" i="4"/>
  <c r="P407" i="4"/>
  <c r="O407" i="4"/>
  <c r="M407" i="4"/>
  <c r="L407" i="4"/>
  <c r="K407" i="4"/>
  <c r="J407" i="4"/>
  <c r="Q406" i="4"/>
  <c r="P406" i="4"/>
  <c r="O406" i="4"/>
  <c r="M406" i="4"/>
  <c r="L406" i="4"/>
  <c r="K406" i="4"/>
  <c r="J406" i="4"/>
  <c r="Q405" i="4"/>
  <c r="P405" i="4"/>
  <c r="O405" i="4"/>
  <c r="M405" i="4"/>
  <c r="L405" i="4"/>
  <c r="K405" i="4"/>
  <c r="J405" i="4"/>
  <c r="Q404" i="4"/>
  <c r="P404" i="4"/>
  <c r="O404" i="4"/>
  <c r="M404" i="4"/>
  <c r="L404" i="4"/>
  <c r="K404" i="4"/>
  <c r="J404" i="4"/>
  <c r="Q403" i="4"/>
  <c r="P403" i="4"/>
  <c r="O403" i="4"/>
  <c r="M403" i="4"/>
  <c r="L403" i="4"/>
  <c r="K403" i="4"/>
  <c r="J403" i="4"/>
  <c r="Q402" i="4"/>
  <c r="P402" i="4"/>
  <c r="O402" i="4"/>
  <c r="M402" i="4"/>
  <c r="L402" i="4"/>
  <c r="K402" i="4"/>
  <c r="J402" i="4"/>
  <c r="Q401" i="4"/>
  <c r="P401" i="4"/>
  <c r="O401" i="4"/>
  <c r="M401" i="4"/>
  <c r="L401" i="4"/>
  <c r="K401" i="4"/>
  <c r="J401" i="4"/>
  <c r="Q400" i="4"/>
  <c r="P400" i="4"/>
  <c r="O400" i="4"/>
  <c r="M400" i="4"/>
  <c r="L400" i="4"/>
  <c r="K400" i="4"/>
  <c r="J400" i="4"/>
  <c r="Q399" i="4"/>
  <c r="P399" i="4"/>
  <c r="O399" i="4"/>
  <c r="M399" i="4"/>
  <c r="L399" i="4"/>
  <c r="K399" i="4"/>
  <c r="J399" i="4"/>
  <c r="Q398" i="4"/>
  <c r="P398" i="4"/>
  <c r="O398" i="4"/>
  <c r="M398" i="4"/>
  <c r="L398" i="4"/>
  <c r="K398" i="4"/>
  <c r="J398" i="4"/>
  <c r="Q397" i="4"/>
  <c r="P397" i="4"/>
  <c r="O397" i="4"/>
  <c r="M397" i="4"/>
  <c r="L397" i="4"/>
  <c r="K397" i="4"/>
  <c r="J397" i="4"/>
  <c r="Q396" i="4"/>
  <c r="P396" i="4"/>
  <c r="O396" i="4"/>
  <c r="M396" i="4"/>
  <c r="L396" i="4"/>
  <c r="K396" i="4"/>
  <c r="J396" i="4"/>
  <c r="Q395" i="4"/>
  <c r="P395" i="4"/>
  <c r="O395" i="4"/>
  <c r="M395" i="4"/>
  <c r="L395" i="4"/>
  <c r="K395" i="4"/>
  <c r="J395" i="4"/>
  <c r="Q394" i="4"/>
  <c r="P394" i="4"/>
  <c r="O394" i="4"/>
  <c r="M394" i="4"/>
  <c r="L394" i="4"/>
  <c r="K394" i="4"/>
  <c r="J394" i="4"/>
  <c r="Q393" i="4"/>
  <c r="P393" i="4"/>
  <c r="O393" i="4"/>
  <c r="M393" i="4"/>
  <c r="L393" i="4"/>
  <c r="K393" i="4"/>
  <c r="J393" i="4"/>
  <c r="Q392" i="4"/>
  <c r="P392" i="4"/>
  <c r="O392" i="4"/>
  <c r="M392" i="4"/>
  <c r="L392" i="4"/>
  <c r="K392" i="4"/>
  <c r="J392" i="4"/>
  <c r="Q391" i="4"/>
  <c r="P391" i="4"/>
  <c r="O391" i="4"/>
  <c r="M391" i="4"/>
  <c r="L391" i="4"/>
  <c r="K391" i="4"/>
  <c r="J391" i="4"/>
  <c r="Q390" i="4"/>
  <c r="P390" i="4"/>
  <c r="O390" i="4"/>
  <c r="M390" i="4"/>
  <c r="L390" i="4"/>
  <c r="K390" i="4"/>
  <c r="J390" i="4"/>
  <c r="Q389" i="4"/>
  <c r="P389" i="4"/>
  <c r="O389" i="4"/>
  <c r="M389" i="4"/>
  <c r="L389" i="4"/>
  <c r="K389" i="4"/>
  <c r="J389" i="4"/>
  <c r="Q388" i="4"/>
  <c r="P388" i="4"/>
  <c r="O388" i="4"/>
  <c r="M388" i="4"/>
  <c r="L388" i="4"/>
  <c r="K388" i="4"/>
  <c r="J388" i="4"/>
  <c r="Q387" i="4"/>
  <c r="P387" i="4"/>
  <c r="O387" i="4"/>
  <c r="M387" i="4"/>
  <c r="L387" i="4"/>
  <c r="K387" i="4"/>
  <c r="J387" i="4"/>
  <c r="Q386" i="4"/>
  <c r="P386" i="4"/>
  <c r="O386" i="4"/>
  <c r="M386" i="4"/>
  <c r="L386" i="4"/>
  <c r="K386" i="4"/>
  <c r="J386" i="4"/>
  <c r="Q385" i="4"/>
  <c r="P385" i="4"/>
  <c r="O385" i="4"/>
  <c r="M385" i="4"/>
  <c r="L385" i="4"/>
  <c r="K385" i="4"/>
  <c r="J385" i="4"/>
  <c r="Q384" i="4"/>
  <c r="P384" i="4"/>
  <c r="O384" i="4"/>
  <c r="M384" i="4"/>
  <c r="L384" i="4"/>
  <c r="K384" i="4"/>
  <c r="J384" i="4"/>
  <c r="Q383" i="4"/>
  <c r="P383" i="4"/>
  <c r="O383" i="4"/>
  <c r="M383" i="4"/>
  <c r="L383" i="4"/>
  <c r="K383" i="4"/>
  <c r="J383" i="4"/>
  <c r="Q382" i="4"/>
  <c r="P382" i="4"/>
  <c r="O382" i="4"/>
  <c r="M382" i="4"/>
  <c r="L382" i="4"/>
  <c r="K382" i="4"/>
  <c r="J382" i="4"/>
  <c r="Q381" i="4"/>
  <c r="P381" i="4"/>
  <c r="O381" i="4"/>
  <c r="M381" i="4"/>
  <c r="L381" i="4"/>
  <c r="K381" i="4"/>
  <c r="J381" i="4"/>
  <c r="Q380" i="4"/>
  <c r="P380" i="4"/>
  <c r="O380" i="4"/>
  <c r="M380" i="4"/>
  <c r="L380" i="4"/>
  <c r="K380" i="4"/>
  <c r="J380" i="4"/>
  <c r="Q379" i="4"/>
  <c r="P379" i="4"/>
  <c r="O379" i="4"/>
  <c r="M379" i="4"/>
  <c r="L379" i="4"/>
  <c r="K379" i="4"/>
  <c r="J379" i="4"/>
  <c r="Q378" i="4"/>
  <c r="P378" i="4"/>
  <c r="O378" i="4"/>
  <c r="M378" i="4"/>
  <c r="L378" i="4"/>
  <c r="K378" i="4"/>
  <c r="J378" i="4"/>
  <c r="Q377" i="4"/>
  <c r="P377" i="4"/>
  <c r="O377" i="4"/>
  <c r="M377" i="4"/>
  <c r="L377" i="4"/>
  <c r="K377" i="4"/>
  <c r="J377" i="4"/>
  <c r="Q376" i="4"/>
  <c r="P376" i="4"/>
  <c r="O376" i="4"/>
  <c r="M376" i="4"/>
  <c r="L376" i="4"/>
  <c r="K376" i="4"/>
  <c r="J376" i="4"/>
  <c r="Q375" i="4"/>
  <c r="P375" i="4"/>
  <c r="O375" i="4"/>
  <c r="M375" i="4"/>
  <c r="L375" i="4"/>
  <c r="K375" i="4"/>
  <c r="J375" i="4"/>
  <c r="Q374" i="4"/>
  <c r="P374" i="4"/>
  <c r="O374" i="4"/>
  <c r="M374" i="4"/>
  <c r="L374" i="4"/>
  <c r="K374" i="4"/>
  <c r="J374" i="4"/>
  <c r="Q373" i="4"/>
  <c r="P373" i="4"/>
  <c r="O373" i="4"/>
  <c r="M373" i="4"/>
  <c r="L373" i="4"/>
  <c r="K373" i="4"/>
  <c r="J373" i="4"/>
  <c r="Q372" i="4"/>
  <c r="P372" i="4"/>
  <c r="O372" i="4"/>
  <c r="M372" i="4"/>
  <c r="L372" i="4"/>
  <c r="K372" i="4"/>
  <c r="J372" i="4"/>
  <c r="Q371" i="4"/>
  <c r="P371" i="4"/>
  <c r="O371" i="4"/>
  <c r="M371" i="4"/>
  <c r="L371" i="4"/>
  <c r="K371" i="4"/>
  <c r="J371" i="4"/>
  <c r="Q370" i="4"/>
  <c r="P370" i="4"/>
  <c r="O370" i="4"/>
  <c r="M370" i="4"/>
  <c r="L370" i="4"/>
  <c r="K370" i="4"/>
  <c r="J370" i="4"/>
  <c r="Q369" i="4"/>
  <c r="P369" i="4"/>
  <c r="O369" i="4"/>
  <c r="M369" i="4"/>
  <c r="L369" i="4"/>
  <c r="K369" i="4"/>
  <c r="J369" i="4"/>
  <c r="Q368" i="4"/>
  <c r="P368" i="4"/>
  <c r="O368" i="4"/>
  <c r="M368" i="4"/>
  <c r="L368" i="4"/>
  <c r="K368" i="4"/>
  <c r="J368" i="4"/>
  <c r="Q367" i="4"/>
  <c r="P367" i="4"/>
  <c r="O367" i="4"/>
  <c r="M367" i="4"/>
  <c r="L367" i="4"/>
  <c r="K367" i="4"/>
  <c r="J367" i="4"/>
  <c r="Q366" i="4"/>
  <c r="P366" i="4"/>
  <c r="O366" i="4"/>
  <c r="M366" i="4"/>
  <c r="L366" i="4"/>
  <c r="K366" i="4"/>
  <c r="J366" i="4"/>
  <c r="Q365" i="4"/>
  <c r="P365" i="4"/>
  <c r="O365" i="4"/>
  <c r="M365" i="4"/>
  <c r="L365" i="4"/>
  <c r="K365" i="4"/>
  <c r="J365" i="4"/>
  <c r="Q364" i="4"/>
  <c r="P364" i="4"/>
  <c r="O364" i="4"/>
  <c r="M364" i="4"/>
  <c r="L364" i="4"/>
  <c r="K364" i="4"/>
  <c r="J364" i="4"/>
  <c r="Q363" i="4"/>
  <c r="P363" i="4"/>
  <c r="O363" i="4"/>
  <c r="M363" i="4"/>
  <c r="L363" i="4"/>
  <c r="K363" i="4"/>
  <c r="J363" i="4"/>
  <c r="Q362" i="4"/>
  <c r="P362" i="4"/>
  <c r="O362" i="4"/>
  <c r="M362" i="4"/>
  <c r="L362" i="4"/>
  <c r="K362" i="4"/>
  <c r="J362" i="4"/>
  <c r="Q361" i="4"/>
  <c r="P361" i="4"/>
  <c r="O361" i="4"/>
  <c r="M361" i="4"/>
  <c r="L361" i="4"/>
  <c r="K361" i="4"/>
  <c r="J361" i="4"/>
  <c r="Q360" i="4"/>
  <c r="P360" i="4"/>
  <c r="O360" i="4"/>
  <c r="M360" i="4"/>
  <c r="L360" i="4"/>
  <c r="K360" i="4"/>
  <c r="J360" i="4"/>
  <c r="Q359" i="4"/>
  <c r="P359" i="4"/>
  <c r="O359" i="4"/>
  <c r="M359" i="4"/>
  <c r="L359" i="4"/>
  <c r="K359" i="4"/>
  <c r="J359" i="4"/>
  <c r="Q358" i="4"/>
  <c r="P358" i="4"/>
  <c r="O358" i="4"/>
  <c r="M358" i="4"/>
  <c r="L358" i="4"/>
  <c r="K358" i="4"/>
  <c r="J358" i="4"/>
  <c r="Q357" i="4"/>
  <c r="P357" i="4"/>
  <c r="O357" i="4"/>
  <c r="M357" i="4"/>
  <c r="L357" i="4"/>
  <c r="K357" i="4"/>
  <c r="J357" i="4"/>
  <c r="Q356" i="4"/>
  <c r="P356" i="4"/>
  <c r="O356" i="4"/>
  <c r="M356" i="4"/>
  <c r="L356" i="4"/>
  <c r="K356" i="4"/>
  <c r="J356" i="4"/>
  <c r="Q355" i="4"/>
  <c r="P355" i="4"/>
  <c r="O355" i="4"/>
  <c r="M355" i="4"/>
  <c r="L355" i="4"/>
  <c r="K355" i="4"/>
  <c r="J355" i="4"/>
  <c r="Q354" i="4"/>
  <c r="P354" i="4"/>
  <c r="O354" i="4"/>
  <c r="M354" i="4"/>
  <c r="L354" i="4"/>
  <c r="K354" i="4"/>
  <c r="J354" i="4"/>
  <c r="Q353" i="4"/>
  <c r="P353" i="4"/>
  <c r="O353" i="4"/>
  <c r="M353" i="4"/>
  <c r="L353" i="4"/>
  <c r="K353" i="4"/>
  <c r="J353" i="4"/>
  <c r="Q352" i="4"/>
  <c r="P352" i="4"/>
  <c r="O352" i="4"/>
  <c r="M352" i="4"/>
  <c r="L352" i="4"/>
  <c r="K352" i="4"/>
  <c r="J352" i="4"/>
  <c r="Q351" i="4"/>
  <c r="P351" i="4"/>
  <c r="O351" i="4"/>
  <c r="M351" i="4"/>
  <c r="L351" i="4"/>
  <c r="K351" i="4"/>
  <c r="J351" i="4"/>
  <c r="Q350" i="4"/>
  <c r="P350" i="4"/>
  <c r="O350" i="4"/>
  <c r="M350" i="4"/>
  <c r="L350" i="4"/>
  <c r="K350" i="4"/>
  <c r="J350" i="4"/>
  <c r="Q349" i="4"/>
  <c r="P349" i="4"/>
  <c r="O349" i="4"/>
  <c r="M349" i="4"/>
  <c r="L349" i="4"/>
  <c r="K349" i="4"/>
  <c r="J349" i="4"/>
  <c r="Q348" i="4"/>
  <c r="P348" i="4"/>
  <c r="O348" i="4"/>
  <c r="M348" i="4"/>
  <c r="L348" i="4"/>
  <c r="K348" i="4"/>
  <c r="J348" i="4"/>
  <c r="Q347" i="4"/>
  <c r="P347" i="4"/>
  <c r="O347" i="4"/>
  <c r="M347" i="4"/>
  <c r="L347" i="4"/>
  <c r="K347" i="4"/>
  <c r="J347" i="4"/>
  <c r="Q346" i="4"/>
  <c r="P346" i="4"/>
  <c r="O346" i="4"/>
  <c r="M346" i="4"/>
  <c r="L346" i="4"/>
  <c r="K346" i="4"/>
  <c r="J346" i="4"/>
  <c r="Q345" i="4"/>
  <c r="P345" i="4"/>
  <c r="O345" i="4"/>
  <c r="M345" i="4"/>
  <c r="L345" i="4"/>
  <c r="K345" i="4"/>
  <c r="J345" i="4"/>
  <c r="Q344" i="4"/>
  <c r="P344" i="4"/>
  <c r="O344" i="4"/>
  <c r="M344" i="4"/>
  <c r="L344" i="4"/>
  <c r="K344" i="4"/>
  <c r="J344" i="4"/>
  <c r="Q343" i="4"/>
  <c r="P343" i="4"/>
  <c r="O343" i="4"/>
  <c r="M343" i="4"/>
  <c r="L343" i="4"/>
  <c r="K343" i="4"/>
  <c r="J343" i="4"/>
  <c r="Q342" i="4"/>
  <c r="P342" i="4"/>
  <c r="O342" i="4"/>
  <c r="M342" i="4"/>
  <c r="L342" i="4"/>
  <c r="K342" i="4"/>
  <c r="J342" i="4"/>
  <c r="Q341" i="4"/>
  <c r="P341" i="4"/>
  <c r="O341" i="4"/>
  <c r="M341" i="4"/>
  <c r="L341" i="4"/>
  <c r="K341" i="4"/>
  <c r="J341" i="4"/>
  <c r="Q340" i="4"/>
  <c r="P340" i="4"/>
  <c r="O340" i="4"/>
  <c r="M340" i="4"/>
  <c r="L340" i="4"/>
  <c r="K340" i="4"/>
  <c r="J340" i="4"/>
  <c r="Q339" i="4"/>
  <c r="P339" i="4"/>
  <c r="O339" i="4"/>
  <c r="M339" i="4"/>
  <c r="L339" i="4"/>
  <c r="K339" i="4"/>
  <c r="J339" i="4"/>
  <c r="Q338" i="4"/>
  <c r="P338" i="4"/>
  <c r="O338" i="4"/>
  <c r="M338" i="4"/>
  <c r="L338" i="4"/>
  <c r="K338" i="4"/>
  <c r="J338" i="4"/>
  <c r="Q337" i="4"/>
  <c r="P337" i="4"/>
  <c r="O337" i="4"/>
  <c r="M337" i="4"/>
  <c r="L337" i="4"/>
  <c r="K337" i="4"/>
  <c r="J337" i="4"/>
  <c r="Q336" i="4"/>
  <c r="P336" i="4"/>
  <c r="O336" i="4"/>
  <c r="M336" i="4"/>
  <c r="L336" i="4"/>
  <c r="K336" i="4"/>
  <c r="J336" i="4"/>
  <c r="Q335" i="4"/>
  <c r="P335" i="4"/>
  <c r="O335" i="4"/>
  <c r="M335" i="4"/>
  <c r="L335" i="4"/>
  <c r="K335" i="4"/>
  <c r="J335" i="4"/>
  <c r="Q334" i="4"/>
  <c r="P334" i="4"/>
  <c r="O334" i="4"/>
  <c r="M334" i="4"/>
  <c r="L334" i="4"/>
  <c r="K334" i="4"/>
  <c r="J334" i="4"/>
  <c r="Q333" i="4"/>
  <c r="P333" i="4"/>
  <c r="O333" i="4"/>
  <c r="M333" i="4"/>
  <c r="L333" i="4"/>
  <c r="K333" i="4"/>
  <c r="J333" i="4"/>
  <c r="Q332" i="4"/>
  <c r="P332" i="4"/>
  <c r="O332" i="4"/>
  <c r="M332" i="4"/>
  <c r="L332" i="4"/>
  <c r="K332" i="4"/>
  <c r="J332" i="4"/>
  <c r="Q331" i="4"/>
  <c r="P331" i="4"/>
  <c r="O331" i="4"/>
  <c r="M331" i="4"/>
  <c r="L331" i="4"/>
  <c r="K331" i="4"/>
  <c r="J331" i="4"/>
  <c r="Q330" i="4"/>
  <c r="P330" i="4"/>
  <c r="O330" i="4"/>
  <c r="M330" i="4"/>
  <c r="L330" i="4"/>
  <c r="K330" i="4"/>
  <c r="J330" i="4"/>
  <c r="Q329" i="4"/>
  <c r="P329" i="4"/>
  <c r="O329" i="4"/>
  <c r="M329" i="4"/>
  <c r="L329" i="4"/>
  <c r="K329" i="4"/>
  <c r="J329" i="4"/>
  <c r="Q328" i="4"/>
  <c r="P328" i="4"/>
  <c r="O328" i="4"/>
  <c r="M328" i="4"/>
  <c r="L328" i="4"/>
  <c r="K328" i="4"/>
  <c r="J328" i="4"/>
  <c r="Q327" i="4"/>
  <c r="P327" i="4"/>
  <c r="O327" i="4"/>
  <c r="M327" i="4"/>
  <c r="L327" i="4"/>
  <c r="K327" i="4"/>
  <c r="J327" i="4"/>
  <c r="Q326" i="4"/>
  <c r="P326" i="4"/>
  <c r="O326" i="4"/>
  <c r="M326" i="4"/>
  <c r="L326" i="4"/>
  <c r="K326" i="4"/>
  <c r="J326" i="4"/>
  <c r="Q325" i="4"/>
  <c r="P325" i="4"/>
  <c r="O325" i="4"/>
  <c r="M325" i="4"/>
  <c r="L325" i="4"/>
  <c r="K325" i="4"/>
  <c r="J325" i="4"/>
  <c r="Q324" i="4"/>
  <c r="P324" i="4"/>
  <c r="O324" i="4"/>
  <c r="M324" i="4"/>
  <c r="L324" i="4"/>
  <c r="K324" i="4"/>
  <c r="J324" i="4"/>
  <c r="Q323" i="4"/>
  <c r="P323" i="4"/>
  <c r="O323" i="4"/>
  <c r="M323" i="4"/>
  <c r="L323" i="4"/>
  <c r="K323" i="4"/>
  <c r="J323" i="4"/>
  <c r="Q322" i="4"/>
  <c r="P322" i="4"/>
  <c r="O322" i="4"/>
  <c r="M322" i="4"/>
  <c r="L322" i="4"/>
  <c r="K322" i="4"/>
  <c r="J322" i="4"/>
  <c r="Q321" i="4"/>
  <c r="P321" i="4"/>
  <c r="O321" i="4"/>
  <c r="M321" i="4"/>
  <c r="L321" i="4"/>
  <c r="K321" i="4"/>
  <c r="J321" i="4"/>
  <c r="Q320" i="4"/>
  <c r="P320" i="4"/>
  <c r="O320" i="4"/>
  <c r="M320" i="4"/>
  <c r="L320" i="4"/>
  <c r="K320" i="4"/>
  <c r="J320" i="4"/>
  <c r="Q319" i="4"/>
  <c r="P319" i="4"/>
  <c r="O319" i="4"/>
  <c r="M319" i="4"/>
  <c r="L319" i="4"/>
  <c r="K319" i="4"/>
  <c r="J319" i="4"/>
  <c r="Q318" i="4"/>
  <c r="P318" i="4"/>
  <c r="O318" i="4"/>
  <c r="M318" i="4"/>
  <c r="L318" i="4"/>
  <c r="K318" i="4"/>
  <c r="J318" i="4"/>
  <c r="Q317" i="4"/>
  <c r="P317" i="4"/>
  <c r="O317" i="4"/>
  <c r="M317" i="4"/>
  <c r="L317" i="4"/>
  <c r="K317" i="4"/>
  <c r="J317" i="4"/>
  <c r="Q316" i="4"/>
  <c r="P316" i="4"/>
  <c r="O316" i="4"/>
  <c r="M316" i="4"/>
  <c r="L316" i="4"/>
  <c r="K316" i="4"/>
  <c r="J316" i="4"/>
  <c r="Q315" i="4"/>
  <c r="P315" i="4"/>
  <c r="O315" i="4"/>
  <c r="M315" i="4"/>
  <c r="L315" i="4"/>
  <c r="K315" i="4"/>
  <c r="J315" i="4"/>
  <c r="Q314" i="4"/>
  <c r="P314" i="4"/>
  <c r="O314" i="4"/>
  <c r="M314" i="4"/>
  <c r="L314" i="4"/>
  <c r="K314" i="4"/>
  <c r="J314" i="4"/>
  <c r="Q313" i="4"/>
  <c r="P313" i="4"/>
  <c r="O313" i="4"/>
  <c r="M313" i="4"/>
  <c r="L313" i="4"/>
  <c r="K313" i="4"/>
  <c r="J313" i="4"/>
  <c r="Q312" i="4"/>
  <c r="P312" i="4"/>
  <c r="O312" i="4"/>
  <c r="M312" i="4"/>
  <c r="L312" i="4"/>
  <c r="K312" i="4"/>
  <c r="J312" i="4"/>
  <c r="Q311" i="4"/>
  <c r="P311" i="4"/>
  <c r="O311" i="4"/>
  <c r="M311" i="4"/>
  <c r="L311" i="4"/>
  <c r="K311" i="4"/>
  <c r="J311" i="4"/>
  <c r="Q310" i="4"/>
  <c r="P310" i="4"/>
  <c r="O310" i="4"/>
  <c r="M310" i="4"/>
  <c r="L310" i="4"/>
  <c r="K310" i="4"/>
  <c r="J310" i="4"/>
  <c r="Q309" i="4"/>
  <c r="P309" i="4"/>
  <c r="O309" i="4"/>
  <c r="M309" i="4"/>
  <c r="L309" i="4"/>
  <c r="K309" i="4"/>
  <c r="J309" i="4"/>
  <c r="Q308" i="4"/>
  <c r="P308" i="4"/>
  <c r="O308" i="4"/>
  <c r="M308" i="4"/>
  <c r="L308" i="4"/>
  <c r="K308" i="4"/>
  <c r="J308" i="4"/>
  <c r="Q307" i="4"/>
  <c r="P307" i="4"/>
  <c r="O307" i="4"/>
  <c r="M307" i="4"/>
  <c r="L307" i="4"/>
  <c r="K307" i="4"/>
  <c r="J307" i="4"/>
  <c r="Q306" i="4"/>
  <c r="P306" i="4"/>
  <c r="O306" i="4"/>
  <c r="M306" i="4"/>
  <c r="L306" i="4"/>
  <c r="K306" i="4"/>
  <c r="J306" i="4"/>
  <c r="Q305" i="4"/>
  <c r="P305" i="4"/>
  <c r="O305" i="4"/>
  <c r="M305" i="4"/>
  <c r="L305" i="4"/>
  <c r="K305" i="4"/>
  <c r="J305" i="4"/>
  <c r="Q304" i="4"/>
  <c r="P304" i="4"/>
  <c r="O304" i="4"/>
  <c r="M304" i="4"/>
  <c r="L304" i="4"/>
  <c r="K304" i="4"/>
  <c r="J304" i="4"/>
  <c r="Q303" i="4"/>
  <c r="P303" i="4"/>
  <c r="O303" i="4"/>
  <c r="M303" i="4"/>
  <c r="L303" i="4"/>
  <c r="K303" i="4"/>
  <c r="J303" i="4"/>
  <c r="Q302" i="4"/>
  <c r="P302" i="4"/>
  <c r="O302" i="4"/>
  <c r="M302" i="4"/>
  <c r="L302" i="4"/>
  <c r="K302" i="4"/>
  <c r="J302" i="4"/>
  <c r="Q301" i="4"/>
  <c r="P301" i="4"/>
  <c r="O301" i="4"/>
  <c r="M301" i="4"/>
  <c r="L301" i="4"/>
  <c r="K301" i="4"/>
  <c r="J301" i="4"/>
  <c r="Q300" i="4"/>
  <c r="P300" i="4"/>
  <c r="O300" i="4"/>
  <c r="M300" i="4"/>
  <c r="L300" i="4"/>
  <c r="K300" i="4"/>
  <c r="J300" i="4"/>
  <c r="Q299" i="4"/>
  <c r="P299" i="4"/>
  <c r="O299" i="4"/>
  <c r="M299" i="4"/>
  <c r="L299" i="4"/>
  <c r="K299" i="4"/>
  <c r="J299" i="4"/>
  <c r="Q298" i="4"/>
  <c r="P298" i="4"/>
  <c r="O298" i="4"/>
  <c r="M298" i="4"/>
  <c r="L298" i="4"/>
  <c r="K298" i="4"/>
  <c r="J298" i="4"/>
  <c r="Q297" i="4"/>
  <c r="P297" i="4"/>
  <c r="O297" i="4"/>
  <c r="M297" i="4"/>
  <c r="L297" i="4"/>
  <c r="K297" i="4"/>
  <c r="J297" i="4"/>
  <c r="Q296" i="4"/>
  <c r="P296" i="4"/>
  <c r="O296" i="4"/>
  <c r="M296" i="4"/>
  <c r="L296" i="4"/>
  <c r="K296" i="4"/>
  <c r="J296" i="4"/>
  <c r="Q295" i="4"/>
  <c r="P295" i="4"/>
  <c r="O295" i="4"/>
  <c r="M295" i="4"/>
  <c r="L295" i="4"/>
  <c r="K295" i="4"/>
  <c r="J295" i="4"/>
  <c r="Q294" i="4"/>
  <c r="P294" i="4"/>
  <c r="O294" i="4"/>
  <c r="M294" i="4"/>
  <c r="L294" i="4"/>
  <c r="K294" i="4"/>
  <c r="J294" i="4"/>
  <c r="Q293" i="4"/>
  <c r="P293" i="4"/>
  <c r="O293" i="4"/>
  <c r="M293" i="4"/>
  <c r="L293" i="4"/>
  <c r="K293" i="4"/>
  <c r="J293" i="4"/>
  <c r="Q292" i="4"/>
  <c r="P292" i="4"/>
  <c r="O292" i="4"/>
  <c r="M292" i="4"/>
  <c r="L292" i="4"/>
  <c r="K292" i="4"/>
  <c r="J292" i="4"/>
  <c r="Q291" i="4"/>
  <c r="P291" i="4"/>
  <c r="O291" i="4"/>
  <c r="M291" i="4"/>
  <c r="L291" i="4"/>
  <c r="K291" i="4"/>
  <c r="J291" i="4"/>
  <c r="Q290" i="4"/>
  <c r="P290" i="4"/>
  <c r="O290" i="4"/>
  <c r="M290" i="4"/>
  <c r="L290" i="4"/>
  <c r="K290" i="4"/>
  <c r="J290" i="4"/>
  <c r="Q289" i="4"/>
  <c r="P289" i="4"/>
  <c r="O289" i="4"/>
  <c r="M289" i="4"/>
  <c r="L289" i="4"/>
  <c r="K289" i="4"/>
  <c r="J289" i="4"/>
  <c r="Q288" i="4"/>
  <c r="P288" i="4"/>
  <c r="O288" i="4"/>
  <c r="M288" i="4"/>
  <c r="L288" i="4"/>
  <c r="K288" i="4"/>
  <c r="J288" i="4"/>
  <c r="Q287" i="4"/>
  <c r="P287" i="4"/>
  <c r="O287" i="4"/>
  <c r="M287" i="4"/>
  <c r="L287" i="4"/>
  <c r="K287" i="4"/>
  <c r="J287" i="4"/>
  <c r="Q286" i="4"/>
  <c r="P286" i="4"/>
  <c r="O286" i="4"/>
  <c r="M286" i="4"/>
  <c r="L286" i="4"/>
  <c r="K286" i="4"/>
  <c r="J286" i="4"/>
  <c r="Q285" i="4"/>
  <c r="P285" i="4"/>
  <c r="O285" i="4"/>
  <c r="M285" i="4"/>
  <c r="L285" i="4"/>
  <c r="K285" i="4"/>
  <c r="J285" i="4"/>
  <c r="Q284" i="4"/>
  <c r="P284" i="4"/>
  <c r="O284" i="4"/>
  <c r="M284" i="4"/>
  <c r="L284" i="4"/>
  <c r="K284" i="4"/>
  <c r="J284" i="4"/>
  <c r="Q283" i="4"/>
  <c r="P283" i="4"/>
  <c r="O283" i="4"/>
  <c r="M283" i="4"/>
  <c r="L283" i="4"/>
  <c r="K283" i="4"/>
  <c r="J283" i="4"/>
  <c r="Q282" i="4"/>
  <c r="P282" i="4"/>
  <c r="O282" i="4"/>
  <c r="M282" i="4"/>
  <c r="L282" i="4"/>
  <c r="K282" i="4"/>
  <c r="J282" i="4"/>
  <c r="Q281" i="4"/>
  <c r="P281" i="4"/>
  <c r="O281" i="4"/>
  <c r="M281" i="4"/>
  <c r="L281" i="4"/>
  <c r="K281" i="4"/>
  <c r="J281" i="4"/>
  <c r="Q280" i="4"/>
  <c r="P280" i="4"/>
  <c r="O280" i="4"/>
  <c r="M280" i="4"/>
  <c r="L280" i="4"/>
  <c r="K280" i="4"/>
  <c r="J280" i="4"/>
  <c r="Q279" i="4"/>
  <c r="P279" i="4"/>
  <c r="O279" i="4"/>
  <c r="M279" i="4"/>
  <c r="L279" i="4"/>
  <c r="K279" i="4"/>
  <c r="J279" i="4"/>
  <c r="Q278" i="4"/>
  <c r="P278" i="4"/>
  <c r="O278" i="4"/>
  <c r="M278" i="4"/>
  <c r="L278" i="4"/>
  <c r="K278" i="4"/>
  <c r="J278" i="4"/>
  <c r="Q277" i="4"/>
  <c r="P277" i="4"/>
  <c r="O277" i="4"/>
  <c r="M277" i="4"/>
  <c r="L277" i="4"/>
  <c r="K277" i="4"/>
  <c r="J277" i="4"/>
  <c r="Q276" i="4"/>
  <c r="P276" i="4"/>
  <c r="O276" i="4"/>
  <c r="M276" i="4"/>
  <c r="L276" i="4"/>
  <c r="K276" i="4"/>
  <c r="J276" i="4"/>
  <c r="Q275" i="4"/>
  <c r="P275" i="4"/>
  <c r="O275" i="4"/>
  <c r="M275" i="4"/>
  <c r="L275" i="4"/>
  <c r="K275" i="4"/>
  <c r="J275" i="4"/>
  <c r="Q274" i="4"/>
  <c r="P274" i="4"/>
  <c r="O274" i="4"/>
  <c r="M274" i="4"/>
  <c r="L274" i="4"/>
  <c r="K274" i="4"/>
  <c r="J274" i="4"/>
  <c r="Q273" i="4"/>
  <c r="P273" i="4"/>
  <c r="O273" i="4"/>
  <c r="M273" i="4"/>
  <c r="L273" i="4"/>
  <c r="K273" i="4"/>
  <c r="J273" i="4"/>
  <c r="Q272" i="4"/>
  <c r="P272" i="4"/>
  <c r="O272" i="4"/>
  <c r="M272" i="4"/>
  <c r="L272" i="4"/>
  <c r="K272" i="4"/>
  <c r="J272" i="4"/>
  <c r="Q271" i="4"/>
  <c r="P271" i="4"/>
  <c r="O271" i="4"/>
  <c r="M271" i="4"/>
  <c r="L271" i="4"/>
  <c r="K271" i="4"/>
  <c r="J271" i="4"/>
  <c r="Q270" i="4"/>
  <c r="P270" i="4"/>
  <c r="O270" i="4"/>
  <c r="M270" i="4"/>
  <c r="L270" i="4"/>
  <c r="K270" i="4"/>
  <c r="J270" i="4"/>
  <c r="Q269" i="4"/>
  <c r="P269" i="4"/>
  <c r="O269" i="4"/>
  <c r="M269" i="4"/>
  <c r="L269" i="4"/>
  <c r="K269" i="4"/>
  <c r="J269" i="4"/>
  <c r="Q268" i="4"/>
  <c r="P268" i="4"/>
  <c r="O268" i="4"/>
  <c r="M268" i="4"/>
  <c r="L268" i="4"/>
  <c r="K268" i="4"/>
  <c r="J268" i="4"/>
  <c r="Q267" i="4"/>
  <c r="P267" i="4"/>
  <c r="O267" i="4"/>
  <c r="M267" i="4"/>
  <c r="L267" i="4"/>
  <c r="K267" i="4"/>
  <c r="J267" i="4"/>
  <c r="Q266" i="4"/>
  <c r="P266" i="4"/>
  <c r="O266" i="4"/>
  <c r="M266" i="4"/>
  <c r="L266" i="4"/>
  <c r="K266" i="4"/>
  <c r="J266" i="4"/>
  <c r="Q265" i="4"/>
  <c r="P265" i="4"/>
  <c r="O265" i="4"/>
  <c r="M265" i="4"/>
  <c r="L265" i="4"/>
  <c r="K265" i="4"/>
  <c r="J265" i="4"/>
  <c r="Q264" i="4"/>
  <c r="P264" i="4"/>
  <c r="O264" i="4"/>
  <c r="M264" i="4"/>
  <c r="L264" i="4"/>
  <c r="K264" i="4"/>
  <c r="J264" i="4"/>
  <c r="Q263" i="4"/>
  <c r="P263" i="4"/>
  <c r="O263" i="4"/>
  <c r="M263" i="4"/>
  <c r="L263" i="4"/>
  <c r="K263" i="4"/>
  <c r="J263" i="4"/>
  <c r="Q262" i="4"/>
  <c r="P262" i="4"/>
  <c r="O262" i="4"/>
  <c r="M262" i="4"/>
  <c r="L262" i="4"/>
  <c r="K262" i="4"/>
  <c r="J262" i="4"/>
  <c r="Q261" i="4"/>
  <c r="P261" i="4"/>
  <c r="O261" i="4"/>
  <c r="M261" i="4"/>
  <c r="L261" i="4"/>
  <c r="K261" i="4"/>
  <c r="J261" i="4"/>
  <c r="Q260" i="4"/>
  <c r="P260" i="4"/>
  <c r="O260" i="4"/>
  <c r="M260" i="4"/>
  <c r="L260" i="4"/>
  <c r="K260" i="4"/>
  <c r="J260" i="4"/>
  <c r="Q259" i="4"/>
  <c r="P259" i="4"/>
  <c r="O259" i="4"/>
  <c r="M259" i="4"/>
  <c r="L259" i="4"/>
  <c r="K259" i="4"/>
  <c r="J259" i="4"/>
  <c r="Q258" i="4"/>
  <c r="P258" i="4"/>
  <c r="O258" i="4"/>
  <c r="M258" i="4"/>
  <c r="L258" i="4"/>
  <c r="K258" i="4"/>
  <c r="J258" i="4"/>
  <c r="Q257" i="4"/>
  <c r="P257" i="4"/>
  <c r="O257" i="4"/>
  <c r="M257" i="4"/>
  <c r="L257" i="4"/>
  <c r="K257" i="4"/>
  <c r="J257" i="4"/>
  <c r="Q256" i="4"/>
  <c r="P256" i="4"/>
  <c r="O256" i="4"/>
  <c r="M256" i="4"/>
  <c r="L256" i="4"/>
  <c r="K256" i="4"/>
  <c r="J256" i="4"/>
  <c r="Q255" i="4"/>
  <c r="P255" i="4"/>
  <c r="O255" i="4"/>
  <c r="M255" i="4"/>
  <c r="L255" i="4"/>
  <c r="K255" i="4"/>
  <c r="J255" i="4"/>
  <c r="Q254" i="4"/>
  <c r="P254" i="4"/>
  <c r="O254" i="4"/>
  <c r="M254" i="4"/>
  <c r="L254" i="4"/>
  <c r="K254" i="4"/>
  <c r="J254" i="4"/>
  <c r="Q253" i="4"/>
  <c r="P253" i="4"/>
  <c r="O253" i="4"/>
  <c r="M253" i="4"/>
  <c r="L253" i="4"/>
  <c r="K253" i="4"/>
  <c r="J253" i="4"/>
  <c r="Q252" i="4"/>
  <c r="P252" i="4"/>
  <c r="O252" i="4"/>
  <c r="M252" i="4"/>
  <c r="L252" i="4"/>
  <c r="K252" i="4"/>
  <c r="J252" i="4"/>
  <c r="Q251" i="4"/>
  <c r="P251" i="4"/>
  <c r="O251" i="4"/>
  <c r="M251" i="4"/>
  <c r="L251" i="4"/>
  <c r="K251" i="4"/>
  <c r="J251" i="4"/>
  <c r="Q250" i="4"/>
  <c r="P250" i="4"/>
  <c r="O250" i="4"/>
  <c r="M250" i="4"/>
  <c r="L250" i="4"/>
  <c r="K250" i="4"/>
  <c r="J250" i="4"/>
  <c r="Q249" i="4"/>
  <c r="P249" i="4"/>
  <c r="O249" i="4"/>
  <c r="M249" i="4"/>
  <c r="L249" i="4"/>
  <c r="K249" i="4"/>
  <c r="J249" i="4"/>
  <c r="Q248" i="4"/>
  <c r="P248" i="4"/>
  <c r="O248" i="4"/>
  <c r="M248" i="4"/>
  <c r="L248" i="4"/>
  <c r="K248" i="4"/>
  <c r="J248" i="4"/>
  <c r="Q247" i="4"/>
  <c r="P247" i="4"/>
  <c r="O247" i="4"/>
  <c r="M247" i="4"/>
  <c r="L247" i="4"/>
  <c r="K247" i="4"/>
  <c r="J247" i="4"/>
  <c r="Q246" i="4"/>
  <c r="P246" i="4"/>
  <c r="O246" i="4"/>
  <c r="M246" i="4"/>
  <c r="L246" i="4"/>
  <c r="K246" i="4"/>
  <c r="J246" i="4"/>
  <c r="Q245" i="4"/>
  <c r="P245" i="4"/>
  <c r="O245" i="4"/>
  <c r="M245" i="4"/>
  <c r="L245" i="4"/>
  <c r="K245" i="4"/>
  <c r="J245" i="4"/>
  <c r="Q244" i="4"/>
  <c r="P244" i="4"/>
  <c r="O244" i="4"/>
  <c r="M244" i="4"/>
  <c r="L244" i="4"/>
  <c r="K244" i="4"/>
  <c r="J244" i="4"/>
  <c r="Q243" i="4"/>
  <c r="P243" i="4"/>
  <c r="O243" i="4"/>
  <c r="M243" i="4"/>
  <c r="L243" i="4"/>
  <c r="K243" i="4"/>
  <c r="J243" i="4"/>
  <c r="Q242" i="4"/>
  <c r="P242" i="4"/>
  <c r="O242" i="4"/>
  <c r="M242" i="4"/>
  <c r="L242" i="4"/>
  <c r="K242" i="4"/>
  <c r="J242" i="4"/>
  <c r="Q241" i="4"/>
  <c r="P241" i="4"/>
  <c r="O241" i="4"/>
  <c r="M241" i="4"/>
  <c r="L241" i="4"/>
  <c r="K241" i="4"/>
  <c r="J241" i="4"/>
  <c r="Q240" i="4"/>
  <c r="P240" i="4"/>
  <c r="O240" i="4"/>
  <c r="M240" i="4"/>
  <c r="L240" i="4"/>
  <c r="K240" i="4"/>
  <c r="J240" i="4"/>
  <c r="Q239" i="4"/>
  <c r="P239" i="4"/>
  <c r="O239" i="4"/>
  <c r="M239" i="4"/>
  <c r="L239" i="4"/>
  <c r="K239" i="4"/>
  <c r="J239" i="4"/>
  <c r="Q238" i="4"/>
  <c r="P238" i="4"/>
  <c r="O238" i="4"/>
  <c r="M238" i="4"/>
  <c r="L238" i="4"/>
  <c r="K238" i="4"/>
  <c r="J238" i="4"/>
  <c r="Q237" i="4"/>
  <c r="P237" i="4"/>
  <c r="O237" i="4"/>
  <c r="M237" i="4"/>
  <c r="L237" i="4"/>
  <c r="K237" i="4"/>
  <c r="J237" i="4"/>
  <c r="Q236" i="4"/>
  <c r="P236" i="4"/>
  <c r="O236" i="4"/>
  <c r="M236" i="4"/>
  <c r="L236" i="4"/>
  <c r="K236" i="4"/>
  <c r="J236" i="4"/>
  <c r="Q235" i="4"/>
  <c r="P235" i="4"/>
  <c r="O235" i="4"/>
  <c r="M235" i="4"/>
  <c r="L235" i="4"/>
  <c r="K235" i="4"/>
  <c r="J235" i="4"/>
  <c r="Q234" i="4"/>
  <c r="P234" i="4"/>
  <c r="O234" i="4"/>
  <c r="M234" i="4"/>
  <c r="L234" i="4"/>
  <c r="K234" i="4"/>
  <c r="J234" i="4"/>
  <c r="Q233" i="4"/>
  <c r="P233" i="4"/>
  <c r="O233" i="4"/>
  <c r="M233" i="4"/>
  <c r="L233" i="4"/>
  <c r="K233" i="4"/>
  <c r="J233" i="4"/>
  <c r="Q232" i="4"/>
  <c r="P232" i="4"/>
  <c r="O232" i="4"/>
  <c r="M232" i="4"/>
  <c r="L232" i="4"/>
  <c r="K232" i="4"/>
  <c r="J232" i="4"/>
  <c r="Q231" i="4"/>
  <c r="P231" i="4"/>
  <c r="O231" i="4"/>
  <c r="M231" i="4"/>
  <c r="L231" i="4"/>
  <c r="K231" i="4"/>
  <c r="J231" i="4"/>
  <c r="Q230" i="4"/>
  <c r="P230" i="4"/>
  <c r="O230" i="4"/>
  <c r="M230" i="4"/>
  <c r="L230" i="4"/>
  <c r="K230" i="4"/>
  <c r="J230" i="4"/>
  <c r="Q229" i="4"/>
  <c r="P229" i="4"/>
  <c r="O229" i="4"/>
  <c r="M229" i="4"/>
  <c r="L229" i="4"/>
  <c r="K229" i="4"/>
  <c r="J229" i="4"/>
  <c r="Q228" i="4"/>
  <c r="P228" i="4"/>
  <c r="O228" i="4"/>
  <c r="M228" i="4"/>
  <c r="L228" i="4"/>
  <c r="K228" i="4"/>
  <c r="J228" i="4"/>
  <c r="Q227" i="4"/>
  <c r="P227" i="4"/>
  <c r="O227" i="4"/>
  <c r="M227" i="4"/>
  <c r="L227" i="4"/>
  <c r="K227" i="4"/>
  <c r="J227" i="4"/>
  <c r="Q226" i="4"/>
  <c r="P226" i="4"/>
  <c r="O226" i="4"/>
  <c r="M226" i="4"/>
  <c r="L226" i="4"/>
  <c r="K226" i="4"/>
  <c r="J226" i="4"/>
  <c r="Q225" i="4"/>
  <c r="P225" i="4"/>
  <c r="O225" i="4"/>
  <c r="M225" i="4"/>
  <c r="L225" i="4"/>
  <c r="K225" i="4"/>
  <c r="J225" i="4"/>
  <c r="Q224" i="4"/>
  <c r="P224" i="4"/>
  <c r="O224" i="4"/>
  <c r="M224" i="4"/>
  <c r="L224" i="4"/>
  <c r="K224" i="4"/>
  <c r="J224" i="4"/>
  <c r="Q223" i="4"/>
  <c r="P223" i="4"/>
  <c r="O223" i="4"/>
  <c r="M223" i="4"/>
  <c r="L223" i="4"/>
  <c r="K223" i="4"/>
  <c r="J223" i="4"/>
  <c r="Q222" i="4"/>
  <c r="P222" i="4"/>
  <c r="O222" i="4"/>
  <c r="M222" i="4"/>
  <c r="L222" i="4"/>
  <c r="K222" i="4"/>
  <c r="J222" i="4"/>
  <c r="Q221" i="4"/>
  <c r="P221" i="4"/>
  <c r="O221" i="4"/>
  <c r="M221" i="4"/>
  <c r="L221" i="4"/>
  <c r="K221" i="4"/>
  <c r="J221" i="4"/>
  <c r="Q220" i="4"/>
  <c r="P220" i="4"/>
  <c r="O220" i="4"/>
  <c r="M220" i="4"/>
  <c r="L220" i="4"/>
  <c r="K220" i="4"/>
  <c r="J220" i="4"/>
  <c r="Q219" i="4"/>
  <c r="P219" i="4"/>
  <c r="O219" i="4"/>
  <c r="M219" i="4"/>
  <c r="L219" i="4"/>
  <c r="K219" i="4"/>
  <c r="J219" i="4"/>
  <c r="Q218" i="4"/>
  <c r="P218" i="4"/>
  <c r="O218" i="4"/>
  <c r="M218" i="4"/>
  <c r="L218" i="4"/>
  <c r="K218" i="4"/>
  <c r="J218" i="4"/>
  <c r="Q217" i="4"/>
  <c r="P217" i="4"/>
  <c r="O217" i="4"/>
  <c r="M217" i="4"/>
  <c r="L217" i="4"/>
  <c r="K217" i="4"/>
  <c r="J217" i="4"/>
  <c r="Q216" i="4"/>
  <c r="P216" i="4"/>
  <c r="O216" i="4"/>
  <c r="M216" i="4"/>
  <c r="L216" i="4"/>
  <c r="K216" i="4"/>
  <c r="J216" i="4"/>
  <c r="Q215" i="4"/>
  <c r="P215" i="4"/>
  <c r="O215" i="4"/>
  <c r="M215" i="4"/>
  <c r="L215" i="4"/>
  <c r="K215" i="4"/>
  <c r="J215" i="4"/>
  <c r="Q214" i="4"/>
  <c r="P214" i="4"/>
  <c r="O214" i="4"/>
  <c r="M214" i="4"/>
  <c r="L214" i="4"/>
  <c r="K214" i="4"/>
  <c r="J214" i="4"/>
  <c r="Q213" i="4"/>
  <c r="P213" i="4"/>
  <c r="O213" i="4"/>
  <c r="M213" i="4"/>
  <c r="L213" i="4"/>
  <c r="K213" i="4"/>
  <c r="J213" i="4"/>
  <c r="Q212" i="4"/>
  <c r="P212" i="4"/>
  <c r="O212" i="4"/>
  <c r="M212" i="4"/>
  <c r="L212" i="4"/>
  <c r="K212" i="4"/>
  <c r="J212" i="4"/>
  <c r="Q211" i="4"/>
  <c r="P211" i="4"/>
  <c r="O211" i="4"/>
  <c r="M211" i="4"/>
  <c r="L211" i="4"/>
  <c r="K211" i="4"/>
  <c r="J211" i="4"/>
  <c r="Q210" i="4"/>
  <c r="P210" i="4"/>
  <c r="O210" i="4"/>
  <c r="M210" i="4"/>
  <c r="L210" i="4"/>
  <c r="K210" i="4"/>
  <c r="J210" i="4"/>
  <c r="Q209" i="4"/>
  <c r="P209" i="4"/>
  <c r="O209" i="4"/>
  <c r="M209" i="4"/>
  <c r="L209" i="4"/>
  <c r="K209" i="4"/>
  <c r="J209" i="4"/>
  <c r="Q208" i="4"/>
  <c r="P208" i="4"/>
  <c r="O208" i="4"/>
  <c r="M208" i="4"/>
  <c r="L208" i="4"/>
  <c r="K208" i="4"/>
  <c r="J208" i="4"/>
  <c r="Q207" i="4"/>
  <c r="P207" i="4"/>
  <c r="O207" i="4"/>
  <c r="M207" i="4"/>
  <c r="L207" i="4"/>
  <c r="K207" i="4"/>
  <c r="J207" i="4"/>
  <c r="Q206" i="4"/>
  <c r="P206" i="4"/>
  <c r="O206" i="4"/>
  <c r="M206" i="4"/>
  <c r="L206" i="4"/>
  <c r="K206" i="4"/>
  <c r="J206" i="4"/>
  <c r="Q205" i="4"/>
  <c r="P205" i="4"/>
  <c r="O205" i="4"/>
  <c r="M205" i="4"/>
  <c r="L205" i="4"/>
  <c r="K205" i="4"/>
  <c r="J205" i="4"/>
  <c r="Q204" i="4"/>
  <c r="P204" i="4"/>
  <c r="O204" i="4"/>
  <c r="M204" i="4"/>
  <c r="L204" i="4"/>
  <c r="K204" i="4"/>
  <c r="J204" i="4"/>
  <c r="Q203" i="4"/>
  <c r="P203" i="4"/>
  <c r="O203" i="4"/>
  <c r="M203" i="4"/>
  <c r="L203" i="4"/>
  <c r="K203" i="4"/>
  <c r="J203" i="4"/>
  <c r="Q202" i="4"/>
  <c r="P202" i="4"/>
  <c r="O202" i="4"/>
  <c r="M202" i="4"/>
  <c r="L202" i="4"/>
  <c r="K202" i="4"/>
  <c r="J202" i="4"/>
  <c r="Q201" i="4"/>
  <c r="P201" i="4"/>
  <c r="O201" i="4"/>
  <c r="M201" i="4"/>
  <c r="L201" i="4"/>
  <c r="K201" i="4"/>
  <c r="J201" i="4"/>
  <c r="Q200" i="4"/>
  <c r="P200" i="4"/>
  <c r="O200" i="4"/>
  <c r="M200" i="4"/>
  <c r="L200" i="4"/>
  <c r="K200" i="4"/>
  <c r="J200" i="4"/>
  <c r="Q199" i="4"/>
  <c r="P199" i="4"/>
  <c r="O199" i="4"/>
  <c r="M199" i="4"/>
  <c r="L199" i="4"/>
  <c r="K199" i="4"/>
  <c r="J199" i="4"/>
  <c r="Q198" i="4"/>
  <c r="P198" i="4"/>
  <c r="O198" i="4"/>
  <c r="M198" i="4"/>
  <c r="L198" i="4"/>
  <c r="K198" i="4"/>
  <c r="J198" i="4"/>
  <c r="Q197" i="4"/>
  <c r="P197" i="4"/>
  <c r="O197" i="4"/>
  <c r="M197" i="4"/>
  <c r="L197" i="4"/>
  <c r="K197" i="4"/>
  <c r="J197" i="4"/>
  <c r="Q196" i="4"/>
  <c r="P196" i="4"/>
  <c r="O196" i="4"/>
  <c r="M196" i="4"/>
  <c r="L196" i="4"/>
  <c r="K196" i="4"/>
  <c r="J196" i="4"/>
  <c r="Q195" i="4"/>
  <c r="P195" i="4"/>
  <c r="O195" i="4"/>
  <c r="M195" i="4"/>
  <c r="L195" i="4"/>
  <c r="K195" i="4"/>
  <c r="J195" i="4"/>
  <c r="Q194" i="4"/>
  <c r="P194" i="4"/>
  <c r="O194" i="4"/>
  <c r="M194" i="4"/>
  <c r="L194" i="4"/>
  <c r="K194" i="4"/>
  <c r="J194" i="4"/>
  <c r="Q193" i="4"/>
  <c r="P193" i="4"/>
  <c r="O193" i="4"/>
  <c r="M193" i="4"/>
  <c r="L193" i="4"/>
  <c r="K193" i="4"/>
  <c r="J193" i="4"/>
  <c r="Q192" i="4"/>
  <c r="P192" i="4"/>
  <c r="O192" i="4"/>
  <c r="M192" i="4"/>
  <c r="L192" i="4"/>
  <c r="K192" i="4"/>
  <c r="J192" i="4"/>
  <c r="Q191" i="4"/>
  <c r="P191" i="4"/>
  <c r="O191" i="4"/>
  <c r="M191" i="4"/>
  <c r="L191" i="4"/>
  <c r="K191" i="4"/>
  <c r="J191" i="4"/>
  <c r="Q190" i="4"/>
  <c r="P190" i="4"/>
  <c r="O190" i="4"/>
  <c r="M190" i="4"/>
  <c r="L190" i="4"/>
  <c r="K190" i="4"/>
  <c r="J190" i="4"/>
  <c r="Q189" i="4"/>
  <c r="P189" i="4"/>
  <c r="O189" i="4"/>
  <c r="M189" i="4"/>
  <c r="L189" i="4"/>
  <c r="K189" i="4"/>
  <c r="J189" i="4"/>
  <c r="Q188" i="4"/>
  <c r="P188" i="4"/>
  <c r="O188" i="4"/>
  <c r="M188" i="4"/>
  <c r="L188" i="4"/>
  <c r="K188" i="4"/>
  <c r="J188" i="4"/>
  <c r="Q187" i="4"/>
  <c r="P187" i="4"/>
  <c r="O187" i="4"/>
  <c r="M187" i="4"/>
  <c r="L187" i="4"/>
  <c r="K187" i="4"/>
  <c r="J187" i="4"/>
  <c r="Q186" i="4"/>
  <c r="P186" i="4"/>
  <c r="O186" i="4"/>
  <c r="M186" i="4"/>
  <c r="L186" i="4"/>
  <c r="K186" i="4"/>
  <c r="J186" i="4"/>
  <c r="Q185" i="4"/>
  <c r="P185" i="4"/>
  <c r="O185" i="4"/>
  <c r="M185" i="4"/>
  <c r="L185" i="4"/>
  <c r="K185" i="4"/>
  <c r="J185" i="4"/>
  <c r="Q184" i="4"/>
  <c r="P184" i="4"/>
  <c r="O184" i="4"/>
  <c r="M184" i="4"/>
  <c r="L184" i="4"/>
  <c r="K184" i="4"/>
  <c r="J184" i="4"/>
  <c r="Q183" i="4"/>
  <c r="P183" i="4"/>
  <c r="O183" i="4"/>
  <c r="M183" i="4"/>
  <c r="L183" i="4"/>
  <c r="K183" i="4"/>
  <c r="J183" i="4"/>
  <c r="Q182" i="4"/>
  <c r="P182" i="4"/>
  <c r="O182" i="4"/>
  <c r="M182" i="4"/>
  <c r="L182" i="4"/>
  <c r="K182" i="4"/>
  <c r="J182" i="4"/>
  <c r="Q181" i="4"/>
  <c r="P181" i="4"/>
  <c r="O181" i="4"/>
  <c r="M181" i="4"/>
  <c r="L181" i="4"/>
  <c r="K181" i="4"/>
  <c r="J181" i="4"/>
  <c r="Q180" i="4"/>
  <c r="P180" i="4"/>
  <c r="O180" i="4"/>
  <c r="M180" i="4"/>
  <c r="L180" i="4"/>
  <c r="K180" i="4"/>
  <c r="J180" i="4"/>
  <c r="Q179" i="4"/>
  <c r="P179" i="4"/>
  <c r="O179" i="4"/>
  <c r="M179" i="4"/>
  <c r="L179" i="4"/>
  <c r="K179" i="4"/>
  <c r="J179" i="4"/>
  <c r="Q178" i="4"/>
  <c r="P178" i="4"/>
  <c r="O178" i="4"/>
  <c r="M178" i="4"/>
  <c r="L178" i="4"/>
  <c r="K178" i="4"/>
  <c r="J178" i="4"/>
  <c r="Q177" i="4"/>
  <c r="P177" i="4"/>
  <c r="O177" i="4"/>
  <c r="M177" i="4"/>
  <c r="L177" i="4"/>
  <c r="K177" i="4"/>
  <c r="J177" i="4"/>
  <c r="Q176" i="4"/>
  <c r="P176" i="4"/>
  <c r="O176" i="4"/>
  <c r="M176" i="4"/>
  <c r="L176" i="4"/>
  <c r="K176" i="4"/>
  <c r="J176" i="4"/>
  <c r="Q175" i="4"/>
  <c r="P175" i="4"/>
  <c r="O175" i="4"/>
  <c r="M175" i="4"/>
  <c r="L175" i="4"/>
  <c r="K175" i="4"/>
  <c r="J175" i="4"/>
  <c r="Q174" i="4"/>
  <c r="P174" i="4"/>
  <c r="O174" i="4"/>
  <c r="M174" i="4"/>
  <c r="L174" i="4"/>
  <c r="K174" i="4"/>
  <c r="J174" i="4"/>
  <c r="Q173" i="4"/>
  <c r="P173" i="4"/>
  <c r="O173" i="4"/>
  <c r="M173" i="4"/>
  <c r="L173" i="4"/>
  <c r="K173" i="4"/>
  <c r="J173" i="4"/>
  <c r="Q172" i="4"/>
  <c r="P172" i="4"/>
  <c r="O172" i="4"/>
  <c r="M172" i="4"/>
  <c r="L172" i="4"/>
  <c r="K172" i="4"/>
  <c r="J172" i="4"/>
  <c r="Q171" i="4"/>
  <c r="P171" i="4"/>
  <c r="O171" i="4"/>
  <c r="M171" i="4"/>
  <c r="L171" i="4"/>
  <c r="K171" i="4"/>
  <c r="J171" i="4"/>
  <c r="Q170" i="4"/>
  <c r="P170" i="4"/>
  <c r="O170" i="4"/>
  <c r="M170" i="4"/>
  <c r="L170" i="4"/>
  <c r="K170" i="4"/>
  <c r="J170" i="4"/>
  <c r="Q169" i="4"/>
  <c r="P169" i="4"/>
  <c r="O169" i="4"/>
  <c r="M169" i="4"/>
  <c r="L169" i="4"/>
  <c r="K169" i="4"/>
  <c r="J169" i="4"/>
  <c r="Q168" i="4"/>
  <c r="P168" i="4"/>
  <c r="O168" i="4"/>
  <c r="M168" i="4"/>
  <c r="L168" i="4"/>
  <c r="K168" i="4"/>
  <c r="J168" i="4"/>
  <c r="Q167" i="4"/>
  <c r="P167" i="4"/>
  <c r="O167" i="4"/>
  <c r="M167" i="4"/>
  <c r="L167" i="4"/>
  <c r="K167" i="4"/>
  <c r="J167" i="4"/>
  <c r="Q166" i="4"/>
  <c r="P166" i="4"/>
  <c r="O166" i="4"/>
  <c r="M166" i="4"/>
  <c r="L166" i="4"/>
  <c r="K166" i="4"/>
  <c r="J166" i="4"/>
  <c r="Q165" i="4"/>
  <c r="P165" i="4"/>
  <c r="O165" i="4"/>
  <c r="M165" i="4"/>
  <c r="L165" i="4"/>
  <c r="K165" i="4"/>
  <c r="J165" i="4"/>
  <c r="Q164" i="4"/>
  <c r="P164" i="4"/>
  <c r="O164" i="4"/>
  <c r="M164" i="4"/>
  <c r="L164" i="4"/>
  <c r="K164" i="4"/>
  <c r="J164" i="4"/>
  <c r="Q163" i="4"/>
  <c r="P163" i="4"/>
  <c r="O163" i="4"/>
  <c r="M163" i="4"/>
  <c r="L163" i="4"/>
  <c r="K163" i="4"/>
  <c r="J163" i="4"/>
  <c r="Q162" i="4"/>
  <c r="P162" i="4"/>
  <c r="O162" i="4"/>
  <c r="M162" i="4"/>
  <c r="L162" i="4"/>
  <c r="K162" i="4"/>
  <c r="J162" i="4"/>
  <c r="Q161" i="4"/>
  <c r="P161" i="4"/>
  <c r="O161" i="4"/>
  <c r="M161" i="4"/>
  <c r="L161" i="4"/>
  <c r="K161" i="4"/>
  <c r="J161" i="4"/>
  <c r="Q160" i="4"/>
  <c r="P160" i="4"/>
  <c r="O160" i="4"/>
  <c r="M160" i="4"/>
  <c r="L160" i="4"/>
  <c r="K160" i="4"/>
  <c r="J160" i="4"/>
  <c r="Q159" i="4"/>
  <c r="P159" i="4"/>
  <c r="O159" i="4"/>
  <c r="M159" i="4"/>
  <c r="L159" i="4"/>
  <c r="K159" i="4"/>
  <c r="J159" i="4"/>
  <c r="Q158" i="4"/>
  <c r="P158" i="4"/>
  <c r="O158" i="4"/>
  <c r="M158" i="4"/>
  <c r="L158" i="4"/>
  <c r="K158" i="4"/>
  <c r="J158" i="4"/>
  <c r="Q157" i="4"/>
  <c r="P157" i="4"/>
  <c r="O157" i="4"/>
  <c r="M157" i="4"/>
  <c r="L157" i="4"/>
  <c r="K157" i="4"/>
  <c r="J157" i="4"/>
  <c r="Q156" i="4"/>
  <c r="P156" i="4"/>
  <c r="O156" i="4"/>
  <c r="M156" i="4"/>
  <c r="L156" i="4"/>
  <c r="K156" i="4"/>
  <c r="J156" i="4"/>
  <c r="Q155" i="4"/>
  <c r="P155" i="4"/>
  <c r="O155" i="4"/>
  <c r="M155" i="4"/>
  <c r="L155" i="4"/>
  <c r="K155" i="4"/>
  <c r="J155" i="4"/>
  <c r="Q154" i="4"/>
  <c r="P154" i="4"/>
  <c r="O154" i="4"/>
  <c r="M154" i="4"/>
  <c r="L154" i="4"/>
  <c r="K154" i="4"/>
  <c r="J154" i="4"/>
  <c r="Q153" i="4"/>
  <c r="P153" i="4"/>
  <c r="O153" i="4"/>
  <c r="M153" i="4"/>
  <c r="L153" i="4"/>
  <c r="K153" i="4"/>
  <c r="J153" i="4"/>
  <c r="Q152" i="4"/>
  <c r="P152" i="4"/>
  <c r="O152" i="4"/>
  <c r="M152" i="4"/>
  <c r="L152" i="4"/>
  <c r="K152" i="4"/>
  <c r="J152" i="4"/>
  <c r="Q151" i="4"/>
  <c r="P151" i="4"/>
  <c r="O151" i="4"/>
  <c r="M151" i="4"/>
  <c r="L151" i="4"/>
  <c r="K151" i="4"/>
  <c r="J151" i="4"/>
  <c r="Q150" i="4"/>
  <c r="P150" i="4"/>
  <c r="O150" i="4"/>
  <c r="M150" i="4"/>
  <c r="L150" i="4"/>
  <c r="K150" i="4"/>
  <c r="J150" i="4"/>
  <c r="Q149" i="4"/>
  <c r="P149" i="4"/>
  <c r="O149" i="4"/>
  <c r="M149" i="4"/>
  <c r="L149" i="4"/>
  <c r="K149" i="4"/>
  <c r="J149" i="4"/>
  <c r="Q148" i="4"/>
  <c r="P148" i="4"/>
  <c r="O148" i="4"/>
  <c r="M148" i="4"/>
  <c r="L148" i="4"/>
  <c r="K148" i="4"/>
  <c r="J148" i="4"/>
  <c r="Q147" i="4"/>
  <c r="P147" i="4"/>
  <c r="O147" i="4"/>
  <c r="M147" i="4"/>
  <c r="L147" i="4"/>
  <c r="K147" i="4"/>
  <c r="J147" i="4"/>
  <c r="Q146" i="4"/>
  <c r="P146" i="4"/>
  <c r="O146" i="4"/>
  <c r="M146" i="4"/>
  <c r="L146" i="4"/>
  <c r="K146" i="4"/>
  <c r="J146" i="4"/>
  <c r="Q145" i="4"/>
  <c r="P145" i="4"/>
  <c r="O145" i="4"/>
  <c r="M145" i="4"/>
  <c r="L145" i="4"/>
  <c r="K145" i="4"/>
  <c r="J145" i="4"/>
  <c r="Q144" i="4"/>
  <c r="P144" i="4"/>
  <c r="O144" i="4"/>
  <c r="M144" i="4"/>
  <c r="L144" i="4"/>
  <c r="K144" i="4"/>
  <c r="J144" i="4"/>
  <c r="Q143" i="4"/>
  <c r="P143" i="4"/>
  <c r="O143" i="4"/>
  <c r="M143" i="4"/>
  <c r="L143" i="4"/>
  <c r="K143" i="4"/>
  <c r="J143" i="4"/>
  <c r="Q142" i="4"/>
  <c r="P142" i="4"/>
  <c r="O142" i="4"/>
  <c r="M142" i="4"/>
  <c r="L142" i="4"/>
  <c r="K142" i="4"/>
  <c r="J142" i="4"/>
  <c r="Q141" i="4"/>
  <c r="P141" i="4"/>
  <c r="O141" i="4"/>
  <c r="M141" i="4"/>
  <c r="L141" i="4"/>
  <c r="K141" i="4"/>
  <c r="J141" i="4"/>
  <c r="Q140" i="4"/>
  <c r="P140" i="4"/>
  <c r="O140" i="4"/>
  <c r="M140" i="4"/>
  <c r="L140" i="4"/>
  <c r="K140" i="4"/>
  <c r="J140" i="4"/>
  <c r="Q139" i="4"/>
  <c r="P139" i="4"/>
  <c r="O139" i="4"/>
  <c r="M139" i="4"/>
  <c r="L139" i="4"/>
  <c r="K139" i="4"/>
  <c r="J139" i="4"/>
  <c r="Q138" i="4"/>
  <c r="P138" i="4"/>
  <c r="O138" i="4"/>
  <c r="M138" i="4"/>
  <c r="L138" i="4"/>
  <c r="K138" i="4"/>
  <c r="J138" i="4"/>
  <c r="Q137" i="4"/>
  <c r="P137" i="4"/>
  <c r="O137" i="4"/>
  <c r="M137" i="4"/>
  <c r="L137" i="4"/>
  <c r="K137" i="4"/>
  <c r="J137" i="4"/>
  <c r="Q136" i="4"/>
  <c r="P136" i="4"/>
  <c r="O136" i="4"/>
  <c r="M136" i="4"/>
  <c r="L136" i="4"/>
  <c r="K136" i="4"/>
  <c r="J136" i="4"/>
  <c r="Q135" i="4"/>
  <c r="P135" i="4"/>
  <c r="O135" i="4"/>
  <c r="M135" i="4"/>
  <c r="L135" i="4"/>
  <c r="K135" i="4"/>
  <c r="J135" i="4"/>
  <c r="Q134" i="4"/>
  <c r="P134" i="4"/>
  <c r="O134" i="4"/>
  <c r="M134" i="4"/>
  <c r="L134" i="4"/>
  <c r="K134" i="4"/>
  <c r="J134" i="4"/>
  <c r="Q133" i="4"/>
  <c r="P133" i="4"/>
  <c r="O133" i="4"/>
  <c r="M133" i="4"/>
  <c r="L133" i="4"/>
  <c r="K133" i="4"/>
  <c r="J133" i="4"/>
  <c r="Q132" i="4"/>
  <c r="P132" i="4"/>
  <c r="O132" i="4"/>
  <c r="M132" i="4"/>
  <c r="L132" i="4"/>
  <c r="K132" i="4"/>
  <c r="J132" i="4"/>
  <c r="Q131" i="4"/>
  <c r="P131" i="4"/>
  <c r="O131" i="4"/>
  <c r="M131" i="4"/>
  <c r="L131" i="4"/>
  <c r="K131" i="4"/>
  <c r="J131" i="4"/>
  <c r="Q130" i="4"/>
  <c r="P130" i="4"/>
  <c r="O130" i="4"/>
  <c r="M130" i="4"/>
  <c r="L130" i="4"/>
  <c r="K130" i="4"/>
  <c r="J130" i="4"/>
  <c r="Q129" i="4"/>
  <c r="P129" i="4"/>
  <c r="O129" i="4"/>
  <c r="M129" i="4"/>
  <c r="L129" i="4"/>
  <c r="K129" i="4"/>
  <c r="J129" i="4"/>
  <c r="Q128" i="4"/>
  <c r="P128" i="4"/>
  <c r="O128" i="4"/>
  <c r="M128" i="4"/>
  <c r="L128" i="4"/>
  <c r="K128" i="4"/>
  <c r="J128" i="4"/>
  <c r="Q127" i="4"/>
  <c r="P127" i="4"/>
  <c r="O127" i="4"/>
  <c r="M127" i="4"/>
  <c r="L127" i="4"/>
  <c r="K127" i="4"/>
  <c r="J127" i="4"/>
  <c r="Q126" i="4"/>
  <c r="P126" i="4"/>
  <c r="O126" i="4"/>
  <c r="M126" i="4"/>
  <c r="L126" i="4"/>
  <c r="K126" i="4"/>
  <c r="J126" i="4"/>
  <c r="Q125" i="4"/>
  <c r="P125" i="4"/>
  <c r="O125" i="4"/>
  <c r="M125" i="4"/>
  <c r="L125" i="4"/>
  <c r="K125" i="4"/>
  <c r="J125" i="4"/>
  <c r="Q124" i="4"/>
  <c r="P124" i="4"/>
  <c r="O124" i="4"/>
  <c r="M124" i="4"/>
  <c r="L124" i="4"/>
  <c r="K124" i="4"/>
  <c r="J124" i="4"/>
  <c r="Q123" i="4"/>
  <c r="P123" i="4"/>
  <c r="O123" i="4"/>
  <c r="M123" i="4"/>
  <c r="L123" i="4"/>
  <c r="K123" i="4"/>
  <c r="J123" i="4"/>
  <c r="Q122" i="4"/>
  <c r="P122" i="4"/>
  <c r="O122" i="4"/>
  <c r="M122" i="4"/>
  <c r="L122" i="4"/>
  <c r="K122" i="4"/>
  <c r="J122" i="4"/>
  <c r="Q121" i="4"/>
  <c r="P121" i="4"/>
  <c r="O121" i="4"/>
  <c r="M121" i="4"/>
  <c r="L121" i="4"/>
  <c r="K121" i="4"/>
  <c r="J121" i="4"/>
  <c r="Q120" i="4"/>
  <c r="P120" i="4"/>
  <c r="O120" i="4"/>
  <c r="M120" i="4"/>
  <c r="L120" i="4"/>
  <c r="K120" i="4"/>
  <c r="J120" i="4"/>
  <c r="Q119" i="4"/>
  <c r="P119" i="4"/>
  <c r="O119" i="4"/>
  <c r="M119" i="4"/>
  <c r="L119" i="4"/>
  <c r="K119" i="4"/>
  <c r="J119" i="4"/>
  <c r="Q118" i="4"/>
  <c r="P118" i="4"/>
  <c r="O118" i="4"/>
  <c r="M118" i="4"/>
  <c r="L118" i="4"/>
  <c r="K118" i="4"/>
  <c r="J118" i="4"/>
  <c r="Q117" i="4"/>
  <c r="P117" i="4"/>
  <c r="O117" i="4"/>
  <c r="M117" i="4"/>
  <c r="L117" i="4"/>
  <c r="K117" i="4"/>
  <c r="J117" i="4"/>
  <c r="Q116" i="4"/>
  <c r="P116" i="4"/>
  <c r="O116" i="4"/>
  <c r="M116" i="4"/>
  <c r="L116" i="4"/>
  <c r="K116" i="4"/>
  <c r="J116" i="4"/>
  <c r="Q115" i="4"/>
  <c r="P115" i="4"/>
  <c r="O115" i="4"/>
  <c r="M115" i="4"/>
  <c r="L115" i="4"/>
  <c r="K115" i="4"/>
  <c r="J115" i="4"/>
  <c r="Q114" i="4"/>
  <c r="P114" i="4"/>
  <c r="O114" i="4"/>
  <c r="M114" i="4"/>
  <c r="L114" i="4"/>
  <c r="K114" i="4"/>
  <c r="J114" i="4"/>
  <c r="Q113" i="4"/>
  <c r="P113" i="4"/>
  <c r="O113" i="4"/>
  <c r="M113" i="4"/>
  <c r="L113" i="4"/>
  <c r="K113" i="4"/>
  <c r="J113" i="4"/>
  <c r="Q112" i="4"/>
  <c r="P112" i="4"/>
  <c r="O112" i="4"/>
  <c r="M112" i="4"/>
  <c r="L112" i="4"/>
  <c r="K112" i="4"/>
  <c r="J112" i="4"/>
  <c r="Q111" i="4"/>
  <c r="P111" i="4"/>
  <c r="O111" i="4"/>
  <c r="M111" i="4"/>
  <c r="L111" i="4"/>
  <c r="K111" i="4"/>
  <c r="J111" i="4"/>
  <c r="Q110" i="4"/>
  <c r="P110" i="4"/>
  <c r="O110" i="4"/>
  <c r="M110" i="4"/>
  <c r="L110" i="4"/>
  <c r="K110" i="4"/>
  <c r="J110" i="4"/>
  <c r="Q109" i="4"/>
  <c r="P109" i="4"/>
  <c r="O109" i="4"/>
  <c r="M109" i="4"/>
  <c r="L109" i="4"/>
  <c r="K109" i="4"/>
  <c r="J109" i="4"/>
  <c r="Q108" i="4"/>
  <c r="P108" i="4"/>
  <c r="O108" i="4"/>
  <c r="M108" i="4"/>
  <c r="L108" i="4"/>
  <c r="K108" i="4"/>
  <c r="J108" i="4"/>
  <c r="Q107" i="4"/>
  <c r="P107" i="4"/>
  <c r="O107" i="4"/>
  <c r="M107" i="4"/>
  <c r="L107" i="4"/>
  <c r="K107" i="4"/>
  <c r="J107" i="4"/>
  <c r="Q106" i="4"/>
  <c r="P106" i="4"/>
  <c r="O106" i="4"/>
  <c r="M106" i="4"/>
  <c r="L106" i="4"/>
  <c r="K106" i="4"/>
  <c r="J106" i="4"/>
  <c r="Q105" i="4"/>
  <c r="P105" i="4"/>
  <c r="O105" i="4"/>
  <c r="M105" i="4"/>
  <c r="L105" i="4"/>
  <c r="K105" i="4"/>
  <c r="J105" i="4"/>
  <c r="Q104" i="4"/>
  <c r="P104" i="4"/>
  <c r="O104" i="4"/>
  <c r="M104" i="4"/>
  <c r="L104" i="4"/>
  <c r="K104" i="4"/>
  <c r="J104" i="4"/>
  <c r="Q103" i="4"/>
  <c r="P103" i="4"/>
  <c r="O103" i="4"/>
  <c r="M103" i="4"/>
  <c r="L103" i="4"/>
  <c r="K103" i="4"/>
  <c r="J103" i="4"/>
  <c r="Q102" i="4"/>
  <c r="P102" i="4"/>
  <c r="O102" i="4"/>
  <c r="M102" i="4"/>
  <c r="L102" i="4"/>
  <c r="K102" i="4"/>
  <c r="J102" i="4"/>
  <c r="Q101" i="4"/>
  <c r="P101" i="4"/>
  <c r="O101" i="4"/>
  <c r="M101" i="4"/>
  <c r="L101" i="4"/>
  <c r="K101" i="4"/>
  <c r="J101" i="4"/>
  <c r="Q100" i="4"/>
  <c r="P100" i="4"/>
  <c r="O100" i="4"/>
  <c r="M100" i="4"/>
  <c r="L100" i="4"/>
  <c r="K100" i="4"/>
  <c r="J100" i="4"/>
  <c r="Q99" i="4"/>
  <c r="P99" i="4"/>
  <c r="O99" i="4"/>
  <c r="M99" i="4"/>
  <c r="L99" i="4"/>
  <c r="K99" i="4"/>
  <c r="J99" i="4"/>
  <c r="Q98" i="4"/>
  <c r="P98" i="4"/>
  <c r="O98" i="4"/>
  <c r="M98" i="4"/>
  <c r="L98" i="4"/>
  <c r="K98" i="4"/>
  <c r="J98" i="4"/>
  <c r="Q97" i="4"/>
  <c r="P97" i="4"/>
  <c r="O97" i="4"/>
  <c r="M97" i="4"/>
  <c r="L97" i="4"/>
  <c r="K97" i="4"/>
  <c r="J97" i="4"/>
  <c r="Q96" i="4"/>
  <c r="P96" i="4"/>
  <c r="O96" i="4"/>
  <c r="M96" i="4"/>
  <c r="L96" i="4"/>
  <c r="K96" i="4"/>
  <c r="J96" i="4"/>
  <c r="Q95" i="4"/>
  <c r="P95" i="4"/>
  <c r="O95" i="4"/>
  <c r="M95" i="4"/>
  <c r="L95" i="4"/>
  <c r="K95" i="4"/>
  <c r="J95" i="4"/>
  <c r="Q94" i="4"/>
  <c r="P94" i="4"/>
  <c r="O94" i="4"/>
  <c r="M94" i="4"/>
  <c r="L94" i="4"/>
  <c r="K94" i="4"/>
  <c r="J94" i="4"/>
  <c r="Q93" i="4"/>
  <c r="P93" i="4"/>
  <c r="O93" i="4"/>
  <c r="M93" i="4"/>
  <c r="L93" i="4"/>
  <c r="K93" i="4"/>
  <c r="J93" i="4"/>
  <c r="Q92" i="4"/>
  <c r="P92" i="4"/>
  <c r="O92" i="4"/>
  <c r="M92" i="4"/>
  <c r="L92" i="4"/>
  <c r="K92" i="4"/>
  <c r="J92" i="4"/>
  <c r="Q91" i="4"/>
  <c r="P91" i="4"/>
  <c r="O91" i="4"/>
  <c r="M91" i="4"/>
  <c r="L91" i="4"/>
  <c r="K91" i="4"/>
  <c r="J91" i="4"/>
  <c r="Q90" i="4"/>
  <c r="P90" i="4"/>
  <c r="O90" i="4"/>
  <c r="M90" i="4"/>
  <c r="L90" i="4"/>
  <c r="K90" i="4"/>
  <c r="J90" i="4"/>
  <c r="Q89" i="4"/>
  <c r="P89" i="4"/>
  <c r="O89" i="4"/>
  <c r="M89" i="4"/>
  <c r="L89" i="4"/>
  <c r="K89" i="4"/>
  <c r="J89" i="4"/>
  <c r="Q88" i="4"/>
  <c r="P88" i="4"/>
  <c r="O88" i="4"/>
  <c r="M88" i="4"/>
  <c r="L88" i="4"/>
  <c r="K88" i="4"/>
  <c r="J88" i="4"/>
  <c r="Q87" i="4"/>
  <c r="P87" i="4"/>
  <c r="O87" i="4"/>
  <c r="M87" i="4"/>
  <c r="L87" i="4"/>
  <c r="K87" i="4"/>
  <c r="J87" i="4"/>
  <c r="Q86" i="4"/>
  <c r="P86" i="4"/>
  <c r="O86" i="4"/>
  <c r="M86" i="4"/>
  <c r="L86" i="4"/>
  <c r="K86" i="4"/>
  <c r="J86" i="4"/>
  <c r="Q85" i="4"/>
  <c r="P85" i="4"/>
  <c r="O85" i="4"/>
  <c r="M85" i="4"/>
  <c r="L85" i="4"/>
  <c r="K85" i="4"/>
  <c r="J85" i="4"/>
  <c r="Q84" i="4"/>
  <c r="P84" i="4"/>
  <c r="O84" i="4"/>
  <c r="M84" i="4"/>
  <c r="L84" i="4"/>
  <c r="K84" i="4"/>
  <c r="J84" i="4"/>
  <c r="Q83" i="4"/>
  <c r="P83" i="4"/>
  <c r="O83" i="4"/>
  <c r="M83" i="4"/>
  <c r="L83" i="4"/>
  <c r="K83" i="4"/>
  <c r="J83" i="4"/>
  <c r="Q82" i="4"/>
  <c r="P82" i="4"/>
  <c r="O82" i="4"/>
  <c r="M82" i="4"/>
  <c r="L82" i="4"/>
  <c r="K82" i="4"/>
  <c r="J82" i="4"/>
  <c r="Q81" i="4"/>
  <c r="P81" i="4"/>
  <c r="O81" i="4"/>
  <c r="M81" i="4"/>
  <c r="L81" i="4"/>
  <c r="K81" i="4"/>
  <c r="J81" i="4"/>
  <c r="Q80" i="4"/>
  <c r="P80" i="4"/>
  <c r="O80" i="4"/>
  <c r="M80" i="4"/>
  <c r="L80" i="4"/>
  <c r="K80" i="4"/>
  <c r="J80" i="4"/>
  <c r="Q79" i="4"/>
  <c r="P79" i="4"/>
  <c r="O79" i="4"/>
  <c r="M79" i="4"/>
  <c r="L79" i="4"/>
  <c r="K79" i="4"/>
  <c r="J79" i="4"/>
  <c r="Q78" i="4"/>
  <c r="P78" i="4"/>
  <c r="O78" i="4"/>
  <c r="M78" i="4"/>
  <c r="L78" i="4"/>
  <c r="K78" i="4"/>
  <c r="J78" i="4"/>
  <c r="Q77" i="4"/>
  <c r="P77" i="4"/>
  <c r="O77" i="4"/>
  <c r="M77" i="4"/>
  <c r="L77" i="4"/>
  <c r="K77" i="4"/>
  <c r="J77" i="4"/>
  <c r="Q76" i="4"/>
  <c r="P76" i="4"/>
  <c r="O76" i="4"/>
  <c r="M76" i="4"/>
  <c r="L76" i="4"/>
  <c r="K76" i="4"/>
  <c r="J76" i="4"/>
  <c r="Q75" i="4"/>
  <c r="P75" i="4"/>
  <c r="O75" i="4"/>
  <c r="M75" i="4"/>
  <c r="L75" i="4"/>
  <c r="K75" i="4"/>
  <c r="J75" i="4"/>
  <c r="Q74" i="4"/>
  <c r="P74" i="4"/>
  <c r="O74" i="4"/>
  <c r="M74" i="4"/>
  <c r="L74" i="4"/>
  <c r="K74" i="4"/>
  <c r="J74" i="4"/>
  <c r="Q73" i="4"/>
  <c r="P73" i="4"/>
  <c r="O73" i="4"/>
  <c r="M73" i="4"/>
  <c r="L73" i="4"/>
  <c r="K73" i="4"/>
  <c r="J73" i="4"/>
  <c r="Q72" i="4"/>
  <c r="P72" i="4"/>
  <c r="O72" i="4"/>
  <c r="M72" i="4"/>
  <c r="L72" i="4"/>
  <c r="K72" i="4"/>
  <c r="J72" i="4"/>
  <c r="Q71" i="4"/>
  <c r="P71" i="4"/>
  <c r="O71" i="4"/>
  <c r="M71" i="4"/>
  <c r="L71" i="4"/>
  <c r="K71" i="4"/>
  <c r="J71" i="4"/>
  <c r="Q70" i="4"/>
  <c r="P70" i="4"/>
  <c r="O70" i="4"/>
  <c r="M70" i="4"/>
  <c r="L70" i="4"/>
  <c r="K70" i="4"/>
  <c r="J70" i="4"/>
  <c r="Q69" i="4"/>
  <c r="P69" i="4"/>
  <c r="O69" i="4"/>
  <c r="M69" i="4"/>
  <c r="L69" i="4"/>
  <c r="K69" i="4"/>
  <c r="J69" i="4"/>
  <c r="Q68" i="4"/>
  <c r="P68" i="4"/>
  <c r="O68" i="4"/>
  <c r="M68" i="4"/>
  <c r="L68" i="4"/>
  <c r="K68" i="4"/>
  <c r="J68" i="4"/>
  <c r="Q67" i="4"/>
  <c r="P67" i="4"/>
  <c r="O67" i="4"/>
  <c r="M67" i="4"/>
  <c r="L67" i="4"/>
  <c r="K67" i="4"/>
  <c r="J67" i="4"/>
  <c r="Q66" i="4"/>
  <c r="P66" i="4"/>
  <c r="O66" i="4"/>
  <c r="M66" i="4"/>
  <c r="L66" i="4"/>
  <c r="K66" i="4"/>
  <c r="J66" i="4"/>
  <c r="Q65" i="4"/>
  <c r="P65" i="4"/>
  <c r="O65" i="4"/>
  <c r="M65" i="4"/>
  <c r="L65" i="4"/>
  <c r="K65" i="4"/>
  <c r="J65" i="4"/>
  <c r="Q64" i="4"/>
  <c r="P64" i="4"/>
  <c r="O64" i="4"/>
  <c r="M64" i="4"/>
  <c r="L64" i="4"/>
  <c r="K64" i="4"/>
  <c r="J64" i="4"/>
  <c r="Q63" i="4"/>
  <c r="P63" i="4"/>
  <c r="O63" i="4"/>
  <c r="M63" i="4"/>
  <c r="L63" i="4"/>
  <c r="K63" i="4"/>
  <c r="J63" i="4"/>
  <c r="Q62" i="4"/>
  <c r="P62" i="4"/>
  <c r="O62" i="4"/>
  <c r="M62" i="4"/>
  <c r="L62" i="4"/>
  <c r="K62" i="4"/>
  <c r="J62" i="4"/>
  <c r="Q61" i="4"/>
  <c r="P61" i="4"/>
  <c r="O61" i="4"/>
  <c r="M61" i="4"/>
  <c r="L61" i="4"/>
  <c r="K61" i="4"/>
  <c r="J61" i="4"/>
  <c r="Q60" i="4"/>
  <c r="P60" i="4"/>
  <c r="O60" i="4"/>
  <c r="M60" i="4"/>
  <c r="L60" i="4"/>
  <c r="K60" i="4"/>
  <c r="J60" i="4"/>
  <c r="Q59" i="4"/>
  <c r="P59" i="4"/>
  <c r="O59" i="4"/>
  <c r="M59" i="4"/>
  <c r="L59" i="4"/>
  <c r="K59" i="4"/>
  <c r="J59" i="4"/>
  <c r="Q58" i="4"/>
  <c r="P58" i="4"/>
  <c r="O58" i="4"/>
  <c r="M58" i="4"/>
  <c r="L58" i="4"/>
  <c r="K58" i="4"/>
  <c r="J58" i="4"/>
  <c r="Q57" i="4"/>
  <c r="P57" i="4"/>
  <c r="O57" i="4"/>
  <c r="M57" i="4"/>
  <c r="L57" i="4"/>
  <c r="K57" i="4"/>
  <c r="J57" i="4"/>
  <c r="Q56" i="4"/>
  <c r="P56" i="4"/>
  <c r="O56" i="4"/>
  <c r="M56" i="4"/>
  <c r="L56" i="4"/>
  <c r="K56" i="4"/>
  <c r="J56" i="4"/>
  <c r="Q55" i="4"/>
  <c r="P55" i="4"/>
  <c r="O55" i="4"/>
  <c r="M55" i="4"/>
  <c r="L55" i="4"/>
  <c r="K55" i="4"/>
  <c r="J55" i="4"/>
  <c r="Q54" i="4"/>
  <c r="P54" i="4"/>
  <c r="O54" i="4"/>
  <c r="M54" i="4"/>
  <c r="L54" i="4"/>
  <c r="K54" i="4"/>
  <c r="J54" i="4"/>
  <c r="Q53" i="4"/>
  <c r="P53" i="4"/>
  <c r="O53" i="4"/>
  <c r="M53" i="4"/>
  <c r="L53" i="4"/>
  <c r="K53" i="4"/>
  <c r="J53" i="4"/>
  <c r="Q52" i="4"/>
  <c r="P52" i="4"/>
  <c r="O52" i="4"/>
  <c r="M52" i="4"/>
  <c r="L52" i="4"/>
  <c r="K52" i="4"/>
  <c r="J52" i="4"/>
  <c r="Q51" i="4"/>
  <c r="P51" i="4"/>
  <c r="O51" i="4"/>
  <c r="M51" i="4"/>
  <c r="L51" i="4"/>
  <c r="K51" i="4"/>
  <c r="J51" i="4"/>
  <c r="Q50" i="4"/>
  <c r="P50" i="4"/>
  <c r="O50" i="4"/>
  <c r="M50" i="4"/>
  <c r="L50" i="4"/>
  <c r="K50" i="4"/>
  <c r="J50" i="4"/>
  <c r="Q49" i="4"/>
  <c r="P49" i="4"/>
  <c r="O49" i="4"/>
  <c r="M49" i="4"/>
  <c r="L49" i="4"/>
  <c r="K49" i="4"/>
  <c r="J49" i="4"/>
  <c r="Q48" i="4"/>
  <c r="P48" i="4"/>
  <c r="O48" i="4"/>
  <c r="M48" i="4"/>
  <c r="L48" i="4"/>
  <c r="K48" i="4"/>
  <c r="J48" i="4"/>
  <c r="Q47" i="4"/>
  <c r="P47" i="4"/>
  <c r="O47" i="4"/>
  <c r="M47" i="4"/>
  <c r="L47" i="4"/>
  <c r="K47" i="4"/>
  <c r="J47" i="4"/>
  <c r="Q46" i="4"/>
  <c r="P46" i="4"/>
  <c r="O46" i="4"/>
  <c r="M46" i="4"/>
  <c r="L46" i="4"/>
  <c r="K46" i="4"/>
  <c r="J46" i="4"/>
  <c r="Q45" i="4"/>
  <c r="P45" i="4"/>
  <c r="O45" i="4"/>
  <c r="M45" i="4"/>
  <c r="L45" i="4"/>
  <c r="K45" i="4"/>
  <c r="J45" i="4"/>
  <c r="Q44" i="4"/>
  <c r="P44" i="4"/>
  <c r="O44" i="4"/>
  <c r="M44" i="4"/>
  <c r="L44" i="4"/>
  <c r="K44" i="4"/>
  <c r="J44" i="4"/>
  <c r="Q43" i="4"/>
  <c r="P43" i="4"/>
  <c r="O43" i="4"/>
  <c r="M43" i="4"/>
  <c r="L43" i="4"/>
  <c r="K43" i="4"/>
  <c r="J43" i="4"/>
  <c r="Q42" i="4"/>
  <c r="P42" i="4"/>
  <c r="O42" i="4"/>
  <c r="M42" i="4"/>
  <c r="L42" i="4"/>
  <c r="K42" i="4"/>
  <c r="J42" i="4"/>
  <c r="Q41" i="4"/>
  <c r="P41" i="4"/>
  <c r="O41" i="4"/>
  <c r="M41" i="4"/>
  <c r="L41" i="4"/>
  <c r="K41" i="4"/>
  <c r="J41" i="4"/>
  <c r="Q40" i="4"/>
  <c r="P40" i="4"/>
  <c r="O40" i="4"/>
  <c r="M40" i="4"/>
  <c r="L40" i="4"/>
  <c r="K40" i="4"/>
  <c r="J40" i="4"/>
  <c r="Q39" i="4"/>
  <c r="P39" i="4"/>
  <c r="O39" i="4"/>
  <c r="M39" i="4"/>
  <c r="L39" i="4"/>
  <c r="K39" i="4"/>
  <c r="J39" i="4"/>
  <c r="Q38" i="4"/>
  <c r="P38" i="4"/>
  <c r="O38" i="4"/>
  <c r="M38" i="4"/>
  <c r="L38" i="4"/>
  <c r="K38" i="4"/>
  <c r="J38" i="4"/>
  <c r="Q37" i="4"/>
  <c r="P37" i="4"/>
  <c r="O37" i="4"/>
  <c r="M37" i="4"/>
  <c r="L37" i="4"/>
  <c r="K37" i="4"/>
  <c r="J37" i="4"/>
  <c r="Q36" i="4"/>
  <c r="P36" i="4"/>
  <c r="O36" i="4"/>
  <c r="M36" i="4"/>
  <c r="L36" i="4"/>
  <c r="K36" i="4"/>
  <c r="J36" i="4"/>
  <c r="Q35" i="4"/>
  <c r="P35" i="4"/>
  <c r="O35" i="4"/>
  <c r="M35" i="4"/>
  <c r="L35" i="4"/>
  <c r="K35" i="4"/>
  <c r="J35" i="4"/>
  <c r="Q34" i="4"/>
  <c r="P34" i="4"/>
  <c r="O34" i="4"/>
  <c r="M34" i="4"/>
  <c r="L34" i="4"/>
  <c r="K34" i="4"/>
  <c r="J34" i="4"/>
  <c r="Q33" i="4"/>
  <c r="P33" i="4"/>
  <c r="O33" i="4"/>
  <c r="M33" i="4"/>
  <c r="L33" i="4"/>
  <c r="K33" i="4"/>
  <c r="J33" i="4"/>
  <c r="Q32" i="4"/>
  <c r="P32" i="4"/>
  <c r="O32" i="4"/>
  <c r="M32" i="4"/>
  <c r="L32" i="4"/>
  <c r="K32" i="4"/>
  <c r="J32" i="4"/>
  <c r="Q31" i="4"/>
  <c r="P31" i="4"/>
  <c r="O31" i="4"/>
  <c r="M31" i="4"/>
  <c r="L31" i="4"/>
  <c r="K31" i="4"/>
  <c r="J31" i="4"/>
  <c r="Q30" i="4"/>
  <c r="P30" i="4"/>
  <c r="O30" i="4"/>
  <c r="M30" i="4"/>
  <c r="L30" i="4"/>
  <c r="K30" i="4"/>
  <c r="J30" i="4"/>
  <c r="Q29" i="4"/>
  <c r="P29" i="4"/>
  <c r="O29" i="4"/>
  <c r="M29" i="4"/>
  <c r="L29" i="4"/>
  <c r="K29" i="4"/>
  <c r="J29" i="4"/>
  <c r="Q28" i="4"/>
  <c r="P28" i="4"/>
  <c r="O28" i="4"/>
  <c r="M28" i="4"/>
  <c r="L28" i="4"/>
  <c r="K28" i="4"/>
  <c r="J28" i="4"/>
  <c r="Q27" i="4"/>
  <c r="P27" i="4"/>
  <c r="O27" i="4"/>
  <c r="M27" i="4"/>
  <c r="L27" i="4"/>
  <c r="K27" i="4"/>
  <c r="J27" i="4"/>
  <c r="Q26" i="4"/>
  <c r="P26" i="4"/>
  <c r="O26" i="4"/>
  <c r="M26" i="4"/>
  <c r="L26" i="4"/>
  <c r="K26" i="4"/>
  <c r="J26" i="4"/>
  <c r="Q25" i="4"/>
  <c r="P25" i="4"/>
  <c r="O25" i="4"/>
  <c r="M25" i="4"/>
  <c r="L25" i="4"/>
  <c r="K25" i="4"/>
  <c r="J25" i="4"/>
  <c r="Q24" i="4"/>
  <c r="P24" i="4"/>
  <c r="O24" i="4"/>
  <c r="K24" i="4"/>
  <c r="Q23" i="4"/>
  <c r="P23" i="4"/>
  <c r="O23" i="4"/>
  <c r="L23" i="4" s="1"/>
  <c r="K23" i="4"/>
  <c r="Q22" i="4"/>
  <c r="P22" i="4"/>
  <c r="O22" i="4"/>
  <c r="K22" i="4"/>
  <c r="Q21" i="4"/>
  <c r="P21" i="4"/>
  <c r="O21" i="4"/>
  <c r="K21" i="4"/>
  <c r="Q20" i="4"/>
  <c r="P20" i="4"/>
  <c r="O20" i="4"/>
  <c r="K20" i="4"/>
  <c r="Q19" i="4"/>
  <c r="P19" i="4"/>
  <c r="O19" i="4"/>
  <c r="K19" i="4"/>
  <c r="Q18" i="4"/>
  <c r="P18" i="4"/>
  <c r="O18" i="4"/>
  <c r="K18" i="4"/>
  <c r="Q17" i="4"/>
  <c r="P17" i="4"/>
  <c r="O17" i="4"/>
  <c r="K17" i="4"/>
  <c r="Q16" i="4"/>
  <c r="P16" i="4"/>
  <c r="O16" i="4"/>
  <c r="K16" i="4"/>
  <c r="Q15" i="4"/>
  <c r="P15" i="4"/>
  <c r="O15" i="4"/>
  <c r="K15" i="4"/>
  <c r="Q14" i="4"/>
  <c r="P14" i="4"/>
  <c r="O14" i="4"/>
  <c r="K14" i="4"/>
  <c r="Q13" i="4"/>
  <c r="P13" i="4"/>
  <c r="O13" i="4"/>
  <c r="K13" i="4"/>
  <c r="Q12" i="4"/>
  <c r="P12" i="4"/>
  <c r="O12" i="4"/>
  <c r="K12" i="4"/>
  <c r="Q11" i="4"/>
  <c r="P11" i="4"/>
  <c r="O11" i="4"/>
  <c r="K11" i="4"/>
  <c r="Q10" i="4"/>
  <c r="P10" i="4"/>
  <c r="O10" i="4"/>
  <c r="K10" i="4"/>
  <c r="Q9" i="4"/>
  <c r="P9" i="4"/>
  <c r="O9" i="4"/>
  <c r="K9" i="4"/>
  <c r="R258" i="3"/>
  <c r="Q258" i="3"/>
  <c r="H258" i="3"/>
  <c r="G258" i="3"/>
  <c r="F258" i="3"/>
  <c r="E258" i="3"/>
  <c r="R257" i="3"/>
  <c r="Q257" i="3"/>
  <c r="H257" i="3"/>
  <c r="G257" i="3"/>
  <c r="F257" i="3"/>
  <c r="E257" i="3"/>
  <c r="R256" i="3"/>
  <c r="Q256" i="3"/>
  <c r="H256" i="3"/>
  <c r="G256" i="3"/>
  <c r="F256" i="3"/>
  <c r="E256" i="3"/>
  <c r="R255" i="3"/>
  <c r="Q255" i="3"/>
  <c r="H255" i="3"/>
  <c r="G255" i="3"/>
  <c r="F255" i="3"/>
  <c r="E255" i="3"/>
  <c r="R254" i="3"/>
  <c r="Q254" i="3"/>
  <c r="H254" i="3"/>
  <c r="G254" i="3"/>
  <c r="F254" i="3"/>
  <c r="E254" i="3"/>
  <c r="R253" i="3"/>
  <c r="Q253" i="3"/>
  <c r="H253" i="3"/>
  <c r="G253" i="3"/>
  <c r="F253" i="3"/>
  <c r="E253" i="3"/>
  <c r="R252" i="3"/>
  <c r="Q252" i="3"/>
  <c r="H252" i="3"/>
  <c r="G252" i="3"/>
  <c r="F252" i="3"/>
  <c r="E252" i="3"/>
  <c r="R251" i="3"/>
  <c r="Q251" i="3"/>
  <c r="H251" i="3"/>
  <c r="G251" i="3"/>
  <c r="F251" i="3"/>
  <c r="E251" i="3"/>
  <c r="R250" i="3"/>
  <c r="Q250" i="3"/>
  <c r="H250" i="3"/>
  <c r="G250" i="3"/>
  <c r="F250" i="3"/>
  <c r="E250" i="3"/>
  <c r="R249" i="3"/>
  <c r="Q249" i="3"/>
  <c r="H249" i="3"/>
  <c r="G249" i="3"/>
  <c r="F249" i="3"/>
  <c r="E249" i="3"/>
  <c r="R248" i="3"/>
  <c r="Q248" i="3"/>
  <c r="H248" i="3"/>
  <c r="G248" i="3"/>
  <c r="F248" i="3"/>
  <c r="E248" i="3"/>
  <c r="R247" i="3"/>
  <c r="Q247" i="3"/>
  <c r="H247" i="3"/>
  <c r="G247" i="3"/>
  <c r="F247" i="3"/>
  <c r="E247" i="3"/>
  <c r="R246" i="3"/>
  <c r="Q246" i="3"/>
  <c r="H246" i="3"/>
  <c r="G246" i="3"/>
  <c r="F246" i="3"/>
  <c r="E246" i="3"/>
  <c r="R245" i="3"/>
  <c r="Q245" i="3"/>
  <c r="H245" i="3"/>
  <c r="G245" i="3"/>
  <c r="F245" i="3"/>
  <c r="E245" i="3"/>
  <c r="R244" i="3"/>
  <c r="Q244" i="3"/>
  <c r="H244" i="3"/>
  <c r="G244" i="3"/>
  <c r="F244" i="3"/>
  <c r="E244" i="3"/>
  <c r="R243" i="3"/>
  <c r="Q243" i="3"/>
  <c r="H243" i="3"/>
  <c r="G243" i="3"/>
  <c r="F243" i="3"/>
  <c r="E243" i="3"/>
  <c r="R242" i="3"/>
  <c r="Q242" i="3"/>
  <c r="H242" i="3"/>
  <c r="G242" i="3"/>
  <c r="F242" i="3"/>
  <c r="E242" i="3"/>
  <c r="R241" i="3"/>
  <c r="Q241" i="3"/>
  <c r="H241" i="3"/>
  <c r="G241" i="3"/>
  <c r="F241" i="3"/>
  <c r="E241" i="3"/>
  <c r="R240" i="3"/>
  <c r="Q240" i="3"/>
  <c r="H240" i="3"/>
  <c r="G240" i="3"/>
  <c r="F240" i="3"/>
  <c r="E240" i="3"/>
  <c r="R239" i="3"/>
  <c r="Q239" i="3"/>
  <c r="H239" i="3"/>
  <c r="G239" i="3"/>
  <c r="F239" i="3"/>
  <c r="E239" i="3"/>
  <c r="R238" i="3"/>
  <c r="Q238" i="3"/>
  <c r="H238" i="3"/>
  <c r="G238" i="3"/>
  <c r="F238" i="3"/>
  <c r="E238" i="3"/>
  <c r="R237" i="3"/>
  <c r="Q237" i="3"/>
  <c r="H237" i="3"/>
  <c r="G237" i="3"/>
  <c r="F237" i="3"/>
  <c r="E237" i="3"/>
  <c r="R236" i="3"/>
  <c r="Q236" i="3"/>
  <c r="H236" i="3"/>
  <c r="G236" i="3"/>
  <c r="F236" i="3"/>
  <c r="E236" i="3"/>
  <c r="R235" i="3"/>
  <c r="Q235" i="3"/>
  <c r="H235" i="3"/>
  <c r="G235" i="3"/>
  <c r="F235" i="3"/>
  <c r="E235" i="3"/>
  <c r="R234" i="3"/>
  <c r="Q234" i="3"/>
  <c r="H234" i="3"/>
  <c r="G234" i="3"/>
  <c r="F234" i="3"/>
  <c r="E234" i="3"/>
  <c r="R233" i="3"/>
  <c r="Q233" i="3"/>
  <c r="H233" i="3"/>
  <c r="G233" i="3"/>
  <c r="F233" i="3"/>
  <c r="E233" i="3"/>
  <c r="R232" i="3"/>
  <c r="Q232" i="3"/>
  <c r="H232" i="3"/>
  <c r="G232" i="3"/>
  <c r="F232" i="3"/>
  <c r="E232" i="3"/>
  <c r="R231" i="3"/>
  <c r="Q231" i="3"/>
  <c r="H231" i="3"/>
  <c r="G231" i="3"/>
  <c r="F231" i="3"/>
  <c r="E231" i="3"/>
  <c r="R230" i="3"/>
  <c r="Q230" i="3"/>
  <c r="H230" i="3"/>
  <c r="G230" i="3"/>
  <c r="F230" i="3"/>
  <c r="E230" i="3"/>
  <c r="R229" i="3"/>
  <c r="Q229" i="3"/>
  <c r="H229" i="3"/>
  <c r="G229" i="3"/>
  <c r="F229" i="3"/>
  <c r="E229" i="3"/>
  <c r="R228" i="3"/>
  <c r="Q228" i="3"/>
  <c r="H228" i="3"/>
  <c r="G228" i="3"/>
  <c r="F228" i="3"/>
  <c r="E228" i="3"/>
  <c r="R227" i="3"/>
  <c r="Q227" i="3"/>
  <c r="H227" i="3"/>
  <c r="G227" i="3"/>
  <c r="F227" i="3"/>
  <c r="E227" i="3"/>
  <c r="R226" i="3"/>
  <c r="Q226" i="3"/>
  <c r="H226" i="3"/>
  <c r="G226" i="3"/>
  <c r="F226" i="3"/>
  <c r="E226" i="3"/>
  <c r="R225" i="3"/>
  <c r="Q225" i="3"/>
  <c r="H225" i="3"/>
  <c r="G225" i="3"/>
  <c r="F225" i="3"/>
  <c r="E225" i="3"/>
  <c r="R224" i="3"/>
  <c r="Q224" i="3"/>
  <c r="H224" i="3"/>
  <c r="G224" i="3"/>
  <c r="F224" i="3"/>
  <c r="E224" i="3"/>
  <c r="R223" i="3"/>
  <c r="Q223" i="3"/>
  <c r="H223" i="3"/>
  <c r="G223" i="3"/>
  <c r="F223" i="3"/>
  <c r="E223" i="3"/>
  <c r="R222" i="3"/>
  <c r="Q222" i="3"/>
  <c r="H222" i="3"/>
  <c r="G222" i="3"/>
  <c r="F222" i="3"/>
  <c r="E222" i="3"/>
  <c r="R221" i="3"/>
  <c r="Q221" i="3"/>
  <c r="H221" i="3"/>
  <c r="G221" i="3"/>
  <c r="F221" i="3"/>
  <c r="E221" i="3"/>
  <c r="R220" i="3"/>
  <c r="Q220" i="3"/>
  <c r="H220" i="3"/>
  <c r="G220" i="3"/>
  <c r="F220" i="3"/>
  <c r="E220" i="3"/>
  <c r="R219" i="3"/>
  <c r="Q219" i="3"/>
  <c r="H219" i="3"/>
  <c r="G219" i="3"/>
  <c r="F219" i="3"/>
  <c r="E219" i="3"/>
  <c r="R218" i="3"/>
  <c r="Q218" i="3"/>
  <c r="H218" i="3"/>
  <c r="G218" i="3"/>
  <c r="F218" i="3"/>
  <c r="E218" i="3"/>
  <c r="R217" i="3"/>
  <c r="Q217" i="3"/>
  <c r="H217" i="3"/>
  <c r="G217" i="3"/>
  <c r="F217" i="3"/>
  <c r="E217" i="3"/>
  <c r="R216" i="3"/>
  <c r="Q216" i="3"/>
  <c r="H216" i="3"/>
  <c r="G216" i="3"/>
  <c r="F216" i="3"/>
  <c r="E216" i="3"/>
  <c r="R215" i="3"/>
  <c r="Q215" i="3"/>
  <c r="H215" i="3"/>
  <c r="G215" i="3"/>
  <c r="F215" i="3"/>
  <c r="E215" i="3"/>
  <c r="R214" i="3"/>
  <c r="Q214" i="3"/>
  <c r="H214" i="3"/>
  <c r="G214" i="3"/>
  <c r="F214" i="3"/>
  <c r="E214" i="3"/>
  <c r="R213" i="3"/>
  <c r="Q213" i="3"/>
  <c r="H213" i="3"/>
  <c r="G213" i="3"/>
  <c r="F213" i="3"/>
  <c r="E213" i="3"/>
  <c r="R212" i="3"/>
  <c r="Q212" i="3"/>
  <c r="H212" i="3"/>
  <c r="G212" i="3"/>
  <c r="F212" i="3"/>
  <c r="E212" i="3"/>
  <c r="R211" i="3"/>
  <c r="Q211" i="3"/>
  <c r="H211" i="3"/>
  <c r="G211" i="3"/>
  <c r="F211" i="3"/>
  <c r="E211" i="3"/>
  <c r="R210" i="3"/>
  <c r="Q210" i="3"/>
  <c r="H210" i="3"/>
  <c r="G210" i="3"/>
  <c r="F210" i="3"/>
  <c r="E210" i="3"/>
  <c r="R209" i="3"/>
  <c r="Q209" i="3"/>
  <c r="H209" i="3"/>
  <c r="G209" i="3"/>
  <c r="F209" i="3"/>
  <c r="E209" i="3"/>
  <c r="R208" i="3"/>
  <c r="Q208" i="3"/>
  <c r="H208" i="3"/>
  <c r="G208" i="3"/>
  <c r="F208" i="3"/>
  <c r="E208" i="3"/>
  <c r="R207" i="3"/>
  <c r="Q207" i="3"/>
  <c r="H207" i="3"/>
  <c r="G207" i="3"/>
  <c r="F207" i="3"/>
  <c r="E207" i="3"/>
  <c r="R206" i="3"/>
  <c r="Q206" i="3"/>
  <c r="H206" i="3"/>
  <c r="G206" i="3"/>
  <c r="F206" i="3"/>
  <c r="E206" i="3"/>
  <c r="R205" i="3"/>
  <c r="Q205" i="3"/>
  <c r="H205" i="3"/>
  <c r="G205" i="3"/>
  <c r="F205" i="3"/>
  <c r="E205" i="3"/>
  <c r="R204" i="3"/>
  <c r="Q204" i="3"/>
  <c r="H204" i="3"/>
  <c r="G204" i="3"/>
  <c r="F204" i="3"/>
  <c r="E204" i="3"/>
  <c r="R203" i="3"/>
  <c r="Q203" i="3"/>
  <c r="H203" i="3"/>
  <c r="G203" i="3"/>
  <c r="F203" i="3"/>
  <c r="E203" i="3"/>
  <c r="R202" i="3"/>
  <c r="Q202" i="3"/>
  <c r="H202" i="3"/>
  <c r="G202" i="3"/>
  <c r="F202" i="3"/>
  <c r="E202" i="3"/>
  <c r="R201" i="3"/>
  <c r="Q201" i="3"/>
  <c r="H201" i="3"/>
  <c r="G201" i="3"/>
  <c r="F201" i="3"/>
  <c r="E201" i="3"/>
  <c r="R200" i="3"/>
  <c r="Q200" i="3"/>
  <c r="H200" i="3"/>
  <c r="G200" i="3"/>
  <c r="F200" i="3"/>
  <c r="E200" i="3"/>
  <c r="R199" i="3"/>
  <c r="Q199" i="3"/>
  <c r="H199" i="3"/>
  <c r="G199" i="3"/>
  <c r="F199" i="3"/>
  <c r="E199" i="3"/>
  <c r="R198" i="3"/>
  <c r="Q198" i="3"/>
  <c r="H198" i="3"/>
  <c r="G198" i="3"/>
  <c r="F198" i="3"/>
  <c r="E198" i="3"/>
  <c r="R197" i="3"/>
  <c r="Q197" i="3"/>
  <c r="H197" i="3"/>
  <c r="G197" i="3"/>
  <c r="F197" i="3"/>
  <c r="E197" i="3"/>
  <c r="R196" i="3"/>
  <c r="Q196" i="3"/>
  <c r="H196" i="3"/>
  <c r="G196" i="3"/>
  <c r="F196" i="3"/>
  <c r="E196" i="3"/>
  <c r="R195" i="3"/>
  <c r="Q195" i="3"/>
  <c r="H195" i="3"/>
  <c r="G195" i="3"/>
  <c r="F195" i="3"/>
  <c r="E195" i="3"/>
  <c r="R194" i="3"/>
  <c r="Q194" i="3"/>
  <c r="H194" i="3"/>
  <c r="G194" i="3"/>
  <c r="F194" i="3"/>
  <c r="E194" i="3"/>
  <c r="R193" i="3"/>
  <c r="Q193" i="3"/>
  <c r="H193" i="3"/>
  <c r="G193" i="3"/>
  <c r="F193" i="3"/>
  <c r="E193" i="3"/>
  <c r="R192" i="3"/>
  <c r="Q192" i="3"/>
  <c r="H192" i="3"/>
  <c r="G192" i="3"/>
  <c r="F192" i="3"/>
  <c r="E192" i="3"/>
  <c r="R191" i="3"/>
  <c r="Q191" i="3"/>
  <c r="H191" i="3"/>
  <c r="G191" i="3"/>
  <c r="F191" i="3"/>
  <c r="E191" i="3"/>
  <c r="R190" i="3"/>
  <c r="Q190" i="3"/>
  <c r="H190" i="3"/>
  <c r="G190" i="3"/>
  <c r="F190" i="3"/>
  <c r="E190" i="3"/>
  <c r="R189" i="3"/>
  <c r="Q189" i="3"/>
  <c r="H189" i="3"/>
  <c r="G189" i="3"/>
  <c r="F189" i="3"/>
  <c r="E189" i="3"/>
  <c r="R188" i="3"/>
  <c r="Q188" i="3"/>
  <c r="H188" i="3"/>
  <c r="G188" i="3"/>
  <c r="F188" i="3"/>
  <c r="E188" i="3"/>
  <c r="R187" i="3"/>
  <c r="Q187" i="3"/>
  <c r="H187" i="3"/>
  <c r="G187" i="3"/>
  <c r="F187" i="3"/>
  <c r="E187" i="3"/>
  <c r="R186" i="3"/>
  <c r="Q186" i="3"/>
  <c r="H186" i="3"/>
  <c r="G186" i="3"/>
  <c r="F186" i="3"/>
  <c r="E186" i="3"/>
  <c r="R185" i="3"/>
  <c r="Q185" i="3"/>
  <c r="H185" i="3"/>
  <c r="G185" i="3"/>
  <c r="F185" i="3"/>
  <c r="E185" i="3"/>
  <c r="R184" i="3"/>
  <c r="Q184" i="3"/>
  <c r="H184" i="3"/>
  <c r="G184" i="3"/>
  <c r="F184" i="3"/>
  <c r="E184" i="3"/>
  <c r="R183" i="3"/>
  <c r="Q183" i="3"/>
  <c r="H183" i="3"/>
  <c r="G183" i="3"/>
  <c r="F183" i="3"/>
  <c r="E183" i="3"/>
  <c r="R182" i="3"/>
  <c r="Q182" i="3"/>
  <c r="H182" i="3"/>
  <c r="G182" i="3"/>
  <c r="F182" i="3"/>
  <c r="E182" i="3"/>
  <c r="R181" i="3"/>
  <c r="Q181" i="3"/>
  <c r="H181" i="3"/>
  <c r="G181" i="3"/>
  <c r="F181" i="3"/>
  <c r="E181" i="3"/>
  <c r="R180" i="3"/>
  <c r="Q180" i="3"/>
  <c r="H180" i="3"/>
  <c r="G180" i="3"/>
  <c r="F180" i="3"/>
  <c r="E180" i="3"/>
  <c r="R179" i="3"/>
  <c r="Q179" i="3"/>
  <c r="H179" i="3"/>
  <c r="G179" i="3"/>
  <c r="F179" i="3"/>
  <c r="E179" i="3"/>
  <c r="R178" i="3"/>
  <c r="Q178" i="3"/>
  <c r="H178" i="3"/>
  <c r="G178" i="3"/>
  <c r="F178" i="3"/>
  <c r="E178" i="3"/>
  <c r="R177" i="3"/>
  <c r="Q177" i="3"/>
  <c r="H177" i="3"/>
  <c r="G177" i="3"/>
  <c r="F177" i="3"/>
  <c r="E177" i="3"/>
  <c r="R176" i="3"/>
  <c r="Q176" i="3"/>
  <c r="H176" i="3"/>
  <c r="G176" i="3"/>
  <c r="F176" i="3"/>
  <c r="E176" i="3"/>
  <c r="R175" i="3"/>
  <c r="Q175" i="3"/>
  <c r="H175" i="3"/>
  <c r="G175" i="3"/>
  <c r="F175" i="3"/>
  <c r="E175" i="3"/>
  <c r="R174" i="3"/>
  <c r="Q174" i="3"/>
  <c r="H174" i="3"/>
  <c r="G174" i="3"/>
  <c r="F174" i="3"/>
  <c r="E174" i="3"/>
  <c r="R173" i="3"/>
  <c r="Q173" i="3"/>
  <c r="H173" i="3"/>
  <c r="G173" i="3"/>
  <c r="F173" i="3"/>
  <c r="E173" i="3"/>
  <c r="R172" i="3"/>
  <c r="Q172" i="3"/>
  <c r="H172" i="3"/>
  <c r="G172" i="3"/>
  <c r="F172" i="3"/>
  <c r="E172" i="3"/>
  <c r="R171" i="3"/>
  <c r="Q171" i="3"/>
  <c r="H171" i="3"/>
  <c r="G171" i="3"/>
  <c r="F171" i="3"/>
  <c r="E171" i="3"/>
  <c r="R170" i="3"/>
  <c r="Q170" i="3"/>
  <c r="H170" i="3"/>
  <c r="G170" i="3"/>
  <c r="F170" i="3"/>
  <c r="E170" i="3"/>
  <c r="R169" i="3"/>
  <c r="Q169" i="3"/>
  <c r="H169" i="3"/>
  <c r="G169" i="3"/>
  <c r="F169" i="3"/>
  <c r="E169" i="3"/>
  <c r="R168" i="3"/>
  <c r="Q168" i="3"/>
  <c r="H168" i="3"/>
  <c r="G168" i="3"/>
  <c r="F168" i="3"/>
  <c r="E168" i="3"/>
  <c r="R167" i="3"/>
  <c r="Q167" i="3"/>
  <c r="H167" i="3"/>
  <c r="G167" i="3"/>
  <c r="F167" i="3"/>
  <c r="E167" i="3"/>
  <c r="R166" i="3"/>
  <c r="Q166" i="3"/>
  <c r="H166" i="3"/>
  <c r="G166" i="3"/>
  <c r="F166" i="3"/>
  <c r="E166" i="3"/>
  <c r="R165" i="3"/>
  <c r="Q165" i="3"/>
  <c r="H165" i="3"/>
  <c r="G165" i="3"/>
  <c r="F165" i="3"/>
  <c r="E165" i="3"/>
  <c r="R164" i="3"/>
  <c r="Q164" i="3"/>
  <c r="H164" i="3"/>
  <c r="G164" i="3"/>
  <c r="F164" i="3"/>
  <c r="E164" i="3"/>
  <c r="R163" i="3"/>
  <c r="Q163" i="3"/>
  <c r="H163" i="3"/>
  <c r="G163" i="3"/>
  <c r="F163" i="3"/>
  <c r="E163" i="3"/>
  <c r="R162" i="3"/>
  <c r="Q162" i="3"/>
  <c r="H162" i="3"/>
  <c r="G162" i="3"/>
  <c r="F162" i="3"/>
  <c r="E162" i="3"/>
  <c r="R161" i="3"/>
  <c r="Q161" i="3"/>
  <c r="H161" i="3"/>
  <c r="G161" i="3"/>
  <c r="F161" i="3"/>
  <c r="E161" i="3"/>
  <c r="R160" i="3"/>
  <c r="Q160" i="3"/>
  <c r="H160" i="3"/>
  <c r="G160" i="3"/>
  <c r="F160" i="3"/>
  <c r="E160" i="3"/>
  <c r="R159" i="3"/>
  <c r="Q159" i="3"/>
  <c r="H159" i="3"/>
  <c r="G159" i="3"/>
  <c r="F159" i="3"/>
  <c r="E159" i="3"/>
  <c r="R158" i="3"/>
  <c r="Q158" i="3"/>
  <c r="H158" i="3"/>
  <c r="G158" i="3"/>
  <c r="F158" i="3"/>
  <c r="E158" i="3"/>
  <c r="R157" i="3"/>
  <c r="Q157" i="3"/>
  <c r="H157" i="3"/>
  <c r="G157" i="3"/>
  <c r="F157" i="3"/>
  <c r="E157" i="3"/>
  <c r="R156" i="3"/>
  <c r="Q156" i="3"/>
  <c r="H156" i="3"/>
  <c r="G156" i="3"/>
  <c r="F156" i="3"/>
  <c r="E156" i="3"/>
  <c r="R155" i="3"/>
  <c r="Q155" i="3"/>
  <c r="H155" i="3"/>
  <c r="G155" i="3"/>
  <c r="F155" i="3"/>
  <c r="E155" i="3"/>
  <c r="R154" i="3"/>
  <c r="Q154" i="3"/>
  <c r="H154" i="3"/>
  <c r="G154" i="3"/>
  <c r="F154" i="3"/>
  <c r="E154" i="3"/>
  <c r="R153" i="3"/>
  <c r="Q153" i="3"/>
  <c r="H153" i="3"/>
  <c r="G153" i="3"/>
  <c r="F153" i="3"/>
  <c r="E153" i="3"/>
  <c r="R152" i="3"/>
  <c r="Q152" i="3"/>
  <c r="H152" i="3"/>
  <c r="G152" i="3"/>
  <c r="F152" i="3"/>
  <c r="E152" i="3"/>
  <c r="R151" i="3"/>
  <c r="Q151" i="3"/>
  <c r="H151" i="3"/>
  <c r="G151" i="3"/>
  <c r="F151" i="3"/>
  <c r="E151" i="3"/>
  <c r="R150" i="3"/>
  <c r="Q150" i="3"/>
  <c r="H150" i="3"/>
  <c r="G150" i="3"/>
  <c r="F150" i="3"/>
  <c r="E150" i="3"/>
  <c r="R149" i="3"/>
  <c r="Q149" i="3"/>
  <c r="H149" i="3"/>
  <c r="G149" i="3"/>
  <c r="F149" i="3"/>
  <c r="E149" i="3"/>
  <c r="R148" i="3"/>
  <c r="Q148" i="3"/>
  <c r="H148" i="3"/>
  <c r="G148" i="3"/>
  <c r="F148" i="3"/>
  <c r="E148" i="3"/>
  <c r="R147" i="3"/>
  <c r="Q147" i="3"/>
  <c r="H147" i="3"/>
  <c r="G147" i="3"/>
  <c r="F147" i="3"/>
  <c r="E147" i="3"/>
  <c r="R146" i="3"/>
  <c r="Q146" i="3"/>
  <c r="H146" i="3"/>
  <c r="G146" i="3"/>
  <c r="F146" i="3"/>
  <c r="E146" i="3"/>
  <c r="R145" i="3"/>
  <c r="Q145" i="3"/>
  <c r="H145" i="3"/>
  <c r="G145" i="3"/>
  <c r="F145" i="3"/>
  <c r="E145" i="3"/>
  <c r="R144" i="3"/>
  <c r="Q144" i="3"/>
  <c r="H144" i="3"/>
  <c r="G144" i="3"/>
  <c r="F144" i="3"/>
  <c r="E144" i="3"/>
  <c r="R143" i="3"/>
  <c r="Q143" i="3"/>
  <c r="H143" i="3"/>
  <c r="G143" i="3"/>
  <c r="F143" i="3"/>
  <c r="E143" i="3"/>
  <c r="R142" i="3"/>
  <c r="Q142" i="3"/>
  <c r="H142" i="3"/>
  <c r="G142" i="3"/>
  <c r="F142" i="3"/>
  <c r="E142" i="3"/>
  <c r="R141" i="3"/>
  <c r="Q141" i="3"/>
  <c r="H141" i="3"/>
  <c r="G141" i="3"/>
  <c r="F141" i="3"/>
  <c r="E141" i="3"/>
  <c r="R140" i="3"/>
  <c r="Q140" i="3"/>
  <c r="H140" i="3"/>
  <c r="G140" i="3"/>
  <c r="F140" i="3"/>
  <c r="E140" i="3"/>
  <c r="R139" i="3"/>
  <c r="Q139" i="3"/>
  <c r="H139" i="3"/>
  <c r="G139" i="3"/>
  <c r="F139" i="3"/>
  <c r="E139" i="3"/>
  <c r="R138" i="3"/>
  <c r="Q138" i="3"/>
  <c r="H138" i="3"/>
  <c r="G138" i="3"/>
  <c r="F138" i="3"/>
  <c r="E138" i="3"/>
  <c r="R137" i="3"/>
  <c r="Q137" i="3"/>
  <c r="H137" i="3"/>
  <c r="G137" i="3"/>
  <c r="F137" i="3"/>
  <c r="E137" i="3"/>
  <c r="R136" i="3"/>
  <c r="Q136" i="3"/>
  <c r="H136" i="3"/>
  <c r="G136" i="3"/>
  <c r="F136" i="3"/>
  <c r="E136" i="3"/>
  <c r="R135" i="3"/>
  <c r="Q135" i="3"/>
  <c r="H135" i="3"/>
  <c r="G135" i="3"/>
  <c r="F135" i="3"/>
  <c r="E135" i="3"/>
  <c r="R134" i="3"/>
  <c r="Q134" i="3"/>
  <c r="H134" i="3"/>
  <c r="G134" i="3"/>
  <c r="F134" i="3"/>
  <c r="E134" i="3"/>
  <c r="R133" i="3"/>
  <c r="Q133" i="3"/>
  <c r="H133" i="3"/>
  <c r="G133" i="3"/>
  <c r="F133" i="3"/>
  <c r="E133" i="3"/>
  <c r="R132" i="3"/>
  <c r="Q132" i="3"/>
  <c r="H132" i="3"/>
  <c r="G132" i="3"/>
  <c r="F132" i="3"/>
  <c r="E132" i="3"/>
  <c r="R131" i="3"/>
  <c r="Q131" i="3"/>
  <c r="H131" i="3"/>
  <c r="G131" i="3"/>
  <c r="F131" i="3"/>
  <c r="E131" i="3"/>
  <c r="R130" i="3"/>
  <c r="Q130" i="3"/>
  <c r="H130" i="3"/>
  <c r="G130" i="3"/>
  <c r="F130" i="3"/>
  <c r="E130" i="3"/>
  <c r="R129" i="3"/>
  <c r="Q129" i="3"/>
  <c r="H129" i="3"/>
  <c r="G129" i="3"/>
  <c r="F129" i="3"/>
  <c r="E129" i="3"/>
  <c r="R128" i="3"/>
  <c r="Q128" i="3"/>
  <c r="H128" i="3"/>
  <c r="G128" i="3"/>
  <c r="F128" i="3"/>
  <c r="E128" i="3"/>
  <c r="R127" i="3"/>
  <c r="Q127" i="3"/>
  <c r="H127" i="3"/>
  <c r="G127" i="3"/>
  <c r="F127" i="3"/>
  <c r="E127" i="3"/>
  <c r="R126" i="3"/>
  <c r="Q126" i="3"/>
  <c r="H126" i="3"/>
  <c r="G126" i="3"/>
  <c r="F126" i="3"/>
  <c r="E126" i="3"/>
  <c r="R125" i="3"/>
  <c r="Q125" i="3"/>
  <c r="H125" i="3"/>
  <c r="G125" i="3"/>
  <c r="F125" i="3"/>
  <c r="E125" i="3"/>
  <c r="R124" i="3"/>
  <c r="Q124" i="3"/>
  <c r="H124" i="3"/>
  <c r="G124" i="3"/>
  <c r="F124" i="3"/>
  <c r="E124" i="3"/>
  <c r="R123" i="3"/>
  <c r="Q123" i="3"/>
  <c r="H123" i="3"/>
  <c r="G123" i="3"/>
  <c r="F123" i="3"/>
  <c r="E123" i="3"/>
  <c r="R122" i="3"/>
  <c r="Q122" i="3"/>
  <c r="H122" i="3"/>
  <c r="G122" i="3"/>
  <c r="F122" i="3"/>
  <c r="E122" i="3"/>
  <c r="R121" i="3"/>
  <c r="Q121" i="3"/>
  <c r="H121" i="3"/>
  <c r="G121" i="3"/>
  <c r="F121" i="3"/>
  <c r="E121" i="3"/>
  <c r="R120" i="3"/>
  <c r="Q120" i="3"/>
  <c r="H120" i="3"/>
  <c r="G120" i="3"/>
  <c r="F120" i="3"/>
  <c r="E120" i="3"/>
  <c r="R119" i="3"/>
  <c r="Q119" i="3"/>
  <c r="H119" i="3"/>
  <c r="G119" i="3"/>
  <c r="F119" i="3"/>
  <c r="E119" i="3"/>
  <c r="R118" i="3"/>
  <c r="Q118" i="3"/>
  <c r="H118" i="3"/>
  <c r="G118" i="3"/>
  <c r="F118" i="3"/>
  <c r="E118" i="3"/>
  <c r="R117" i="3"/>
  <c r="Q117" i="3"/>
  <c r="H117" i="3"/>
  <c r="G117" i="3"/>
  <c r="F117" i="3"/>
  <c r="E117" i="3"/>
  <c r="R116" i="3"/>
  <c r="Q116" i="3"/>
  <c r="H116" i="3"/>
  <c r="G116" i="3"/>
  <c r="F116" i="3"/>
  <c r="E116" i="3"/>
  <c r="R115" i="3"/>
  <c r="Q115" i="3"/>
  <c r="H115" i="3"/>
  <c r="G115" i="3"/>
  <c r="F115" i="3"/>
  <c r="E115" i="3"/>
  <c r="R114" i="3"/>
  <c r="Q114" i="3"/>
  <c r="H114" i="3"/>
  <c r="G114" i="3"/>
  <c r="F114" i="3"/>
  <c r="E114" i="3"/>
  <c r="R113" i="3"/>
  <c r="Q113" i="3"/>
  <c r="H113" i="3"/>
  <c r="G113" i="3"/>
  <c r="F113" i="3"/>
  <c r="E113" i="3"/>
  <c r="R112" i="3"/>
  <c r="Q112" i="3"/>
  <c r="H112" i="3"/>
  <c r="G112" i="3"/>
  <c r="F112" i="3"/>
  <c r="E112" i="3"/>
  <c r="R111" i="3"/>
  <c r="Q111" i="3"/>
  <c r="H111" i="3"/>
  <c r="G111" i="3"/>
  <c r="F111" i="3"/>
  <c r="E111" i="3"/>
  <c r="R110" i="3"/>
  <c r="Q110" i="3"/>
  <c r="H110" i="3"/>
  <c r="G110" i="3"/>
  <c r="F110" i="3"/>
  <c r="E110" i="3"/>
  <c r="R109" i="3"/>
  <c r="Q109" i="3"/>
  <c r="H109" i="3"/>
  <c r="G109" i="3"/>
  <c r="F109" i="3"/>
  <c r="E109" i="3"/>
  <c r="R108" i="3"/>
  <c r="Q108" i="3"/>
  <c r="H108" i="3"/>
  <c r="G108" i="3"/>
  <c r="F108" i="3"/>
  <c r="E108" i="3"/>
  <c r="R107" i="3"/>
  <c r="Q107" i="3"/>
  <c r="H107" i="3"/>
  <c r="G107" i="3"/>
  <c r="F107" i="3"/>
  <c r="E107" i="3"/>
  <c r="R106" i="3"/>
  <c r="Q106" i="3"/>
  <c r="H106" i="3"/>
  <c r="G106" i="3"/>
  <c r="F106" i="3"/>
  <c r="E106" i="3"/>
  <c r="R105" i="3"/>
  <c r="Q105" i="3"/>
  <c r="H105" i="3"/>
  <c r="G105" i="3"/>
  <c r="F105" i="3"/>
  <c r="E105" i="3"/>
  <c r="R104" i="3"/>
  <c r="Q104" i="3"/>
  <c r="H104" i="3"/>
  <c r="G104" i="3"/>
  <c r="F104" i="3"/>
  <c r="E104" i="3"/>
  <c r="R103" i="3"/>
  <c r="Q103" i="3"/>
  <c r="H103" i="3"/>
  <c r="G103" i="3"/>
  <c r="F103" i="3"/>
  <c r="E103" i="3"/>
  <c r="R102" i="3"/>
  <c r="Q102" i="3"/>
  <c r="H102" i="3"/>
  <c r="G102" i="3"/>
  <c r="F102" i="3"/>
  <c r="E102" i="3"/>
  <c r="R101" i="3"/>
  <c r="Q101" i="3"/>
  <c r="H101" i="3"/>
  <c r="G101" i="3"/>
  <c r="F101" i="3"/>
  <c r="E101" i="3"/>
  <c r="R100" i="3"/>
  <c r="Q100" i="3"/>
  <c r="H100" i="3"/>
  <c r="G100" i="3"/>
  <c r="F100" i="3"/>
  <c r="E100" i="3"/>
  <c r="R99" i="3"/>
  <c r="Q99" i="3"/>
  <c r="H99" i="3"/>
  <c r="G99" i="3"/>
  <c r="F99" i="3"/>
  <c r="E99" i="3"/>
  <c r="R98" i="3"/>
  <c r="Q98" i="3"/>
  <c r="H98" i="3"/>
  <c r="G98" i="3"/>
  <c r="F98" i="3"/>
  <c r="E98" i="3"/>
  <c r="R97" i="3"/>
  <c r="Q97" i="3"/>
  <c r="H97" i="3"/>
  <c r="G97" i="3"/>
  <c r="F97" i="3"/>
  <c r="E97" i="3"/>
  <c r="R96" i="3"/>
  <c r="Q96" i="3"/>
  <c r="H96" i="3"/>
  <c r="G96" i="3"/>
  <c r="F96" i="3"/>
  <c r="E96" i="3"/>
  <c r="R95" i="3"/>
  <c r="Q95" i="3"/>
  <c r="H95" i="3"/>
  <c r="G95" i="3"/>
  <c r="F95" i="3"/>
  <c r="E95" i="3"/>
  <c r="R94" i="3"/>
  <c r="Q94" i="3"/>
  <c r="H94" i="3"/>
  <c r="G94" i="3"/>
  <c r="F94" i="3"/>
  <c r="E94" i="3"/>
  <c r="R93" i="3"/>
  <c r="Q93" i="3"/>
  <c r="H93" i="3"/>
  <c r="G93" i="3"/>
  <c r="F93" i="3"/>
  <c r="E93" i="3"/>
  <c r="R92" i="3"/>
  <c r="Q92" i="3"/>
  <c r="H92" i="3"/>
  <c r="G92" i="3"/>
  <c r="F92" i="3"/>
  <c r="E92" i="3"/>
  <c r="R91" i="3"/>
  <c r="Q91" i="3"/>
  <c r="H91" i="3"/>
  <c r="G91" i="3"/>
  <c r="F91" i="3"/>
  <c r="E91" i="3"/>
  <c r="R90" i="3"/>
  <c r="Q90" i="3"/>
  <c r="H90" i="3"/>
  <c r="G90" i="3"/>
  <c r="F90" i="3"/>
  <c r="E90" i="3"/>
  <c r="R89" i="3"/>
  <c r="Q89" i="3"/>
  <c r="H89" i="3"/>
  <c r="G89" i="3"/>
  <c r="F89" i="3"/>
  <c r="E89" i="3"/>
  <c r="R88" i="3"/>
  <c r="Q88" i="3"/>
  <c r="F88" i="3"/>
  <c r="E88" i="3"/>
  <c r="R87" i="3"/>
  <c r="Q87" i="3"/>
  <c r="F87" i="3"/>
  <c r="E87" i="3"/>
  <c r="R86" i="3"/>
  <c r="Q86" i="3"/>
  <c r="F86" i="3"/>
  <c r="E86" i="3"/>
  <c r="R85" i="3"/>
  <c r="Q85" i="3"/>
  <c r="H85" i="3"/>
  <c r="G85" i="3"/>
  <c r="F85" i="3"/>
  <c r="E85" i="3"/>
  <c r="R84" i="3"/>
  <c r="Q84" i="3"/>
  <c r="F84" i="3"/>
  <c r="E84" i="3"/>
  <c r="R83" i="3"/>
  <c r="Q83" i="3"/>
  <c r="F83" i="3"/>
  <c r="E83" i="3"/>
  <c r="R82" i="3"/>
  <c r="Q82" i="3"/>
  <c r="H82" i="3"/>
  <c r="G82" i="3"/>
  <c r="F82" i="3"/>
  <c r="E82" i="3"/>
  <c r="R81" i="3"/>
  <c r="Q81" i="3"/>
  <c r="H81" i="3"/>
  <c r="G81" i="3"/>
  <c r="F81" i="3"/>
  <c r="E81" i="3"/>
  <c r="R80" i="3"/>
  <c r="Q80" i="3"/>
  <c r="H80" i="3"/>
  <c r="G80" i="3"/>
  <c r="F80" i="3"/>
  <c r="E80" i="3"/>
  <c r="R79" i="3"/>
  <c r="Q79" i="3"/>
  <c r="H79" i="3"/>
  <c r="G79" i="3"/>
  <c r="F79" i="3"/>
  <c r="E79" i="3"/>
  <c r="R78" i="3"/>
  <c r="Q78" i="3"/>
  <c r="H78" i="3"/>
  <c r="G78" i="3"/>
  <c r="F78" i="3"/>
  <c r="E78" i="3"/>
  <c r="R77" i="3"/>
  <c r="Q77" i="3"/>
  <c r="H77" i="3"/>
  <c r="G77" i="3"/>
  <c r="F77" i="3"/>
  <c r="E77" i="3"/>
  <c r="R76" i="3"/>
  <c r="Q76" i="3"/>
  <c r="H76" i="3"/>
  <c r="G76" i="3"/>
  <c r="F76" i="3"/>
  <c r="E76" i="3"/>
  <c r="R75" i="3"/>
  <c r="Q75" i="3"/>
  <c r="H75" i="3"/>
  <c r="G75" i="3"/>
  <c r="F75" i="3"/>
  <c r="E75" i="3"/>
  <c r="R74" i="3"/>
  <c r="Q74" i="3"/>
  <c r="H74" i="3"/>
  <c r="G74" i="3"/>
  <c r="F74" i="3"/>
  <c r="E74" i="3"/>
  <c r="R73" i="3"/>
  <c r="Q73" i="3"/>
  <c r="H73" i="3"/>
  <c r="G73" i="3"/>
  <c r="F73" i="3"/>
  <c r="E73" i="3"/>
  <c r="R72" i="3"/>
  <c r="Q72" i="3"/>
  <c r="H72" i="3"/>
  <c r="G72" i="3"/>
  <c r="F72" i="3"/>
  <c r="E72" i="3"/>
  <c r="R71" i="3"/>
  <c r="Q71" i="3"/>
  <c r="H71" i="3"/>
  <c r="G71" i="3"/>
  <c r="F71" i="3"/>
  <c r="E71" i="3"/>
  <c r="R70" i="3"/>
  <c r="Q70" i="3"/>
  <c r="H70" i="3"/>
  <c r="G70" i="3"/>
  <c r="F70" i="3"/>
  <c r="E70" i="3"/>
  <c r="R69" i="3"/>
  <c r="Q69" i="3"/>
  <c r="F69" i="3"/>
  <c r="E69" i="3"/>
  <c r="R68" i="3"/>
  <c r="Q68" i="3"/>
  <c r="F68" i="3"/>
  <c r="E68" i="3"/>
  <c r="R67" i="3"/>
  <c r="Q67" i="3"/>
  <c r="H67" i="3"/>
  <c r="G67" i="3"/>
  <c r="F67" i="3"/>
  <c r="E67" i="3"/>
  <c r="R66" i="3"/>
  <c r="Q66" i="3"/>
  <c r="H66" i="3"/>
  <c r="G66" i="3"/>
  <c r="F66" i="3"/>
  <c r="E66" i="3"/>
  <c r="R65" i="3"/>
  <c r="Q65" i="3"/>
  <c r="H65" i="3"/>
  <c r="G65" i="3"/>
  <c r="F65" i="3"/>
  <c r="E65" i="3"/>
  <c r="R64" i="3"/>
  <c r="Q64" i="3"/>
  <c r="H64" i="3"/>
  <c r="G64" i="3"/>
  <c r="F64" i="3"/>
  <c r="E64" i="3"/>
  <c r="R63" i="3"/>
  <c r="Q63" i="3"/>
  <c r="H63" i="3"/>
  <c r="G63" i="3"/>
  <c r="F63" i="3"/>
  <c r="E63" i="3"/>
  <c r="R62" i="3"/>
  <c r="Q62" i="3"/>
  <c r="F62" i="3"/>
  <c r="E62" i="3"/>
  <c r="R61" i="3"/>
  <c r="Q61" i="3"/>
  <c r="H61" i="3"/>
  <c r="G61" i="3"/>
  <c r="F61" i="3"/>
  <c r="E61" i="3"/>
  <c r="R60" i="3"/>
  <c r="Q60" i="3"/>
  <c r="H60" i="3"/>
  <c r="G60" i="3"/>
  <c r="F60" i="3"/>
  <c r="E60" i="3"/>
  <c r="R59" i="3"/>
  <c r="Q59" i="3"/>
  <c r="H59" i="3"/>
  <c r="G59" i="3"/>
  <c r="F59" i="3"/>
  <c r="E59" i="3"/>
  <c r="R58" i="3"/>
  <c r="Q58" i="3"/>
  <c r="H58" i="3"/>
  <c r="G58" i="3"/>
  <c r="F58" i="3"/>
  <c r="E58" i="3"/>
  <c r="R57" i="3"/>
  <c r="Q57" i="3"/>
  <c r="H57" i="3"/>
  <c r="G57" i="3"/>
  <c r="F57" i="3"/>
  <c r="E57" i="3"/>
  <c r="R56" i="3"/>
  <c r="Q56" i="3"/>
  <c r="F56" i="3"/>
  <c r="E56" i="3"/>
  <c r="R55" i="3"/>
  <c r="Q55" i="3"/>
  <c r="H55" i="3"/>
  <c r="G55" i="3"/>
  <c r="F55" i="3"/>
  <c r="E55" i="3"/>
  <c r="R54" i="3"/>
  <c r="Q54" i="3"/>
  <c r="H54" i="3"/>
  <c r="G54" i="3"/>
  <c r="F54" i="3"/>
  <c r="E54" i="3"/>
  <c r="R53" i="3"/>
  <c r="Q53" i="3"/>
  <c r="H53" i="3"/>
  <c r="G53" i="3"/>
  <c r="F53" i="3"/>
  <c r="E53" i="3"/>
  <c r="R52" i="3"/>
  <c r="Q52" i="3"/>
  <c r="H52" i="3"/>
  <c r="G52" i="3"/>
  <c r="F52" i="3"/>
  <c r="E52" i="3"/>
  <c r="R51" i="3"/>
  <c r="Q51" i="3"/>
  <c r="H51" i="3"/>
  <c r="G51" i="3"/>
  <c r="F51" i="3"/>
  <c r="E51" i="3"/>
  <c r="R50" i="3"/>
  <c r="Q50" i="3"/>
  <c r="H50" i="3"/>
  <c r="G50" i="3"/>
  <c r="F50" i="3"/>
  <c r="E50" i="3"/>
  <c r="R49" i="3"/>
  <c r="Q49" i="3"/>
  <c r="H49" i="3"/>
  <c r="G49" i="3"/>
  <c r="F49" i="3"/>
  <c r="E49" i="3"/>
  <c r="R48" i="3"/>
  <c r="Q48" i="3"/>
  <c r="H48" i="3"/>
  <c r="G48" i="3"/>
  <c r="F48" i="3"/>
  <c r="E48" i="3"/>
  <c r="R47" i="3"/>
  <c r="Q47" i="3"/>
  <c r="H47" i="3"/>
  <c r="G47" i="3"/>
  <c r="F47" i="3"/>
  <c r="E47" i="3"/>
  <c r="R46" i="3"/>
  <c r="Q46" i="3"/>
  <c r="H46" i="3"/>
  <c r="G46" i="3"/>
  <c r="F46" i="3"/>
  <c r="E46" i="3"/>
  <c r="R45" i="3"/>
  <c r="Q45" i="3"/>
  <c r="H45" i="3"/>
  <c r="G45" i="3"/>
  <c r="F45" i="3"/>
  <c r="E45" i="3"/>
  <c r="R44" i="3"/>
  <c r="Q44" i="3"/>
  <c r="H44" i="3"/>
  <c r="G44" i="3"/>
  <c r="F44" i="3"/>
  <c r="E44" i="3"/>
  <c r="R43" i="3"/>
  <c r="Q43" i="3"/>
  <c r="H43" i="3"/>
  <c r="G43" i="3"/>
  <c r="F43" i="3"/>
  <c r="E43" i="3"/>
  <c r="R42" i="3"/>
  <c r="Q42" i="3"/>
  <c r="H42" i="3"/>
  <c r="G42" i="3"/>
  <c r="F42" i="3"/>
  <c r="E42" i="3"/>
  <c r="R41" i="3"/>
  <c r="Q41" i="3"/>
  <c r="H41" i="3"/>
  <c r="G41" i="3"/>
  <c r="F41" i="3"/>
  <c r="E41" i="3"/>
  <c r="R40" i="3"/>
  <c r="Q40" i="3"/>
  <c r="F40" i="3"/>
  <c r="E40" i="3"/>
  <c r="R39" i="3"/>
  <c r="Q39" i="3"/>
  <c r="H39" i="3"/>
  <c r="G39" i="3"/>
  <c r="F39" i="3"/>
  <c r="E39" i="3"/>
  <c r="R38" i="3"/>
  <c r="Q38" i="3"/>
  <c r="H38" i="3"/>
  <c r="G38" i="3"/>
  <c r="F38" i="3"/>
  <c r="E38" i="3"/>
  <c r="R37" i="3"/>
  <c r="Q37" i="3"/>
  <c r="H37" i="3"/>
  <c r="G37" i="3"/>
  <c r="F37" i="3"/>
  <c r="E37" i="3"/>
  <c r="R36" i="3"/>
  <c r="Q36" i="3"/>
  <c r="H36" i="3"/>
  <c r="G36" i="3"/>
  <c r="F36" i="3"/>
  <c r="E36" i="3"/>
  <c r="R35" i="3"/>
  <c r="Q35" i="3"/>
  <c r="H35" i="3"/>
  <c r="G35" i="3"/>
  <c r="F35" i="3"/>
  <c r="E35" i="3"/>
  <c r="R34" i="3"/>
  <c r="Q34" i="3"/>
  <c r="H34" i="3"/>
  <c r="G34" i="3"/>
  <c r="F34" i="3"/>
  <c r="E34" i="3"/>
  <c r="R33" i="3"/>
  <c r="Q33" i="3"/>
  <c r="H33" i="3"/>
  <c r="G33" i="3"/>
  <c r="F33" i="3"/>
  <c r="E33" i="3"/>
  <c r="R32" i="3"/>
  <c r="Q32" i="3"/>
  <c r="H32" i="3"/>
  <c r="G32" i="3"/>
  <c r="F32" i="3"/>
  <c r="E32" i="3"/>
  <c r="R31" i="3"/>
  <c r="Q31" i="3"/>
  <c r="H31" i="3"/>
  <c r="G31" i="3"/>
  <c r="F31" i="3"/>
  <c r="E31" i="3"/>
  <c r="R30" i="3"/>
  <c r="Q30" i="3"/>
  <c r="H30" i="3"/>
  <c r="G30" i="3"/>
  <c r="F30" i="3"/>
  <c r="E30" i="3"/>
  <c r="R29" i="3"/>
  <c r="Q29" i="3"/>
  <c r="H29" i="3"/>
  <c r="G29" i="3"/>
  <c r="F29" i="3"/>
  <c r="E29" i="3"/>
  <c r="R28" i="3"/>
  <c r="Q28" i="3"/>
  <c r="H28" i="3"/>
  <c r="G28" i="3"/>
  <c r="F28" i="3"/>
  <c r="E28" i="3"/>
  <c r="R27" i="3"/>
  <c r="Q27" i="3"/>
  <c r="H27" i="3"/>
  <c r="G27" i="3"/>
  <c r="F27" i="3"/>
  <c r="E27" i="3"/>
  <c r="R26" i="3"/>
  <c r="Q26" i="3"/>
  <c r="H26" i="3"/>
  <c r="G26" i="3"/>
  <c r="F26" i="3"/>
  <c r="E26" i="3"/>
  <c r="R25" i="3"/>
  <c r="Q25" i="3"/>
  <c r="H25" i="3"/>
  <c r="G25" i="3"/>
  <c r="F25" i="3"/>
  <c r="E25" i="3"/>
  <c r="R24" i="3"/>
  <c r="Q24" i="3"/>
  <c r="H24" i="3"/>
  <c r="G24" i="3"/>
  <c r="F24" i="3"/>
  <c r="E24" i="3"/>
  <c r="R23" i="3"/>
  <c r="Q23" i="3"/>
  <c r="H23" i="3"/>
  <c r="G23" i="3"/>
  <c r="F23" i="3"/>
  <c r="E23" i="3"/>
  <c r="R22" i="3"/>
  <c r="Q22" i="3"/>
  <c r="H22" i="3"/>
  <c r="G22" i="3"/>
  <c r="F22" i="3"/>
  <c r="E22" i="3"/>
  <c r="R21" i="3"/>
  <c r="Q21" i="3"/>
  <c r="H21" i="3"/>
  <c r="G21" i="3"/>
  <c r="F21" i="3"/>
  <c r="E21" i="3"/>
  <c r="R20" i="3"/>
  <c r="Q20" i="3"/>
  <c r="H20" i="3"/>
  <c r="G20" i="3"/>
  <c r="F20" i="3"/>
  <c r="E20" i="3"/>
  <c r="R19" i="3"/>
  <c r="Q19" i="3"/>
  <c r="H19" i="3"/>
  <c r="G19" i="3"/>
  <c r="F19" i="3"/>
  <c r="E19" i="3"/>
  <c r="R18" i="3"/>
  <c r="Q18" i="3"/>
  <c r="H18" i="3"/>
  <c r="G18" i="3"/>
  <c r="F18" i="3"/>
  <c r="E18" i="3"/>
  <c r="R17" i="3"/>
  <c r="Q17" i="3"/>
  <c r="H17" i="3"/>
  <c r="G17" i="3"/>
  <c r="F17" i="3"/>
  <c r="E17" i="3"/>
  <c r="R16" i="3"/>
  <c r="Q16" i="3"/>
  <c r="H16" i="3"/>
  <c r="G16" i="3"/>
  <c r="F16" i="3"/>
  <c r="E16" i="3"/>
  <c r="R15" i="3"/>
  <c r="Q15" i="3"/>
  <c r="H15" i="3"/>
  <c r="G15" i="3"/>
  <c r="F15" i="3"/>
  <c r="E15" i="3"/>
  <c r="R14" i="3"/>
  <c r="Q14" i="3"/>
  <c r="H14" i="3"/>
  <c r="G14" i="3"/>
  <c r="F14" i="3"/>
  <c r="E14" i="3"/>
  <c r="R13" i="3"/>
  <c r="Q13" i="3"/>
  <c r="H13" i="3"/>
  <c r="G13" i="3"/>
  <c r="F13" i="3"/>
  <c r="E13" i="3"/>
  <c r="R12" i="3"/>
  <c r="Q12" i="3"/>
  <c r="H12" i="3"/>
  <c r="G12" i="3"/>
  <c r="F12" i="3"/>
  <c r="E12" i="3"/>
  <c r="R11" i="3"/>
  <c r="Q11" i="3"/>
  <c r="F11" i="3"/>
  <c r="E11" i="3"/>
  <c r="R10" i="3"/>
  <c r="Q10" i="3"/>
  <c r="F10" i="3"/>
  <c r="E10" i="3"/>
  <c r="R9" i="3"/>
  <c r="Q9" i="3"/>
  <c r="H9" i="3"/>
  <c r="G9" i="3"/>
  <c r="F9" i="3"/>
  <c r="E9" i="3"/>
  <c r="L24" i="2"/>
  <c r="L23" i="2"/>
  <c r="L22" i="2"/>
  <c r="L21" i="2"/>
  <c r="L20" i="2"/>
  <c r="L19" i="2"/>
  <c r="L18" i="2"/>
  <c r="AB25" i="6" l="1"/>
  <c r="AH25" i="6" s="1"/>
  <c r="AD25" i="6"/>
  <c r="D19" i="7"/>
  <c r="D19" i="15"/>
  <c r="D18" i="21"/>
  <c r="D21" i="15"/>
  <c r="D20" i="21"/>
  <c r="AM27" i="6"/>
  <c r="M23" i="4"/>
  <c r="A43" i="21"/>
  <c r="D27" i="7"/>
  <c r="AD16" i="6"/>
  <c r="AI16" i="6" s="1"/>
  <c r="L18" i="4" s="1"/>
  <c r="A51" i="18"/>
  <c r="AD27" i="6"/>
  <c r="AI27" i="6" s="1"/>
  <c r="AF27" i="6"/>
  <c r="D18" i="15"/>
  <c r="D18" i="20"/>
  <c r="D21" i="25"/>
  <c r="D15" i="15"/>
  <c r="A43" i="18"/>
  <c r="D20" i="15"/>
  <c r="A51" i="23"/>
  <c r="AF20" i="6"/>
  <c r="K20" i="5" s="1"/>
  <c r="AD23" i="6"/>
  <c r="J23" i="5" s="1"/>
  <c r="A43" i="15"/>
  <c r="D19" i="20"/>
  <c r="D21" i="7"/>
  <c r="A10" i="2"/>
  <c r="D19" i="25"/>
  <c r="D29" i="7"/>
  <c r="AD30" i="6"/>
  <c r="S39" i="7" s="1"/>
  <c r="J21" i="25"/>
  <c r="D15" i="18"/>
  <c r="A43" i="25"/>
  <c r="AA20" i="1"/>
  <c r="L20" i="1" s="1"/>
  <c r="J21" i="18"/>
  <c r="A51" i="21"/>
  <c r="A51" i="25"/>
  <c r="B20" i="5"/>
  <c r="AG20" i="6"/>
  <c r="AD22" i="6"/>
  <c r="AI22" i="6" s="1"/>
  <c r="D23" i="7"/>
  <c r="D24" i="7"/>
  <c r="D36" i="7"/>
  <c r="B14" i="27"/>
  <c r="AA132" i="1"/>
  <c r="U132" i="1" s="1"/>
  <c r="AH23" i="6"/>
  <c r="D28" i="7"/>
  <c r="AF24" i="6"/>
  <c r="AJ24" i="6" s="1"/>
  <c r="D37" i="7"/>
  <c r="D15" i="21"/>
  <c r="AD10" i="6"/>
  <c r="J10" i="5" s="1"/>
  <c r="AD12" i="6"/>
  <c r="J12" i="5" s="1"/>
  <c r="AA1169" i="8"/>
  <c r="A1172" i="8" s="1"/>
  <c r="D18" i="18"/>
  <c r="D19" i="21"/>
  <c r="D20" i="25"/>
  <c r="AA208" i="1"/>
  <c r="U208" i="1" s="1"/>
  <c r="AF13" i="6"/>
  <c r="B10" i="5"/>
  <c r="AD18" i="6"/>
  <c r="S27" i="7" s="1"/>
  <c r="AG27" i="6"/>
  <c r="AD28" i="6"/>
  <c r="S37" i="7" s="1"/>
  <c r="AH16" i="6"/>
  <c r="AF21" i="6"/>
  <c r="U30" i="7" s="1"/>
  <c r="J21" i="15"/>
  <c r="D15" i="36"/>
  <c r="P29" i="7"/>
  <c r="AH20" i="6"/>
  <c r="A10" i="24" s="1"/>
  <c r="AA28" i="1"/>
  <c r="U28" i="1" s="1"/>
  <c r="AA198" i="1"/>
  <c r="O198" i="1" s="1"/>
  <c r="AF10" i="6"/>
  <c r="AJ10" i="6" s="1"/>
  <c r="AF28" i="6"/>
  <c r="J21" i="16"/>
  <c r="J21" i="23"/>
  <c r="C18" i="5"/>
  <c r="B27" i="5"/>
  <c r="AG10" i="6"/>
  <c r="AB12" i="6"/>
  <c r="P21" i="7" s="1"/>
  <c r="AH27" i="6"/>
  <c r="AB28" i="6"/>
  <c r="P37" i="7" s="1"/>
  <c r="D39" i="7"/>
  <c r="A43" i="16"/>
  <c r="A24" i="23"/>
  <c r="AA65" i="16"/>
  <c r="S65" i="16" s="1"/>
  <c r="AF16" i="6"/>
  <c r="K16" i="5" s="1"/>
  <c r="AD21" i="6"/>
  <c r="S30" i="7" s="1"/>
  <c r="AB13" i="6"/>
  <c r="AH13" i="6" s="1"/>
  <c r="A10" i="20" s="1"/>
  <c r="D15" i="17"/>
  <c r="AD13" i="6"/>
  <c r="AI13" i="6" s="1"/>
  <c r="L13" i="4" s="1"/>
  <c r="AB26" i="6"/>
  <c r="D19" i="17"/>
  <c r="D20" i="19"/>
  <c r="D15" i="24"/>
  <c r="AA72" i="1"/>
  <c r="U72" i="1" s="1"/>
  <c r="AD9" i="6"/>
  <c r="AI9" i="6" s="1"/>
  <c r="L9" i="4" s="1"/>
  <c r="AB18" i="6"/>
  <c r="AH18" i="6" s="1"/>
  <c r="AM20" i="6"/>
  <c r="AD26" i="6"/>
  <c r="AI26" i="6" s="1"/>
  <c r="H10" i="23" s="1"/>
  <c r="J21" i="19"/>
  <c r="D19" i="24"/>
  <c r="D20" i="24"/>
  <c r="D18" i="36"/>
  <c r="AF9" i="6"/>
  <c r="AF26" i="6"/>
  <c r="K26" i="5" s="1"/>
  <c r="AM28" i="6"/>
  <c r="A51" i="15"/>
  <c r="D21" i="24"/>
  <c r="D19" i="36"/>
  <c r="AB14" i="6"/>
  <c r="AM21" i="6"/>
  <c r="A24" i="24"/>
  <c r="D20" i="36"/>
  <c r="AH9" i="6"/>
  <c r="A10" i="19" s="1"/>
  <c r="AD14" i="6"/>
  <c r="S23" i="7" s="1"/>
  <c r="AD19" i="6"/>
  <c r="S28" i="7" s="1"/>
  <c r="D30" i="7"/>
  <c r="AF30" i="6"/>
  <c r="AJ30" i="6" s="1"/>
  <c r="E15" i="9"/>
  <c r="J21" i="36"/>
  <c r="AA142" i="1"/>
  <c r="C142" i="1" s="1"/>
  <c r="AA76" i="1"/>
  <c r="O76" i="1" s="1"/>
  <c r="B19" i="5"/>
  <c r="D22" i="7"/>
  <c r="D32" i="7"/>
  <c r="E17" i="9"/>
  <c r="D15" i="16"/>
  <c r="D19" i="18"/>
  <c r="D21" i="20"/>
  <c r="D15" i="23"/>
  <c r="A24" i="36"/>
  <c r="AF14" i="6"/>
  <c r="K14" i="5" s="1"/>
  <c r="D25" i="7"/>
  <c r="AM22" i="6"/>
  <c r="D35" i="7"/>
  <c r="AH30" i="6"/>
  <c r="D19" i="16"/>
  <c r="D20" i="18"/>
  <c r="D18" i="23"/>
  <c r="A43" i="36"/>
  <c r="D18" i="7"/>
  <c r="D20" i="7"/>
  <c r="AD20" i="6"/>
  <c r="J20" i="5" s="1"/>
  <c r="D34" i="7"/>
  <c r="D21" i="18"/>
  <c r="D20" i="23"/>
  <c r="A51" i="36"/>
  <c r="AA40" i="1"/>
  <c r="AA62" i="1"/>
  <c r="AA90" i="1"/>
  <c r="AA228" i="1"/>
  <c r="AA186" i="1"/>
  <c r="AA127" i="1"/>
  <c r="AA54" i="1"/>
  <c r="AA32" i="1"/>
  <c r="AA240" i="1"/>
  <c r="AA158" i="1"/>
  <c r="AA254" i="1"/>
  <c r="AA37" i="1"/>
  <c r="AA100" i="1"/>
  <c r="AA114" i="1"/>
  <c r="AA138" i="1"/>
  <c r="AA153" i="1"/>
  <c r="AA209" i="1"/>
  <c r="AA214" i="1"/>
  <c r="AA234" i="1"/>
  <c r="AA21" i="1"/>
  <c r="AA41" i="1"/>
  <c r="AA68" i="1"/>
  <c r="AA82" i="1"/>
  <c r="AA87" i="1"/>
  <c r="AA96" i="1"/>
  <c r="AA143" i="1"/>
  <c r="AA174" i="1"/>
  <c r="AA184" i="1"/>
  <c r="AA194" i="1"/>
  <c r="AA199" i="1"/>
  <c r="L16" i="4"/>
  <c r="M16" i="4"/>
  <c r="B14" i="5"/>
  <c r="AN27" i="6"/>
  <c r="AJ27" i="6"/>
  <c r="K27" i="5"/>
  <c r="U36" i="7"/>
  <c r="AA34" i="1"/>
  <c r="AA74" i="1"/>
  <c r="AA88" i="1"/>
  <c r="AA93" i="1"/>
  <c r="AA102" i="1"/>
  <c r="AA135" i="1"/>
  <c r="AA145" i="1"/>
  <c r="AA241" i="1"/>
  <c r="AA724" i="8"/>
  <c r="AA1397" i="8"/>
  <c r="AA476" i="8"/>
  <c r="AA800" i="8"/>
  <c r="AA286" i="8"/>
  <c r="AA143" i="8"/>
  <c r="AA173" i="1"/>
  <c r="AA18" i="1"/>
  <c r="AA251" i="1"/>
  <c r="AA75" i="1"/>
  <c r="AA262" i="1"/>
  <c r="AA23" i="1"/>
  <c r="AA61" i="1"/>
  <c r="AA257" i="1"/>
  <c r="AA171" i="1"/>
  <c r="AA237" i="1"/>
  <c r="AA66" i="1"/>
  <c r="AA117" i="1"/>
  <c r="AA187" i="1"/>
  <c r="AA227" i="1"/>
  <c r="B26" i="5"/>
  <c r="AA168" i="1"/>
  <c r="AA111" i="1"/>
  <c r="AA26" i="1"/>
  <c r="AA47" i="1"/>
  <c r="AA6" i="36"/>
  <c r="AA6" i="21"/>
  <c r="AA6" i="25"/>
  <c r="AA6" i="24"/>
  <c r="AA6" i="26"/>
  <c r="AA6" i="20"/>
  <c r="AA6" i="23"/>
  <c r="AA6" i="17"/>
  <c r="AA6" i="19"/>
  <c r="AA6" i="22"/>
  <c r="AA6" i="16"/>
  <c r="AA6" i="18"/>
  <c r="AA6" i="15"/>
  <c r="AA83" i="15"/>
  <c r="AA118" i="1"/>
  <c r="AA244" i="1"/>
  <c r="AA69" i="1"/>
  <c r="AA159" i="1"/>
  <c r="AA164" i="1"/>
  <c r="AA200" i="1"/>
  <c r="AA210" i="1"/>
  <c r="AA230" i="1"/>
  <c r="B15" i="27"/>
  <c r="A10" i="1" s="1"/>
  <c r="AA259" i="1"/>
  <c r="AA245" i="1"/>
  <c r="AA231" i="1"/>
  <c r="AA217" i="1"/>
  <c r="AA203" i="1"/>
  <c r="AA189" i="1"/>
  <c r="AA175" i="1"/>
  <c r="AA161" i="1"/>
  <c r="AA147" i="1"/>
  <c r="AA133" i="1"/>
  <c r="AA119" i="1"/>
  <c r="AA105" i="1"/>
  <c r="AA91" i="1"/>
  <c r="AA77" i="1"/>
  <c r="AA63" i="1"/>
  <c r="AA49" i="1"/>
  <c r="AA35" i="1"/>
  <c r="AA263" i="1"/>
  <c r="AA249" i="1"/>
  <c r="AA235" i="1"/>
  <c r="AA221" i="1"/>
  <c r="AA207" i="1"/>
  <c r="AA193" i="1"/>
  <c r="AA179" i="1"/>
  <c r="AA165" i="1"/>
  <c r="AA151" i="1"/>
  <c r="AA137" i="1"/>
  <c r="AA123" i="1"/>
  <c r="AA109" i="1"/>
  <c r="AA95" i="1"/>
  <c r="AA81" i="1"/>
  <c r="AA67" i="1"/>
  <c r="AA53" i="1"/>
  <c r="AA39" i="1"/>
  <c r="AA25" i="1"/>
  <c r="AA260" i="1"/>
  <c r="AA246" i="1"/>
  <c r="AA232" i="1"/>
  <c r="AA218" i="1"/>
  <c r="AA204" i="1"/>
  <c r="AA190" i="1"/>
  <c r="AA176" i="1"/>
  <c r="AA162" i="1"/>
  <c r="AA148" i="1"/>
  <c r="AA134" i="1"/>
  <c r="AA120" i="1"/>
  <c r="AA106" i="1"/>
  <c r="AA92" i="1"/>
  <c r="AA78" i="1"/>
  <c r="AA64" i="1"/>
  <c r="AA50" i="1"/>
  <c r="AA36" i="1"/>
  <c r="AA22" i="1"/>
  <c r="AA267" i="1"/>
  <c r="AA253" i="1"/>
  <c r="AA239" i="1"/>
  <c r="AA225" i="1"/>
  <c r="AA211" i="1"/>
  <c r="AA197" i="1"/>
  <c r="AA183" i="1"/>
  <c r="AA169" i="1"/>
  <c r="AA155" i="1"/>
  <c r="AA141" i="1"/>
  <c r="AA252" i="1"/>
  <c r="AA216" i="1"/>
  <c r="AA206" i="1"/>
  <c r="AA180" i="1"/>
  <c r="AA177" i="1"/>
  <c r="AA154" i="1"/>
  <c r="AA128" i="1"/>
  <c r="AA122" i="1"/>
  <c r="AA51" i="1"/>
  <c r="AA45" i="1"/>
  <c r="AA42" i="1"/>
  <c r="AA30" i="1"/>
  <c r="AA265" i="1"/>
  <c r="AA255" i="1"/>
  <c r="AA229" i="1"/>
  <c r="AA170" i="1"/>
  <c r="AA167" i="1"/>
  <c r="AA157" i="1"/>
  <c r="AA144" i="1"/>
  <c r="AA131" i="1"/>
  <c r="AA125" i="1"/>
  <c r="AA116" i="1"/>
  <c r="AA113" i="1"/>
  <c r="AA110" i="1"/>
  <c r="AA33" i="1"/>
  <c r="AA19" i="1"/>
  <c r="AA258" i="1"/>
  <c r="AA248" i="1"/>
  <c r="AA222" i="1"/>
  <c r="AA219" i="1"/>
  <c r="AA196" i="1"/>
  <c r="AA160" i="1"/>
  <c r="AA150" i="1"/>
  <c r="AA107" i="1"/>
  <c r="AA101" i="1"/>
  <c r="AA98" i="1"/>
  <c r="AA86" i="1"/>
  <c r="AA80" i="1"/>
  <c r="AA27" i="1"/>
  <c r="AA24" i="1"/>
  <c r="AA242" i="1"/>
  <c r="AA104" i="1"/>
  <c r="AA264" i="1"/>
  <c r="AA261" i="1"/>
  <c r="AA238" i="1"/>
  <c r="AA202" i="1"/>
  <c r="AA192" i="1"/>
  <c r="AA166" i="1"/>
  <c r="AA163" i="1"/>
  <c r="AA140" i="1"/>
  <c r="AA65" i="1"/>
  <c r="AA59" i="1"/>
  <c r="AA56" i="1"/>
  <c r="AA44" i="1"/>
  <c r="AA38" i="1"/>
  <c r="AA250" i="1"/>
  <c r="AA247" i="1"/>
  <c r="AA224" i="1"/>
  <c r="AA188" i="1"/>
  <c r="AA178" i="1"/>
  <c r="AA152" i="1"/>
  <c r="AA149" i="1"/>
  <c r="AA79" i="1"/>
  <c r="AA73" i="1"/>
  <c r="AA70" i="1"/>
  <c r="AA58" i="1"/>
  <c r="AA52" i="1"/>
  <c r="AA29" i="1"/>
  <c r="AA46" i="1"/>
  <c r="AA55" i="1"/>
  <c r="AA60" i="1"/>
  <c r="AA115" i="1"/>
  <c r="AA124" i="1"/>
  <c r="AA129" i="1"/>
  <c r="AA139" i="1"/>
  <c r="AA195" i="1"/>
  <c r="AA205" i="1"/>
  <c r="AA215" i="1"/>
  <c r="AA220" i="1"/>
  <c r="AA256" i="1"/>
  <c r="AA266" i="1"/>
  <c r="AA83" i="1"/>
  <c r="AA97" i="1"/>
  <c r="AA185" i="1"/>
  <c r="AA226" i="1"/>
  <c r="AA236" i="1"/>
  <c r="AA84" i="1"/>
  <c r="AA181" i="1"/>
  <c r="AA191" i="1"/>
  <c r="AA201" i="1"/>
  <c r="AA43" i="1"/>
  <c r="AA121" i="1"/>
  <c r="AA130" i="1"/>
  <c r="AA31" i="1"/>
  <c r="AA57" i="1"/>
  <c r="AA89" i="1"/>
  <c r="AA103" i="1"/>
  <c r="AA112" i="1"/>
  <c r="AA126" i="1"/>
  <c r="AA48" i="1"/>
  <c r="AA146" i="1"/>
  <c r="AA156" i="1"/>
  <c r="AA212" i="1"/>
  <c r="AA223" i="1"/>
  <c r="AA233" i="1"/>
  <c r="AA243" i="1"/>
  <c r="AA71" i="1"/>
  <c r="AA85" i="1"/>
  <c r="AA94" i="1"/>
  <c r="AA99" i="1"/>
  <c r="AA108" i="1"/>
  <c r="AA136" i="1"/>
  <c r="AA172" i="1"/>
  <c r="AA182" i="1"/>
  <c r="AA213" i="1"/>
  <c r="H10" i="20"/>
  <c r="AM29" i="6"/>
  <c r="AD29" i="6"/>
  <c r="AB29" i="6"/>
  <c r="AG12" i="6"/>
  <c r="AF12" i="6"/>
  <c r="AH22" i="6"/>
  <c r="P31" i="7"/>
  <c r="AI25" i="6"/>
  <c r="J25" i="5"/>
  <c r="S34" i="7"/>
  <c r="AA409" i="8"/>
  <c r="AF22" i="6"/>
  <c r="B12" i="5"/>
  <c r="AD15" i="6"/>
  <c r="AB15" i="6"/>
  <c r="D26" i="7"/>
  <c r="AF29" i="6"/>
  <c r="U19" i="7"/>
  <c r="AD11" i="6"/>
  <c r="AB11" i="6"/>
  <c r="AM11" i="6"/>
  <c r="U35" i="7"/>
  <c r="AJ26" i="6"/>
  <c r="AA306" i="8"/>
  <c r="AA2396" i="8"/>
  <c r="AA2262" i="8"/>
  <c r="AA2130" i="8"/>
  <c r="AA2300" i="8"/>
  <c r="AA2168" i="8"/>
  <c r="AA2244" i="8"/>
  <c r="AA2054" i="8"/>
  <c r="AA1920" i="8"/>
  <c r="AA1788" i="8"/>
  <c r="AA2224" i="8"/>
  <c r="AA2215" i="8"/>
  <c r="AA2206" i="8"/>
  <c r="AA1958" i="8"/>
  <c r="AA1826" i="8"/>
  <c r="AA2338" i="8"/>
  <c r="AA2072" i="8"/>
  <c r="AA2034" i="8"/>
  <c r="AA1806" i="8"/>
  <c r="AA1625" i="8"/>
  <c r="AA1493" i="8"/>
  <c r="AA2347" i="8"/>
  <c r="AA2081" i="8"/>
  <c r="AA2016" i="8"/>
  <c r="AA2005" i="8"/>
  <c r="AA1996" i="8"/>
  <c r="AA1768" i="8"/>
  <c r="AA1663" i="8"/>
  <c r="AA1531" i="8"/>
  <c r="AA2177" i="8"/>
  <c r="AA1987" i="8"/>
  <c r="AA1759" i="8"/>
  <c r="AA1616" i="8"/>
  <c r="AA1484" i="8"/>
  <c r="AA1350" i="8"/>
  <c r="AA1218" i="8"/>
  <c r="AA1084" i="8"/>
  <c r="AA952" i="8"/>
  <c r="AA2367" i="8"/>
  <c r="AA2271" i="8"/>
  <c r="AA2195" i="8"/>
  <c r="AA2101" i="8"/>
  <c r="AA1967" i="8"/>
  <c r="AA1949" i="8"/>
  <c r="AA1654" i="8"/>
  <c r="AA1522" i="8"/>
  <c r="AA1388" i="8"/>
  <c r="AA1256" i="8"/>
  <c r="AA1122" i="8"/>
  <c r="AA990" i="8"/>
  <c r="AA856" i="8"/>
  <c r="AA1929" i="8"/>
  <c r="AA1891" i="8"/>
  <c r="AA1853" i="8"/>
  <c r="AA1815" i="8"/>
  <c r="AA1598" i="8"/>
  <c r="AA1312" i="8"/>
  <c r="AA1303" i="8"/>
  <c r="AA1294" i="8"/>
  <c r="AA2309" i="8"/>
  <c r="AA2043" i="8"/>
  <c r="AA1750" i="8"/>
  <c r="AA1674" i="8"/>
  <c r="AA1274" i="8"/>
  <c r="AA1046" i="8"/>
  <c r="AA1037" i="8"/>
  <c r="AA1028" i="8"/>
  <c r="AA2233" i="8"/>
  <c r="AA1940" i="8"/>
  <c r="AA1902" i="8"/>
  <c r="AA1864" i="8"/>
  <c r="AA1683" i="8"/>
  <c r="AA1265" i="8"/>
  <c r="AA1245" i="8"/>
  <c r="AA1017" i="8"/>
  <c r="AA789" i="8"/>
  <c r="AA657" i="8"/>
  <c r="AA523" i="8"/>
  <c r="AA391" i="8"/>
  <c r="AA257" i="8"/>
  <c r="AA2110" i="8"/>
  <c r="AA1549" i="8"/>
  <c r="AA1227" i="8"/>
  <c r="AA1207" i="8"/>
  <c r="AA999" i="8"/>
  <c r="AA979" i="8"/>
  <c r="AA827" i="8"/>
  <c r="AA695" i="8"/>
  <c r="AA561" i="8"/>
  <c r="AA429" i="8"/>
  <c r="AA295" i="8"/>
  <c r="AA163" i="8"/>
  <c r="AA2358" i="8"/>
  <c r="AA2063" i="8"/>
  <c r="AA2329" i="8"/>
  <c r="AA2139" i="8"/>
  <c r="AA1911" i="8"/>
  <c r="AA1283" i="8"/>
  <c r="AA941" i="8"/>
  <c r="AA838" i="8"/>
  <c r="AA818" i="8"/>
  <c r="AA590" i="8"/>
  <c r="AA1978" i="8"/>
  <c r="AA1721" i="8"/>
  <c r="AA1701" i="8"/>
  <c r="AA1417" i="8"/>
  <c r="AA1321" i="8"/>
  <c r="AA1189" i="8"/>
  <c r="AA1151" i="8"/>
  <c r="AA903" i="8"/>
  <c r="AA847" i="8"/>
  <c r="AA581" i="8"/>
  <c r="AA572" i="8"/>
  <c r="AA438" i="8"/>
  <c r="AA420" i="8"/>
  <c r="AA192" i="8"/>
  <c r="AA2385" i="8"/>
  <c r="AA2282" i="8"/>
  <c r="AA2119" i="8"/>
  <c r="AA1446" i="8"/>
  <c r="AA1113" i="8"/>
  <c r="AA2148" i="8"/>
  <c r="AA1636" i="8"/>
  <c r="AA1587" i="8"/>
  <c r="AA1569" i="8"/>
  <c r="AA1473" i="8"/>
  <c r="AA2253" i="8"/>
  <c r="AA2092" i="8"/>
  <c r="AA1359" i="8"/>
  <c r="AA1236" i="8"/>
  <c r="AA1198" i="8"/>
  <c r="AA1160" i="8"/>
  <c r="AA961" i="8"/>
  <c r="AA914" i="8"/>
  <c r="AA648" i="8"/>
  <c r="AA637" i="8"/>
  <c r="AA628" i="8"/>
  <c r="AA619" i="8"/>
  <c r="AA1426" i="8"/>
  <c r="AA1332" i="8"/>
  <c r="AA362" i="8"/>
  <c r="AA105" i="8"/>
  <c r="AA932" i="8"/>
  <c r="AA534" i="8"/>
  <c r="AA496" i="8"/>
  <c r="AA344" i="8"/>
  <c r="AA134" i="8"/>
  <c r="AA1797" i="8"/>
  <c r="AA1739" i="8"/>
  <c r="AA1712" i="8"/>
  <c r="AA1435" i="8"/>
  <c r="AA1093" i="8"/>
  <c r="AA125" i="8"/>
  <c r="AA116" i="8"/>
  <c r="AA2025" i="8"/>
  <c r="AA1882" i="8"/>
  <c r="AA1370" i="8"/>
  <c r="AA1075" i="8"/>
  <c r="AA780" i="8"/>
  <c r="AA353" i="8"/>
  <c r="AA172" i="8"/>
  <c r="AA96" i="8"/>
  <c r="AA1607" i="8"/>
  <c r="AA1502" i="8"/>
  <c r="AA1008" i="8"/>
  <c r="AA742" i="8"/>
  <c r="AA543" i="8"/>
  <c r="AA505" i="8"/>
  <c r="AA268" i="8"/>
  <c r="AA181" i="8"/>
  <c r="AA87" i="8"/>
  <c r="AA2376" i="8"/>
  <c r="AA1730" i="8"/>
  <c r="AA1578" i="8"/>
  <c r="AA1455" i="8"/>
  <c r="AA885" i="8"/>
  <c r="AA704" i="8"/>
  <c r="AA666" i="8"/>
  <c r="AA447" i="8"/>
  <c r="AA277" i="8"/>
  <c r="AA78" i="8"/>
  <c r="AA67" i="8"/>
  <c r="AA58" i="8"/>
  <c r="AA970" i="8"/>
  <c r="AA923" i="8"/>
  <c r="AA219" i="8"/>
  <c r="AA201" i="8"/>
  <c r="AA1560" i="8"/>
  <c r="AA1408" i="8"/>
  <c r="AA1379" i="8"/>
  <c r="AA1341" i="8"/>
  <c r="AA675" i="8"/>
  <c r="AA599" i="8"/>
  <c r="AA485" i="8"/>
  <c r="AA400" i="8"/>
  <c r="AA382" i="8"/>
  <c r="AA333" i="8"/>
  <c r="AA154" i="8"/>
  <c r="AA2186" i="8"/>
  <c r="AA1511" i="8"/>
  <c r="AA1066" i="8"/>
  <c r="AA771" i="8"/>
  <c r="AA514" i="8"/>
  <c r="AA2157" i="8"/>
  <c r="AA1873" i="8"/>
  <c r="AA1835" i="8"/>
  <c r="AA876" i="8"/>
  <c r="AA1055" i="8"/>
  <c r="AA1131" i="8"/>
  <c r="AA1777" i="8"/>
  <c r="AG18" i="6"/>
  <c r="AF18" i="6"/>
  <c r="AA248" i="8"/>
  <c r="AA371" i="8"/>
  <c r="AA1844" i="8"/>
  <c r="AH10" i="6"/>
  <c r="A10" i="15" s="1"/>
  <c r="AN16" i="6"/>
  <c r="AA458" i="8"/>
  <c r="AA552" i="8"/>
  <c r="AA751" i="8"/>
  <c r="AA1104" i="8"/>
  <c r="AA93" i="36"/>
  <c r="AA79" i="36"/>
  <c r="AA65" i="36"/>
  <c r="AA81" i="26"/>
  <c r="AA67" i="26"/>
  <c r="AA89" i="25"/>
  <c r="AA75" i="25"/>
  <c r="AA83" i="24"/>
  <c r="AA82" i="36"/>
  <c r="AA68" i="36"/>
  <c r="AA84" i="26"/>
  <c r="AA70" i="26"/>
  <c r="AA92" i="25"/>
  <c r="AA78" i="25"/>
  <c r="AA64" i="25"/>
  <c r="AA88" i="36"/>
  <c r="AA80" i="36"/>
  <c r="AA66" i="36"/>
  <c r="AA82" i="26"/>
  <c r="AA78" i="26"/>
  <c r="AA76" i="26"/>
  <c r="AA76" i="25"/>
  <c r="AA89" i="24"/>
  <c r="AA84" i="24"/>
  <c r="AA79" i="24"/>
  <c r="AA74" i="24"/>
  <c r="AA69" i="24"/>
  <c r="AA91" i="23"/>
  <c r="AA77" i="23"/>
  <c r="AA85" i="22"/>
  <c r="AA71" i="22"/>
  <c r="AA93" i="21"/>
  <c r="AA79" i="21"/>
  <c r="AA65" i="21"/>
  <c r="AA87" i="20"/>
  <c r="AA73" i="20"/>
  <c r="AA86" i="36"/>
  <c r="AA84" i="36"/>
  <c r="AA77" i="36"/>
  <c r="AA75" i="36"/>
  <c r="AA71" i="36"/>
  <c r="AA69" i="36"/>
  <c r="AA93" i="26"/>
  <c r="AA91" i="26"/>
  <c r="AA87" i="26"/>
  <c r="AA85" i="26"/>
  <c r="AA73" i="36"/>
  <c r="AA67" i="36"/>
  <c r="AA89" i="26"/>
  <c r="AA83" i="26"/>
  <c r="AA72" i="26"/>
  <c r="AA90" i="25"/>
  <c r="AA72" i="25"/>
  <c r="AA70" i="25"/>
  <c r="AA67" i="24"/>
  <c r="AA89" i="23"/>
  <c r="AA92" i="36"/>
  <c r="AA89" i="36"/>
  <c r="AA93" i="25"/>
  <c r="AA91" i="25"/>
  <c r="AA74" i="25"/>
  <c r="AA76" i="24"/>
  <c r="AA72" i="24"/>
  <c r="AA70" i="24"/>
  <c r="AA90" i="23"/>
  <c r="AA69" i="23"/>
  <c r="AA64" i="23"/>
  <c r="AA80" i="22"/>
  <c r="AA75" i="22"/>
  <c r="AA70" i="22"/>
  <c r="AA65" i="22"/>
  <c r="AA91" i="21"/>
  <c r="AA86" i="21"/>
  <c r="AA81" i="21"/>
  <c r="AA76" i="21"/>
  <c r="AA92" i="20"/>
  <c r="AA83" i="19"/>
  <c r="AA69" i="19"/>
  <c r="AA91" i="18"/>
  <c r="AA85" i="36"/>
  <c r="AA68" i="24"/>
  <c r="AA88" i="23"/>
  <c r="AA76" i="36"/>
  <c r="AA79" i="26"/>
  <c r="AA77" i="26"/>
  <c r="AA75" i="26"/>
  <c r="AA84" i="25"/>
  <c r="AA82" i="25"/>
  <c r="AA80" i="25"/>
  <c r="AA65" i="25"/>
  <c r="AA86" i="23"/>
  <c r="AA72" i="23"/>
  <c r="AA67" i="23"/>
  <c r="AA67" i="25"/>
  <c r="AA66" i="24"/>
  <c r="AA84" i="23"/>
  <c r="AA93" i="22"/>
  <c r="AA73" i="24"/>
  <c r="AA85" i="23"/>
  <c r="AA78" i="23"/>
  <c r="AA76" i="23"/>
  <c r="AA68" i="22"/>
  <c r="AA64" i="22"/>
  <c r="AA75" i="21"/>
  <c r="AA83" i="20"/>
  <c r="AA74" i="20"/>
  <c r="AA66" i="25"/>
  <c r="AA75" i="24"/>
  <c r="AA82" i="23"/>
  <c r="AA89" i="22"/>
  <c r="AA81" i="36"/>
  <c r="AA78" i="24"/>
  <c r="AA87" i="22"/>
  <c r="AA83" i="22"/>
  <c r="AA81" i="22"/>
  <c r="AA92" i="21"/>
  <c r="AA70" i="20"/>
  <c r="AA65" i="20"/>
  <c r="AA91" i="36"/>
  <c r="AA90" i="36"/>
  <c r="AA64" i="36"/>
  <c r="AA74" i="36"/>
  <c r="AA69" i="26"/>
  <c r="AA88" i="26"/>
  <c r="AA65" i="26"/>
  <c r="AA79" i="23"/>
  <c r="AA87" i="21"/>
  <c r="AA77" i="21"/>
  <c r="AA72" i="21"/>
  <c r="AA93" i="20"/>
  <c r="AA91" i="20"/>
  <c r="AA89" i="20"/>
  <c r="AA88" i="19"/>
  <c r="AA83" i="36"/>
  <c r="AA93" i="24"/>
  <c r="AA86" i="24"/>
  <c r="AA73" i="23"/>
  <c r="AA65" i="23"/>
  <c r="AA92" i="22"/>
  <c r="AA67" i="22"/>
  <c r="AA84" i="21"/>
  <c r="AA74" i="21"/>
  <c r="AA76" i="20"/>
  <c r="AA66" i="26"/>
  <c r="AA86" i="25"/>
  <c r="AA70" i="36"/>
  <c r="AA85" i="24"/>
  <c r="AA93" i="23"/>
  <c r="AA92" i="26"/>
  <c r="AA86" i="26"/>
  <c r="AA80" i="26"/>
  <c r="AA64" i="26"/>
  <c r="AA79" i="25"/>
  <c r="AA64" i="24"/>
  <c r="AA88" i="21"/>
  <c r="AA71" i="21"/>
  <c r="AA90" i="20"/>
  <c r="AA74" i="26"/>
  <c r="AA68" i="26"/>
  <c r="AA91" i="22"/>
  <c r="AA82" i="21"/>
  <c r="AA77" i="25"/>
  <c r="AA82" i="24"/>
  <c r="AA65" i="24"/>
  <c r="AA70" i="23"/>
  <c r="AA85" i="21"/>
  <c r="AA87" i="36"/>
  <c r="AA69" i="25"/>
  <c r="AA87" i="24"/>
  <c r="AA81" i="24"/>
  <c r="AA81" i="23"/>
  <c r="AA74" i="23"/>
  <c r="AA84" i="22"/>
  <c r="AA74" i="22"/>
  <c r="AA78" i="21"/>
  <c r="AA86" i="20"/>
  <c r="AA81" i="20"/>
  <c r="AA84" i="19"/>
  <c r="AA83" i="18"/>
  <c r="AA83" i="25"/>
  <c r="AA77" i="22"/>
  <c r="AA68" i="21"/>
  <c r="AA73" i="26"/>
  <c r="AA68" i="25"/>
  <c r="AA92" i="24"/>
  <c r="AA66" i="23"/>
  <c r="AA75" i="20"/>
  <c r="AA73" i="19"/>
  <c r="AA68" i="19"/>
  <c r="AA80" i="24"/>
  <c r="AA73" i="22"/>
  <c r="AA80" i="20"/>
  <c r="AA80" i="19"/>
  <c r="AA78" i="18"/>
  <c r="AA64" i="18"/>
  <c r="AA86" i="17"/>
  <c r="AA72" i="17"/>
  <c r="AA80" i="16"/>
  <c r="AA66" i="16"/>
  <c r="AA88" i="15"/>
  <c r="AA74" i="15"/>
  <c r="AA71" i="26"/>
  <c r="AA88" i="25"/>
  <c r="AA81" i="25"/>
  <c r="AA79" i="22"/>
  <c r="AA76" i="22"/>
  <c r="AA69" i="22"/>
  <c r="AA66" i="22"/>
  <c r="AA67" i="21"/>
  <c r="AA72" i="20"/>
  <c r="AA93" i="19"/>
  <c r="AA71" i="19"/>
  <c r="AA66" i="19"/>
  <c r="AA92" i="18"/>
  <c r="AA84" i="18"/>
  <c r="AA70" i="18"/>
  <c r="AA92" i="17"/>
  <c r="AA78" i="17"/>
  <c r="AA64" i="17"/>
  <c r="AA86" i="16"/>
  <c r="AA72" i="16"/>
  <c r="AA80" i="15"/>
  <c r="AA66" i="15"/>
  <c r="AA78" i="36"/>
  <c r="AA85" i="25"/>
  <c r="AA69" i="21"/>
  <c r="AA71" i="20"/>
  <c r="AA90" i="19"/>
  <c r="AA87" i="19"/>
  <c r="AA70" i="19"/>
  <c r="AA87" i="18"/>
  <c r="AA74" i="18"/>
  <c r="AA85" i="17"/>
  <c r="AA65" i="17"/>
  <c r="AA76" i="16"/>
  <c r="AA76" i="15"/>
  <c r="AA77" i="24"/>
  <c r="AA73" i="21"/>
  <c r="AA81" i="18"/>
  <c r="AA72" i="18"/>
  <c r="AA83" i="17"/>
  <c r="AA81" i="17"/>
  <c r="AA92" i="16"/>
  <c r="AA83" i="16"/>
  <c r="AA87" i="23"/>
  <c r="AA90" i="21"/>
  <c r="AA77" i="20"/>
  <c r="AA74" i="19"/>
  <c r="AA67" i="19"/>
  <c r="AA65" i="19"/>
  <c r="AA93" i="18"/>
  <c r="AA79" i="18"/>
  <c r="AA90" i="17"/>
  <c r="AA70" i="17"/>
  <c r="AA81" i="16"/>
  <c r="AA81" i="15"/>
  <c r="AA90" i="26"/>
  <c r="AA88" i="20"/>
  <c r="AA76" i="19"/>
  <c r="AA77" i="18"/>
  <c r="AA88" i="17"/>
  <c r="AA68" i="17"/>
  <c r="AA79" i="16"/>
  <c r="AA79" i="15"/>
  <c r="AA86" i="22"/>
  <c r="AA91" i="24"/>
  <c r="AA83" i="23"/>
  <c r="AA78" i="22"/>
  <c r="AA82" i="20"/>
  <c r="AA67" i="20"/>
  <c r="AA82" i="19"/>
  <c r="AA78" i="19"/>
  <c r="AA75" i="19"/>
  <c r="AA74" i="17"/>
  <c r="AA69" i="17"/>
  <c r="AA91" i="16"/>
  <c r="AA72" i="36"/>
  <c r="AA70" i="21"/>
  <c r="AA85" i="19"/>
  <c r="AA90" i="24"/>
  <c r="AA92" i="23"/>
  <c r="AA81" i="19"/>
  <c r="AA71" i="17"/>
  <c r="AA93" i="16"/>
  <c r="AA71" i="16"/>
  <c r="AA87" i="15"/>
  <c r="AA73" i="15"/>
  <c r="AA80" i="23"/>
  <c r="AA71" i="23"/>
  <c r="AA66" i="20"/>
  <c r="AA92" i="19"/>
  <c r="AA90" i="18"/>
  <c r="AA76" i="17"/>
  <c r="AA73" i="16"/>
  <c r="AA89" i="15"/>
  <c r="AA75" i="15"/>
  <c r="AA88" i="24"/>
  <c r="AA90" i="22"/>
  <c r="AA66" i="18"/>
  <c r="AA85" i="16"/>
  <c r="AA68" i="16"/>
  <c r="AA91" i="15"/>
  <c r="AA84" i="15"/>
  <c r="AA77" i="15"/>
  <c r="AA64" i="20"/>
  <c r="AA91" i="19"/>
  <c r="AA86" i="19"/>
  <c r="AA93" i="17"/>
  <c r="AA89" i="16"/>
  <c r="AA70" i="16"/>
  <c r="AA93" i="15"/>
  <c r="AA71" i="25"/>
  <c r="AA89" i="21"/>
  <c r="AA64" i="19"/>
  <c r="AA68" i="18"/>
  <c r="AA65" i="18"/>
  <c r="AA79" i="17"/>
  <c r="AA75" i="17"/>
  <c r="AA82" i="16"/>
  <c r="AA90" i="15"/>
  <c r="AA86" i="18"/>
  <c r="AA67" i="16"/>
  <c r="AA64" i="16"/>
  <c r="AA72" i="15"/>
  <c r="AA68" i="23"/>
  <c r="AA79" i="20"/>
  <c r="AA82" i="18"/>
  <c r="AA75" i="18"/>
  <c r="AA71" i="18"/>
  <c r="AA82" i="17"/>
  <c r="AA78" i="15"/>
  <c r="AA69" i="15"/>
  <c r="AA83" i="21"/>
  <c r="AA71" i="24"/>
  <c r="AA82" i="22"/>
  <c r="AA68" i="20"/>
  <c r="AA67" i="15"/>
  <c r="AA88" i="18"/>
  <c r="AA80" i="17"/>
  <c r="AA78" i="20"/>
  <c r="AA76" i="18"/>
  <c r="AA70" i="15"/>
  <c r="AA75" i="23"/>
  <c r="AA72" i="22"/>
  <c r="AA66" i="21"/>
  <c r="AA72" i="19"/>
  <c r="AA84" i="17"/>
  <c r="AA67" i="17"/>
  <c r="AA92" i="15"/>
  <c r="AA84" i="20"/>
  <c r="AA87" i="25"/>
  <c r="AA89" i="17"/>
  <c r="AA67" i="18"/>
  <c r="AA73" i="17"/>
  <c r="AA66" i="17"/>
  <c r="AA73" i="25"/>
  <c r="AA84" i="16"/>
  <c r="AA78" i="16"/>
  <c r="AA68" i="15"/>
  <c r="AA73" i="18"/>
  <c r="AA80" i="18"/>
  <c r="AA75" i="16"/>
  <c r="AA87" i="17"/>
  <c r="AA90" i="16"/>
  <c r="AA64" i="21"/>
  <c r="AA89" i="19"/>
  <c r="AA85" i="18"/>
  <c r="AA69" i="16"/>
  <c r="AA71" i="15"/>
  <c r="AA69" i="18"/>
  <c r="AA88" i="16"/>
  <c r="AA88" i="22"/>
  <c r="AA77" i="16"/>
  <c r="AA86" i="15"/>
  <c r="AA79" i="19"/>
  <c r="AA82" i="15"/>
  <c r="AA89" i="18"/>
  <c r="AA65" i="15"/>
  <c r="AA80" i="21"/>
  <c r="AA85" i="20"/>
  <c r="AA91" i="17"/>
  <c r="AA69" i="20"/>
  <c r="AA77" i="19"/>
  <c r="AA74" i="16"/>
  <c r="AA87" i="16"/>
  <c r="AA64" i="15"/>
  <c r="AA77" i="17"/>
  <c r="AA85" i="15"/>
  <c r="AB19" i="6"/>
  <c r="AB21" i="6"/>
  <c r="D31" i="7"/>
  <c r="D33" i="7"/>
  <c r="AA230" i="8"/>
  <c r="AA610" i="8"/>
  <c r="AA1180" i="8"/>
  <c r="AA315" i="8"/>
  <c r="AA733" i="8"/>
  <c r="AA1142" i="8"/>
  <c r="AA1464" i="8"/>
  <c r="AA2405" i="8"/>
  <c r="AA49" i="8"/>
  <c r="AA210" i="8"/>
  <c r="AA809" i="8"/>
  <c r="AA2291" i="8"/>
  <c r="AD17" i="6"/>
  <c r="AB17" i="6"/>
  <c r="AG25" i="6"/>
  <c r="AF25" i="6"/>
  <c r="B18" i="27"/>
  <c r="J13" i="5"/>
  <c r="J28" i="5"/>
  <c r="AF23" i="6"/>
  <c r="AA686" i="8"/>
  <c r="AA762" i="8"/>
  <c r="AM10" i="6"/>
  <c r="AF17" i="6"/>
  <c r="AF19" i="6"/>
  <c r="D38" i="7"/>
  <c r="AA467" i="8"/>
  <c r="AA1692" i="8"/>
  <c r="AA2320" i="8"/>
  <c r="AG11" i="6"/>
  <c r="AF11" i="6"/>
  <c r="AA239" i="8"/>
  <c r="AA894" i="8"/>
  <c r="AF15" i="6"/>
  <c r="AD24" i="6"/>
  <c r="AB24" i="6"/>
  <c r="AA40" i="8"/>
  <c r="AA713" i="8"/>
  <c r="AA865" i="8"/>
  <c r="AA1645" i="8"/>
  <c r="P34" i="7"/>
  <c r="AA324" i="8"/>
  <c r="AA1540" i="8"/>
  <c r="F8" i="27"/>
  <c r="G8" i="27"/>
  <c r="G12" i="27"/>
  <c r="G7" i="27"/>
  <c r="G11" i="27"/>
  <c r="F7" i="27"/>
  <c r="E7" i="27"/>
  <c r="F12" i="27"/>
  <c r="E11" i="27"/>
  <c r="E8" i="27"/>
  <c r="E12" i="27"/>
  <c r="F11" i="27"/>
  <c r="AM9" i="6"/>
  <c r="AM16" i="6"/>
  <c r="AM23" i="6"/>
  <c r="AM30" i="6"/>
  <c r="B22" i="27"/>
  <c r="A51" i="17"/>
  <c r="A24" i="17"/>
  <c r="D18" i="17"/>
  <c r="J21" i="17"/>
  <c r="D21" i="17"/>
  <c r="A43" i="17"/>
  <c r="A51" i="16"/>
  <c r="D18" i="16"/>
  <c r="A24" i="16"/>
  <c r="D21" i="16"/>
  <c r="D20" i="22"/>
  <c r="D19" i="22"/>
  <c r="D15" i="22"/>
  <c r="D18" i="22"/>
  <c r="A43" i="22"/>
  <c r="J21" i="22"/>
  <c r="D21" i="22"/>
  <c r="A51" i="22"/>
  <c r="A24" i="22"/>
  <c r="A43" i="26"/>
  <c r="A51" i="26"/>
  <c r="J21" i="26"/>
  <c r="D20" i="26"/>
  <c r="A24" i="26"/>
  <c r="D21" i="26"/>
  <c r="D19" i="26"/>
  <c r="D15" i="26"/>
  <c r="D18" i="26"/>
  <c r="D15" i="20"/>
  <c r="A43" i="20"/>
  <c r="A24" i="20"/>
  <c r="J21" i="20"/>
  <c r="D20" i="20"/>
  <c r="D21" i="19"/>
  <c r="A43" i="19"/>
  <c r="D18" i="19"/>
  <c r="D19" i="19"/>
  <c r="D15" i="19"/>
  <c r="A24" i="19"/>
  <c r="J21" i="21"/>
  <c r="D18" i="24"/>
  <c r="A43" i="24"/>
  <c r="J21" i="24"/>
  <c r="D15" i="25"/>
  <c r="A24" i="25"/>
  <c r="D21" i="23"/>
  <c r="A24" i="21"/>
  <c r="A43" i="23"/>
  <c r="AI23" i="6" l="1"/>
  <c r="AH12" i="6"/>
  <c r="S21" i="7"/>
  <c r="AN20" i="6"/>
  <c r="A142" i="1"/>
  <c r="O142" i="1"/>
  <c r="C72" i="1"/>
  <c r="R72" i="1"/>
  <c r="AH28" i="6"/>
  <c r="I1171" i="8"/>
  <c r="I1172" i="8"/>
  <c r="Q1172" i="8"/>
  <c r="Q1173" i="8"/>
  <c r="AI12" i="6"/>
  <c r="L12" i="4" s="1"/>
  <c r="A1171" i="8"/>
  <c r="J16" i="5"/>
  <c r="R132" i="1"/>
  <c r="J18" i="5"/>
  <c r="AI18" i="6"/>
  <c r="L20" i="4" s="1"/>
  <c r="S32" i="7"/>
  <c r="A1173" i="8"/>
  <c r="Q1171" i="8"/>
  <c r="K1169" i="8"/>
  <c r="I1174" i="8"/>
  <c r="J27" i="5"/>
  <c r="A72" i="1"/>
  <c r="A1170" i="8"/>
  <c r="J22" i="5"/>
  <c r="H1170" i="8"/>
  <c r="Q1174" i="8"/>
  <c r="S31" i="7"/>
  <c r="S25" i="7"/>
  <c r="A1169" i="8"/>
  <c r="U76" i="1"/>
  <c r="S36" i="7"/>
  <c r="R1170" i="8"/>
  <c r="R76" i="1"/>
  <c r="U39" i="7"/>
  <c r="AJ20" i="6"/>
  <c r="AN30" i="6"/>
  <c r="J14" i="5"/>
  <c r="U29" i="7"/>
  <c r="C20" i="1"/>
  <c r="R208" i="1"/>
  <c r="A76" i="1"/>
  <c r="AI14" i="6"/>
  <c r="L76" i="1"/>
  <c r="L142" i="1"/>
  <c r="K30" i="5"/>
  <c r="U23" i="7"/>
  <c r="U20" i="1"/>
  <c r="L28" i="1"/>
  <c r="P27" i="7"/>
  <c r="A20" i="1"/>
  <c r="J30" i="5"/>
  <c r="S18" i="7"/>
  <c r="A65" i="16"/>
  <c r="C76" i="1"/>
  <c r="C198" i="1"/>
  <c r="AN14" i="6"/>
  <c r="J9" i="5"/>
  <c r="C208" i="1"/>
  <c r="L198" i="1"/>
  <c r="AJ14" i="6"/>
  <c r="AI30" i="6"/>
  <c r="AI28" i="6"/>
  <c r="L208" i="1"/>
  <c r="A1174" i="8"/>
  <c r="P23" i="7"/>
  <c r="O208" i="1"/>
  <c r="AH14" i="6"/>
  <c r="U25" i="7"/>
  <c r="P22" i="7"/>
  <c r="G68" i="3"/>
  <c r="O132" i="1"/>
  <c r="K10" i="5"/>
  <c r="AN10" i="6"/>
  <c r="U33" i="7"/>
  <c r="K24" i="5"/>
  <c r="L72" i="1"/>
  <c r="R198" i="1"/>
  <c r="AJ21" i="6"/>
  <c r="S22" i="7"/>
  <c r="AJ13" i="6"/>
  <c r="U22" i="7"/>
  <c r="S30" i="2"/>
  <c r="J22" i="8"/>
  <c r="M10" i="7"/>
  <c r="S19" i="7"/>
  <c r="I65" i="16"/>
  <c r="O72" i="1"/>
  <c r="U198" i="1"/>
  <c r="K13" i="5"/>
  <c r="AI10" i="6"/>
  <c r="L10" i="4" s="1"/>
  <c r="P65" i="16"/>
  <c r="A198" i="1"/>
  <c r="T65" i="16"/>
  <c r="AJ16" i="6"/>
  <c r="M18" i="4" s="1"/>
  <c r="D65" i="16"/>
  <c r="C132" i="1"/>
  <c r="M65" i="16"/>
  <c r="L132" i="1"/>
  <c r="A208" i="1"/>
  <c r="A132" i="1"/>
  <c r="K21" i="5"/>
  <c r="P35" i="7"/>
  <c r="AH26" i="6"/>
  <c r="A10" i="23" s="1"/>
  <c r="R142" i="1"/>
  <c r="P10" i="15"/>
  <c r="H10" i="3"/>
  <c r="R18" i="1" s="1"/>
  <c r="AI20" i="6"/>
  <c r="U37" i="7"/>
  <c r="AN28" i="6"/>
  <c r="K28" i="5"/>
  <c r="AJ28" i="6"/>
  <c r="AN26" i="6"/>
  <c r="J26" i="5"/>
  <c r="S35" i="7"/>
  <c r="B26" i="27"/>
  <c r="AN13" i="6"/>
  <c r="J19" i="5"/>
  <c r="J21" i="5"/>
  <c r="A28" i="1"/>
  <c r="AI19" i="6"/>
  <c r="G87" i="3" s="1"/>
  <c r="O28" i="1" s="1"/>
  <c r="AI21" i="6"/>
  <c r="H10" i="17" s="1"/>
  <c r="G84" i="3"/>
  <c r="O26" i="1" s="1"/>
  <c r="V65" i="16"/>
  <c r="C28" i="1"/>
  <c r="U142" i="1"/>
  <c r="M10" i="4"/>
  <c r="S29" i="7"/>
  <c r="U18" i="7"/>
  <c r="K9" i="5"/>
  <c r="AJ9" i="6"/>
  <c r="AN9" i="6"/>
  <c r="V69" i="16"/>
  <c r="S69" i="16"/>
  <c r="I69" i="16"/>
  <c r="A69" i="16"/>
  <c r="P69" i="16"/>
  <c r="M69" i="16"/>
  <c r="D69" i="16"/>
  <c r="T69" i="16"/>
  <c r="M93" i="16"/>
  <c r="D93" i="16"/>
  <c r="I93" i="16"/>
  <c r="V93" i="16"/>
  <c r="S93" i="16"/>
  <c r="P93" i="16"/>
  <c r="A93" i="16"/>
  <c r="T93" i="16"/>
  <c r="D90" i="19"/>
  <c r="S90" i="19"/>
  <c r="P90" i="19"/>
  <c r="I90" i="19"/>
  <c r="A90" i="19"/>
  <c r="T90" i="19"/>
  <c r="M90" i="19"/>
  <c r="V90" i="19"/>
  <c r="M66" i="26"/>
  <c r="I66" i="26"/>
  <c r="A66" i="26"/>
  <c r="S66" i="26"/>
  <c r="V66" i="26"/>
  <c r="P66" i="26"/>
  <c r="T66" i="26"/>
  <c r="D66" i="26"/>
  <c r="A93" i="20"/>
  <c r="T93" i="20"/>
  <c r="P93" i="20"/>
  <c r="S93" i="20"/>
  <c r="V93" i="20"/>
  <c r="M93" i="20"/>
  <c r="I93" i="20"/>
  <c r="D93" i="20"/>
  <c r="M92" i="21"/>
  <c r="T92" i="21"/>
  <c r="P92" i="21"/>
  <c r="A92" i="21"/>
  <c r="V92" i="21"/>
  <c r="S92" i="21"/>
  <c r="I92" i="21"/>
  <c r="D92" i="21"/>
  <c r="V68" i="22"/>
  <c r="T68" i="22"/>
  <c r="M68" i="22"/>
  <c r="I68" i="22"/>
  <c r="D68" i="22"/>
  <c r="A68" i="22"/>
  <c r="P68" i="22"/>
  <c r="S68" i="22"/>
  <c r="D82" i="25"/>
  <c r="A82" i="25"/>
  <c r="P82" i="25"/>
  <c r="V82" i="25"/>
  <c r="I82" i="25"/>
  <c r="M82" i="25"/>
  <c r="T82" i="25"/>
  <c r="S82" i="25"/>
  <c r="P81" i="21"/>
  <c r="M81" i="21"/>
  <c r="V81" i="21"/>
  <c r="I81" i="21"/>
  <c r="D81" i="21"/>
  <c r="T81" i="21"/>
  <c r="A81" i="21"/>
  <c r="S81" i="21"/>
  <c r="P91" i="25"/>
  <c r="M91" i="25"/>
  <c r="S91" i="25"/>
  <c r="T91" i="25"/>
  <c r="I91" i="25"/>
  <c r="D91" i="25"/>
  <c r="A91" i="25"/>
  <c r="V91" i="25"/>
  <c r="A85" i="26"/>
  <c r="V85" i="26"/>
  <c r="I85" i="26"/>
  <c r="T85" i="26"/>
  <c r="S85" i="26"/>
  <c r="M85" i="26"/>
  <c r="D85" i="26"/>
  <c r="P85" i="26"/>
  <c r="S93" i="21"/>
  <c r="D93" i="21"/>
  <c r="P93" i="21"/>
  <c r="A93" i="21"/>
  <c r="M93" i="21"/>
  <c r="V93" i="21"/>
  <c r="I93" i="21"/>
  <c r="T93" i="21"/>
  <c r="P66" i="36"/>
  <c r="M66" i="36"/>
  <c r="D66" i="36"/>
  <c r="A66" i="36"/>
  <c r="I66" i="36"/>
  <c r="V66" i="36"/>
  <c r="T66" i="36"/>
  <c r="S66" i="36"/>
  <c r="V81" i="26"/>
  <c r="M81" i="26"/>
  <c r="D81" i="26"/>
  <c r="A81" i="26"/>
  <c r="S81" i="26"/>
  <c r="T81" i="26"/>
  <c r="I81" i="26"/>
  <c r="P81" i="26"/>
  <c r="A1848" i="8"/>
  <c r="I1847" i="8"/>
  <c r="Q1849" i="8"/>
  <c r="A1844" i="8"/>
  <c r="A1849" i="8"/>
  <c r="Q1848" i="8"/>
  <c r="A1847" i="8"/>
  <c r="I1849" i="8"/>
  <c r="Q1846" i="8"/>
  <c r="K1844" i="8"/>
  <c r="Q1847" i="8"/>
  <c r="I1846" i="8"/>
  <c r="A1846" i="8"/>
  <c r="R1845" i="8"/>
  <c r="H1845" i="8"/>
  <c r="A1845" i="8"/>
  <c r="I2159" i="8"/>
  <c r="R2158" i="8"/>
  <c r="A2160" i="8"/>
  <c r="A2159" i="8"/>
  <c r="K2157" i="8"/>
  <c r="Q2162" i="8"/>
  <c r="A2162" i="8"/>
  <c r="I2160" i="8"/>
  <c r="H2158" i="8"/>
  <c r="A2158" i="8"/>
  <c r="A2157" i="8"/>
  <c r="I2162" i="8"/>
  <c r="Q2159" i="8"/>
  <c r="Q2161" i="8"/>
  <c r="A2161" i="8"/>
  <c r="Q2160" i="8"/>
  <c r="I1381" i="8"/>
  <c r="R1380" i="8"/>
  <c r="Q1383" i="8"/>
  <c r="Q1382" i="8"/>
  <c r="I1382" i="8"/>
  <c r="Q1381" i="8"/>
  <c r="I1384" i="8"/>
  <c r="Q1384" i="8"/>
  <c r="A1380" i="8"/>
  <c r="A1382" i="8"/>
  <c r="A1381" i="8"/>
  <c r="H1380" i="8"/>
  <c r="K1379" i="8"/>
  <c r="A1379" i="8"/>
  <c r="A1384" i="8"/>
  <c r="A1383" i="8"/>
  <c r="A888" i="8"/>
  <c r="I887" i="8"/>
  <c r="A889" i="8"/>
  <c r="I888" i="8"/>
  <c r="Q887" i="8"/>
  <c r="Q890" i="8"/>
  <c r="Q889" i="8"/>
  <c r="Q888" i="8"/>
  <c r="A887" i="8"/>
  <c r="R886" i="8"/>
  <c r="H886" i="8"/>
  <c r="A886" i="8"/>
  <c r="I890" i="8"/>
  <c r="A890" i="8"/>
  <c r="K885" i="8"/>
  <c r="A885" i="8"/>
  <c r="A99" i="8"/>
  <c r="R97" i="8"/>
  <c r="H97" i="8"/>
  <c r="A97" i="8"/>
  <c r="K96" i="8"/>
  <c r="Q101" i="8"/>
  <c r="A96" i="8"/>
  <c r="A101" i="8"/>
  <c r="Q100" i="8"/>
  <c r="A100" i="8"/>
  <c r="Q99" i="8"/>
  <c r="I99" i="8"/>
  <c r="Q98" i="8"/>
  <c r="I98" i="8"/>
  <c r="A98" i="8"/>
  <c r="I101" i="8"/>
  <c r="Q1801" i="8"/>
  <c r="Q1800" i="8"/>
  <c r="A1798" i="8"/>
  <c r="K1797" i="8"/>
  <c r="Q1802" i="8"/>
  <c r="A1797" i="8"/>
  <c r="A1802" i="8"/>
  <c r="I1800" i="8"/>
  <c r="Q1799" i="8"/>
  <c r="I1799" i="8"/>
  <c r="R1798" i="8"/>
  <c r="H1798" i="8"/>
  <c r="I1802" i="8"/>
  <c r="A1801" i="8"/>
  <c r="A1800" i="8"/>
  <c r="A1799" i="8"/>
  <c r="A919" i="8"/>
  <c r="A914" i="8"/>
  <c r="A918" i="8"/>
  <c r="A917" i="8"/>
  <c r="I916" i="8"/>
  <c r="Q919" i="8"/>
  <c r="R915" i="8"/>
  <c r="K914" i="8"/>
  <c r="Q917" i="8"/>
  <c r="I917" i="8"/>
  <c r="Q916" i="8"/>
  <c r="A916" i="8"/>
  <c r="H915" i="8"/>
  <c r="A915" i="8"/>
  <c r="I919" i="8"/>
  <c r="Q918" i="8"/>
  <c r="A1447" i="8"/>
  <c r="A1451" i="8"/>
  <c r="A1446" i="8"/>
  <c r="A1450" i="8"/>
  <c r="Q1449" i="8"/>
  <c r="A1449" i="8"/>
  <c r="Q1448" i="8"/>
  <c r="A1448" i="8"/>
  <c r="I1451" i="8"/>
  <c r="H1447" i="8"/>
  <c r="K1446" i="8"/>
  <c r="I1448" i="8"/>
  <c r="R1447" i="8"/>
  <c r="Q1451" i="8"/>
  <c r="Q1450" i="8"/>
  <c r="I1449" i="8"/>
  <c r="A1420" i="8"/>
  <c r="I1419" i="8"/>
  <c r="Q1420" i="8"/>
  <c r="Q1419" i="8"/>
  <c r="A1419" i="8"/>
  <c r="H1418" i="8"/>
  <c r="I1422" i="8"/>
  <c r="K1417" i="8"/>
  <c r="A1417" i="8"/>
  <c r="A1418" i="8"/>
  <c r="Q1422" i="8"/>
  <c r="A1422" i="8"/>
  <c r="Q1421" i="8"/>
  <c r="A1421" i="8"/>
  <c r="I1420" i="8"/>
  <c r="R1418" i="8"/>
  <c r="H164" i="8"/>
  <c r="Q168" i="8"/>
  <c r="R164" i="8"/>
  <c r="I168" i="8"/>
  <c r="K163" i="8"/>
  <c r="A163" i="8"/>
  <c r="A168" i="8"/>
  <c r="Q166" i="8"/>
  <c r="I166" i="8"/>
  <c r="A165" i="8"/>
  <c r="Q167" i="8"/>
  <c r="A167" i="8"/>
  <c r="A166" i="8"/>
  <c r="Q165" i="8"/>
  <c r="I165" i="8"/>
  <c r="A164" i="8"/>
  <c r="Q528" i="8"/>
  <c r="A528" i="8"/>
  <c r="A523" i="8"/>
  <c r="I525" i="8"/>
  <c r="A527" i="8"/>
  <c r="Q526" i="8"/>
  <c r="I528" i="8"/>
  <c r="Q527" i="8"/>
  <c r="I526" i="8"/>
  <c r="A524" i="8"/>
  <c r="K523" i="8"/>
  <c r="A526" i="8"/>
  <c r="Q525" i="8"/>
  <c r="H524" i="8"/>
  <c r="A525" i="8"/>
  <c r="R524" i="8"/>
  <c r="A1278" i="8"/>
  <c r="I1277" i="8"/>
  <c r="H1275" i="8"/>
  <c r="K1274" i="8"/>
  <c r="I1279" i="8"/>
  <c r="Q1277" i="8"/>
  <c r="A1277" i="8"/>
  <c r="Q1276" i="8"/>
  <c r="I1276" i="8"/>
  <c r="A1276" i="8"/>
  <c r="Q1279" i="8"/>
  <c r="R1275" i="8"/>
  <c r="A1275" i="8"/>
  <c r="A1279" i="8"/>
  <c r="Q1278" i="8"/>
  <c r="A1274" i="8"/>
  <c r="H991" i="8"/>
  <c r="Q995" i="8"/>
  <c r="A992" i="8"/>
  <c r="R991" i="8"/>
  <c r="K990" i="8"/>
  <c r="A990" i="8"/>
  <c r="I995" i="8"/>
  <c r="Q994" i="8"/>
  <c r="A994" i="8"/>
  <c r="Q993" i="8"/>
  <c r="I993" i="8"/>
  <c r="A993" i="8"/>
  <c r="A995" i="8"/>
  <c r="A991" i="8"/>
  <c r="Q992" i="8"/>
  <c r="I992" i="8"/>
  <c r="Q1223" i="8"/>
  <c r="A1223" i="8"/>
  <c r="A1218" i="8"/>
  <c r="A1220" i="8"/>
  <c r="R1219" i="8"/>
  <c r="A1219" i="8"/>
  <c r="I1221" i="8"/>
  <c r="I1223" i="8"/>
  <c r="Q1222" i="8"/>
  <c r="A1222" i="8"/>
  <c r="Q1221" i="8"/>
  <c r="A1221" i="8"/>
  <c r="Q1220" i="8"/>
  <c r="I1220" i="8"/>
  <c r="H1219" i="8"/>
  <c r="K1218" i="8"/>
  <c r="A2348" i="8"/>
  <c r="I2352" i="8"/>
  <c r="K2347" i="8"/>
  <c r="Q2350" i="8"/>
  <c r="A2350" i="8"/>
  <c r="R2348" i="8"/>
  <c r="A2347" i="8"/>
  <c r="A2352" i="8"/>
  <c r="A2351" i="8"/>
  <c r="I2350" i="8"/>
  <c r="I2349" i="8"/>
  <c r="Q2351" i="8"/>
  <c r="Q2352" i="8"/>
  <c r="H2348" i="8"/>
  <c r="Q2349" i="8"/>
  <c r="A2349" i="8"/>
  <c r="Q2059" i="8"/>
  <c r="A2059" i="8"/>
  <c r="A2054" i="8"/>
  <c r="K2054" i="8"/>
  <c r="I2059" i="8"/>
  <c r="Q2058" i="8"/>
  <c r="Q2057" i="8"/>
  <c r="A2057" i="8"/>
  <c r="I2056" i="8"/>
  <c r="A2056" i="8"/>
  <c r="H2055" i="8"/>
  <c r="Q2056" i="8"/>
  <c r="A2058" i="8"/>
  <c r="I2057" i="8"/>
  <c r="R2055" i="8"/>
  <c r="A2055" i="8"/>
  <c r="AJ22" i="6"/>
  <c r="K22" i="5"/>
  <c r="AN22" i="6"/>
  <c r="U31" i="7"/>
  <c r="O156" i="1"/>
  <c r="A156" i="1"/>
  <c r="L156" i="1"/>
  <c r="R156" i="1"/>
  <c r="C156" i="1"/>
  <c r="U156" i="1"/>
  <c r="U29" i="1"/>
  <c r="C29" i="1"/>
  <c r="L29" i="1"/>
  <c r="A29" i="1"/>
  <c r="O44" i="1"/>
  <c r="A44" i="1"/>
  <c r="R44" i="1"/>
  <c r="L44" i="1"/>
  <c r="C44" i="1"/>
  <c r="U44" i="1"/>
  <c r="L24" i="1"/>
  <c r="A24" i="1"/>
  <c r="C24" i="1"/>
  <c r="U24" i="1"/>
  <c r="U19" i="1"/>
  <c r="C19" i="1"/>
  <c r="L19" i="1"/>
  <c r="A19" i="1"/>
  <c r="O30" i="1"/>
  <c r="A30" i="1"/>
  <c r="U30" i="1"/>
  <c r="R30" i="1"/>
  <c r="C30" i="1"/>
  <c r="L30" i="1"/>
  <c r="U169" i="1"/>
  <c r="C169" i="1"/>
  <c r="L169" i="1"/>
  <c r="R169" i="1"/>
  <c r="O169" i="1"/>
  <c r="A169" i="1"/>
  <c r="O106" i="1"/>
  <c r="U106" i="1"/>
  <c r="R106" i="1"/>
  <c r="L106" i="1"/>
  <c r="C106" i="1"/>
  <c r="A106" i="1"/>
  <c r="U53" i="1"/>
  <c r="C53" i="1"/>
  <c r="L53" i="1"/>
  <c r="O53" i="1"/>
  <c r="A53" i="1"/>
  <c r="R53" i="1"/>
  <c r="U249" i="1"/>
  <c r="C249" i="1"/>
  <c r="L249" i="1"/>
  <c r="A249" i="1"/>
  <c r="R249" i="1"/>
  <c r="O249" i="1"/>
  <c r="U203" i="1"/>
  <c r="C203" i="1"/>
  <c r="A203" i="1"/>
  <c r="R203" i="1"/>
  <c r="O203" i="1"/>
  <c r="L203" i="1"/>
  <c r="T83" i="15"/>
  <c r="P83" i="15"/>
  <c r="D83" i="15"/>
  <c r="A83" i="15"/>
  <c r="V83" i="15"/>
  <c r="I83" i="15"/>
  <c r="M83" i="15"/>
  <c r="S83" i="15"/>
  <c r="U47" i="1"/>
  <c r="C47" i="1"/>
  <c r="O47" i="1"/>
  <c r="A47" i="1"/>
  <c r="R47" i="1"/>
  <c r="L47" i="1"/>
  <c r="U18" i="1"/>
  <c r="L18" i="1"/>
  <c r="C18" i="1"/>
  <c r="A18" i="1"/>
  <c r="U74" i="1"/>
  <c r="L74" i="1"/>
  <c r="R74" i="1"/>
  <c r="O74" i="1"/>
  <c r="C74" i="1"/>
  <c r="A74" i="1"/>
  <c r="U214" i="1"/>
  <c r="L214" i="1"/>
  <c r="C214" i="1"/>
  <c r="R214" i="1"/>
  <c r="O214" i="1"/>
  <c r="A214" i="1"/>
  <c r="R62" i="1"/>
  <c r="U62" i="1"/>
  <c r="A62" i="1"/>
  <c r="O62" i="1"/>
  <c r="L62" i="1"/>
  <c r="C62" i="1"/>
  <c r="R29" i="8"/>
  <c r="T19" i="2"/>
  <c r="Q765" i="8"/>
  <c r="A765" i="8"/>
  <c r="A764" i="8"/>
  <c r="A767" i="8"/>
  <c r="I765" i="8"/>
  <c r="Q764" i="8"/>
  <c r="Q767" i="8"/>
  <c r="I767" i="8"/>
  <c r="Q766" i="8"/>
  <c r="I764" i="8"/>
  <c r="R763" i="8"/>
  <c r="H763" i="8"/>
  <c r="A763" i="8"/>
  <c r="K762" i="8"/>
  <c r="A762" i="8"/>
  <c r="A766" i="8"/>
  <c r="AI17" i="6"/>
  <c r="J17" i="5"/>
  <c r="S26" i="7"/>
  <c r="Q233" i="8"/>
  <c r="A233" i="8"/>
  <c r="Q235" i="8"/>
  <c r="A230" i="8"/>
  <c r="A234" i="8"/>
  <c r="I235" i="8"/>
  <c r="A235" i="8"/>
  <c r="Q234" i="8"/>
  <c r="I233" i="8"/>
  <c r="Q232" i="8"/>
  <c r="I232" i="8"/>
  <c r="A231" i="8"/>
  <c r="A232" i="8"/>
  <c r="R231" i="8"/>
  <c r="H231" i="8"/>
  <c r="K230" i="8"/>
  <c r="S91" i="17"/>
  <c r="M91" i="17"/>
  <c r="I91" i="17"/>
  <c r="A91" i="17"/>
  <c r="V91" i="17"/>
  <c r="T91" i="17"/>
  <c r="P91" i="17"/>
  <c r="D91" i="17"/>
  <c r="P85" i="18"/>
  <c r="D85" i="18"/>
  <c r="V85" i="18"/>
  <c r="T85" i="18"/>
  <c r="M85" i="18"/>
  <c r="S85" i="18"/>
  <c r="I85" i="18"/>
  <c r="A85" i="18"/>
  <c r="V67" i="18"/>
  <c r="S67" i="18"/>
  <c r="M67" i="18"/>
  <c r="I67" i="18"/>
  <c r="A67" i="18"/>
  <c r="T67" i="18"/>
  <c r="P67" i="18"/>
  <c r="D67" i="18"/>
  <c r="T80" i="17"/>
  <c r="P80" i="17"/>
  <c r="M80" i="17"/>
  <c r="D80" i="17"/>
  <c r="A80" i="17"/>
  <c r="I80" i="17"/>
  <c r="V80" i="17"/>
  <c r="S80" i="17"/>
  <c r="S68" i="23"/>
  <c r="I68" i="23"/>
  <c r="M68" i="23"/>
  <c r="V68" i="23"/>
  <c r="T68" i="23"/>
  <c r="D68" i="23"/>
  <c r="A68" i="23"/>
  <c r="P68" i="23"/>
  <c r="S93" i="15"/>
  <c r="M93" i="15"/>
  <c r="D93" i="15"/>
  <c r="V93" i="15"/>
  <c r="T93" i="15"/>
  <c r="P93" i="15"/>
  <c r="A93" i="15"/>
  <c r="I93" i="15"/>
  <c r="S88" i="24"/>
  <c r="I88" i="24"/>
  <c r="T88" i="24"/>
  <c r="M88" i="24"/>
  <c r="D88" i="24"/>
  <c r="A88" i="24"/>
  <c r="P88" i="24"/>
  <c r="V88" i="24"/>
  <c r="M71" i="17"/>
  <c r="D71" i="17"/>
  <c r="P71" i="17"/>
  <c r="A71" i="17"/>
  <c r="V71" i="17"/>
  <c r="S71" i="17"/>
  <c r="T71" i="17"/>
  <c r="I71" i="17"/>
  <c r="V82" i="20"/>
  <c r="D82" i="20"/>
  <c r="S82" i="20"/>
  <c r="M82" i="20"/>
  <c r="I82" i="20"/>
  <c r="T82" i="20"/>
  <c r="P82" i="20"/>
  <c r="A82" i="20"/>
  <c r="T81" i="16"/>
  <c r="I81" i="16"/>
  <c r="D81" i="16"/>
  <c r="V81" i="16"/>
  <c r="P81" i="16"/>
  <c r="S81" i="16"/>
  <c r="M81" i="16"/>
  <c r="A81" i="16"/>
  <c r="V83" i="17"/>
  <c r="S83" i="17"/>
  <c r="T83" i="17"/>
  <c r="M83" i="17"/>
  <c r="I83" i="17"/>
  <c r="D83" i="17"/>
  <c r="A83" i="17"/>
  <c r="P83" i="17"/>
  <c r="I71" i="20"/>
  <c r="P71" i="20"/>
  <c r="A71" i="20"/>
  <c r="T71" i="20"/>
  <c r="M71" i="20"/>
  <c r="S71" i="20"/>
  <c r="D71" i="20"/>
  <c r="V71" i="20"/>
  <c r="V66" i="19"/>
  <c r="I66" i="19"/>
  <c r="A66" i="19"/>
  <c r="D66" i="19"/>
  <c r="M66" i="19"/>
  <c r="T66" i="19"/>
  <c r="S66" i="19"/>
  <c r="P66" i="19"/>
  <c r="T66" i="16"/>
  <c r="A66" i="16"/>
  <c r="S66" i="16"/>
  <c r="M66" i="16"/>
  <c r="D66" i="16"/>
  <c r="V66" i="16"/>
  <c r="P66" i="16"/>
  <c r="I66" i="16"/>
  <c r="V92" i="24"/>
  <c r="P92" i="24"/>
  <c r="I92" i="24"/>
  <c r="D92" i="24"/>
  <c r="A92" i="24"/>
  <c r="T92" i="24"/>
  <c r="S92" i="24"/>
  <c r="M92" i="24"/>
  <c r="A81" i="23"/>
  <c r="V81" i="23"/>
  <c r="P81" i="23"/>
  <c r="M81" i="23"/>
  <c r="D81" i="23"/>
  <c r="T81" i="23"/>
  <c r="S81" i="23"/>
  <c r="I81" i="23"/>
  <c r="S90" i="20"/>
  <c r="A90" i="20"/>
  <c r="T90" i="20"/>
  <c r="M90" i="20"/>
  <c r="I90" i="20"/>
  <c r="V90" i="20"/>
  <c r="P90" i="20"/>
  <c r="D90" i="20"/>
  <c r="D76" i="20"/>
  <c r="T76" i="20"/>
  <c r="I76" i="20"/>
  <c r="M76" i="20"/>
  <c r="P76" i="20"/>
  <c r="V76" i="20"/>
  <c r="A76" i="20"/>
  <c r="S76" i="20"/>
  <c r="D72" i="21"/>
  <c r="A72" i="21"/>
  <c r="T72" i="21"/>
  <c r="S72" i="21"/>
  <c r="P72" i="21"/>
  <c r="M72" i="21"/>
  <c r="I72" i="21"/>
  <c r="V72" i="21"/>
  <c r="I81" i="22"/>
  <c r="T81" i="22"/>
  <c r="S81" i="22"/>
  <c r="P81" i="22"/>
  <c r="M81" i="22"/>
  <c r="D81" i="22"/>
  <c r="A81" i="22"/>
  <c r="V81" i="22"/>
  <c r="M76" i="23"/>
  <c r="T76" i="23"/>
  <c r="I76" i="23"/>
  <c r="D76" i="23"/>
  <c r="P76" i="23"/>
  <c r="A76" i="23"/>
  <c r="V76" i="23"/>
  <c r="S76" i="23"/>
  <c r="I84" i="25"/>
  <c r="V84" i="25"/>
  <c r="P84" i="25"/>
  <c r="M84" i="25"/>
  <c r="S84" i="25"/>
  <c r="T84" i="25"/>
  <c r="D84" i="25"/>
  <c r="A84" i="25"/>
  <c r="D86" i="21"/>
  <c r="P86" i="21"/>
  <c r="I86" i="21"/>
  <c r="A86" i="21"/>
  <c r="V86" i="21"/>
  <c r="S86" i="21"/>
  <c r="M86" i="21"/>
  <c r="T86" i="21"/>
  <c r="A93" i="25"/>
  <c r="M93" i="25"/>
  <c r="T93" i="25"/>
  <c r="S93" i="25"/>
  <c r="P93" i="25"/>
  <c r="I93" i="25"/>
  <c r="D93" i="25"/>
  <c r="V93" i="25"/>
  <c r="S87" i="26"/>
  <c r="V87" i="26"/>
  <c r="P87" i="26"/>
  <c r="I87" i="26"/>
  <c r="D87" i="26"/>
  <c r="A87" i="26"/>
  <c r="T87" i="26"/>
  <c r="M87" i="26"/>
  <c r="A71" i="22"/>
  <c r="T71" i="22"/>
  <c r="S71" i="22"/>
  <c r="P71" i="22"/>
  <c r="M71" i="22"/>
  <c r="I71" i="22"/>
  <c r="D71" i="22"/>
  <c r="V71" i="22"/>
  <c r="S80" i="36"/>
  <c r="P80" i="36"/>
  <c r="I80" i="36"/>
  <c r="D80" i="36"/>
  <c r="M80" i="36"/>
  <c r="V80" i="36"/>
  <c r="T80" i="36"/>
  <c r="A80" i="36"/>
  <c r="V65" i="36"/>
  <c r="M65" i="36"/>
  <c r="S65" i="36"/>
  <c r="P65" i="36"/>
  <c r="I65" i="36"/>
  <c r="D65" i="36"/>
  <c r="A65" i="36"/>
  <c r="T65" i="36"/>
  <c r="Q373" i="8"/>
  <c r="A373" i="8"/>
  <c r="R372" i="8"/>
  <c r="K371" i="8"/>
  <c r="I374" i="8"/>
  <c r="A374" i="8"/>
  <c r="I373" i="8"/>
  <c r="H372" i="8"/>
  <c r="A372" i="8"/>
  <c r="A376" i="8"/>
  <c r="Q376" i="8"/>
  <c r="I376" i="8"/>
  <c r="Q375" i="8"/>
  <c r="A375" i="8"/>
  <c r="Q374" i="8"/>
  <c r="A371" i="8"/>
  <c r="R515" i="8"/>
  <c r="A515" i="8"/>
  <c r="Q516" i="8"/>
  <c r="I519" i="8"/>
  <c r="A518" i="8"/>
  <c r="Q517" i="8"/>
  <c r="Q518" i="8"/>
  <c r="I517" i="8"/>
  <c r="A517" i="8"/>
  <c r="I516" i="8"/>
  <c r="A516" i="8"/>
  <c r="A519" i="8"/>
  <c r="H515" i="8"/>
  <c r="K514" i="8"/>
  <c r="A514" i="8"/>
  <c r="Q519" i="8"/>
  <c r="A1412" i="8"/>
  <c r="I1411" i="8"/>
  <c r="Q1411" i="8"/>
  <c r="Q1410" i="8"/>
  <c r="I1410" i="8"/>
  <c r="R1409" i="8"/>
  <c r="A1411" i="8"/>
  <c r="Q1413" i="8"/>
  <c r="I1413" i="8"/>
  <c r="A1413" i="8"/>
  <c r="Q1412" i="8"/>
  <c r="A1410" i="8"/>
  <c r="H1409" i="8"/>
  <c r="A1409" i="8"/>
  <c r="K1408" i="8"/>
  <c r="A1408" i="8"/>
  <c r="A1460" i="8"/>
  <c r="A1455" i="8"/>
  <c r="Q1458" i="8"/>
  <c r="A1458" i="8"/>
  <c r="Q1459" i="8"/>
  <c r="I1458" i="8"/>
  <c r="Q1457" i="8"/>
  <c r="A1457" i="8"/>
  <c r="Q1460" i="8"/>
  <c r="I1460" i="8"/>
  <c r="A1459" i="8"/>
  <c r="I1457" i="8"/>
  <c r="R1456" i="8"/>
  <c r="H1456" i="8"/>
  <c r="A1456" i="8"/>
  <c r="K1455" i="8"/>
  <c r="I177" i="8"/>
  <c r="K172" i="8"/>
  <c r="Q176" i="8"/>
  <c r="H173" i="8"/>
  <c r="Q177" i="8"/>
  <c r="R173" i="8"/>
  <c r="A173" i="8"/>
  <c r="A172" i="8"/>
  <c r="A176" i="8"/>
  <c r="A175" i="8"/>
  <c r="Q174" i="8"/>
  <c r="I174" i="8"/>
  <c r="A174" i="8"/>
  <c r="Q175" i="8"/>
  <c r="I175" i="8"/>
  <c r="A177" i="8"/>
  <c r="Q137" i="8"/>
  <c r="I136" i="8"/>
  <c r="K134" i="8"/>
  <c r="Q139" i="8"/>
  <c r="A134" i="8"/>
  <c r="I139" i="8"/>
  <c r="A139" i="8"/>
  <c r="A137" i="8"/>
  <c r="Q136" i="8"/>
  <c r="A136" i="8"/>
  <c r="R135" i="8"/>
  <c r="H135" i="8"/>
  <c r="A135" i="8"/>
  <c r="A138" i="8"/>
  <c r="I137" i="8"/>
  <c r="Q138" i="8"/>
  <c r="Q965" i="8"/>
  <c r="Q964" i="8"/>
  <c r="I963" i="8"/>
  <c r="A963" i="8"/>
  <c r="H962" i="8"/>
  <c r="A965" i="8"/>
  <c r="Q963" i="8"/>
  <c r="K961" i="8"/>
  <c r="I964" i="8"/>
  <c r="A964" i="8"/>
  <c r="R962" i="8"/>
  <c r="A962" i="8"/>
  <c r="A961" i="8"/>
  <c r="A966" i="8"/>
  <c r="Q966" i="8"/>
  <c r="I966" i="8"/>
  <c r="R2120" i="8"/>
  <c r="A2120" i="8"/>
  <c r="Q2122" i="8"/>
  <c r="A2122" i="8"/>
  <c r="Q2123" i="8"/>
  <c r="I2122" i="8"/>
  <c r="Q2121" i="8"/>
  <c r="A2121" i="8"/>
  <c r="I2124" i="8"/>
  <c r="A2124" i="8"/>
  <c r="I2121" i="8"/>
  <c r="A2119" i="8"/>
  <c r="H2120" i="8"/>
  <c r="K2119" i="8"/>
  <c r="Q2124" i="8"/>
  <c r="A2123" i="8"/>
  <c r="A1703" i="8"/>
  <c r="H1702" i="8"/>
  <c r="A1702" i="8"/>
  <c r="I1706" i="8"/>
  <c r="K1701" i="8"/>
  <c r="Q1704" i="8"/>
  <c r="A1704" i="8"/>
  <c r="Q1703" i="8"/>
  <c r="R1702" i="8"/>
  <c r="I1704" i="8"/>
  <c r="A1701" i="8"/>
  <c r="Q1706" i="8"/>
  <c r="A1706" i="8"/>
  <c r="Q1705" i="8"/>
  <c r="I1703" i="8"/>
  <c r="A1705" i="8"/>
  <c r="H296" i="8"/>
  <c r="Q300" i="8"/>
  <c r="Q298" i="8"/>
  <c r="I297" i="8"/>
  <c r="A299" i="8"/>
  <c r="I298" i="8"/>
  <c r="A298" i="8"/>
  <c r="Q297" i="8"/>
  <c r="A297" i="8"/>
  <c r="A300" i="8"/>
  <c r="Q299" i="8"/>
  <c r="A295" i="8"/>
  <c r="I300" i="8"/>
  <c r="R296" i="8"/>
  <c r="A296" i="8"/>
  <c r="K295" i="8"/>
  <c r="Q662" i="8"/>
  <c r="A662" i="8"/>
  <c r="A657" i="8"/>
  <c r="Q661" i="8"/>
  <c r="I659" i="8"/>
  <c r="H658" i="8"/>
  <c r="A658" i="8"/>
  <c r="R658" i="8"/>
  <c r="K657" i="8"/>
  <c r="A660" i="8"/>
  <c r="Q659" i="8"/>
  <c r="I662" i="8"/>
  <c r="A661" i="8"/>
  <c r="Q660" i="8"/>
  <c r="I660" i="8"/>
  <c r="A659" i="8"/>
  <c r="I1679" i="8"/>
  <c r="K1674" i="8"/>
  <c r="Q1678" i="8"/>
  <c r="A1678" i="8"/>
  <c r="I1677" i="8"/>
  <c r="H1675" i="8"/>
  <c r="A1674" i="8"/>
  <c r="A1676" i="8"/>
  <c r="Q1679" i="8"/>
  <c r="A1679" i="8"/>
  <c r="Q1677" i="8"/>
  <c r="Q1676" i="8"/>
  <c r="I1676" i="8"/>
  <c r="A1677" i="8"/>
  <c r="R1675" i="8"/>
  <c r="A1675" i="8"/>
  <c r="H1123" i="8"/>
  <c r="Q1127" i="8"/>
  <c r="A1126" i="8"/>
  <c r="Q1125" i="8"/>
  <c r="A1125" i="8"/>
  <c r="A1127" i="8"/>
  <c r="Q1124" i="8"/>
  <c r="I1124" i="8"/>
  <c r="R1123" i="8"/>
  <c r="A1123" i="8"/>
  <c r="I1127" i="8"/>
  <c r="Q1126" i="8"/>
  <c r="I1125" i="8"/>
  <c r="A1124" i="8"/>
  <c r="K1122" i="8"/>
  <c r="A1122" i="8"/>
  <c r="Q1355" i="8"/>
  <c r="A1355" i="8"/>
  <c r="A1350" i="8"/>
  <c r="I1355" i="8"/>
  <c r="A1354" i="8"/>
  <c r="Q1353" i="8"/>
  <c r="A1353" i="8"/>
  <c r="K1350" i="8"/>
  <c r="A1352" i="8"/>
  <c r="R1351" i="8"/>
  <c r="H1351" i="8"/>
  <c r="A1351" i="8"/>
  <c r="Q1354" i="8"/>
  <c r="I1353" i="8"/>
  <c r="Q1352" i="8"/>
  <c r="I1352" i="8"/>
  <c r="Q1498" i="8"/>
  <c r="Q1497" i="8"/>
  <c r="Q1496" i="8"/>
  <c r="A1498" i="8"/>
  <c r="A1497" i="8"/>
  <c r="A1496" i="8"/>
  <c r="H1494" i="8"/>
  <c r="K1493" i="8"/>
  <c r="A1493" i="8"/>
  <c r="Q1495" i="8"/>
  <c r="I1498" i="8"/>
  <c r="I1496" i="8"/>
  <c r="R1494" i="8"/>
  <c r="A1494" i="8"/>
  <c r="I1495" i="8"/>
  <c r="A1495" i="8"/>
  <c r="Q2246" i="8"/>
  <c r="A2246" i="8"/>
  <c r="Q2249" i="8"/>
  <c r="A2244" i="8"/>
  <c r="K2244" i="8"/>
  <c r="I2249" i="8"/>
  <c r="Q2248" i="8"/>
  <c r="A2249" i="8"/>
  <c r="Q2247" i="8"/>
  <c r="I2247" i="8"/>
  <c r="I2246" i="8"/>
  <c r="A2248" i="8"/>
  <c r="A2245" i="8"/>
  <c r="A2247" i="8"/>
  <c r="R2245" i="8"/>
  <c r="H2245" i="8"/>
  <c r="H10" i="19"/>
  <c r="G62" i="3"/>
  <c r="U213" i="1"/>
  <c r="C213" i="1"/>
  <c r="A213" i="1"/>
  <c r="R213" i="1"/>
  <c r="O213" i="1"/>
  <c r="L213" i="1"/>
  <c r="R146" i="1"/>
  <c r="O146" i="1"/>
  <c r="L146" i="1"/>
  <c r="C146" i="1"/>
  <c r="A146" i="1"/>
  <c r="U146" i="1"/>
  <c r="U266" i="1"/>
  <c r="C266" i="1"/>
  <c r="A266" i="1"/>
  <c r="R266" i="1"/>
  <c r="O266" i="1"/>
  <c r="L266" i="1"/>
  <c r="C52" i="1"/>
  <c r="U52" i="1"/>
  <c r="O52" i="1"/>
  <c r="A52" i="1"/>
  <c r="R52" i="1"/>
  <c r="L52" i="1"/>
  <c r="U56" i="1"/>
  <c r="C56" i="1"/>
  <c r="A56" i="1"/>
  <c r="L56" i="1"/>
  <c r="R56" i="1"/>
  <c r="O56" i="1"/>
  <c r="U27" i="1"/>
  <c r="C27" i="1"/>
  <c r="L27" i="1"/>
  <c r="A27" i="1"/>
  <c r="U33" i="1"/>
  <c r="C33" i="1"/>
  <c r="O33" i="1"/>
  <c r="R33" i="1"/>
  <c r="A33" i="1"/>
  <c r="L33" i="1"/>
  <c r="U42" i="1"/>
  <c r="C42" i="1"/>
  <c r="R42" i="1"/>
  <c r="O42" i="1"/>
  <c r="A42" i="1"/>
  <c r="L42" i="1"/>
  <c r="U183" i="1"/>
  <c r="C183" i="1"/>
  <c r="R183" i="1"/>
  <c r="L183" i="1"/>
  <c r="O183" i="1"/>
  <c r="A183" i="1"/>
  <c r="C120" i="1"/>
  <c r="A120" i="1"/>
  <c r="R120" i="1"/>
  <c r="O120" i="1"/>
  <c r="U120" i="1"/>
  <c r="L120" i="1"/>
  <c r="U67" i="1"/>
  <c r="C67" i="1"/>
  <c r="L67" i="1"/>
  <c r="O67" i="1"/>
  <c r="A67" i="1"/>
  <c r="R67" i="1"/>
  <c r="U263" i="1"/>
  <c r="C263" i="1"/>
  <c r="L263" i="1"/>
  <c r="A263" i="1"/>
  <c r="R263" i="1"/>
  <c r="O263" i="1"/>
  <c r="U217" i="1"/>
  <c r="C217" i="1"/>
  <c r="A217" i="1"/>
  <c r="O217" i="1"/>
  <c r="R217" i="1"/>
  <c r="L217" i="1"/>
  <c r="P31" i="15"/>
  <c r="P29" i="15"/>
  <c r="P30" i="15"/>
  <c r="M54" i="15"/>
  <c r="M49" i="15"/>
  <c r="P33" i="15"/>
  <c r="P28" i="15"/>
  <c r="AA7" i="15"/>
  <c r="M58" i="15"/>
  <c r="M44" i="15"/>
  <c r="P36" i="15"/>
  <c r="P34" i="15"/>
  <c r="P27" i="15"/>
  <c r="M40" i="15"/>
  <c r="P37" i="15"/>
  <c r="P35" i="15"/>
  <c r="L26" i="1"/>
  <c r="U26" i="1"/>
  <c r="C26" i="1"/>
  <c r="A26" i="1"/>
  <c r="U173" i="1"/>
  <c r="C173" i="1"/>
  <c r="O173" i="1"/>
  <c r="R173" i="1"/>
  <c r="A173" i="1"/>
  <c r="L173" i="1"/>
  <c r="R34" i="1"/>
  <c r="A34" i="1"/>
  <c r="O34" i="1"/>
  <c r="L34" i="1"/>
  <c r="U34" i="1"/>
  <c r="C34" i="1"/>
  <c r="U209" i="1"/>
  <c r="C209" i="1"/>
  <c r="R209" i="1"/>
  <c r="O209" i="1"/>
  <c r="L209" i="1"/>
  <c r="A209" i="1"/>
  <c r="O54" i="1"/>
  <c r="U54" i="1"/>
  <c r="R54" i="1"/>
  <c r="L54" i="1"/>
  <c r="A54" i="1"/>
  <c r="C54" i="1"/>
  <c r="O40" i="1"/>
  <c r="A40" i="1"/>
  <c r="U40" i="1"/>
  <c r="R40" i="1"/>
  <c r="L40" i="1"/>
  <c r="C40" i="1"/>
  <c r="A327" i="8"/>
  <c r="I326" i="8"/>
  <c r="I327" i="8"/>
  <c r="H325" i="8"/>
  <c r="Q329" i="8"/>
  <c r="I329" i="8"/>
  <c r="A329" i="8"/>
  <c r="Q328" i="8"/>
  <c r="Q326" i="8"/>
  <c r="K324" i="8"/>
  <c r="A324" i="8"/>
  <c r="A328" i="8"/>
  <c r="R325" i="8"/>
  <c r="A325" i="8"/>
  <c r="Q327" i="8"/>
  <c r="A326" i="8"/>
  <c r="P26" i="7"/>
  <c r="AH17" i="6"/>
  <c r="P79" i="20"/>
  <c r="V79" i="20"/>
  <c r="I79" i="20"/>
  <c r="A79" i="20"/>
  <c r="D79" i="20"/>
  <c r="M79" i="20"/>
  <c r="S79" i="20"/>
  <c r="T79" i="20"/>
  <c r="S66" i="23"/>
  <c r="I66" i="23"/>
  <c r="D66" i="23"/>
  <c r="A66" i="23"/>
  <c r="P66" i="23"/>
  <c r="T66" i="23"/>
  <c r="M66" i="23"/>
  <c r="V66" i="23"/>
  <c r="V89" i="17"/>
  <c r="P89" i="17"/>
  <c r="I89" i="17"/>
  <c r="D89" i="17"/>
  <c r="T89" i="17"/>
  <c r="S89" i="17"/>
  <c r="A89" i="17"/>
  <c r="M89" i="17"/>
  <c r="A69" i="21"/>
  <c r="T69" i="21"/>
  <c r="P69" i="21"/>
  <c r="I69" i="21"/>
  <c r="D69" i="21"/>
  <c r="S69" i="21"/>
  <c r="M69" i="21"/>
  <c r="V69" i="21"/>
  <c r="V77" i="21"/>
  <c r="P77" i="21"/>
  <c r="M77" i="21"/>
  <c r="S77" i="21"/>
  <c r="I77" i="21"/>
  <c r="D77" i="21"/>
  <c r="T77" i="21"/>
  <c r="A77" i="21"/>
  <c r="I89" i="36"/>
  <c r="D89" i="36"/>
  <c r="P89" i="36"/>
  <c r="M89" i="36"/>
  <c r="A89" i="36"/>
  <c r="T89" i="36"/>
  <c r="S89" i="36"/>
  <c r="V89" i="36"/>
  <c r="P85" i="22"/>
  <c r="V85" i="22"/>
  <c r="S85" i="22"/>
  <c r="I85" i="22"/>
  <c r="A85" i="22"/>
  <c r="T85" i="22"/>
  <c r="M85" i="22"/>
  <c r="D85" i="22"/>
  <c r="T88" i="36"/>
  <c r="V88" i="36"/>
  <c r="S88" i="36"/>
  <c r="P88" i="36"/>
  <c r="A88" i="36"/>
  <c r="I88" i="36"/>
  <c r="D88" i="36"/>
  <c r="M88" i="36"/>
  <c r="V79" i="36"/>
  <c r="S79" i="36"/>
  <c r="M79" i="36"/>
  <c r="T79" i="36"/>
  <c r="P79" i="36"/>
  <c r="I79" i="36"/>
  <c r="A79" i="36"/>
  <c r="D79" i="36"/>
  <c r="R249" i="8"/>
  <c r="A249" i="8"/>
  <c r="A253" i="8"/>
  <c r="I251" i="8"/>
  <c r="K248" i="8"/>
  <c r="A248" i="8"/>
  <c r="Q253" i="8"/>
  <c r="I253" i="8"/>
  <c r="Q250" i="8"/>
  <c r="I250" i="8"/>
  <c r="Q252" i="8"/>
  <c r="A252" i="8"/>
  <c r="Q251" i="8"/>
  <c r="A251" i="8"/>
  <c r="A250" i="8"/>
  <c r="H249" i="8"/>
  <c r="Q773" i="8"/>
  <c r="A773" i="8"/>
  <c r="R772" i="8"/>
  <c r="A776" i="8"/>
  <c r="Q774" i="8"/>
  <c r="I774" i="8"/>
  <c r="K771" i="8"/>
  <c r="A771" i="8"/>
  <c r="A775" i="8"/>
  <c r="A774" i="8"/>
  <c r="Q776" i="8"/>
  <c r="I776" i="8"/>
  <c r="Q775" i="8"/>
  <c r="A772" i="8"/>
  <c r="I773" i="8"/>
  <c r="H772" i="8"/>
  <c r="A1563" i="8"/>
  <c r="I1562" i="8"/>
  <c r="A1562" i="8"/>
  <c r="H1561" i="8"/>
  <c r="A1564" i="8"/>
  <c r="I1563" i="8"/>
  <c r="Q1562" i="8"/>
  <c r="A1561" i="8"/>
  <c r="Q1565" i="8"/>
  <c r="I1565" i="8"/>
  <c r="K1560" i="8"/>
  <c r="A1560" i="8"/>
  <c r="R1561" i="8"/>
  <c r="A1565" i="8"/>
  <c r="Q1564" i="8"/>
  <c r="Q1563" i="8"/>
  <c r="A1579" i="8"/>
  <c r="I1583" i="8"/>
  <c r="K1578" i="8"/>
  <c r="A1583" i="8"/>
  <c r="A1578" i="8"/>
  <c r="A1582" i="8"/>
  <c r="Q1582" i="8"/>
  <c r="Q1581" i="8"/>
  <c r="A1581" i="8"/>
  <c r="Q1580" i="8"/>
  <c r="Q1583" i="8"/>
  <c r="I1581" i="8"/>
  <c r="I1580" i="8"/>
  <c r="A1580" i="8"/>
  <c r="R1579" i="8"/>
  <c r="H1579" i="8"/>
  <c r="A358" i="8"/>
  <c r="A353" i="8"/>
  <c r="A357" i="8"/>
  <c r="I355" i="8"/>
  <c r="A354" i="8"/>
  <c r="R354" i="8"/>
  <c r="H354" i="8"/>
  <c r="K353" i="8"/>
  <c r="Q358" i="8"/>
  <c r="I358" i="8"/>
  <c r="Q357" i="8"/>
  <c r="Q356" i="8"/>
  <c r="I356" i="8"/>
  <c r="A356" i="8"/>
  <c r="Q355" i="8"/>
  <c r="A355" i="8"/>
  <c r="A345" i="8"/>
  <c r="I349" i="8"/>
  <c r="K344" i="8"/>
  <c r="Q346" i="8"/>
  <c r="H345" i="8"/>
  <c r="A344" i="8"/>
  <c r="Q349" i="8"/>
  <c r="Q348" i="8"/>
  <c r="A348" i="8"/>
  <c r="I346" i="8"/>
  <c r="A346" i="8"/>
  <c r="R345" i="8"/>
  <c r="I347" i="8"/>
  <c r="A347" i="8"/>
  <c r="A349" i="8"/>
  <c r="Q347" i="8"/>
  <c r="A1162" i="8"/>
  <c r="H1161" i="8"/>
  <c r="I1163" i="8"/>
  <c r="A1163" i="8"/>
  <c r="I1162" i="8"/>
  <c r="Q1162" i="8"/>
  <c r="Q1163" i="8"/>
  <c r="R1161" i="8"/>
  <c r="A1161" i="8"/>
  <c r="K1160" i="8"/>
  <c r="I1165" i="8"/>
  <c r="A1165" i="8"/>
  <c r="Q1164" i="8"/>
  <c r="A1164" i="8"/>
  <c r="A1160" i="8"/>
  <c r="Q1165" i="8"/>
  <c r="I2285" i="8"/>
  <c r="Q2284" i="8"/>
  <c r="Q2287" i="8"/>
  <c r="A2282" i="8"/>
  <c r="A2287" i="8"/>
  <c r="A2285" i="8"/>
  <c r="A2284" i="8"/>
  <c r="R2283" i="8"/>
  <c r="A2283" i="8"/>
  <c r="K2282" i="8"/>
  <c r="Q2285" i="8"/>
  <c r="H2283" i="8"/>
  <c r="Q2286" i="8"/>
  <c r="I2287" i="8"/>
  <c r="A2286" i="8"/>
  <c r="I2284" i="8"/>
  <c r="A1726" i="8"/>
  <c r="A1721" i="8"/>
  <c r="A1725" i="8"/>
  <c r="Q1724" i="8"/>
  <c r="A1724" i="8"/>
  <c r="I1726" i="8"/>
  <c r="Q1725" i="8"/>
  <c r="Q1723" i="8"/>
  <c r="A1722" i="8"/>
  <c r="K1721" i="8"/>
  <c r="R1722" i="8"/>
  <c r="H1722" i="8"/>
  <c r="Q1726" i="8"/>
  <c r="I1724" i="8"/>
  <c r="I1723" i="8"/>
  <c r="A1723" i="8"/>
  <c r="H430" i="8"/>
  <c r="Q434" i="8"/>
  <c r="K429" i="8"/>
  <c r="Q433" i="8"/>
  <c r="A430" i="8"/>
  <c r="A429" i="8"/>
  <c r="I434" i="8"/>
  <c r="I432" i="8"/>
  <c r="A432" i="8"/>
  <c r="R430" i="8"/>
  <c r="A431" i="8"/>
  <c r="A434" i="8"/>
  <c r="Q431" i="8"/>
  <c r="I431" i="8"/>
  <c r="A433" i="8"/>
  <c r="Q432" i="8"/>
  <c r="Q794" i="8"/>
  <c r="A794" i="8"/>
  <c r="A789" i="8"/>
  <c r="R790" i="8"/>
  <c r="I794" i="8"/>
  <c r="Q792" i="8"/>
  <c r="I792" i="8"/>
  <c r="A793" i="8"/>
  <c r="A792" i="8"/>
  <c r="Q791" i="8"/>
  <c r="I791" i="8"/>
  <c r="A791" i="8"/>
  <c r="Q793" i="8"/>
  <c r="A790" i="8"/>
  <c r="K789" i="8"/>
  <c r="H790" i="8"/>
  <c r="A1755" i="8"/>
  <c r="A1754" i="8"/>
  <c r="A1752" i="8"/>
  <c r="H1751" i="8"/>
  <c r="A1751" i="8"/>
  <c r="K1750" i="8"/>
  <c r="I1752" i="8"/>
  <c r="A1750" i="8"/>
  <c r="A1753" i="8"/>
  <c r="Q1753" i="8"/>
  <c r="I1753" i="8"/>
  <c r="Q1752" i="8"/>
  <c r="R1751" i="8"/>
  <c r="Q1755" i="8"/>
  <c r="I1755" i="8"/>
  <c r="Q1754" i="8"/>
  <c r="H1257" i="8"/>
  <c r="Q1261" i="8"/>
  <c r="A1258" i="8"/>
  <c r="A1257" i="8"/>
  <c r="K1256" i="8"/>
  <c r="I1261" i="8"/>
  <c r="Q1258" i="8"/>
  <c r="A1261" i="8"/>
  <c r="Q1260" i="8"/>
  <c r="A1260" i="8"/>
  <c r="Q1259" i="8"/>
  <c r="I1259" i="8"/>
  <c r="I1258" i="8"/>
  <c r="A1259" i="8"/>
  <c r="A1256" i="8"/>
  <c r="R1257" i="8"/>
  <c r="R1485" i="8"/>
  <c r="Q1489" i="8"/>
  <c r="A1489" i="8"/>
  <c r="A1484" i="8"/>
  <c r="I1489" i="8"/>
  <c r="A1488" i="8"/>
  <c r="Q1487" i="8"/>
  <c r="A1487" i="8"/>
  <c r="Q1488" i="8"/>
  <c r="I1487" i="8"/>
  <c r="Q1486" i="8"/>
  <c r="H1485" i="8"/>
  <c r="A1485" i="8"/>
  <c r="K1484" i="8"/>
  <c r="A1486" i="8"/>
  <c r="I1486" i="8"/>
  <c r="Q1630" i="8"/>
  <c r="A1630" i="8"/>
  <c r="A1625" i="8"/>
  <c r="Q1629" i="8"/>
  <c r="Q1628" i="8"/>
  <c r="A1628" i="8"/>
  <c r="I1627" i="8"/>
  <c r="A1627" i="8"/>
  <c r="H1626" i="8"/>
  <c r="Q1627" i="8"/>
  <c r="I1630" i="8"/>
  <c r="A1629" i="8"/>
  <c r="I1628" i="8"/>
  <c r="R1626" i="8"/>
  <c r="A1626" i="8"/>
  <c r="K1625" i="8"/>
  <c r="H2169" i="8"/>
  <c r="Q2173" i="8"/>
  <c r="Q2170" i="8"/>
  <c r="A2170" i="8"/>
  <c r="A2169" i="8"/>
  <c r="A2168" i="8"/>
  <c r="I2173" i="8"/>
  <c r="Q2172" i="8"/>
  <c r="A2172" i="8"/>
  <c r="I2171" i="8"/>
  <c r="R2169" i="8"/>
  <c r="A2173" i="8"/>
  <c r="Q2171" i="8"/>
  <c r="A2171" i="8"/>
  <c r="I2170" i="8"/>
  <c r="K2168" i="8"/>
  <c r="H10" i="25"/>
  <c r="U182" i="1"/>
  <c r="C182" i="1"/>
  <c r="O182" i="1"/>
  <c r="R182" i="1"/>
  <c r="L182" i="1"/>
  <c r="A182" i="1"/>
  <c r="R48" i="1"/>
  <c r="U48" i="1"/>
  <c r="O48" i="1"/>
  <c r="L48" i="1"/>
  <c r="A48" i="1"/>
  <c r="C48" i="1"/>
  <c r="U256" i="1"/>
  <c r="L256" i="1"/>
  <c r="C256" i="1"/>
  <c r="A256" i="1"/>
  <c r="R256" i="1"/>
  <c r="O256" i="1"/>
  <c r="O58" i="1"/>
  <c r="A58" i="1"/>
  <c r="L58" i="1"/>
  <c r="C58" i="1"/>
  <c r="U58" i="1"/>
  <c r="R58" i="1"/>
  <c r="U59" i="1"/>
  <c r="C59" i="1"/>
  <c r="A59" i="1"/>
  <c r="R59" i="1"/>
  <c r="O59" i="1"/>
  <c r="L59" i="1"/>
  <c r="C80" i="1"/>
  <c r="R80" i="1"/>
  <c r="U80" i="1"/>
  <c r="L80" i="1"/>
  <c r="O80" i="1"/>
  <c r="A80" i="1"/>
  <c r="O110" i="1"/>
  <c r="U110" i="1"/>
  <c r="L110" i="1"/>
  <c r="R110" i="1"/>
  <c r="C110" i="1"/>
  <c r="A110" i="1"/>
  <c r="U45" i="1"/>
  <c r="C45" i="1"/>
  <c r="A45" i="1"/>
  <c r="R45" i="1"/>
  <c r="O45" i="1"/>
  <c r="L45" i="1"/>
  <c r="U197" i="1"/>
  <c r="C197" i="1"/>
  <c r="L197" i="1"/>
  <c r="A197" i="1"/>
  <c r="R197" i="1"/>
  <c r="O197" i="1"/>
  <c r="U134" i="1"/>
  <c r="R134" i="1"/>
  <c r="L134" i="1"/>
  <c r="O134" i="1"/>
  <c r="C134" i="1"/>
  <c r="A134" i="1"/>
  <c r="U81" i="1"/>
  <c r="C81" i="1"/>
  <c r="L81" i="1"/>
  <c r="O81" i="1"/>
  <c r="A81" i="1"/>
  <c r="R81" i="1"/>
  <c r="U35" i="1"/>
  <c r="C35" i="1"/>
  <c r="A35" i="1"/>
  <c r="O35" i="1"/>
  <c r="R35" i="1"/>
  <c r="L35" i="1"/>
  <c r="U231" i="1"/>
  <c r="C231" i="1"/>
  <c r="A231" i="1"/>
  <c r="O231" i="1"/>
  <c r="L231" i="1"/>
  <c r="R231" i="1"/>
  <c r="M44" i="18"/>
  <c r="M40" i="18"/>
  <c r="P29" i="18"/>
  <c r="P27" i="18"/>
  <c r="M54" i="18"/>
  <c r="M49" i="18"/>
  <c r="AA7" i="18"/>
  <c r="P35" i="18"/>
  <c r="P33" i="18"/>
  <c r="P31" i="18"/>
  <c r="P28" i="18"/>
  <c r="P30" i="18"/>
  <c r="M58" i="18"/>
  <c r="P37" i="18"/>
  <c r="P36" i="18"/>
  <c r="P34" i="18"/>
  <c r="U111" i="1"/>
  <c r="C111" i="1"/>
  <c r="R111" i="1"/>
  <c r="A111" i="1"/>
  <c r="O111" i="1"/>
  <c r="L111" i="1"/>
  <c r="U227" i="1"/>
  <c r="C227" i="1"/>
  <c r="A227" i="1"/>
  <c r="R227" i="1"/>
  <c r="O227" i="1"/>
  <c r="L227" i="1"/>
  <c r="Q145" i="8"/>
  <c r="H144" i="8"/>
  <c r="K143" i="8"/>
  <c r="Q148" i="8"/>
  <c r="A143" i="8"/>
  <c r="I148" i="8"/>
  <c r="A148" i="8"/>
  <c r="Q147" i="8"/>
  <c r="A146" i="8"/>
  <c r="A147" i="8"/>
  <c r="Q146" i="8"/>
  <c r="I146" i="8"/>
  <c r="I145" i="8"/>
  <c r="A145" i="8"/>
  <c r="R144" i="8"/>
  <c r="A144" i="8"/>
  <c r="U199" i="1"/>
  <c r="C199" i="1"/>
  <c r="A199" i="1"/>
  <c r="R199" i="1"/>
  <c r="L199" i="1"/>
  <c r="O199" i="1"/>
  <c r="U153" i="1"/>
  <c r="C153" i="1"/>
  <c r="R153" i="1"/>
  <c r="O153" i="1"/>
  <c r="L153" i="1"/>
  <c r="A153" i="1"/>
  <c r="T20" i="2"/>
  <c r="R30" i="8"/>
  <c r="I1648" i="8"/>
  <c r="Q1647" i="8"/>
  <c r="I1647" i="8"/>
  <c r="R1646" i="8"/>
  <c r="I1650" i="8"/>
  <c r="Q1649" i="8"/>
  <c r="A1649" i="8"/>
  <c r="A1648" i="8"/>
  <c r="K1645" i="8"/>
  <c r="Q1650" i="8"/>
  <c r="A1650" i="8"/>
  <c r="Q1648" i="8"/>
  <c r="A1646" i="8"/>
  <c r="A1645" i="8"/>
  <c r="A1647" i="8"/>
  <c r="H1646" i="8"/>
  <c r="AJ11" i="6"/>
  <c r="U20" i="7"/>
  <c r="K11" i="5"/>
  <c r="AN11" i="6"/>
  <c r="AN23" i="6"/>
  <c r="U32" i="7"/>
  <c r="AJ23" i="6"/>
  <c r="K23" i="5"/>
  <c r="I812" i="8"/>
  <c r="Q811" i="8"/>
  <c r="A810" i="8"/>
  <c r="Q814" i="8"/>
  <c r="Q813" i="8"/>
  <c r="A813" i="8"/>
  <c r="K809" i="8"/>
  <c r="A809" i="8"/>
  <c r="Q812" i="8"/>
  <c r="A812" i="8"/>
  <c r="H810" i="8"/>
  <c r="I814" i="8"/>
  <c r="A814" i="8"/>
  <c r="I811" i="8"/>
  <c r="A811" i="8"/>
  <c r="R810" i="8"/>
  <c r="I80" i="21"/>
  <c r="P80" i="21"/>
  <c r="D80" i="21"/>
  <c r="S80" i="21"/>
  <c r="M80" i="21"/>
  <c r="V80" i="21"/>
  <c r="A80" i="21"/>
  <c r="T80" i="21"/>
  <c r="M64" i="21"/>
  <c r="T64" i="21"/>
  <c r="D64" i="21"/>
  <c r="A64" i="21"/>
  <c r="P64" i="21"/>
  <c r="V64" i="21"/>
  <c r="S64" i="21"/>
  <c r="I64" i="21"/>
  <c r="V87" i="25"/>
  <c r="M87" i="25"/>
  <c r="S87" i="25"/>
  <c r="I87" i="25"/>
  <c r="D87" i="25"/>
  <c r="A87" i="25"/>
  <c r="T87" i="25"/>
  <c r="P87" i="25"/>
  <c r="D67" i="15"/>
  <c r="V67" i="15"/>
  <c r="P67" i="15"/>
  <c r="I67" i="15"/>
  <c r="T67" i="15"/>
  <c r="S67" i="15"/>
  <c r="M67" i="15"/>
  <c r="A67" i="15"/>
  <c r="I64" i="16"/>
  <c r="V64" i="16"/>
  <c r="T64" i="16"/>
  <c r="P64" i="16"/>
  <c r="S64" i="16"/>
  <c r="D64" i="16"/>
  <c r="M64" i="16"/>
  <c r="A64" i="16"/>
  <c r="S89" i="16"/>
  <c r="M89" i="16"/>
  <c r="I89" i="16"/>
  <c r="A89" i="16"/>
  <c r="D89" i="16"/>
  <c r="V89" i="16"/>
  <c r="T89" i="16"/>
  <c r="P89" i="16"/>
  <c r="S89" i="15"/>
  <c r="I89" i="15"/>
  <c r="A89" i="15"/>
  <c r="T89" i="15"/>
  <c r="V89" i="15"/>
  <c r="M89" i="15"/>
  <c r="D89" i="15"/>
  <c r="P89" i="15"/>
  <c r="T92" i="23"/>
  <c r="P92" i="23"/>
  <c r="M92" i="23"/>
  <c r="I92" i="23"/>
  <c r="V92" i="23"/>
  <c r="S92" i="23"/>
  <c r="D92" i="23"/>
  <c r="A92" i="23"/>
  <c r="T83" i="23"/>
  <c r="S83" i="23"/>
  <c r="I83" i="23"/>
  <c r="D83" i="23"/>
  <c r="P83" i="23"/>
  <c r="A83" i="23"/>
  <c r="V83" i="23"/>
  <c r="M83" i="23"/>
  <c r="A90" i="17"/>
  <c r="T90" i="17"/>
  <c r="D90" i="17"/>
  <c r="S90" i="17"/>
  <c r="P90" i="17"/>
  <c r="M90" i="17"/>
  <c r="I90" i="17"/>
  <c r="V90" i="17"/>
  <c r="V81" i="18"/>
  <c r="T81" i="18"/>
  <c r="P81" i="18"/>
  <c r="S81" i="18"/>
  <c r="I81" i="18"/>
  <c r="M81" i="18"/>
  <c r="D81" i="18"/>
  <c r="A81" i="18"/>
  <c r="I85" i="25"/>
  <c r="D85" i="25"/>
  <c r="S85" i="25"/>
  <c r="P85" i="25"/>
  <c r="A85" i="25"/>
  <c r="M85" i="25"/>
  <c r="T85" i="25"/>
  <c r="V85" i="25"/>
  <c r="I93" i="19"/>
  <c r="T93" i="19"/>
  <c r="S93" i="19"/>
  <c r="P93" i="19"/>
  <c r="D93" i="19"/>
  <c r="A93" i="19"/>
  <c r="V93" i="19"/>
  <c r="M93" i="19"/>
  <c r="T72" i="17"/>
  <c r="V72" i="17"/>
  <c r="P72" i="17"/>
  <c r="D72" i="17"/>
  <c r="S72" i="17"/>
  <c r="M72" i="17"/>
  <c r="I72" i="17"/>
  <c r="A72" i="17"/>
  <c r="M73" i="26"/>
  <c r="V73" i="26"/>
  <c r="T73" i="26"/>
  <c r="S73" i="26"/>
  <c r="P73" i="26"/>
  <c r="I73" i="26"/>
  <c r="D73" i="26"/>
  <c r="A73" i="26"/>
  <c r="A87" i="24"/>
  <c r="V87" i="24"/>
  <c r="S87" i="24"/>
  <c r="I87" i="24"/>
  <c r="D87" i="24"/>
  <c r="P87" i="24"/>
  <c r="T87" i="24"/>
  <c r="M87" i="24"/>
  <c r="S88" i="21"/>
  <c r="D88" i="21"/>
  <c r="V88" i="21"/>
  <c r="T88" i="21"/>
  <c r="P88" i="21"/>
  <c r="M88" i="21"/>
  <c r="A88" i="21"/>
  <c r="I88" i="21"/>
  <c r="S84" i="21"/>
  <c r="V84" i="21"/>
  <c r="T84" i="21"/>
  <c r="M84" i="21"/>
  <c r="I84" i="21"/>
  <c r="D84" i="21"/>
  <c r="P84" i="21"/>
  <c r="A84" i="21"/>
  <c r="T87" i="21"/>
  <c r="S87" i="21"/>
  <c r="I87" i="21"/>
  <c r="D87" i="21"/>
  <c r="P87" i="21"/>
  <c r="V87" i="21"/>
  <c r="M87" i="21"/>
  <c r="A87" i="21"/>
  <c r="P87" i="22"/>
  <c r="T87" i="22"/>
  <c r="D87" i="22"/>
  <c r="V87" i="22"/>
  <c r="S87" i="22"/>
  <c r="M87" i="22"/>
  <c r="A87" i="22"/>
  <c r="I87" i="22"/>
  <c r="T85" i="23"/>
  <c r="I85" i="23"/>
  <c r="P85" i="23"/>
  <c r="A85" i="23"/>
  <c r="M85" i="23"/>
  <c r="D85" i="23"/>
  <c r="S85" i="23"/>
  <c r="V85" i="23"/>
  <c r="I77" i="26"/>
  <c r="D77" i="26"/>
  <c r="V77" i="26"/>
  <c r="M77" i="26"/>
  <c r="T77" i="26"/>
  <c r="P77" i="26"/>
  <c r="A77" i="26"/>
  <c r="S77" i="26"/>
  <c r="T65" i="22"/>
  <c r="M65" i="22"/>
  <c r="V65" i="22"/>
  <c r="P65" i="22"/>
  <c r="S65" i="22"/>
  <c r="I65" i="22"/>
  <c r="A65" i="22"/>
  <c r="D65" i="22"/>
  <c r="M92" i="36"/>
  <c r="I92" i="36"/>
  <c r="A92" i="36"/>
  <c r="T92" i="36"/>
  <c r="S92" i="36"/>
  <c r="P92" i="36"/>
  <c r="V92" i="36"/>
  <c r="D92" i="36"/>
  <c r="V93" i="26"/>
  <c r="T93" i="26"/>
  <c r="A93" i="26"/>
  <c r="M93" i="26"/>
  <c r="I93" i="26"/>
  <c r="P93" i="26"/>
  <c r="S93" i="26"/>
  <c r="D93" i="26"/>
  <c r="V77" i="23"/>
  <c r="I77" i="23"/>
  <c r="A77" i="23"/>
  <c r="T77" i="23"/>
  <c r="S77" i="23"/>
  <c r="P77" i="23"/>
  <c r="D77" i="23"/>
  <c r="M77" i="23"/>
  <c r="I64" i="25"/>
  <c r="M64" i="25"/>
  <c r="A64" i="25"/>
  <c r="S64" i="25"/>
  <c r="P64" i="25"/>
  <c r="D64" i="25"/>
  <c r="V64" i="25"/>
  <c r="T64" i="25"/>
  <c r="V93" i="36"/>
  <c r="S93" i="36"/>
  <c r="M93" i="36"/>
  <c r="T93" i="36"/>
  <c r="P93" i="36"/>
  <c r="I93" i="36"/>
  <c r="D93" i="36"/>
  <c r="A93" i="36"/>
  <c r="Q1068" i="8"/>
  <c r="A1068" i="8"/>
  <c r="Q1071" i="8"/>
  <c r="A1066" i="8"/>
  <c r="I1071" i="8"/>
  <c r="Q1070" i="8"/>
  <c r="Q1069" i="8"/>
  <c r="K1066" i="8"/>
  <c r="A1071" i="8"/>
  <c r="A1070" i="8"/>
  <c r="A1069" i="8"/>
  <c r="I1068" i="8"/>
  <c r="I1069" i="8"/>
  <c r="R1067" i="8"/>
  <c r="H1067" i="8"/>
  <c r="A1067" i="8"/>
  <c r="A203" i="8"/>
  <c r="H202" i="8"/>
  <c r="K201" i="8"/>
  <c r="Q205" i="8"/>
  <c r="I204" i="8"/>
  <c r="A204" i="8"/>
  <c r="Q203" i="8"/>
  <c r="I203" i="8"/>
  <c r="R202" i="8"/>
  <c r="A201" i="8"/>
  <c r="Q206" i="8"/>
  <c r="I206" i="8"/>
  <c r="A206" i="8"/>
  <c r="A205" i="8"/>
  <c r="Q204" i="8"/>
  <c r="A202" i="8"/>
  <c r="Q1733" i="8"/>
  <c r="A1733" i="8"/>
  <c r="Q1732" i="8"/>
  <c r="A1732" i="8"/>
  <c r="A1730" i="8"/>
  <c r="Q1735" i="8"/>
  <c r="I1735" i="8"/>
  <c r="Q1734" i="8"/>
  <c r="A1734" i="8"/>
  <c r="A1735" i="8"/>
  <c r="I1733" i="8"/>
  <c r="I1732" i="8"/>
  <c r="R1731" i="8"/>
  <c r="H1731" i="8"/>
  <c r="A1731" i="8"/>
  <c r="K1730" i="8"/>
  <c r="R781" i="8"/>
  <c r="A781" i="8"/>
  <c r="A782" i="8"/>
  <c r="A785" i="8"/>
  <c r="Q783" i="8"/>
  <c r="I783" i="8"/>
  <c r="I782" i="8"/>
  <c r="H781" i="8"/>
  <c r="K780" i="8"/>
  <c r="A780" i="8"/>
  <c r="Q785" i="8"/>
  <c r="I785" i="8"/>
  <c r="Q784" i="8"/>
  <c r="A784" i="8"/>
  <c r="A783" i="8"/>
  <c r="Q782" i="8"/>
  <c r="Q499" i="8"/>
  <c r="A499" i="8"/>
  <c r="Q498" i="8"/>
  <c r="I501" i="8"/>
  <c r="A500" i="8"/>
  <c r="I499" i="8"/>
  <c r="K496" i="8"/>
  <c r="A496" i="8"/>
  <c r="Q501" i="8"/>
  <c r="A501" i="8"/>
  <c r="R497" i="8"/>
  <c r="A497" i="8"/>
  <c r="A498" i="8"/>
  <c r="H497" i="8"/>
  <c r="Q500" i="8"/>
  <c r="I498" i="8"/>
  <c r="Q1200" i="8"/>
  <c r="A1200" i="8"/>
  <c r="I1200" i="8"/>
  <c r="R1199" i="8"/>
  <c r="A1199" i="8"/>
  <c r="K1198" i="8"/>
  <c r="I1201" i="8"/>
  <c r="A1201" i="8"/>
  <c r="H1199" i="8"/>
  <c r="A1198" i="8"/>
  <c r="I1203" i="8"/>
  <c r="A1203" i="8"/>
  <c r="Q1202" i="8"/>
  <c r="A1202" i="8"/>
  <c r="Q1201" i="8"/>
  <c r="Q1203" i="8"/>
  <c r="R2386" i="8"/>
  <c r="A2386" i="8"/>
  <c r="A2388" i="8"/>
  <c r="I2387" i="8"/>
  <c r="Q2389" i="8"/>
  <c r="Q2388" i="8"/>
  <c r="I2388" i="8"/>
  <c r="A2387" i="8"/>
  <c r="A2385" i="8"/>
  <c r="Q2390" i="8"/>
  <c r="Q2387" i="8"/>
  <c r="H2386" i="8"/>
  <c r="A2389" i="8"/>
  <c r="K2385" i="8"/>
  <c r="I2390" i="8"/>
  <c r="A2390" i="8"/>
  <c r="A1982" i="8"/>
  <c r="I1981" i="8"/>
  <c r="A1980" i="8"/>
  <c r="H1979" i="8"/>
  <c r="A1979" i="8"/>
  <c r="K1978" i="8"/>
  <c r="A1981" i="8"/>
  <c r="I1980" i="8"/>
  <c r="R1979" i="8"/>
  <c r="A1978" i="8"/>
  <c r="I1983" i="8"/>
  <c r="Q1983" i="8"/>
  <c r="A1983" i="8"/>
  <c r="Q1982" i="8"/>
  <c r="Q1980" i="8"/>
  <c r="Q1981" i="8"/>
  <c r="H562" i="8"/>
  <c r="Q566" i="8"/>
  <c r="R562" i="8"/>
  <c r="A561" i="8"/>
  <c r="A566" i="8"/>
  <c r="Q565" i="8"/>
  <c r="I566" i="8"/>
  <c r="A565" i="8"/>
  <c r="Q564" i="8"/>
  <c r="I564" i="8"/>
  <c r="A562" i="8"/>
  <c r="K561" i="8"/>
  <c r="A564" i="8"/>
  <c r="Q563" i="8"/>
  <c r="I563" i="8"/>
  <c r="A563" i="8"/>
  <c r="A1020" i="8"/>
  <c r="I1019" i="8"/>
  <c r="A1018" i="8"/>
  <c r="Q1022" i="8"/>
  <c r="A1017" i="8"/>
  <c r="Q1021" i="8"/>
  <c r="A1021" i="8"/>
  <c r="Q1020" i="8"/>
  <c r="I1022" i="8"/>
  <c r="A1022" i="8"/>
  <c r="A1019" i="8"/>
  <c r="R1018" i="8"/>
  <c r="Q1019" i="8"/>
  <c r="H1018" i="8"/>
  <c r="K1017" i="8"/>
  <c r="I1020" i="8"/>
  <c r="R2044" i="8"/>
  <c r="A2044" i="8"/>
  <c r="K2043" i="8"/>
  <c r="I2048" i="8"/>
  <c r="A2048" i="8"/>
  <c r="A2047" i="8"/>
  <c r="A2045" i="8"/>
  <c r="A2043" i="8"/>
  <c r="Q2045" i="8"/>
  <c r="H2044" i="8"/>
  <c r="A2046" i="8"/>
  <c r="I2045" i="8"/>
  <c r="Q2048" i="8"/>
  <c r="I2046" i="8"/>
  <c r="Q2047" i="8"/>
  <c r="Q2046" i="8"/>
  <c r="H1389" i="8"/>
  <c r="Q1393" i="8"/>
  <c r="A1392" i="8"/>
  <c r="I1391" i="8"/>
  <c r="A1391" i="8"/>
  <c r="I1390" i="8"/>
  <c r="R1389" i="8"/>
  <c r="A1389" i="8"/>
  <c r="K1388" i="8"/>
  <c r="A1388" i="8"/>
  <c r="A1393" i="8"/>
  <c r="Q1392" i="8"/>
  <c r="Q1391" i="8"/>
  <c r="Q1390" i="8"/>
  <c r="A1390" i="8"/>
  <c r="I1393" i="8"/>
  <c r="R1617" i="8"/>
  <c r="A1617" i="8"/>
  <c r="Q1621" i="8"/>
  <c r="A1621" i="8"/>
  <c r="A1616" i="8"/>
  <c r="Q1618" i="8"/>
  <c r="A1618" i="8"/>
  <c r="H1617" i="8"/>
  <c r="Q1619" i="8"/>
  <c r="I1619" i="8"/>
  <c r="A1619" i="8"/>
  <c r="I1618" i="8"/>
  <c r="K1616" i="8"/>
  <c r="I1621" i="8"/>
  <c r="Q1620" i="8"/>
  <c r="A1620" i="8"/>
  <c r="I1809" i="8"/>
  <c r="Q1808" i="8"/>
  <c r="Q1811" i="8"/>
  <c r="A1806" i="8"/>
  <c r="I1811" i="8"/>
  <c r="Q1810" i="8"/>
  <c r="A1811" i="8"/>
  <c r="A1810" i="8"/>
  <c r="A1809" i="8"/>
  <c r="A1807" i="8"/>
  <c r="Q1809" i="8"/>
  <c r="I1808" i="8"/>
  <c r="A1808" i="8"/>
  <c r="R1807" i="8"/>
  <c r="H1807" i="8"/>
  <c r="K1806" i="8"/>
  <c r="H2301" i="8"/>
  <c r="Q2305" i="8"/>
  <c r="A2305" i="8"/>
  <c r="A2304" i="8"/>
  <c r="Q2304" i="8"/>
  <c r="I2303" i="8"/>
  <c r="A2303" i="8"/>
  <c r="I2302" i="8"/>
  <c r="Q2303" i="8"/>
  <c r="Q2302" i="8"/>
  <c r="I2305" i="8"/>
  <c r="A2302" i="8"/>
  <c r="R2301" i="8"/>
  <c r="A2301" i="8"/>
  <c r="K2300" i="8"/>
  <c r="A2300" i="8"/>
  <c r="U172" i="1"/>
  <c r="L172" i="1"/>
  <c r="C172" i="1"/>
  <c r="R172" i="1"/>
  <c r="O172" i="1"/>
  <c r="A172" i="1"/>
  <c r="U126" i="1"/>
  <c r="C126" i="1"/>
  <c r="A126" i="1"/>
  <c r="R126" i="1"/>
  <c r="O126" i="1"/>
  <c r="L126" i="1"/>
  <c r="C220" i="1"/>
  <c r="L220" i="1"/>
  <c r="A220" i="1"/>
  <c r="U220" i="1"/>
  <c r="R220" i="1"/>
  <c r="O220" i="1"/>
  <c r="U70" i="1"/>
  <c r="C70" i="1"/>
  <c r="R70" i="1"/>
  <c r="L70" i="1"/>
  <c r="O70" i="1"/>
  <c r="A70" i="1"/>
  <c r="U65" i="1"/>
  <c r="C65" i="1"/>
  <c r="O65" i="1"/>
  <c r="A65" i="1"/>
  <c r="L65" i="1"/>
  <c r="R65" i="1"/>
  <c r="O86" i="1"/>
  <c r="A86" i="1"/>
  <c r="R86" i="1"/>
  <c r="U86" i="1"/>
  <c r="C86" i="1"/>
  <c r="L86" i="1"/>
  <c r="U113" i="1"/>
  <c r="C113" i="1"/>
  <c r="R113" i="1"/>
  <c r="L113" i="1"/>
  <c r="O113" i="1"/>
  <c r="A113" i="1"/>
  <c r="U51" i="1"/>
  <c r="C51" i="1"/>
  <c r="O51" i="1"/>
  <c r="R51" i="1"/>
  <c r="L51" i="1"/>
  <c r="A51" i="1"/>
  <c r="U211" i="1"/>
  <c r="C211" i="1"/>
  <c r="R211" i="1"/>
  <c r="L211" i="1"/>
  <c r="A211" i="1"/>
  <c r="O211" i="1"/>
  <c r="U148" i="1"/>
  <c r="L148" i="1"/>
  <c r="C148" i="1"/>
  <c r="A148" i="1"/>
  <c r="R148" i="1"/>
  <c r="O148" i="1"/>
  <c r="U95" i="1"/>
  <c r="C95" i="1"/>
  <c r="L95" i="1"/>
  <c r="O95" i="1"/>
  <c r="R95" i="1"/>
  <c r="A95" i="1"/>
  <c r="U49" i="1"/>
  <c r="C49" i="1"/>
  <c r="A49" i="1"/>
  <c r="L49" i="1"/>
  <c r="R49" i="1"/>
  <c r="O49" i="1"/>
  <c r="U245" i="1"/>
  <c r="C245" i="1"/>
  <c r="A245" i="1"/>
  <c r="O245" i="1"/>
  <c r="R245" i="1"/>
  <c r="L245" i="1"/>
  <c r="P29" i="16"/>
  <c r="P27" i="16"/>
  <c r="P31" i="16"/>
  <c r="M58" i="16"/>
  <c r="M49" i="16"/>
  <c r="P34" i="16"/>
  <c r="P33" i="16"/>
  <c r="P28" i="16"/>
  <c r="P30" i="16"/>
  <c r="M54" i="16"/>
  <c r="AA7" i="16"/>
  <c r="M44" i="16"/>
  <c r="M40" i="16"/>
  <c r="P36" i="16"/>
  <c r="P35" i="16"/>
  <c r="P37" i="16"/>
  <c r="U168" i="1"/>
  <c r="C168" i="1"/>
  <c r="A168" i="1"/>
  <c r="L168" i="1"/>
  <c r="R168" i="1"/>
  <c r="O168" i="1"/>
  <c r="U187" i="1"/>
  <c r="C187" i="1"/>
  <c r="O187" i="1"/>
  <c r="R187" i="1"/>
  <c r="A187" i="1"/>
  <c r="L187" i="1"/>
  <c r="I288" i="8"/>
  <c r="R287" i="8"/>
  <c r="A290" i="8"/>
  <c r="Q288" i="8"/>
  <c r="I289" i="8"/>
  <c r="A289" i="8"/>
  <c r="A288" i="8"/>
  <c r="H287" i="8"/>
  <c r="A287" i="8"/>
  <c r="Q291" i="8"/>
  <c r="I291" i="8"/>
  <c r="A291" i="8"/>
  <c r="Q290" i="8"/>
  <c r="Q289" i="8"/>
  <c r="A286" i="8"/>
  <c r="K286" i="8"/>
  <c r="O194" i="1"/>
  <c r="C194" i="1"/>
  <c r="A194" i="1"/>
  <c r="R194" i="1"/>
  <c r="U194" i="1"/>
  <c r="L194" i="1"/>
  <c r="O138" i="1"/>
  <c r="R138" i="1"/>
  <c r="L138" i="1"/>
  <c r="C138" i="1"/>
  <c r="U138" i="1"/>
  <c r="A138" i="1"/>
  <c r="V89" i="19"/>
  <c r="T89" i="19"/>
  <c r="S89" i="19"/>
  <c r="P89" i="19"/>
  <c r="M89" i="19"/>
  <c r="I89" i="19"/>
  <c r="D89" i="19"/>
  <c r="A89" i="19"/>
  <c r="D75" i="15"/>
  <c r="T75" i="15"/>
  <c r="V75" i="15"/>
  <c r="S75" i="15"/>
  <c r="M75" i="15"/>
  <c r="P75" i="15"/>
  <c r="I75" i="15"/>
  <c r="A75" i="15"/>
  <c r="P71" i="19"/>
  <c r="V71" i="19"/>
  <c r="T71" i="19"/>
  <c r="S71" i="19"/>
  <c r="I71" i="19"/>
  <c r="D71" i="19"/>
  <c r="A71" i="19"/>
  <c r="M71" i="19"/>
  <c r="T74" i="21"/>
  <c r="A74" i="21"/>
  <c r="P74" i="21"/>
  <c r="M74" i="21"/>
  <c r="V74" i="21"/>
  <c r="I74" i="21"/>
  <c r="S74" i="21"/>
  <c r="D74" i="21"/>
  <c r="T75" i="26"/>
  <c r="S75" i="26"/>
  <c r="D75" i="26"/>
  <c r="V75" i="26"/>
  <c r="I75" i="26"/>
  <c r="A75" i="26"/>
  <c r="M75" i="26"/>
  <c r="P75" i="26"/>
  <c r="I90" i="16"/>
  <c r="A90" i="16"/>
  <c r="V90" i="16"/>
  <c r="T90" i="16"/>
  <c r="S90" i="16"/>
  <c r="P90" i="16"/>
  <c r="M90" i="16"/>
  <c r="D90" i="16"/>
  <c r="D73" i="16"/>
  <c r="M73" i="16"/>
  <c r="T73" i="16"/>
  <c r="V73" i="16"/>
  <c r="S73" i="16"/>
  <c r="P73" i="16"/>
  <c r="A73" i="16"/>
  <c r="I73" i="16"/>
  <c r="T79" i="18"/>
  <c r="S79" i="18"/>
  <c r="V79" i="18"/>
  <c r="P79" i="18"/>
  <c r="M79" i="18"/>
  <c r="I79" i="18"/>
  <c r="A79" i="18"/>
  <c r="D79" i="18"/>
  <c r="T69" i="25"/>
  <c r="S69" i="25"/>
  <c r="V69" i="25"/>
  <c r="D69" i="25"/>
  <c r="P69" i="25"/>
  <c r="M69" i="25"/>
  <c r="I69" i="25"/>
  <c r="A69" i="25"/>
  <c r="A73" i="24"/>
  <c r="I73" i="24"/>
  <c r="S73" i="24"/>
  <c r="P73" i="24"/>
  <c r="T73" i="24"/>
  <c r="D73" i="24"/>
  <c r="M73" i="24"/>
  <c r="V73" i="24"/>
  <c r="D89" i="23"/>
  <c r="V89" i="23"/>
  <c r="A89" i="23"/>
  <c r="P89" i="23"/>
  <c r="M89" i="23"/>
  <c r="S89" i="23"/>
  <c r="I89" i="23"/>
  <c r="T89" i="23"/>
  <c r="Q2378" i="8"/>
  <c r="A2378" i="8"/>
  <c r="I2379" i="8"/>
  <c r="I2378" i="8"/>
  <c r="A2380" i="8"/>
  <c r="A2379" i="8"/>
  <c r="R2377" i="8"/>
  <c r="A2377" i="8"/>
  <c r="I2381" i="8"/>
  <c r="A2381" i="8"/>
  <c r="Q2379" i="8"/>
  <c r="K2376" i="8"/>
  <c r="Q2381" i="8"/>
  <c r="Q2380" i="8"/>
  <c r="H2377" i="8"/>
  <c r="A2376" i="8"/>
  <c r="H696" i="8"/>
  <c r="Q700" i="8"/>
  <c r="Q698" i="8"/>
  <c r="A698" i="8"/>
  <c r="A697" i="8"/>
  <c r="R696" i="8"/>
  <c r="K695" i="8"/>
  <c r="A695" i="8"/>
  <c r="I698" i="8"/>
  <c r="Q697" i="8"/>
  <c r="I700" i="8"/>
  <c r="A700" i="8"/>
  <c r="I697" i="8"/>
  <c r="A696" i="8"/>
  <c r="Q699" i="8"/>
  <c r="A699" i="8"/>
  <c r="U98" i="1"/>
  <c r="C98" i="1"/>
  <c r="O98" i="1"/>
  <c r="R98" i="1"/>
  <c r="L98" i="1"/>
  <c r="A98" i="1"/>
  <c r="U225" i="1"/>
  <c r="C225" i="1"/>
  <c r="R225" i="1"/>
  <c r="O225" i="1"/>
  <c r="L225" i="1"/>
  <c r="A225" i="1"/>
  <c r="U259" i="1"/>
  <c r="C259" i="1"/>
  <c r="A259" i="1"/>
  <c r="O259" i="1"/>
  <c r="L259" i="1"/>
  <c r="R259" i="1"/>
  <c r="O184" i="1"/>
  <c r="A184" i="1"/>
  <c r="L184" i="1"/>
  <c r="C184" i="1"/>
  <c r="U184" i="1"/>
  <c r="R184" i="1"/>
  <c r="T87" i="17"/>
  <c r="P87" i="17"/>
  <c r="M87" i="17"/>
  <c r="D87" i="17"/>
  <c r="S87" i="17"/>
  <c r="A87" i="17"/>
  <c r="I87" i="17"/>
  <c r="V87" i="17"/>
  <c r="Q1363" i="8"/>
  <c r="Q1362" i="8"/>
  <c r="I1364" i="8"/>
  <c r="A1363" i="8"/>
  <c r="I1362" i="8"/>
  <c r="Q1361" i="8"/>
  <c r="A1360" i="8"/>
  <c r="A1361" i="8"/>
  <c r="R1360" i="8"/>
  <c r="H1360" i="8"/>
  <c r="K1359" i="8"/>
  <c r="A1364" i="8"/>
  <c r="A1359" i="8"/>
  <c r="Q1364" i="8"/>
  <c r="A1362" i="8"/>
  <c r="I1361" i="8"/>
  <c r="I1270" i="8"/>
  <c r="K1265" i="8"/>
  <c r="Q1269" i="8"/>
  <c r="R1266" i="8"/>
  <c r="A1266" i="8"/>
  <c r="Q1270" i="8"/>
  <c r="Q1268" i="8"/>
  <c r="A1267" i="8"/>
  <c r="H1266" i="8"/>
  <c r="A1265" i="8"/>
  <c r="Q1267" i="8"/>
  <c r="I1267" i="8"/>
  <c r="I1268" i="8"/>
  <c r="A1270" i="8"/>
  <c r="A1269" i="8"/>
  <c r="A1268" i="8"/>
  <c r="A2074" i="8"/>
  <c r="H2073" i="8"/>
  <c r="A2077" i="8"/>
  <c r="A2076" i="8"/>
  <c r="A2072" i="8"/>
  <c r="I2077" i="8"/>
  <c r="A2073" i="8"/>
  <c r="Q2077" i="8"/>
  <c r="A2075" i="8"/>
  <c r="K2072" i="8"/>
  <c r="I2074" i="8"/>
  <c r="R2073" i="8"/>
  <c r="Q2076" i="8"/>
  <c r="Q2075" i="8"/>
  <c r="I2075" i="8"/>
  <c r="Q2074" i="8"/>
  <c r="U205" i="1"/>
  <c r="C205" i="1"/>
  <c r="O205" i="1"/>
  <c r="L205" i="1"/>
  <c r="R205" i="1"/>
  <c r="A205" i="1"/>
  <c r="R174" i="1"/>
  <c r="O174" i="1"/>
  <c r="L174" i="1"/>
  <c r="C174" i="1"/>
  <c r="A174" i="1"/>
  <c r="U174" i="1"/>
  <c r="D75" i="16"/>
  <c r="V75" i="16"/>
  <c r="T75" i="16"/>
  <c r="S75" i="16"/>
  <c r="M75" i="16"/>
  <c r="I75" i="16"/>
  <c r="P75" i="16"/>
  <c r="A75" i="16"/>
  <c r="M90" i="18"/>
  <c r="D90" i="18"/>
  <c r="A90" i="18"/>
  <c r="T90" i="18"/>
  <c r="V90" i="18"/>
  <c r="S90" i="18"/>
  <c r="I90" i="18"/>
  <c r="P90" i="18"/>
  <c r="V66" i="22"/>
  <c r="P66" i="22"/>
  <c r="M66" i="22"/>
  <c r="D66" i="22"/>
  <c r="A66" i="22"/>
  <c r="S66" i="22"/>
  <c r="T66" i="22"/>
  <c r="I66" i="22"/>
  <c r="D84" i="23"/>
  <c r="A84" i="23"/>
  <c r="V84" i="23"/>
  <c r="S84" i="23"/>
  <c r="I84" i="23"/>
  <c r="T84" i="23"/>
  <c r="M84" i="23"/>
  <c r="P84" i="23"/>
  <c r="I75" i="36"/>
  <c r="D75" i="36"/>
  <c r="V75" i="36"/>
  <c r="M75" i="36"/>
  <c r="S75" i="36"/>
  <c r="P75" i="36"/>
  <c r="A75" i="36"/>
  <c r="T75" i="36"/>
  <c r="I973" i="8"/>
  <c r="Q972" i="8"/>
  <c r="A972" i="8"/>
  <c r="R971" i="8"/>
  <c r="A971" i="8"/>
  <c r="I975" i="8"/>
  <c r="Q974" i="8"/>
  <c r="A973" i="8"/>
  <c r="I972" i="8"/>
  <c r="Q975" i="8"/>
  <c r="A975" i="8"/>
  <c r="K970" i="8"/>
  <c r="A974" i="8"/>
  <c r="Q973" i="8"/>
  <c r="H971" i="8"/>
  <c r="A970" i="8"/>
  <c r="A2097" i="8"/>
  <c r="A2092" i="8"/>
  <c r="A2096" i="8"/>
  <c r="Q2096" i="8"/>
  <c r="I2095" i="8"/>
  <c r="A2094" i="8"/>
  <c r="H2093" i="8"/>
  <c r="A2093" i="8"/>
  <c r="K2092" i="8"/>
  <c r="Q2097" i="8"/>
  <c r="Q2095" i="8"/>
  <c r="A2095" i="8"/>
  <c r="Q2094" i="8"/>
  <c r="I2094" i="8"/>
  <c r="R2093" i="8"/>
  <c r="I2097" i="8"/>
  <c r="A1304" i="8"/>
  <c r="I1308" i="8"/>
  <c r="K1303" i="8"/>
  <c r="Q1308" i="8"/>
  <c r="A1308" i="8"/>
  <c r="A1307" i="8"/>
  <c r="Q1306" i="8"/>
  <c r="A1306" i="8"/>
  <c r="Q1305" i="8"/>
  <c r="I1305" i="8"/>
  <c r="A1305" i="8"/>
  <c r="R1304" i="8"/>
  <c r="Q1307" i="8"/>
  <c r="I1306" i="8"/>
  <c r="H1304" i="8"/>
  <c r="A1303" i="8"/>
  <c r="AH15" i="6"/>
  <c r="P24" i="7"/>
  <c r="U195" i="1"/>
  <c r="C195" i="1"/>
  <c r="R195" i="1"/>
  <c r="O195" i="1"/>
  <c r="L195" i="1"/>
  <c r="A195" i="1"/>
  <c r="U253" i="1"/>
  <c r="C253" i="1"/>
  <c r="R253" i="1"/>
  <c r="A253" i="1"/>
  <c r="O253" i="1"/>
  <c r="L253" i="1"/>
  <c r="U137" i="1"/>
  <c r="C137" i="1"/>
  <c r="L137" i="1"/>
  <c r="A137" i="1"/>
  <c r="R137" i="1"/>
  <c r="O137" i="1"/>
  <c r="I1402" i="8"/>
  <c r="K1397" i="8"/>
  <c r="Q1401" i="8"/>
  <c r="Q1400" i="8"/>
  <c r="A1400" i="8"/>
  <c r="Q1399" i="8"/>
  <c r="A1399" i="8"/>
  <c r="A1398" i="8"/>
  <c r="A1402" i="8"/>
  <c r="A1401" i="8"/>
  <c r="I1400" i="8"/>
  <c r="I1399" i="8"/>
  <c r="R1398" i="8"/>
  <c r="H1398" i="8"/>
  <c r="Q1402" i="8"/>
  <c r="A1397" i="8"/>
  <c r="A469" i="8"/>
  <c r="H468" i="8"/>
  <c r="I472" i="8"/>
  <c r="A471" i="8"/>
  <c r="Q470" i="8"/>
  <c r="I470" i="8"/>
  <c r="A470" i="8"/>
  <c r="Q469" i="8"/>
  <c r="I469" i="8"/>
  <c r="R468" i="8"/>
  <c r="K467" i="8"/>
  <c r="A467" i="8"/>
  <c r="A472" i="8"/>
  <c r="Q471" i="8"/>
  <c r="A468" i="8"/>
  <c r="Q472" i="8"/>
  <c r="D72" i="36"/>
  <c r="A72" i="36"/>
  <c r="P72" i="36"/>
  <c r="M72" i="36"/>
  <c r="S72" i="36"/>
  <c r="I72" i="36"/>
  <c r="V72" i="36"/>
  <c r="T72" i="36"/>
  <c r="I69" i="22"/>
  <c r="D69" i="22"/>
  <c r="A69" i="22"/>
  <c r="T69" i="22"/>
  <c r="P69" i="22"/>
  <c r="M69" i="22"/>
  <c r="V69" i="22"/>
  <c r="S69" i="22"/>
  <c r="S83" i="18"/>
  <c r="M83" i="18"/>
  <c r="V83" i="18"/>
  <c r="T83" i="18"/>
  <c r="I83" i="18"/>
  <c r="A83" i="18"/>
  <c r="P83" i="18"/>
  <c r="D83" i="18"/>
  <c r="I73" i="23"/>
  <c r="M73" i="23"/>
  <c r="V73" i="23"/>
  <c r="T73" i="23"/>
  <c r="P73" i="23"/>
  <c r="S73" i="23"/>
  <c r="A73" i="23"/>
  <c r="D73" i="23"/>
  <c r="M68" i="24"/>
  <c r="V68" i="24"/>
  <c r="T68" i="24"/>
  <c r="S68" i="24"/>
  <c r="D68" i="24"/>
  <c r="A68" i="24"/>
  <c r="P68" i="24"/>
  <c r="I68" i="24"/>
  <c r="S64" i="23"/>
  <c r="P64" i="23"/>
  <c r="A64" i="23"/>
  <c r="D64" i="23"/>
  <c r="V64" i="23"/>
  <c r="T64" i="23"/>
  <c r="M64" i="23"/>
  <c r="I64" i="23"/>
  <c r="P84" i="26"/>
  <c r="M84" i="26"/>
  <c r="A84" i="26"/>
  <c r="V84" i="26"/>
  <c r="T84" i="26"/>
  <c r="S84" i="26"/>
  <c r="D84" i="26"/>
  <c r="I84" i="26"/>
  <c r="Q2028" i="8"/>
  <c r="A2028" i="8"/>
  <c r="A2026" i="8"/>
  <c r="K2025" i="8"/>
  <c r="Q2030" i="8"/>
  <c r="A2025" i="8"/>
  <c r="A2030" i="8"/>
  <c r="I2030" i="8"/>
  <c r="A2029" i="8"/>
  <c r="I2028" i="8"/>
  <c r="I2027" i="8"/>
  <c r="A2027" i="8"/>
  <c r="H2026" i="8"/>
  <c r="Q2027" i="8"/>
  <c r="R2026" i="8"/>
  <c r="Q2029" i="8"/>
  <c r="R2254" i="8"/>
  <c r="A2254" i="8"/>
  <c r="K2253" i="8"/>
  <c r="I2258" i="8"/>
  <c r="H2254" i="8"/>
  <c r="A2253" i="8"/>
  <c r="A2258" i="8"/>
  <c r="Q2257" i="8"/>
  <c r="A2255" i="8"/>
  <c r="A2256" i="8"/>
  <c r="Q2255" i="8"/>
  <c r="I2255" i="8"/>
  <c r="Q2258" i="8"/>
  <c r="A2257" i="8"/>
  <c r="Q2256" i="8"/>
  <c r="I2256" i="8"/>
  <c r="I1004" i="8"/>
  <c r="K999" i="8"/>
  <c r="Q1003" i="8"/>
  <c r="R1000" i="8"/>
  <c r="H1000" i="8"/>
  <c r="I1001" i="8"/>
  <c r="Q1001" i="8"/>
  <c r="A999" i="8"/>
  <c r="A1000" i="8"/>
  <c r="Q1004" i="8"/>
  <c r="A1004" i="8"/>
  <c r="A1003" i="8"/>
  <c r="Q1002" i="8"/>
  <c r="I1002" i="8"/>
  <c r="A1001" i="8"/>
  <c r="A1002" i="8"/>
  <c r="I1972" i="8"/>
  <c r="K1967" i="8"/>
  <c r="Q1971" i="8"/>
  <c r="I1969" i="8"/>
  <c r="R1968" i="8"/>
  <c r="H1968" i="8"/>
  <c r="A1968" i="8"/>
  <c r="A1971" i="8"/>
  <c r="I1970" i="8"/>
  <c r="A1967" i="8"/>
  <c r="Q1972" i="8"/>
  <c r="A1972" i="8"/>
  <c r="Q1970" i="8"/>
  <c r="A1970" i="8"/>
  <c r="Q1969" i="8"/>
  <c r="A1969" i="8"/>
  <c r="H1827" i="8"/>
  <c r="Q1831" i="8"/>
  <c r="A1826" i="8"/>
  <c r="A1831" i="8"/>
  <c r="Q1830" i="8"/>
  <c r="Q1829" i="8"/>
  <c r="I1828" i="8"/>
  <c r="R1827" i="8"/>
  <c r="A1827" i="8"/>
  <c r="A1830" i="8"/>
  <c r="I1829" i="8"/>
  <c r="A1829" i="8"/>
  <c r="Q1828" i="8"/>
  <c r="A1828" i="8"/>
  <c r="K1826" i="8"/>
  <c r="I1831" i="8"/>
  <c r="U57" i="1"/>
  <c r="C57" i="1"/>
  <c r="R57" i="1"/>
  <c r="O57" i="1"/>
  <c r="L57" i="1"/>
  <c r="A57" i="1"/>
  <c r="C192" i="1"/>
  <c r="L192" i="1"/>
  <c r="U192" i="1"/>
  <c r="R192" i="1"/>
  <c r="A192" i="1"/>
  <c r="O192" i="1"/>
  <c r="U177" i="1"/>
  <c r="C177" i="1"/>
  <c r="O177" i="1"/>
  <c r="R177" i="1"/>
  <c r="L177" i="1"/>
  <c r="A177" i="1"/>
  <c r="U210" i="1"/>
  <c r="C210" i="1"/>
  <c r="O210" i="1"/>
  <c r="L210" i="1"/>
  <c r="A210" i="1"/>
  <c r="R210" i="1"/>
  <c r="S78" i="20"/>
  <c r="P78" i="20"/>
  <c r="A78" i="20"/>
  <c r="V78" i="20"/>
  <c r="T78" i="20"/>
  <c r="M78" i="20"/>
  <c r="D78" i="20"/>
  <c r="I78" i="20"/>
  <c r="V81" i="17"/>
  <c r="S81" i="17"/>
  <c r="T81" i="17"/>
  <c r="M81" i="17"/>
  <c r="D81" i="17"/>
  <c r="P81" i="17"/>
  <c r="I81" i="17"/>
  <c r="A81" i="17"/>
  <c r="D74" i="26"/>
  <c r="A74" i="26"/>
  <c r="T74" i="26"/>
  <c r="I74" i="26"/>
  <c r="P74" i="26"/>
  <c r="M74" i="26"/>
  <c r="V74" i="26"/>
  <c r="S74" i="26"/>
  <c r="I2293" i="8"/>
  <c r="R2292" i="8"/>
  <c r="I2296" i="8"/>
  <c r="Q2295" i="8"/>
  <c r="Q2294" i="8"/>
  <c r="A2294" i="8"/>
  <c r="Q2293" i="8"/>
  <c r="H2292" i="8"/>
  <c r="A2295" i="8"/>
  <c r="A2293" i="8"/>
  <c r="A2292" i="8"/>
  <c r="K2291" i="8"/>
  <c r="I2294" i="8"/>
  <c r="A2291" i="8"/>
  <c r="Q2296" i="8"/>
  <c r="A2296" i="8"/>
  <c r="M81" i="19"/>
  <c r="I81" i="19"/>
  <c r="A81" i="19"/>
  <c r="V81" i="19"/>
  <c r="S81" i="19"/>
  <c r="D81" i="19"/>
  <c r="P81" i="19"/>
  <c r="T81" i="19"/>
  <c r="V71" i="21"/>
  <c r="M71" i="21"/>
  <c r="P71" i="21"/>
  <c r="T71" i="21"/>
  <c r="S71" i="21"/>
  <c r="D71" i="21"/>
  <c r="I71" i="21"/>
  <c r="A71" i="21"/>
  <c r="I91" i="26"/>
  <c r="D91" i="26"/>
  <c r="V91" i="26"/>
  <c r="T91" i="26"/>
  <c r="S91" i="26"/>
  <c r="M91" i="26"/>
  <c r="P91" i="26"/>
  <c r="A91" i="26"/>
  <c r="V84" i="20"/>
  <c r="P84" i="20"/>
  <c r="M84" i="20"/>
  <c r="D84" i="20"/>
  <c r="A84" i="20"/>
  <c r="T84" i="20"/>
  <c r="S84" i="20"/>
  <c r="I84" i="20"/>
  <c r="M78" i="36"/>
  <c r="I78" i="36"/>
  <c r="A78" i="36"/>
  <c r="S78" i="36"/>
  <c r="P78" i="36"/>
  <c r="T78" i="36"/>
  <c r="D78" i="36"/>
  <c r="V78" i="36"/>
  <c r="V64" i="24"/>
  <c r="A64" i="24"/>
  <c r="T64" i="24"/>
  <c r="S64" i="24"/>
  <c r="P64" i="24"/>
  <c r="M64" i="24"/>
  <c r="D64" i="24"/>
  <c r="I64" i="24"/>
  <c r="A69" i="36"/>
  <c r="V69" i="36"/>
  <c r="D69" i="36"/>
  <c r="T69" i="36"/>
  <c r="S69" i="36"/>
  <c r="P69" i="36"/>
  <c r="M69" i="36"/>
  <c r="I69" i="36"/>
  <c r="I1239" i="8"/>
  <c r="Q1238" i="8"/>
  <c r="H1237" i="8"/>
  <c r="A1237" i="8"/>
  <c r="K1236" i="8"/>
  <c r="Q1241" i="8"/>
  <c r="I1238" i="8"/>
  <c r="A1238" i="8"/>
  <c r="R1237" i="8"/>
  <c r="A1236" i="8"/>
  <c r="I1241" i="8"/>
  <c r="A1241" i="8"/>
  <c r="Q1240" i="8"/>
  <c r="A1240" i="8"/>
  <c r="Q1239" i="8"/>
  <c r="A1239" i="8"/>
  <c r="Q1762" i="8"/>
  <c r="A1762" i="8"/>
  <c r="R1760" i="8"/>
  <c r="A1760" i="8"/>
  <c r="Q1764" i="8"/>
  <c r="A1759" i="8"/>
  <c r="A1763" i="8"/>
  <c r="Q1761" i="8"/>
  <c r="I1761" i="8"/>
  <c r="H1760" i="8"/>
  <c r="A1764" i="8"/>
  <c r="Q1763" i="8"/>
  <c r="I1762" i="8"/>
  <c r="A1761" i="8"/>
  <c r="K1759" i="8"/>
  <c r="I1764" i="8"/>
  <c r="U112" i="1"/>
  <c r="C112" i="1"/>
  <c r="O112" i="1"/>
  <c r="L112" i="1"/>
  <c r="R112" i="1"/>
  <c r="A112" i="1"/>
  <c r="C122" i="1"/>
  <c r="R122" i="1"/>
  <c r="U122" i="1"/>
  <c r="L122" i="1"/>
  <c r="O122" i="1"/>
  <c r="A122" i="1"/>
  <c r="U63" i="1"/>
  <c r="C63" i="1"/>
  <c r="A63" i="1"/>
  <c r="R63" i="1"/>
  <c r="O63" i="1"/>
  <c r="L63" i="1"/>
  <c r="V89" i="18"/>
  <c r="S89" i="18"/>
  <c r="T89" i="18"/>
  <c r="P89" i="18"/>
  <c r="I89" i="18"/>
  <c r="D89" i="18"/>
  <c r="A89" i="18"/>
  <c r="M89" i="18"/>
  <c r="P85" i="19"/>
  <c r="S85" i="19"/>
  <c r="I85" i="19"/>
  <c r="D85" i="19"/>
  <c r="V85" i="19"/>
  <c r="T85" i="19"/>
  <c r="A85" i="19"/>
  <c r="M85" i="19"/>
  <c r="T87" i="36"/>
  <c r="S87" i="36"/>
  <c r="M87" i="36"/>
  <c r="D87" i="36"/>
  <c r="A87" i="36"/>
  <c r="P87" i="36"/>
  <c r="I87" i="36"/>
  <c r="V87" i="36"/>
  <c r="V76" i="36"/>
  <c r="T76" i="36"/>
  <c r="I76" i="36"/>
  <c r="M76" i="36"/>
  <c r="D76" i="36"/>
  <c r="S76" i="36"/>
  <c r="P76" i="36"/>
  <c r="A76" i="36"/>
  <c r="T92" i="25"/>
  <c r="P92" i="25"/>
  <c r="I92" i="25"/>
  <c r="D92" i="25"/>
  <c r="A92" i="25"/>
  <c r="V92" i="25"/>
  <c r="S92" i="25"/>
  <c r="M92" i="25"/>
  <c r="Q934" i="8"/>
  <c r="A934" i="8"/>
  <c r="I935" i="8"/>
  <c r="A935" i="8"/>
  <c r="R933" i="8"/>
  <c r="A932" i="8"/>
  <c r="A937" i="8"/>
  <c r="Q935" i="8"/>
  <c r="I934" i="8"/>
  <c r="K932" i="8"/>
  <c r="I937" i="8"/>
  <c r="Q937" i="8"/>
  <c r="Q936" i="8"/>
  <c r="A933" i="8"/>
  <c r="H933" i="8"/>
  <c r="A936" i="8"/>
  <c r="I1656" i="8"/>
  <c r="R1655" i="8"/>
  <c r="H1655" i="8"/>
  <c r="Q1659" i="8"/>
  <c r="A1659" i="8"/>
  <c r="Q1658" i="8"/>
  <c r="Q1657" i="8"/>
  <c r="I1657" i="8"/>
  <c r="K1654" i="8"/>
  <c r="A1654" i="8"/>
  <c r="I1659" i="8"/>
  <c r="A1658" i="8"/>
  <c r="A1657" i="8"/>
  <c r="Q1656" i="8"/>
  <c r="A1656" i="8"/>
  <c r="A1655" i="8"/>
  <c r="C108" i="1"/>
  <c r="L108" i="1"/>
  <c r="A108" i="1"/>
  <c r="U108" i="1"/>
  <c r="O108" i="1"/>
  <c r="R108" i="1"/>
  <c r="U101" i="1"/>
  <c r="C101" i="1"/>
  <c r="A101" i="1"/>
  <c r="O101" i="1"/>
  <c r="R101" i="1"/>
  <c r="L101" i="1"/>
  <c r="U123" i="1"/>
  <c r="C123" i="1"/>
  <c r="L123" i="1"/>
  <c r="A123" i="1"/>
  <c r="R123" i="1"/>
  <c r="O123" i="1"/>
  <c r="A1695" i="8"/>
  <c r="I1694" i="8"/>
  <c r="A1694" i="8"/>
  <c r="H1693" i="8"/>
  <c r="I1695" i="8"/>
  <c r="R1693" i="8"/>
  <c r="A1693" i="8"/>
  <c r="K1692" i="8"/>
  <c r="Q1697" i="8"/>
  <c r="I1697" i="8"/>
  <c r="A1697" i="8"/>
  <c r="Q1695" i="8"/>
  <c r="Q1696" i="8"/>
  <c r="A1696" i="8"/>
  <c r="Q1694" i="8"/>
  <c r="A1692" i="8"/>
  <c r="P28" i="7"/>
  <c r="AH19" i="6"/>
  <c r="A10" i="25" s="1"/>
  <c r="P90" i="15"/>
  <c r="I90" i="15"/>
  <c r="V90" i="15"/>
  <c r="A90" i="15"/>
  <c r="T90" i="15"/>
  <c r="S90" i="15"/>
  <c r="D90" i="15"/>
  <c r="M90" i="15"/>
  <c r="P80" i="15"/>
  <c r="D80" i="15"/>
  <c r="V80" i="15"/>
  <c r="T80" i="15"/>
  <c r="M80" i="15"/>
  <c r="I80" i="15"/>
  <c r="A80" i="15"/>
  <c r="S80" i="15"/>
  <c r="A89" i="22"/>
  <c r="M89" i="22"/>
  <c r="V89" i="22"/>
  <c r="I89" i="22"/>
  <c r="D89" i="22"/>
  <c r="T89" i="22"/>
  <c r="S89" i="22"/>
  <c r="P89" i="22"/>
  <c r="S74" i="24"/>
  <c r="M74" i="24"/>
  <c r="T74" i="24"/>
  <c r="P74" i="24"/>
  <c r="I74" i="24"/>
  <c r="D74" i="24"/>
  <c r="V74" i="24"/>
  <c r="A74" i="24"/>
  <c r="I443" i="8"/>
  <c r="K438" i="8"/>
  <c r="Q442" i="8"/>
  <c r="A442" i="8"/>
  <c r="R439" i="8"/>
  <c r="H439" i="8"/>
  <c r="A439" i="8"/>
  <c r="A438" i="8"/>
  <c r="Q441" i="8"/>
  <c r="Q443" i="8"/>
  <c r="A443" i="8"/>
  <c r="I441" i="8"/>
  <c r="A441" i="8"/>
  <c r="Q440" i="8"/>
  <c r="I440" i="8"/>
  <c r="A440" i="8"/>
  <c r="A2340" i="8"/>
  <c r="H2339" i="8"/>
  <c r="A2342" i="8"/>
  <c r="I2341" i="8"/>
  <c r="A2338" i="8"/>
  <c r="I2343" i="8"/>
  <c r="I2340" i="8"/>
  <c r="A2339" i="8"/>
  <c r="K2338" i="8"/>
  <c r="Q2343" i="8"/>
  <c r="A2343" i="8"/>
  <c r="Q2342" i="8"/>
  <c r="Q2341" i="8"/>
  <c r="A2341" i="8"/>
  <c r="R2339" i="8"/>
  <c r="Q2340" i="8"/>
  <c r="G40" i="3"/>
  <c r="O20" i="1" s="1"/>
  <c r="O166" i="1"/>
  <c r="C166" i="1"/>
  <c r="R166" i="1"/>
  <c r="L166" i="1"/>
  <c r="U166" i="1"/>
  <c r="A166" i="1"/>
  <c r="A83" i="21"/>
  <c r="S83" i="21"/>
  <c r="D83" i="21"/>
  <c r="V83" i="21"/>
  <c r="M83" i="21"/>
  <c r="I83" i="21"/>
  <c r="P83" i="21"/>
  <c r="T83" i="21"/>
  <c r="M79" i="16"/>
  <c r="D79" i="16"/>
  <c r="V79" i="16"/>
  <c r="T79" i="16"/>
  <c r="S79" i="16"/>
  <c r="P79" i="16"/>
  <c r="A79" i="16"/>
  <c r="I79" i="16"/>
  <c r="V80" i="19"/>
  <c r="S80" i="19"/>
  <c r="M80" i="19"/>
  <c r="D80" i="19"/>
  <c r="A80" i="19"/>
  <c r="T80" i="19"/>
  <c r="P80" i="19"/>
  <c r="I80" i="19"/>
  <c r="M80" i="26"/>
  <c r="I80" i="26"/>
  <c r="T80" i="26"/>
  <c r="A80" i="26"/>
  <c r="S80" i="26"/>
  <c r="D80" i="26"/>
  <c r="P80" i="26"/>
  <c r="V80" i="26"/>
  <c r="S82" i="23"/>
  <c r="D82" i="23"/>
  <c r="V82" i="23"/>
  <c r="T82" i="23"/>
  <c r="M82" i="23"/>
  <c r="I82" i="23"/>
  <c r="A82" i="23"/>
  <c r="P82" i="23"/>
  <c r="V77" i="36"/>
  <c r="T77" i="36"/>
  <c r="I77" i="36"/>
  <c r="A77" i="36"/>
  <c r="S77" i="36"/>
  <c r="P77" i="36"/>
  <c r="D77" i="36"/>
  <c r="M77" i="36"/>
  <c r="Q272" i="8"/>
  <c r="Q271" i="8"/>
  <c r="A273" i="8"/>
  <c r="Q270" i="8"/>
  <c r="R269" i="8"/>
  <c r="H269" i="8"/>
  <c r="A269" i="8"/>
  <c r="K268" i="8"/>
  <c r="A270" i="8"/>
  <c r="A268" i="8"/>
  <c r="Q273" i="8"/>
  <c r="I273" i="8"/>
  <c r="A272" i="8"/>
  <c r="I271" i="8"/>
  <c r="A271" i="8"/>
  <c r="I270" i="8"/>
  <c r="R942" i="8"/>
  <c r="A942" i="8"/>
  <c r="A944" i="8"/>
  <c r="Q943" i="8"/>
  <c r="A943" i="8"/>
  <c r="A946" i="8"/>
  <c r="Q945" i="8"/>
  <c r="I946" i="8"/>
  <c r="A945" i="8"/>
  <c r="Q944" i="8"/>
  <c r="I944" i="8"/>
  <c r="I943" i="8"/>
  <c r="Q946" i="8"/>
  <c r="H942" i="8"/>
  <c r="K941" i="8"/>
  <c r="A941" i="8"/>
  <c r="A1317" i="8"/>
  <c r="A1312" i="8"/>
  <c r="A1316" i="8"/>
  <c r="Q1317" i="8"/>
  <c r="I1317" i="8"/>
  <c r="Q1315" i="8"/>
  <c r="Q1316" i="8"/>
  <c r="I1315" i="8"/>
  <c r="A1315" i="8"/>
  <c r="K1312" i="8"/>
  <c r="R1313" i="8"/>
  <c r="H1313" i="8"/>
  <c r="Q1314" i="8"/>
  <c r="I1314" i="8"/>
  <c r="A1314" i="8"/>
  <c r="A1313" i="8"/>
  <c r="H1532" i="8"/>
  <c r="Q1536" i="8"/>
  <c r="I1536" i="8"/>
  <c r="K1531" i="8"/>
  <c r="Q1535" i="8"/>
  <c r="R1532" i="8"/>
  <c r="A1531" i="8"/>
  <c r="Q1534" i="8"/>
  <c r="A1536" i="8"/>
  <c r="A1535" i="8"/>
  <c r="I1534" i="8"/>
  <c r="A1534" i="8"/>
  <c r="Q1533" i="8"/>
  <c r="A1533" i="8"/>
  <c r="A1532" i="8"/>
  <c r="I1533" i="8"/>
  <c r="U139" i="1"/>
  <c r="C139" i="1"/>
  <c r="R139" i="1"/>
  <c r="O139" i="1"/>
  <c r="L139" i="1"/>
  <c r="A139" i="1"/>
  <c r="U144" i="1"/>
  <c r="L144" i="1"/>
  <c r="C144" i="1"/>
  <c r="R144" i="1"/>
  <c r="A144" i="1"/>
  <c r="O144" i="1"/>
  <c r="U151" i="1"/>
  <c r="C151" i="1"/>
  <c r="L151" i="1"/>
  <c r="A151" i="1"/>
  <c r="R151" i="1"/>
  <c r="O151" i="1"/>
  <c r="A727" i="8"/>
  <c r="I726" i="8"/>
  <c r="I727" i="8"/>
  <c r="A728" i="8"/>
  <c r="A726" i="8"/>
  <c r="R725" i="8"/>
  <c r="Q729" i="8"/>
  <c r="I729" i="8"/>
  <c r="A729" i="8"/>
  <c r="Q728" i="8"/>
  <c r="Q727" i="8"/>
  <c r="Q726" i="8"/>
  <c r="H725" i="8"/>
  <c r="K724" i="8"/>
  <c r="A724" i="8"/>
  <c r="A725" i="8"/>
  <c r="P72" i="19"/>
  <c r="I72" i="19"/>
  <c r="D72" i="19"/>
  <c r="V72" i="19"/>
  <c r="T72" i="19"/>
  <c r="M72" i="19"/>
  <c r="A72" i="19"/>
  <c r="S72" i="19"/>
  <c r="V77" i="15"/>
  <c r="A77" i="15"/>
  <c r="I77" i="15"/>
  <c r="T77" i="15"/>
  <c r="S77" i="15"/>
  <c r="P77" i="15"/>
  <c r="D77" i="15"/>
  <c r="M77" i="15"/>
  <c r="V91" i="16"/>
  <c r="S91" i="16"/>
  <c r="M91" i="16"/>
  <c r="D91" i="16"/>
  <c r="A91" i="16"/>
  <c r="P91" i="16"/>
  <c r="I91" i="16"/>
  <c r="T91" i="16"/>
  <c r="I68" i="17"/>
  <c r="A68" i="17"/>
  <c r="T68" i="17"/>
  <c r="V68" i="17"/>
  <c r="S68" i="17"/>
  <c r="P68" i="17"/>
  <c r="D68" i="17"/>
  <c r="M68" i="17"/>
  <c r="S74" i="19"/>
  <c r="D74" i="19"/>
  <c r="T74" i="19"/>
  <c r="V74" i="19"/>
  <c r="M74" i="19"/>
  <c r="P74" i="19"/>
  <c r="I74" i="19"/>
  <c r="A74" i="19"/>
  <c r="D65" i="17"/>
  <c r="T65" i="17"/>
  <c r="S65" i="17"/>
  <c r="M65" i="17"/>
  <c r="V65" i="17"/>
  <c r="P65" i="17"/>
  <c r="I65" i="17"/>
  <c r="A65" i="17"/>
  <c r="A86" i="16"/>
  <c r="M86" i="16"/>
  <c r="I86" i="16"/>
  <c r="S86" i="16"/>
  <c r="P86" i="16"/>
  <c r="D86" i="16"/>
  <c r="V86" i="16"/>
  <c r="T86" i="16"/>
  <c r="S76" i="22"/>
  <c r="T76" i="22"/>
  <c r="I76" i="22"/>
  <c r="D76" i="22"/>
  <c r="A76" i="22"/>
  <c r="V76" i="22"/>
  <c r="P76" i="22"/>
  <c r="M76" i="22"/>
  <c r="D80" i="20"/>
  <c r="M80" i="20"/>
  <c r="T80" i="20"/>
  <c r="S80" i="20"/>
  <c r="P80" i="20"/>
  <c r="I80" i="20"/>
  <c r="A80" i="20"/>
  <c r="V80" i="20"/>
  <c r="T84" i="19"/>
  <c r="S84" i="19"/>
  <c r="P84" i="19"/>
  <c r="I84" i="19"/>
  <c r="V84" i="19"/>
  <c r="D84" i="19"/>
  <c r="M84" i="19"/>
  <c r="A84" i="19"/>
  <c r="I65" i="24"/>
  <c r="S65" i="24"/>
  <c r="M65" i="24"/>
  <c r="D65" i="24"/>
  <c r="A65" i="24"/>
  <c r="V65" i="24"/>
  <c r="T65" i="24"/>
  <c r="P65" i="24"/>
  <c r="S86" i="26"/>
  <c r="P86" i="26"/>
  <c r="A86" i="26"/>
  <c r="M86" i="26"/>
  <c r="V86" i="26"/>
  <c r="D86" i="26"/>
  <c r="T86" i="26"/>
  <c r="I86" i="26"/>
  <c r="S86" i="24"/>
  <c r="D86" i="24"/>
  <c r="T86" i="24"/>
  <c r="M86" i="24"/>
  <c r="I86" i="24"/>
  <c r="A86" i="24"/>
  <c r="V86" i="24"/>
  <c r="P86" i="24"/>
  <c r="T74" i="36"/>
  <c r="M74" i="36"/>
  <c r="I74" i="36"/>
  <c r="A74" i="36"/>
  <c r="S74" i="36"/>
  <c r="D74" i="36"/>
  <c r="V74" i="36"/>
  <c r="P74" i="36"/>
  <c r="A75" i="24"/>
  <c r="V75" i="24"/>
  <c r="D75" i="24"/>
  <c r="T75" i="24"/>
  <c r="S75" i="24"/>
  <c r="P75" i="24"/>
  <c r="M75" i="24"/>
  <c r="I75" i="24"/>
  <c r="V67" i="25"/>
  <c r="M67" i="25"/>
  <c r="I67" i="25"/>
  <c r="S67" i="25"/>
  <c r="P67" i="25"/>
  <c r="T67" i="25"/>
  <c r="A67" i="25"/>
  <c r="D67" i="25"/>
  <c r="V85" i="36"/>
  <c r="S85" i="36"/>
  <c r="A85" i="36"/>
  <c r="T85" i="36"/>
  <c r="P85" i="36"/>
  <c r="M85" i="36"/>
  <c r="I85" i="36"/>
  <c r="D85" i="36"/>
  <c r="S69" i="23"/>
  <c r="P69" i="23"/>
  <c r="V69" i="23"/>
  <c r="A69" i="23"/>
  <c r="M69" i="23"/>
  <c r="I69" i="23"/>
  <c r="T69" i="23"/>
  <c r="D69" i="23"/>
  <c r="V90" i="25"/>
  <c r="P90" i="25"/>
  <c r="M90" i="25"/>
  <c r="A90" i="25"/>
  <c r="I90" i="25"/>
  <c r="D90" i="25"/>
  <c r="T90" i="25"/>
  <c r="S90" i="25"/>
  <c r="S84" i="36"/>
  <c r="P84" i="36"/>
  <c r="I84" i="36"/>
  <c r="A84" i="36"/>
  <c r="T84" i="36"/>
  <c r="M84" i="36"/>
  <c r="V84" i="36"/>
  <c r="D84" i="36"/>
  <c r="P84" i="24"/>
  <c r="T84" i="24"/>
  <c r="M84" i="24"/>
  <c r="I84" i="24"/>
  <c r="D84" i="24"/>
  <c r="S84" i="24"/>
  <c r="A84" i="24"/>
  <c r="V84" i="24"/>
  <c r="P68" i="36"/>
  <c r="M68" i="36"/>
  <c r="I68" i="36"/>
  <c r="A68" i="36"/>
  <c r="T68" i="36"/>
  <c r="S68" i="36"/>
  <c r="D68" i="36"/>
  <c r="V68" i="36"/>
  <c r="A461" i="8"/>
  <c r="I460" i="8"/>
  <c r="Q463" i="8"/>
  <c r="A458" i="8"/>
  <c r="A462" i="8"/>
  <c r="Q460" i="8"/>
  <c r="A460" i="8"/>
  <c r="R459" i="8"/>
  <c r="H459" i="8"/>
  <c r="A459" i="8"/>
  <c r="Q461" i="8"/>
  <c r="I463" i="8"/>
  <c r="A463" i="8"/>
  <c r="Q462" i="8"/>
  <c r="I461" i="8"/>
  <c r="K458" i="8"/>
  <c r="R1778" i="8"/>
  <c r="A1778" i="8"/>
  <c r="H1778" i="8"/>
  <c r="K1777" i="8"/>
  <c r="Q1782" i="8"/>
  <c r="A1777" i="8"/>
  <c r="A1782" i="8"/>
  <c r="Q1781" i="8"/>
  <c r="I1782" i="8"/>
  <c r="A1781" i="8"/>
  <c r="Q1780" i="8"/>
  <c r="Q1779" i="8"/>
  <c r="I1780" i="8"/>
  <c r="A1780" i="8"/>
  <c r="I1779" i="8"/>
  <c r="A1779" i="8"/>
  <c r="R383" i="8"/>
  <c r="A383" i="8"/>
  <c r="A384" i="8"/>
  <c r="Q387" i="8"/>
  <c r="A382" i="8"/>
  <c r="Q385" i="8"/>
  <c r="I385" i="8"/>
  <c r="A385" i="8"/>
  <c r="Q384" i="8"/>
  <c r="I384" i="8"/>
  <c r="H383" i="8"/>
  <c r="A387" i="8"/>
  <c r="Q386" i="8"/>
  <c r="A386" i="8"/>
  <c r="K382" i="8"/>
  <c r="I387" i="8"/>
  <c r="H68" i="8"/>
  <c r="A72" i="8"/>
  <c r="A67" i="8"/>
  <c r="I69" i="8"/>
  <c r="A69" i="8"/>
  <c r="R68" i="8"/>
  <c r="A68" i="8"/>
  <c r="I70" i="8"/>
  <c r="A70" i="8"/>
  <c r="Q69" i="8"/>
  <c r="K67" i="8"/>
  <c r="Q72" i="8"/>
  <c r="A71" i="8"/>
  <c r="Q70" i="8"/>
  <c r="I72" i="8"/>
  <c r="Q71" i="8"/>
  <c r="Q507" i="8"/>
  <c r="A507" i="8"/>
  <c r="A508" i="8"/>
  <c r="I510" i="8"/>
  <c r="A509" i="8"/>
  <c r="Q508" i="8"/>
  <c r="R506" i="8"/>
  <c r="H506" i="8"/>
  <c r="A506" i="8"/>
  <c r="K505" i="8"/>
  <c r="Q510" i="8"/>
  <c r="A510" i="8"/>
  <c r="Q509" i="8"/>
  <c r="I508" i="8"/>
  <c r="I507" i="8"/>
  <c r="A505" i="8"/>
  <c r="A117" i="8"/>
  <c r="Q120" i="8"/>
  <c r="H117" i="8"/>
  <c r="K116" i="8"/>
  <c r="Q121" i="8"/>
  <c r="A116" i="8"/>
  <c r="I121" i="8"/>
  <c r="A121" i="8"/>
  <c r="I119" i="8"/>
  <c r="A119" i="8"/>
  <c r="Q118" i="8"/>
  <c r="I118" i="8"/>
  <c r="A118" i="8"/>
  <c r="R117" i="8"/>
  <c r="A120" i="8"/>
  <c r="Q119" i="8"/>
  <c r="Q1334" i="8"/>
  <c r="A1334" i="8"/>
  <c r="Q1337" i="8"/>
  <c r="A1332" i="8"/>
  <c r="A1337" i="8"/>
  <c r="Q1336" i="8"/>
  <c r="Q1335" i="8"/>
  <c r="I1334" i="8"/>
  <c r="A1335" i="8"/>
  <c r="R1333" i="8"/>
  <c r="H1333" i="8"/>
  <c r="A1333" i="8"/>
  <c r="A1336" i="8"/>
  <c r="I1337" i="8"/>
  <c r="I1335" i="8"/>
  <c r="K1332" i="8"/>
  <c r="Q1475" i="8"/>
  <c r="R1474" i="8"/>
  <c r="A1474" i="8"/>
  <c r="A1478" i="8"/>
  <c r="A1477" i="8"/>
  <c r="Q1476" i="8"/>
  <c r="A1476" i="8"/>
  <c r="Q1477" i="8"/>
  <c r="A1475" i="8"/>
  <c r="H1474" i="8"/>
  <c r="K1473" i="8"/>
  <c r="A1473" i="8"/>
  <c r="Q1478" i="8"/>
  <c r="I1478" i="8"/>
  <c r="I1476" i="8"/>
  <c r="I1475" i="8"/>
  <c r="A585" i="8"/>
  <c r="I584" i="8"/>
  <c r="A582" i="8"/>
  <c r="Q586" i="8"/>
  <c r="I586" i="8"/>
  <c r="A583" i="8"/>
  <c r="R582" i="8"/>
  <c r="H582" i="8"/>
  <c r="K581" i="8"/>
  <c r="A581" i="8"/>
  <c r="I583" i="8"/>
  <c r="A586" i="8"/>
  <c r="Q585" i="8"/>
  <c r="Q584" i="8"/>
  <c r="A584" i="8"/>
  <c r="Q583" i="8"/>
  <c r="A1286" i="8"/>
  <c r="I1285" i="8"/>
  <c r="A1284" i="8"/>
  <c r="K1283" i="8"/>
  <c r="Q1288" i="8"/>
  <c r="A1283" i="8"/>
  <c r="A1288" i="8"/>
  <c r="I1288" i="8"/>
  <c r="Q1287" i="8"/>
  <c r="A1287" i="8"/>
  <c r="Q1285" i="8"/>
  <c r="A1285" i="8"/>
  <c r="R1284" i="8"/>
  <c r="H1284" i="8"/>
  <c r="Q1286" i="8"/>
  <c r="I1286" i="8"/>
  <c r="R1208" i="8"/>
  <c r="A1208" i="8"/>
  <c r="I1209" i="8"/>
  <c r="A1209" i="8"/>
  <c r="Q1209" i="8"/>
  <c r="Q1211" i="8"/>
  <c r="A1211" i="8"/>
  <c r="Q1210" i="8"/>
  <c r="I1210" i="8"/>
  <c r="A1210" i="8"/>
  <c r="I1212" i="8"/>
  <c r="A1212" i="8"/>
  <c r="K1207" i="8"/>
  <c r="A1207" i="8"/>
  <c r="Q1212" i="8"/>
  <c r="H1208" i="8"/>
  <c r="Q1904" i="8"/>
  <c r="A1904" i="8"/>
  <c r="A1906" i="8"/>
  <c r="I1905" i="8"/>
  <c r="A1905" i="8"/>
  <c r="R1903" i="8"/>
  <c r="I1904" i="8"/>
  <c r="A1903" i="8"/>
  <c r="A1902" i="8"/>
  <c r="H1903" i="8"/>
  <c r="Q1907" i="8"/>
  <c r="I1907" i="8"/>
  <c r="A1907" i="8"/>
  <c r="Q1906" i="8"/>
  <c r="K1902" i="8"/>
  <c r="Q1905" i="8"/>
  <c r="Q1601" i="8"/>
  <c r="A1601" i="8"/>
  <c r="Q1600" i="8"/>
  <c r="A1600" i="8"/>
  <c r="A1598" i="8"/>
  <c r="I1603" i="8"/>
  <c r="H1599" i="8"/>
  <c r="A1603" i="8"/>
  <c r="Q1602" i="8"/>
  <c r="A1602" i="8"/>
  <c r="I1601" i="8"/>
  <c r="I1600" i="8"/>
  <c r="Q1603" i="8"/>
  <c r="K1598" i="8"/>
  <c r="A1599" i="8"/>
  <c r="R1599" i="8"/>
  <c r="Q2104" i="8"/>
  <c r="A2104" i="8"/>
  <c r="Q2105" i="8"/>
  <c r="I2104" i="8"/>
  <c r="I2103" i="8"/>
  <c r="R2102" i="8"/>
  <c r="H2102" i="8"/>
  <c r="A2102" i="8"/>
  <c r="A2101" i="8"/>
  <c r="A2106" i="8"/>
  <c r="Q2103" i="8"/>
  <c r="A2105" i="8"/>
  <c r="A2103" i="8"/>
  <c r="K2101" i="8"/>
  <c r="Q2106" i="8"/>
  <c r="I2106" i="8"/>
  <c r="H1664" i="8"/>
  <c r="Q1668" i="8"/>
  <c r="I1668" i="8"/>
  <c r="K1663" i="8"/>
  <c r="Q1667" i="8"/>
  <c r="A1663" i="8"/>
  <c r="A1667" i="8"/>
  <c r="Q1666" i="8"/>
  <c r="I1666" i="8"/>
  <c r="A1666" i="8"/>
  <c r="Q1665" i="8"/>
  <c r="I1665" i="8"/>
  <c r="A1665" i="8"/>
  <c r="A1668" i="8"/>
  <c r="R1664" i="8"/>
  <c r="A1664" i="8"/>
  <c r="H1959" i="8"/>
  <c r="Q1963" i="8"/>
  <c r="Q1960" i="8"/>
  <c r="A1960" i="8"/>
  <c r="R1959" i="8"/>
  <c r="K1958" i="8"/>
  <c r="I1963" i="8"/>
  <c r="A1963" i="8"/>
  <c r="A1962" i="8"/>
  <c r="A1959" i="8"/>
  <c r="A1958" i="8"/>
  <c r="A1961" i="8"/>
  <c r="I1960" i="8"/>
  <c r="Q1962" i="8"/>
  <c r="Q1961" i="8"/>
  <c r="I1961" i="8"/>
  <c r="U21" i="7"/>
  <c r="AN12" i="6"/>
  <c r="AJ12" i="6"/>
  <c r="M12" i="4" s="1"/>
  <c r="K12" i="5"/>
  <c r="U85" i="1"/>
  <c r="C85" i="1"/>
  <c r="R85" i="1"/>
  <c r="O85" i="1"/>
  <c r="L85" i="1"/>
  <c r="A85" i="1"/>
  <c r="U31" i="1"/>
  <c r="C31" i="1"/>
  <c r="A31" i="1"/>
  <c r="O31" i="1"/>
  <c r="R31" i="1"/>
  <c r="L31" i="1"/>
  <c r="U84" i="1"/>
  <c r="C84" i="1"/>
  <c r="O84" i="1"/>
  <c r="L84" i="1"/>
  <c r="A84" i="1"/>
  <c r="R84" i="1"/>
  <c r="U129" i="1"/>
  <c r="C129" i="1"/>
  <c r="A129" i="1"/>
  <c r="R129" i="1"/>
  <c r="O129" i="1"/>
  <c r="L129" i="1"/>
  <c r="C178" i="1"/>
  <c r="L178" i="1"/>
  <c r="A178" i="1"/>
  <c r="U178" i="1"/>
  <c r="R178" i="1"/>
  <c r="O178" i="1"/>
  <c r="R202" i="1"/>
  <c r="O202" i="1"/>
  <c r="A202" i="1"/>
  <c r="U202" i="1"/>
  <c r="C202" i="1"/>
  <c r="L202" i="1"/>
  <c r="R160" i="1"/>
  <c r="O160" i="1"/>
  <c r="L160" i="1"/>
  <c r="C160" i="1"/>
  <c r="A160" i="1"/>
  <c r="U160" i="1"/>
  <c r="U157" i="1"/>
  <c r="C157" i="1"/>
  <c r="A157" i="1"/>
  <c r="R157" i="1"/>
  <c r="L157" i="1"/>
  <c r="O157" i="1"/>
  <c r="O180" i="1"/>
  <c r="U180" i="1"/>
  <c r="R180" i="1"/>
  <c r="C180" i="1"/>
  <c r="L180" i="1"/>
  <c r="A180" i="1"/>
  <c r="O22" i="1"/>
  <c r="L22" i="1"/>
  <c r="A22" i="1"/>
  <c r="U22" i="1"/>
  <c r="C22" i="1"/>
  <c r="U218" i="1"/>
  <c r="L218" i="1"/>
  <c r="O218" i="1"/>
  <c r="C218" i="1"/>
  <c r="A218" i="1"/>
  <c r="R218" i="1"/>
  <c r="U165" i="1"/>
  <c r="C165" i="1"/>
  <c r="L165" i="1"/>
  <c r="A165" i="1"/>
  <c r="R165" i="1"/>
  <c r="O165" i="1"/>
  <c r="U119" i="1"/>
  <c r="C119" i="1"/>
  <c r="A119" i="1"/>
  <c r="R119" i="1"/>
  <c r="L119" i="1"/>
  <c r="O119" i="1"/>
  <c r="U200" i="1"/>
  <c r="L200" i="1"/>
  <c r="C200" i="1"/>
  <c r="R200" i="1"/>
  <c r="O200" i="1"/>
  <c r="A200" i="1"/>
  <c r="M49" i="20"/>
  <c r="P33" i="20"/>
  <c r="P37" i="20"/>
  <c r="P29" i="20"/>
  <c r="P27" i="20"/>
  <c r="M58" i="20"/>
  <c r="AA7" i="20"/>
  <c r="M54" i="20"/>
  <c r="P30" i="20"/>
  <c r="M44" i="20"/>
  <c r="M40" i="20"/>
  <c r="P36" i="20"/>
  <c r="P35" i="20"/>
  <c r="P31" i="20"/>
  <c r="P28" i="20"/>
  <c r="P34" i="20"/>
  <c r="U257" i="1"/>
  <c r="C257" i="1"/>
  <c r="O257" i="1"/>
  <c r="R257" i="1"/>
  <c r="A257" i="1"/>
  <c r="L257" i="1"/>
  <c r="U241" i="1"/>
  <c r="C241" i="1"/>
  <c r="A241" i="1"/>
  <c r="L241" i="1"/>
  <c r="R241" i="1"/>
  <c r="O241" i="1"/>
  <c r="U87" i="1"/>
  <c r="C87" i="1"/>
  <c r="A87" i="1"/>
  <c r="O87" i="1"/>
  <c r="L87" i="1"/>
  <c r="R87" i="1"/>
  <c r="U127" i="1"/>
  <c r="C127" i="1"/>
  <c r="L127" i="1"/>
  <c r="O127" i="1"/>
  <c r="A127" i="1"/>
  <c r="R127" i="1"/>
  <c r="U171" i="1"/>
  <c r="C171" i="1"/>
  <c r="A171" i="1"/>
  <c r="L171" i="1"/>
  <c r="R171" i="1"/>
  <c r="O171" i="1"/>
  <c r="V85" i="15"/>
  <c r="S85" i="15"/>
  <c r="P85" i="15"/>
  <c r="I85" i="15"/>
  <c r="M85" i="15"/>
  <c r="D85" i="15"/>
  <c r="A85" i="15"/>
  <c r="T85" i="15"/>
  <c r="D73" i="18"/>
  <c r="I73" i="18"/>
  <c r="M73" i="18"/>
  <c r="A73" i="18"/>
  <c r="S73" i="18"/>
  <c r="P73" i="18"/>
  <c r="V73" i="18"/>
  <c r="T73" i="18"/>
  <c r="V75" i="17"/>
  <c r="A75" i="17"/>
  <c r="T75" i="17"/>
  <c r="S75" i="17"/>
  <c r="M75" i="17"/>
  <c r="P75" i="17"/>
  <c r="D75" i="17"/>
  <c r="I75" i="17"/>
  <c r="Q1467" i="8"/>
  <c r="Q1466" i="8"/>
  <c r="A1466" i="8"/>
  <c r="A1469" i="8"/>
  <c r="A1468" i="8"/>
  <c r="I1467" i="8"/>
  <c r="I1466" i="8"/>
  <c r="A1465" i="8"/>
  <c r="K1464" i="8"/>
  <c r="A1464" i="8"/>
  <c r="Q1468" i="8"/>
  <c r="H1465" i="8"/>
  <c r="Q1469" i="8"/>
  <c r="I1469" i="8"/>
  <c r="A1467" i="8"/>
  <c r="R1465" i="8"/>
  <c r="T68" i="15"/>
  <c r="P68" i="15"/>
  <c r="V68" i="15"/>
  <c r="D68" i="15"/>
  <c r="A68" i="15"/>
  <c r="I68" i="15"/>
  <c r="S68" i="15"/>
  <c r="M68" i="15"/>
  <c r="D79" i="17"/>
  <c r="V79" i="17"/>
  <c r="T79" i="17"/>
  <c r="P79" i="17"/>
  <c r="M79" i="17"/>
  <c r="A79" i="17"/>
  <c r="S79" i="17"/>
  <c r="I79" i="17"/>
  <c r="T71" i="23"/>
  <c r="S71" i="23"/>
  <c r="I71" i="23"/>
  <c r="D71" i="23"/>
  <c r="V71" i="23"/>
  <c r="M71" i="23"/>
  <c r="A71" i="23"/>
  <c r="P71" i="23"/>
  <c r="P88" i="17"/>
  <c r="I88" i="17"/>
  <c r="V88" i="17"/>
  <c r="T88" i="17"/>
  <c r="S88" i="17"/>
  <c r="A88" i="17"/>
  <c r="M88" i="17"/>
  <c r="D88" i="17"/>
  <c r="M85" i="17"/>
  <c r="D85" i="17"/>
  <c r="T85" i="17"/>
  <c r="S85" i="17"/>
  <c r="I85" i="17"/>
  <c r="V85" i="17"/>
  <c r="P85" i="17"/>
  <c r="A85" i="17"/>
  <c r="D64" i="17"/>
  <c r="S64" i="17"/>
  <c r="M64" i="17"/>
  <c r="I64" i="17"/>
  <c r="T64" i="17"/>
  <c r="P64" i="17"/>
  <c r="A64" i="17"/>
  <c r="V64" i="17"/>
  <c r="T79" i="22"/>
  <c r="I79" i="22"/>
  <c r="V79" i="22"/>
  <c r="P79" i="22"/>
  <c r="A79" i="22"/>
  <c r="S79" i="22"/>
  <c r="D79" i="22"/>
  <c r="M79" i="22"/>
  <c r="P73" i="22"/>
  <c r="V73" i="22"/>
  <c r="I73" i="22"/>
  <c r="A73" i="22"/>
  <c r="S73" i="22"/>
  <c r="M73" i="22"/>
  <c r="T73" i="22"/>
  <c r="D73" i="22"/>
  <c r="T81" i="20"/>
  <c r="D81" i="20"/>
  <c r="S81" i="20"/>
  <c r="M81" i="20"/>
  <c r="A81" i="20"/>
  <c r="I81" i="20"/>
  <c r="P81" i="20"/>
  <c r="V81" i="20"/>
  <c r="M82" i="24"/>
  <c r="V82" i="24"/>
  <c r="T82" i="24"/>
  <c r="P82" i="24"/>
  <c r="I82" i="24"/>
  <c r="D82" i="24"/>
  <c r="A82" i="24"/>
  <c r="S82" i="24"/>
  <c r="V92" i="26"/>
  <c r="T92" i="26"/>
  <c r="I92" i="26"/>
  <c r="M92" i="26"/>
  <c r="D92" i="26"/>
  <c r="S92" i="26"/>
  <c r="P92" i="26"/>
  <c r="A92" i="26"/>
  <c r="I93" i="24"/>
  <c r="D93" i="24"/>
  <c r="P93" i="24"/>
  <c r="M93" i="24"/>
  <c r="S93" i="24"/>
  <c r="A93" i="24"/>
  <c r="V93" i="24"/>
  <c r="T93" i="24"/>
  <c r="M64" i="36"/>
  <c r="I64" i="36"/>
  <c r="S64" i="36"/>
  <c r="P64" i="36"/>
  <c r="A64" i="36"/>
  <c r="V64" i="36"/>
  <c r="T64" i="36"/>
  <c r="D64" i="36"/>
  <c r="S66" i="25"/>
  <c r="P66" i="25"/>
  <c r="A66" i="25"/>
  <c r="M66" i="25"/>
  <c r="D66" i="25"/>
  <c r="V66" i="25"/>
  <c r="I66" i="25"/>
  <c r="T66" i="25"/>
  <c r="A67" i="23"/>
  <c r="V67" i="23"/>
  <c r="T67" i="23"/>
  <c r="S67" i="23"/>
  <c r="M67" i="23"/>
  <c r="I67" i="23"/>
  <c r="D67" i="23"/>
  <c r="P67" i="23"/>
  <c r="V91" i="18"/>
  <c r="P91" i="18"/>
  <c r="I91" i="18"/>
  <c r="T91" i="18"/>
  <c r="M91" i="18"/>
  <c r="S91" i="18"/>
  <c r="A91" i="18"/>
  <c r="D91" i="18"/>
  <c r="M90" i="23"/>
  <c r="T90" i="23"/>
  <c r="S90" i="23"/>
  <c r="P90" i="23"/>
  <c r="V90" i="23"/>
  <c r="A90" i="23"/>
  <c r="I90" i="23"/>
  <c r="D90" i="23"/>
  <c r="S72" i="26"/>
  <c r="P72" i="26"/>
  <c r="A72" i="26"/>
  <c r="T72" i="26"/>
  <c r="I72" i="26"/>
  <c r="D72" i="26"/>
  <c r="V72" i="26"/>
  <c r="M72" i="26"/>
  <c r="D86" i="36"/>
  <c r="A86" i="36"/>
  <c r="V86" i="36"/>
  <c r="T86" i="36"/>
  <c r="S86" i="36"/>
  <c r="M86" i="36"/>
  <c r="I86" i="36"/>
  <c r="P86" i="36"/>
  <c r="P89" i="24"/>
  <c r="T89" i="24"/>
  <c r="S89" i="24"/>
  <c r="D89" i="24"/>
  <c r="A89" i="24"/>
  <c r="I89" i="24"/>
  <c r="V89" i="24"/>
  <c r="M89" i="24"/>
  <c r="T82" i="36"/>
  <c r="P82" i="36"/>
  <c r="V82" i="36"/>
  <c r="S82" i="36"/>
  <c r="I82" i="36"/>
  <c r="D82" i="36"/>
  <c r="M82" i="36"/>
  <c r="A82" i="36"/>
  <c r="H10" i="24"/>
  <c r="G86" i="3"/>
  <c r="O27" i="1" s="1"/>
  <c r="I1136" i="8"/>
  <c r="K1131" i="8"/>
  <c r="Q1135" i="8"/>
  <c r="Q1134" i="8"/>
  <c r="I1134" i="8"/>
  <c r="Q1133" i="8"/>
  <c r="Q1136" i="8"/>
  <c r="A1136" i="8"/>
  <c r="A1134" i="8"/>
  <c r="I1133" i="8"/>
  <c r="A1131" i="8"/>
  <c r="A1135" i="8"/>
  <c r="A1133" i="8"/>
  <c r="R1132" i="8"/>
  <c r="A1132" i="8"/>
  <c r="H1132" i="8"/>
  <c r="Q404" i="8"/>
  <c r="Q403" i="8"/>
  <c r="H401" i="8"/>
  <c r="Q405" i="8"/>
  <c r="A400" i="8"/>
  <c r="I405" i="8"/>
  <c r="A405" i="8"/>
  <c r="A404" i="8"/>
  <c r="I403" i="8"/>
  <c r="A403" i="8"/>
  <c r="A401" i="8"/>
  <c r="Q402" i="8"/>
  <c r="I402" i="8"/>
  <c r="A402" i="8"/>
  <c r="R401" i="8"/>
  <c r="K400" i="8"/>
  <c r="I83" i="8"/>
  <c r="K78" i="8"/>
  <c r="Q81" i="8"/>
  <c r="A80" i="8"/>
  <c r="R79" i="8"/>
  <c r="H79" i="8"/>
  <c r="A79" i="8"/>
  <c r="I81" i="8"/>
  <c r="A81" i="8"/>
  <c r="Q83" i="8"/>
  <c r="A83" i="8"/>
  <c r="Q82" i="8"/>
  <c r="A82" i="8"/>
  <c r="Q80" i="8"/>
  <c r="I80" i="8"/>
  <c r="A78" i="8"/>
  <c r="I546" i="8"/>
  <c r="Q545" i="8"/>
  <c r="R544" i="8"/>
  <c r="A543" i="8"/>
  <c r="A548" i="8"/>
  <c r="Q547" i="8"/>
  <c r="A545" i="8"/>
  <c r="H544" i="8"/>
  <c r="A544" i="8"/>
  <c r="K543" i="8"/>
  <c r="A546" i="8"/>
  <c r="I545" i="8"/>
  <c r="A547" i="8"/>
  <c r="Q546" i="8"/>
  <c r="I548" i="8"/>
  <c r="Q548" i="8"/>
  <c r="A130" i="8"/>
  <c r="A125" i="8"/>
  <c r="I128" i="8"/>
  <c r="A126" i="8"/>
  <c r="K125" i="8"/>
  <c r="Q130" i="8"/>
  <c r="I130" i="8"/>
  <c r="H126" i="8"/>
  <c r="Q129" i="8"/>
  <c r="A129" i="8"/>
  <c r="Q128" i="8"/>
  <c r="A128" i="8"/>
  <c r="Q127" i="8"/>
  <c r="I127" i="8"/>
  <c r="A127" i="8"/>
  <c r="R126" i="8"/>
  <c r="A1429" i="8"/>
  <c r="A1428" i="8"/>
  <c r="H1427" i="8"/>
  <c r="Q1429" i="8"/>
  <c r="Q1428" i="8"/>
  <c r="I1428" i="8"/>
  <c r="A1427" i="8"/>
  <c r="Q1430" i="8"/>
  <c r="A1430" i="8"/>
  <c r="I1429" i="8"/>
  <c r="R1427" i="8"/>
  <c r="Q1431" i="8"/>
  <c r="I1431" i="8"/>
  <c r="A1431" i="8"/>
  <c r="K1426" i="8"/>
  <c r="A1426" i="8"/>
  <c r="A1571" i="8"/>
  <c r="H1570" i="8"/>
  <c r="A1570" i="8"/>
  <c r="I1574" i="8"/>
  <c r="K1569" i="8"/>
  <c r="Q1573" i="8"/>
  <c r="Q1572" i="8"/>
  <c r="I1572" i="8"/>
  <c r="Q1571" i="8"/>
  <c r="I1571" i="8"/>
  <c r="R1570" i="8"/>
  <c r="A1569" i="8"/>
  <c r="A1574" i="8"/>
  <c r="Q1574" i="8"/>
  <c r="A1573" i="8"/>
  <c r="A1572" i="8"/>
  <c r="I849" i="8"/>
  <c r="R848" i="8"/>
  <c r="A852" i="8"/>
  <c r="A851" i="8"/>
  <c r="K847" i="8"/>
  <c r="Q852" i="8"/>
  <c r="A847" i="8"/>
  <c r="Q851" i="8"/>
  <c r="Q850" i="8"/>
  <c r="A849" i="8"/>
  <c r="I852" i="8"/>
  <c r="I850" i="8"/>
  <c r="A850" i="8"/>
  <c r="A848" i="8"/>
  <c r="Q849" i="8"/>
  <c r="H848" i="8"/>
  <c r="R1912" i="8"/>
  <c r="A1912" i="8"/>
  <c r="Q1914" i="8"/>
  <c r="A1914" i="8"/>
  <c r="Q1913" i="8"/>
  <c r="A1913" i="8"/>
  <c r="A1916" i="8"/>
  <c r="A1915" i="8"/>
  <c r="I1914" i="8"/>
  <c r="H1912" i="8"/>
  <c r="A1911" i="8"/>
  <c r="Q1916" i="8"/>
  <c r="I1916" i="8"/>
  <c r="Q1915" i="8"/>
  <c r="I1913" i="8"/>
  <c r="K1911" i="8"/>
  <c r="Q1231" i="8"/>
  <c r="Q1230" i="8"/>
  <c r="R1228" i="8"/>
  <c r="H1228" i="8"/>
  <c r="A1232" i="8"/>
  <c r="K1227" i="8"/>
  <c r="A1227" i="8"/>
  <c r="A1228" i="8"/>
  <c r="A1231" i="8"/>
  <c r="Q1229" i="8"/>
  <c r="Q1232" i="8"/>
  <c r="I1232" i="8"/>
  <c r="I1230" i="8"/>
  <c r="A1230" i="8"/>
  <c r="I1229" i="8"/>
  <c r="A1229" i="8"/>
  <c r="I1943" i="8"/>
  <c r="Q1942" i="8"/>
  <c r="A1943" i="8"/>
  <c r="A1942" i="8"/>
  <c r="R1941" i="8"/>
  <c r="A1941" i="8"/>
  <c r="Q1943" i="8"/>
  <c r="H1941" i="8"/>
  <c r="A1940" i="8"/>
  <c r="Q1945" i="8"/>
  <c r="I1945" i="8"/>
  <c r="A1945" i="8"/>
  <c r="Q1944" i="8"/>
  <c r="A1944" i="8"/>
  <c r="I1942" i="8"/>
  <c r="K1940" i="8"/>
  <c r="I1817" i="8"/>
  <c r="R1816" i="8"/>
  <c r="K1815" i="8"/>
  <c r="I1820" i="8"/>
  <c r="A1820" i="8"/>
  <c r="A1819" i="8"/>
  <c r="Q1820" i="8"/>
  <c r="Q1819" i="8"/>
  <c r="Q1818" i="8"/>
  <c r="I1818" i="8"/>
  <c r="A1818" i="8"/>
  <c r="Q1817" i="8"/>
  <c r="A1817" i="8"/>
  <c r="H1816" i="8"/>
  <c r="A1816" i="8"/>
  <c r="A1815" i="8"/>
  <c r="A2198" i="8"/>
  <c r="I2197" i="8"/>
  <c r="R2196" i="8"/>
  <c r="A2196" i="8"/>
  <c r="Q2198" i="8"/>
  <c r="Q2197" i="8"/>
  <c r="A2197" i="8"/>
  <c r="Q2200" i="8"/>
  <c r="I2200" i="8"/>
  <c r="Q2199" i="8"/>
  <c r="A2199" i="8"/>
  <c r="A2200" i="8"/>
  <c r="I2198" i="8"/>
  <c r="H2196" i="8"/>
  <c r="K2195" i="8"/>
  <c r="A2195" i="8"/>
  <c r="Q1770" i="8"/>
  <c r="A1770" i="8"/>
  <c r="H1769" i="8"/>
  <c r="K1768" i="8"/>
  <c r="I1773" i="8"/>
  <c r="Q1773" i="8"/>
  <c r="Q1772" i="8"/>
  <c r="A1772" i="8"/>
  <c r="I1771" i="8"/>
  <c r="R1769" i="8"/>
  <c r="Q1771" i="8"/>
  <c r="A1771" i="8"/>
  <c r="I1770" i="8"/>
  <c r="A1769" i="8"/>
  <c r="A1768" i="8"/>
  <c r="A1773" i="8"/>
  <c r="A2208" i="8"/>
  <c r="H2207" i="8"/>
  <c r="R2207" i="8"/>
  <c r="A2210" i="8"/>
  <c r="I2209" i="8"/>
  <c r="A2209" i="8"/>
  <c r="I2208" i="8"/>
  <c r="K2206" i="8"/>
  <c r="Q2210" i="8"/>
  <c r="Q2208" i="8"/>
  <c r="Q2211" i="8"/>
  <c r="I2211" i="8"/>
  <c r="A2211" i="8"/>
  <c r="Q2209" i="8"/>
  <c r="A2207" i="8"/>
  <c r="A2206" i="8"/>
  <c r="P10" i="23"/>
  <c r="H84" i="3"/>
  <c r="R26" i="1" s="1"/>
  <c r="U71" i="1"/>
  <c r="C71" i="1"/>
  <c r="R71" i="1"/>
  <c r="L71" i="1"/>
  <c r="A71" i="1"/>
  <c r="O71" i="1"/>
  <c r="U130" i="1"/>
  <c r="L130" i="1"/>
  <c r="C130" i="1"/>
  <c r="R130" i="1"/>
  <c r="A130" i="1"/>
  <c r="O130" i="1"/>
  <c r="O236" i="1"/>
  <c r="R236" i="1"/>
  <c r="L236" i="1"/>
  <c r="C236" i="1"/>
  <c r="U236" i="1"/>
  <c r="A236" i="1"/>
  <c r="O124" i="1"/>
  <c r="L124" i="1"/>
  <c r="U124" i="1"/>
  <c r="A124" i="1"/>
  <c r="R124" i="1"/>
  <c r="C124" i="1"/>
  <c r="R188" i="1"/>
  <c r="O188" i="1"/>
  <c r="C188" i="1"/>
  <c r="A188" i="1"/>
  <c r="L188" i="1"/>
  <c r="U188" i="1"/>
  <c r="U238" i="1"/>
  <c r="C238" i="1"/>
  <c r="A238" i="1"/>
  <c r="R238" i="1"/>
  <c r="O238" i="1"/>
  <c r="L238" i="1"/>
  <c r="U196" i="1"/>
  <c r="C196" i="1"/>
  <c r="O196" i="1"/>
  <c r="R196" i="1"/>
  <c r="A196" i="1"/>
  <c r="L196" i="1"/>
  <c r="U167" i="1"/>
  <c r="C167" i="1"/>
  <c r="R167" i="1"/>
  <c r="O167" i="1"/>
  <c r="L167" i="1"/>
  <c r="A167" i="1"/>
  <c r="C206" i="1"/>
  <c r="U206" i="1"/>
  <c r="R206" i="1"/>
  <c r="L206" i="1"/>
  <c r="A206" i="1"/>
  <c r="O206" i="1"/>
  <c r="U36" i="1"/>
  <c r="R36" i="1"/>
  <c r="O36" i="1"/>
  <c r="C36" i="1"/>
  <c r="L36" i="1"/>
  <c r="A36" i="1"/>
  <c r="U232" i="1"/>
  <c r="R232" i="1"/>
  <c r="L232" i="1"/>
  <c r="C232" i="1"/>
  <c r="O232" i="1"/>
  <c r="A232" i="1"/>
  <c r="U179" i="1"/>
  <c r="C179" i="1"/>
  <c r="L179" i="1"/>
  <c r="A179" i="1"/>
  <c r="R179" i="1"/>
  <c r="O179" i="1"/>
  <c r="U133" i="1"/>
  <c r="C133" i="1"/>
  <c r="A133" i="1"/>
  <c r="O133" i="1"/>
  <c r="L133" i="1"/>
  <c r="R133" i="1"/>
  <c r="C164" i="1"/>
  <c r="R164" i="1"/>
  <c r="O164" i="1"/>
  <c r="L164" i="1"/>
  <c r="U164" i="1"/>
  <c r="A164" i="1"/>
  <c r="M40" i="26"/>
  <c r="P31" i="26"/>
  <c r="P27" i="26"/>
  <c r="M44" i="26"/>
  <c r="P37" i="26"/>
  <c r="P36" i="26"/>
  <c r="P30" i="26"/>
  <c r="P34" i="26"/>
  <c r="P28" i="26"/>
  <c r="P33" i="26"/>
  <c r="P29" i="26"/>
  <c r="M58" i="26"/>
  <c r="M49" i="26"/>
  <c r="P35" i="26"/>
  <c r="AA7" i="26"/>
  <c r="M54" i="26"/>
  <c r="U61" i="1"/>
  <c r="C61" i="1"/>
  <c r="O61" i="1"/>
  <c r="R61" i="1"/>
  <c r="A61" i="1"/>
  <c r="L61" i="1"/>
  <c r="U145" i="1"/>
  <c r="C145" i="1"/>
  <c r="O145" i="1"/>
  <c r="A145" i="1"/>
  <c r="R145" i="1"/>
  <c r="L145" i="1"/>
  <c r="O82" i="1"/>
  <c r="U82" i="1"/>
  <c r="L82" i="1"/>
  <c r="R82" i="1"/>
  <c r="A82" i="1"/>
  <c r="C82" i="1"/>
  <c r="U186" i="1"/>
  <c r="L186" i="1"/>
  <c r="C186" i="1"/>
  <c r="R186" i="1"/>
  <c r="O186" i="1"/>
  <c r="A186" i="1"/>
  <c r="R33" i="8"/>
  <c r="T23" i="2"/>
  <c r="T69" i="20"/>
  <c r="V69" i="20"/>
  <c r="I69" i="20"/>
  <c r="A69" i="20"/>
  <c r="M69" i="20"/>
  <c r="S69" i="20"/>
  <c r="P69" i="20"/>
  <c r="D69" i="20"/>
  <c r="I73" i="17"/>
  <c r="A73" i="17"/>
  <c r="V73" i="17"/>
  <c r="D73" i="17"/>
  <c r="T73" i="17"/>
  <c r="S73" i="17"/>
  <c r="P73" i="17"/>
  <c r="M73" i="17"/>
  <c r="S90" i="22"/>
  <c r="P90" i="22"/>
  <c r="I90" i="22"/>
  <c r="V90" i="22"/>
  <c r="M90" i="22"/>
  <c r="T90" i="22"/>
  <c r="D90" i="22"/>
  <c r="A90" i="22"/>
  <c r="D81" i="15"/>
  <c r="T81" i="15"/>
  <c r="V81" i="15"/>
  <c r="S81" i="15"/>
  <c r="M81" i="15"/>
  <c r="A81" i="15"/>
  <c r="P81" i="15"/>
  <c r="I81" i="15"/>
  <c r="T88" i="15"/>
  <c r="I88" i="15"/>
  <c r="D88" i="15"/>
  <c r="A88" i="15"/>
  <c r="S88" i="15"/>
  <c r="P88" i="15"/>
  <c r="V88" i="15"/>
  <c r="M88" i="15"/>
  <c r="R34" i="8"/>
  <c r="T24" i="2"/>
  <c r="I688" i="8"/>
  <c r="R687" i="8"/>
  <c r="A690" i="8"/>
  <c r="A689" i="8"/>
  <c r="H687" i="8"/>
  <c r="A687" i="8"/>
  <c r="Q691" i="8"/>
  <c r="I691" i="8"/>
  <c r="A691" i="8"/>
  <c r="Q689" i="8"/>
  <c r="Q690" i="8"/>
  <c r="I689" i="8"/>
  <c r="Q688" i="8"/>
  <c r="A688" i="8"/>
  <c r="K686" i="8"/>
  <c r="A686" i="8"/>
  <c r="V72" i="15"/>
  <c r="S72" i="15"/>
  <c r="T72" i="15"/>
  <c r="M72" i="15"/>
  <c r="A72" i="15"/>
  <c r="I72" i="15"/>
  <c r="D72" i="15"/>
  <c r="P72" i="15"/>
  <c r="T70" i="17"/>
  <c r="M70" i="17"/>
  <c r="D70" i="17"/>
  <c r="A70" i="17"/>
  <c r="V70" i="17"/>
  <c r="I70" i="17"/>
  <c r="S70" i="17"/>
  <c r="P70" i="17"/>
  <c r="I870" i="8"/>
  <c r="K865" i="8"/>
  <c r="Q869" i="8"/>
  <c r="A869" i="8"/>
  <c r="I868" i="8"/>
  <c r="R866" i="8"/>
  <c r="Q867" i="8"/>
  <c r="H866" i="8"/>
  <c r="A866" i="8"/>
  <c r="Q870" i="8"/>
  <c r="A870" i="8"/>
  <c r="Q868" i="8"/>
  <c r="I867" i="8"/>
  <c r="A867" i="8"/>
  <c r="A865" i="8"/>
  <c r="A868" i="8"/>
  <c r="V67" i="16"/>
  <c r="P67" i="16"/>
  <c r="I67" i="16"/>
  <c r="D67" i="16"/>
  <c r="A67" i="16"/>
  <c r="T67" i="16"/>
  <c r="M67" i="16"/>
  <c r="S67" i="16"/>
  <c r="T91" i="24"/>
  <c r="S91" i="24"/>
  <c r="D91" i="24"/>
  <c r="A91" i="24"/>
  <c r="M91" i="24"/>
  <c r="I91" i="24"/>
  <c r="V91" i="24"/>
  <c r="P91" i="24"/>
  <c r="V72" i="20"/>
  <c r="S72" i="20"/>
  <c r="T72" i="20"/>
  <c r="P72" i="20"/>
  <c r="M72" i="20"/>
  <c r="I72" i="20"/>
  <c r="D72" i="20"/>
  <c r="A72" i="20"/>
  <c r="I67" i="22"/>
  <c r="S67" i="22"/>
  <c r="A67" i="22"/>
  <c r="V67" i="22"/>
  <c r="T67" i="22"/>
  <c r="P67" i="22"/>
  <c r="M67" i="22"/>
  <c r="D67" i="22"/>
  <c r="V79" i="26"/>
  <c r="P79" i="26"/>
  <c r="M79" i="26"/>
  <c r="T79" i="26"/>
  <c r="S79" i="26"/>
  <c r="A79" i="26"/>
  <c r="I79" i="26"/>
  <c r="D79" i="26"/>
  <c r="P91" i="23"/>
  <c r="V91" i="23"/>
  <c r="S91" i="23"/>
  <c r="D91" i="23"/>
  <c r="M91" i="23"/>
  <c r="I91" i="23"/>
  <c r="A91" i="23"/>
  <c r="T91" i="23"/>
  <c r="A224" i="8"/>
  <c r="A219" i="8"/>
  <c r="A223" i="8"/>
  <c r="K219" i="8"/>
  <c r="Q222" i="8"/>
  <c r="I224" i="8"/>
  <c r="Q223" i="8"/>
  <c r="I222" i="8"/>
  <c r="A222" i="8"/>
  <c r="Q221" i="8"/>
  <c r="A220" i="8"/>
  <c r="Q224" i="8"/>
  <c r="R220" i="8"/>
  <c r="H220" i="8"/>
  <c r="I221" i="8"/>
  <c r="A221" i="8"/>
  <c r="Q538" i="8"/>
  <c r="Q537" i="8"/>
  <c r="A536" i="8"/>
  <c r="A534" i="8"/>
  <c r="A539" i="8"/>
  <c r="A538" i="8"/>
  <c r="K534" i="8"/>
  <c r="Q539" i="8"/>
  <c r="I539" i="8"/>
  <c r="I536" i="8"/>
  <c r="I537" i="8"/>
  <c r="A537" i="8"/>
  <c r="Q536" i="8"/>
  <c r="R535" i="8"/>
  <c r="H535" i="8"/>
  <c r="A535" i="8"/>
  <c r="I1247" i="8"/>
  <c r="R1246" i="8"/>
  <c r="A1247" i="8"/>
  <c r="A1246" i="8"/>
  <c r="Q1250" i="8"/>
  <c r="A1245" i="8"/>
  <c r="Q1249" i="8"/>
  <c r="A1249" i="8"/>
  <c r="Q1248" i="8"/>
  <c r="I1248" i="8"/>
  <c r="A1248" i="8"/>
  <c r="H1246" i="8"/>
  <c r="K1245" i="8"/>
  <c r="Q1247" i="8"/>
  <c r="I1250" i="8"/>
  <c r="A1250" i="8"/>
  <c r="I1524" i="8"/>
  <c r="R1523" i="8"/>
  <c r="H1523" i="8"/>
  <c r="Q1527" i="8"/>
  <c r="A1522" i="8"/>
  <c r="I1527" i="8"/>
  <c r="Q1526" i="8"/>
  <c r="A1523" i="8"/>
  <c r="A1524" i="8"/>
  <c r="K1522" i="8"/>
  <c r="A1527" i="8"/>
  <c r="A1526" i="8"/>
  <c r="Q1525" i="8"/>
  <c r="I1525" i="8"/>
  <c r="A1525" i="8"/>
  <c r="Q1524" i="8"/>
  <c r="U215" i="1"/>
  <c r="C215" i="1"/>
  <c r="O215" i="1"/>
  <c r="A215" i="1"/>
  <c r="R215" i="1"/>
  <c r="L215" i="1"/>
  <c r="B19" i="27"/>
  <c r="B20" i="27"/>
  <c r="A717" i="8"/>
  <c r="I716" i="8"/>
  <c r="A716" i="8"/>
  <c r="Q716" i="8"/>
  <c r="A715" i="8"/>
  <c r="R714" i="8"/>
  <c r="I718" i="8"/>
  <c r="A718" i="8"/>
  <c r="Q717" i="8"/>
  <c r="Q715" i="8"/>
  <c r="I715" i="8"/>
  <c r="H714" i="8"/>
  <c r="A714" i="8"/>
  <c r="Q718" i="8"/>
  <c r="K713" i="8"/>
  <c r="A713" i="8"/>
  <c r="I52" i="8"/>
  <c r="A51" i="8"/>
  <c r="Q51" i="8"/>
  <c r="I51" i="8"/>
  <c r="R50" i="8"/>
  <c r="H50" i="8"/>
  <c r="A50" i="8"/>
  <c r="Q52" i="8"/>
  <c r="I54" i="8"/>
  <c r="A54" i="8"/>
  <c r="Q53" i="8"/>
  <c r="A53" i="8"/>
  <c r="A52" i="8"/>
  <c r="K49" i="8"/>
  <c r="A49" i="8"/>
  <c r="Q54" i="8"/>
  <c r="A92" i="15"/>
  <c r="V92" i="15"/>
  <c r="S92" i="15"/>
  <c r="M92" i="15"/>
  <c r="I92" i="15"/>
  <c r="T92" i="15"/>
  <c r="P92" i="15"/>
  <c r="D92" i="15"/>
  <c r="M86" i="19"/>
  <c r="T86" i="19"/>
  <c r="P86" i="19"/>
  <c r="I86" i="19"/>
  <c r="A86" i="19"/>
  <c r="D86" i="19"/>
  <c r="V86" i="19"/>
  <c r="S86" i="19"/>
  <c r="A86" i="22"/>
  <c r="P86" i="22"/>
  <c r="D86" i="22"/>
  <c r="S86" i="22"/>
  <c r="M86" i="22"/>
  <c r="V86" i="22"/>
  <c r="T86" i="22"/>
  <c r="I86" i="22"/>
  <c r="P67" i="21"/>
  <c r="S67" i="21"/>
  <c r="V67" i="21"/>
  <c r="M67" i="21"/>
  <c r="I67" i="21"/>
  <c r="D67" i="21"/>
  <c r="T67" i="21"/>
  <c r="A67" i="21"/>
  <c r="T64" i="18"/>
  <c r="A64" i="18"/>
  <c r="V64" i="18"/>
  <c r="P64" i="18"/>
  <c r="M64" i="18"/>
  <c r="I64" i="18"/>
  <c r="D64" i="18"/>
  <c r="S64" i="18"/>
  <c r="A79" i="25"/>
  <c r="I79" i="25"/>
  <c r="P79" i="25"/>
  <c r="V79" i="25"/>
  <c r="T79" i="25"/>
  <c r="S79" i="25"/>
  <c r="M79" i="25"/>
  <c r="D79" i="25"/>
  <c r="P81" i="36"/>
  <c r="M81" i="36"/>
  <c r="D81" i="36"/>
  <c r="A81" i="36"/>
  <c r="S81" i="36"/>
  <c r="I81" i="36"/>
  <c r="T81" i="36"/>
  <c r="V81" i="36"/>
  <c r="A75" i="22"/>
  <c r="P75" i="22"/>
  <c r="T75" i="22"/>
  <c r="M75" i="22"/>
  <c r="D75" i="22"/>
  <c r="S75" i="22"/>
  <c r="I75" i="22"/>
  <c r="V75" i="22"/>
  <c r="S71" i="36"/>
  <c r="V71" i="36"/>
  <c r="P71" i="36"/>
  <c r="I71" i="36"/>
  <c r="D71" i="36"/>
  <c r="A71" i="36"/>
  <c r="M71" i="36"/>
  <c r="T71" i="36"/>
  <c r="I1107" i="8"/>
  <c r="Q1106" i="8"/>
  <c r="A1109" i="8"/>
  <c r="Q1108" i="8"/>
  <c r="Q1107" i="8"/>
  <c r="R1105" i="8"/>
  <c r="A1104" i="8"/>
  <c r="Q1109" i="8"/>
  <c r="I1109" i="8"/>
  <c r="A1108" i="8"/>
  <c r="A1107" i="8"/>
  <c r="I1106" i="8"/>
  <c r="A1106" i="8"/>
  <c r="H1105" i="8"/>
  <c r="A1105" i="8"/>
  <c r="K1104" i="8"/>
  <c r="Q926" i="8"/>
  <c r="A926" i="8"/>
  <c r="Q925" i="8"/>
  <c r="A925" i="8"/>
  <c r="I926" i="8"/>
  <c r="H924" i="8"/>
  <c r="A924" i="8"/>
  <c r="Q928" i="8"/>
  <c r="I928" i="8"/>
  <c r="A928" i="8"/>
  <c r="K923" i="8"/>
  <c r="A927" i="8"/>
  <c r="I925" i="8"/>
  <c r="R924" i="8"/>
  <c r="A923" i="8"/>
  <c r="Q927" i="8"/>
  <c r="A91" i="8"/>
  <c r="Q89" i="8"/>
  <c r="R88" i="8"/>
  <c r="H88" i="8"/>
  <c r="A88" i="8"/>
  <c r="K87" i="8"/>
  <c r="Q92" i="8"/>
  <c r="I92" i="8"/>
  <c r="A89" i="8"/>
  <c r="A87" i="8"/>
  <c r="A92" i="8"/>
  <c r="Q91" i="8"/>
  <c r="A90" i="8"/>
  <c r="I89" i="8"/>
  <c r="Q90" i="8"/>
  <c r="I90" i="8"/>
  <c r="I422" i="8"/>
  <c r="R421" i="8"/>
  <c r="A425" i="8"/>
  <c r="A420" i="8"/>
  <c r="Q425" i="8"/>
  <c r="I425" i="8"/>
  <c r="Q424" i="8"/>
  <c r="K420" i="8"/>
  <c r="A424" i="8"/>
  <c r="Q423" i="8"/>
  <c r="I423" i="8"/>
  <c r="A423" i="8"/>
  <c r="Q422" i="8"/>
  <c r="A422" i="8"/>
  <c r="H421" i="8"/>
  <c r="A421" i="8"/>
  <c r="H828" i="8"/>
  <c r="Q832" i="8"/>
  <c r="K827" i="8"/>
  <c r="Q831" i="8"/>
  <c r="A831" i="8"/>
  <c r="I830" i="8"/>
  <c r="A830" i="8"/>
  <c r="Q829" i="8"/>
  <c r="I829" i="8"/>
  <c r="A829" i="8"/>
  <c r="I832" i="8"/>
  <c r="A832" i="8"/>
  <c r="A827" i="8"/>
  <c r="Q830" i="8"/>
  <c r="R828" i="8"/>
  <c r="A828" i="8"/>
  <c r="A1990" i="8"/>
  <c r="I1989" i="8"/>
  <c r="R1988" i="8"/>
  <c r="A1988" i="8"/>
  <c r="Q1992" i="8"/>
  <c r="A1987" i="8"/>
  <c r="A1992" i="8"/>
  <c r="A1991" i="8"/>
  <c r="Q1990" i="8"/>
  <c r="Q1989" i="8"/>
  <c r="Q1991" i="8"/>
  <c r="A1989" i="8"/>
  <c r="H1988" i="8"/>
  <c r="K1987" i="8"/>
  <c r="I1992" i="8"/>
  <c r="I1990" i="8"/>
  <c r="U201" i="1"/>
  <c r="C201" i="1"/>
  <c r="O201" i="1"/>
  <c r="A201" i="1"/>
  <c r="L201" i="1"/>
  <c r="R201" i="1"/>
  <c r="U79" i="1"/>
  <c r="C79" i="1"/>
  <c r="O79" i="1"/>
  <c r="A79" i="1"/>
  <c r="L79" i="1"/>
  <c r="R79" i="1"/>
  <c r="U125" i="1"/>
  <c r="C125" i="1"/>
  <c r="R125" i="1"/>
  <c r="O125" i="1"/>
  <c r="A125" i="1"/>
  <c r="L125" i="1"/>
  <c r="U239" i="1"/>
  <c r="C239" i="1"/>
  <c r="R239" i="1"/>
  <c r="O239" i="1"/>
  <c r="L239" i="1"/>
  <c r="A239" i="1"/>
  <c r="U77" i="1"/>
  <c r="C77" i="1"/>
  <c r="A77" i="1"/>
  <c r="R77" i="1"/>
  <c r="O77" i="1"/>
  <c r="L77" i="1"/>
  <c r="M54" i="19"/>
  <c r="P28" i="19"/>
  <c r="P31" i="19"/>
  <c r="P27" i="19"/>
  <c r="M49" i="19"/>
  <c r="AA7" i="19"/>
  <c r="M58" i="19"/>
  <c r="P36" i="19"/>
  <c r="P35" i="19"/>
  <c r="P34" i="19"/>
  <c r="P33" i="19"/>
  <c r="P29" i="19"/>
  <c r="M44" i="19"/>
  <c r="M40" i="19"/>
  <c r="P37" i="19"/>
  <c r="P30" i="19"/>
  <c r="A477" i="8"/>
  <c r="I481" i="8"/>
  <c r="K476" i="8"/>
  <c r="A481" i="8"/>
  <c r="Q479" i="8"/>
  <c r="I479" i="8"/>
  <c r="Q481" i="8"/>
  <c r="Q480" i="8"/>
  <c r="A480" i="8"/>
  <c r="A479" i="8"/>
  <c r="Q478" i="8"/>
  <c r="R477" i="8"/>
  <c r="I478" i="8"/>
  <c r="A478" i="8"/>
  <c r="A476" i="8"/>
  <c r="H477" i="8"/>
  <c r="O100" i="1"/>
  <c r="A100" i="1"/>
  <c r="R100" i="1"/>
  <c r="U100" i="1"/>
  <c r="L100" i="1"/>
  <c r="C100" i="1"/>
  <c r="K33" i="8"/>
  <c r="Q23" i="2"/>
  <c r="Q44" i="8"/>
  <c r="A43" i="8"/>
  <c r="Q42" i="8"/>
  <c r="I42" i="8"/>
  <c r="A42" i="8"/>
  <c r="R41" i="8"/>
  <c r="H41" i="8"/>
  <c r="A40" i="8"/>
  <c r="A41" i="8"/>
  <c r="K40" i="8"/>
  <c r="Q45" i="8"/>
  <c r="I45" i="8"/>
  <c r="Q43" i="8"/>
  <c r="I43" i="8"/>
  <c r="A44" i="8"/>
  <c r="A45" i="8"/>
  <c r="P71" i="24"/>
  <c r="S71" i="24"/>
  <c r="A71" i="24"/>
  <c r="M71" i="24"/>
  <c r="D71" i="24"/>
  <c r="T71" i="24"/>
  <c r="I71" i="24"/>
  <c r="V71" i="24"/>
  <c r="T91" i="19"/>
  <c r="S91" i="19"/>
  <c r="V91" i="19"/>
  <c r="P91" i="19"/>
  <c r="M91" i="19"/>
  <c r="I91" i="19"/>
  <c r="A91" i="19"/>
  <c r="D91" i="19"/>
  <c r="P76" i="15"/>
  <c r="I76" i="15"/>
  <c r="S76" i="15"/>
  <c r="D76" i="15"/>
  <c r="A76" i="15"/>
  <c r="T76" i="15"/>
  <c r="M76" i="15"/>
  <c r="V76" i="15"/>
  <c r="T83" i="25"/>
  <c r="S83" i="25"/>
  <c r="V83" i="25"/>
  <c r="I83" i="25"/>
  <c r="A83" i="25"/>
  <c r="P83" i="25"/>
  <c r="M83" i="25"/>
  <c r="D83" i="25"/>
  <c r="D88" i="26"/>
  <c r="A88" i="26"/>
  <c r="P88" i="26"/>
  <c r="T88" i="26"/>
  <c r="V88" i="26"/>
  <c r="S88" i="26"/>
  <c r="I88" i="26"/>
  <c r="M88" i="26"/>
  <c r="S70" i="25"/>
  <c r="M70" i="25"/>
  <c r="I70" i="25"/>
  <c r="D70" i="25"/>
  <c r="P70" i="25"/>
  <c r="A70" i="25"/>
  <c r="V70" i="25"/>
  <c r="T70" i="25"/>
  <c r="I156" i="8"/>
  <c r="R155" i="8"/>
  <c r="Q159" i="8"/>
  <c r="K154" i="8"/>
  <c r="A154" i="8"/>
  <c r="I159" i="8"/>
  <c r="A159" i="8"/>
  <c r="Q158" i="8"/>
  <c r="A155" i="8"/>
  <c r="Q156" i="8"/>
  <c r="A156" i="8"/>
  <c r="H155" i="8"/>
  <c r="I157" i="8"/>
  <c r="A157" i="8"/>
  <c r="Q157" i="8"/>
  <c r="A158" i="8"/>
  <c r="A185" i="8"/>
  <c r="I184" i="8"/>
  <c r="A182" i="8"/>
  <c r="I186" i="8"/>
  <c r="A183" i="8"/>
  <c r="R182" i="8"/>
  <c r="H182" i="8"/>
  <c r="K181" i="8"/>
  <c r="A184" i="8"/>
  <c r="Q183" i="8"/>
  <c r="Q186" i="8"/>
  <c r="A186" i="8"/>
  <c r="Q185" i="8"/>
  <c r="Q184" i="8"/>
  <c r="I183" i="8"/>
  <c r="A181" i="8"/>
  <c r="I843" i="8"/>
  <c r="K838" i="8"/>
  <c r="Q842" i="8"/>
  <c r="A838" i="8"/>
  <c r="A843" i="8"/>
  <c r="A842" i="8"/>
  <c r="Q843" i="8"/>
  <c r="Q841" i="8"/>
  <c r="I841" i="8"/>
  <c r="A841" i="8"/>
  <c r="I840" i="8"/>
  <c r="A840" i="8"/>
  <c r="R839" i="8"/>
  <c r="H839" i="8"/>
  <c r="A839" i="8"/>
  <c r="Q840" i="8"/>
  <c r="I981" i="8"/>
  <c r="R980" i="8"/>
  <c r="A981" i="8"/>
  <c r="H980" i="8"/>
  <c r="Q984" i="8"/>
  <c r="Q983" i="8"/>
  <c r="A983" i="8"/>
  <c r="A980" i="8"/>
  <c r="K979" i="8"/>
  <c r="A979" i="8"/>
  <c r="I984" i="8"/>
  <c r="A984" i="8"/>
  <c r="Q982" i="8"/>
  <c r="I982" i="8"/>
  <c r="A982" i="8"/>
  <c r="Q981" i="8"/>
  <c r="Q2401" i="8"/>
  <c r="A2401" i="8"/>
  <c r="A2396" i="8"/>
  <c r="Q2398" i="8"/>
  <c r="A2398" i="8"/>
  <c r="I2401" i="8"/>
  <c r="A2400" i="8"/>
  <c r="Q2399" i="8"/>
  <c r="A2399" i="8"/>
  <c r="I2399" i="8"/>
  <c r="R2397" i="8"/>
  <c r="H2397" i="8"/>
  <c r="K2396" i="8"/>
  <c r="I2398" i="8"/>
  <c r="A2397" i="8"/>
  <c r="Q2400" i="8"/>
  <c r="U191" i="1"/>
  <c r="C191" i="1"/>
  <c r="O191" i="1"/>
  <c r="L191" i="1"/>
  <c r="A191" i="1"/>
  <c r="R191" i="1"/>
  <c r="U149" i="1"/>
  <c r="C149" i="1"/>
  <c r="O149" i="1"/>
  <c r="R149" i="1"/>
  <c r="L149" i="1"/>
  <c r="A149" i="1"/>
  <c r="U154" i="1"/>
  <c r="C154" i="1"/>
  <c r="R154" i="1"/>
  <c r="O154" i="1"/>
  <c r="A154" i="1"/>
  <c r="L154" i="1"/>
  <c r="U190" i="1"/>
  <c r="R190" i="1"/>
  <c r="O190" i="1"/>
  <c r="L190" i="1"/>
  <c r="A190" i="1"/>
  <c r="C190" i="1"/>
  <c r="R230" i="1"/>
  <c r="O230" i="1"/>
  <c r="A230" i="1"/>
  <c r="C230" i="1"/>
  <c r="U230" i="1"/>
  <c r="L230" i="1"/>
  <c r="U237" i="1"/>
  <c r="C237" i="1"/>
  <c r="R237" i="1"/>
  <c r="O237" i="1"/>
  <c r="L237" i="1"/>
  <c r="A237" i="1"/>
  <c r="U143" i="1"/>
  <c r="C143" i="1"/>
  <c r="A143" i="1"/>
  <c r="L143" i="1"/>
  <c r="O143" i="1"/>
  <c r="R143" i="1"/>
  <c r="U37" i="1"/>
  <c r="C37" i="1"/>
  <c r="O37" i="1"/>
  <c r="R37" i="1"/>
  <c r="L37" i="1"/>
  <c r="A37" i="1"/>
  <c r="I79" i="19"/>
  <c r="T79" i="19"/>
  <c r="P79" i="19"/>
  <c r="D79" i="19"/>
  <c r="A79" i="19"/>
  <c r="V79" i="19"/>
  <c r="S79" i="19"/>
  <c r="M79" i="19"/>
  <c r="P82" i="16"/>
  <c r="I82" i="16"/>
  <c r="M82" i="16"/>
  <c r="A82" i="16"/>
  <c r="V82" i="16"/>
  <c r="T82" i="16"/>
  <c r="D82" i="16"/>
  <c r="S82" i="16"/>
  <c r="P67" i="19"/>
  <c r="D67" i="19"/>
  <c r="T67" i="19"/>
  <c r="V67" i="19"/>
  <c r="I67" i="19"/>
  <c r="S67" i="19"/>
  <c r="M67" i="19"/>
  <c r="A67" i="19"/>
  <c r="V72" i="16"/>
  <c r="S72" i="16"/>
  <c r="T72" i="16"/>
  <c r="P72" i="16"/>
  <c r="I72" i="16"/>
  <c r="D72" i="16"/>
  <c r="M72" i="16"/>
  <c r="A72" i="16"/>
  <c r="D70" i="23"/>
  <c r="P70" i="23"/>
  <c r="A70" i="23"/>
  <c r="V70" i="23"/>
  <c r="T70" i="23"/>
  <c r="S70" i="23"/>
  <c r="M70" i="23"/>
  <c r="I70" i="23"/>
  <c r="P69" i="26"/>
  <c r="M69" i="26"/>
  <c r="V69" i="26"/>
  <c r="D69" i="26"/>
  <c r="T69" i="26"/>
  <c r="S69" i="26"/>
  <c r="I69" i="26"/>
  <c r="A69" i="26"/>
  <c r="V66" i="24"/>
  <c r="M66" i="24"/>
  <c r="D66" i="24"/>
  <c r="T66" i="24"/>
  <c r="P66" i="24"/>
  <c r="I66" i="24"/>
  <c r="S66" i="24"/>
  <c r="A66" i="24"/>
  <c r="V72" i="25"/>
  <c r="T72" i="25"/>
  <c r="S72" i="25"/>
  <c r="M72" i="25"/>
  <c r="I72" i="25"/>
  <c r="D72" i="25"/>
  <c r="P72" i="25"/>
  <c r="A72" i="25"/>
  <c r="I79" i="24"/>
  <c r="P79" i="24"/>
  <c r="S79" i="24"/>
  <c r="A79" i="24"/>
  <c r="V79" i="24"/>
  <c r="D79" i="24"/>
  <c r="T79" i="24"/>
  <c r="M79" i="24"/>
  <c r="I554" i="8"/>
  <c r="R553" i="8"/>
  <c r="H553" i="8"/>
  <c r="A552" i="8"/>
  <c r="A557" i="8"/>
  <c r="Q556" i="8"/>
  <c r="Q555" i="8"/>
  <c r="I555" i="8"/>
  <c r="A555" i="8"/>
  <c r="Q554" i="8"/>
  <c r="A554" i="8"/>
  <c r="A553" i="8"/>
  <c r="Q557" i="8"/>
  <c r="I557" i="8"/>
  <c r="A556" i="8"/>
  <c r="K552" i="8"/>
  <c r="A335" i="8"/>
  <c r="H334" i="8"/>
  <c r="A336" i="8"/>
  <c r="A334" i="8"/>
  <c r="A333" i="8"/>
  <c r="Q338" i="8"/>
  <c r="I338" i="8"/>
  <c r="A338" i="8"/>
  <c r="R334" i="8"/>
  <c r="Q337" i="8"/>
  <c r="A337" i="8"/>
  <c r="Q336" i="8"/>
  <c r="I336" i="8"/>
  <c r="Q335" i="8"/>
  <c r="I335" i="8"/>
  <c r="K333" i="8"/>
  <c r="I60" i="8"/>
  <c r="A59" i="8"/>
  <c r="Q60" i="8"/>
  <c r="A60" i="8"/>
  <c r="R59" i="8"/>
  <c r="H59" i="8"/>
  <c r="I63" i="8"/>
  <c r="Q63" i="8"/>
  <c r="A63" i="8"/>
  <c r="Q62" i="8"/>
  <c r="A62" i="8"/>
  <c r="Q61" i="8"/>
  <c r="I61" i="8"/>
  <c r="A58" i="8"/>
  <c r="A61" i="8"/>
  <c r="K58" i="8"/>
  <c r="Q365" i="8"/>
  <c r="A365" i="8"/>
  <c r="A364" i="8"/>
  <c r="I364" i="8"/>
  <c r="R363" i="8"/>
  <c r="H363" i="8"/>
  <c r="A363" i="8"/>
  <c r="K362" i="8"/>
  <c r="Q366" i="8"/>
  <c r="A366" i="8"/>
  <c r="I365" i="8"/>
  <c r="Q364" i="8"/>
  <c r="A362" i="8"/>
  <c r="I367" i="8"/>
  <c r="A367" i="8"/>
  <c r="Q367" i="8"/>
  <c r="I577" i="8"/>
  <c r="K572" i="8"/>
  <c r="Q576" i="8"/>
  <c r="H573" i="8"/>
  <c r="Q577" i="8"/>
  <c r="A577" i="8"/>
  <c r="A572" i="8"/>
  <c r="A576" i="8"/>
  <c r="Q574" i="8"/>
  <c r="A573" i="8"/>
  <c r="Q575" i="8"/>
  <c r="I575" i="8"/>
  <c r="A574" i="8"/>
  <c r="R573" i="8"/>
  <c r="A575" i="8"/>
  <c r="I574" i="8"/>
  <c r="A1866" i="8"/>
  <c r="H1865" i="8"/>
  <c r="A1869" i="8"/>
  <c r="A1868" i="8"/>
  <c r="Q1867" i="8"/>
  <c r="A1867" i="8"/>
  <c r="I1866" i="8"/>
  <c r="A1865" i="8"/>
  <c r="A1864" i="8"/>
  <c r="I1869" i="8"/>
  <c r="Q1868" i="8"/>
  <c r="I1867" i="8"/>
  <c r="Q1866" i="8"/>
  <c r="R1865" i="8"/>
  <c r="Q1869" i="8"/>
  <c r="K1864" i="8"/>
  <c r="I311" i="8"/>
  <c r="K306" i="8"/>
  <c r="Q310" i="8"/>
  <c r="I309" i="8"/>
  <c r="A308" i="8"/>
  <c r="A311" i="8"/>
  <c r="A310" i="8"/>
  <c r="Q309" i="8"/>
  <c r="A309" i="8"/>
  <c r="Q308" i="8"/>
  <c r="A306" i="8"/>
  <c r="Q311" i="8"/>
  <c r="I308" i="8"/>
  <c r="A307" i="8"/>
  <c r="H307" i="8"/>
  <c r="R307" i="8"/>
  <c r="P10" i="26"/>
  <c r="M14" i="4"/>
  <c r="H88" i="3"/>
  <c r="R29" i="1" s="1"/>
  <c r="AI15" i="6"/>
  <c r="S24" i="7"/>
  <c r="J15" i="5"/>
  <c r="C94" i="1"/>
  <c r="R94" i="1"/>
  <c r="U94" i="1"/>
  <c r="L94" i="1"/>
  <c r="A94" i="1"/>
  <c r="O94" i="1"/>
  <c r="U181" i="1"/>
  <c r="C181" i="1"/>
  <c r="R181" i="1"/>
  <c r="O181" i="1"/>
  <c r="A181" i="1"/>
  <c r="L181" i="1"/>
  <c r="O152" i="1"/>
  <c r="R152" i="1"/>
  <c r="L152" i="1"/>
  <c r="C152" i="1"/>
  <c r="A152" i="1"/>
  <c r="U152" i="1"/>
  <c r="C150" i="1"/>
  <c r="R150" i="1"/>
  <c r="A150" i="1"/>
  <c r="L150" i="1"/>
  <c r="U150" i="1"/>
  <c r="O150" i="1"/>
  <c r="U267" i="1"/>
  <c r="C267" i="1"/>
  <c r="L267" i="1"/>
  <c r="A267" i="1"/>
  <c r="R267" i="1"/>
  <c r="O267" i="1"/>
  <c r="U204" i="1"/>
  <c r="A204" i="1"/>
  <c r="O204" i="1"/>
  <c r="R204" i="1"/>
  <c r="L204" i="1"/>
  <c r="C204" i="1"/>
  <c r="U105" i="1"/>
  <c r="C105" i="1"/>
  <c r="A105" i="1"/>
  <c r="L105" i="1"/>
  <c r="R105" i="1"/>
  <c r="O105" i="1"/>
  <c r="M58" i="23"/>
  <c r="P30" i="23"/>
  <c r="P36" i="23"/>
  <c r="P35" i="23"/>
  <c r="AA7" i="23"/>
  <c r="M49" i="23"/>
  <c r="M54" i="23"/>
  <c r="M44" i="23"/>
  <c r="M40" i="23"/>
  <c r="P37" i="23"/>
  <c r="P34" i="23"/>
  <c r="P33" i="23"/>
  <c r="P29" i="23"/>
  <c r="P31" i="23"/>
  <c r="P27" i="23"/>
  <c r="P28" i="23"/>
  <c r="O96" i="1"/>
  <c r="L96" i="1"/>
  <c r="C96" i="1"/>
  <c r="A96" i="1"/>
  <c r="R96" i="1"/>
  <c r="U96" i="1"/>
  <c r="K30" i="8"/>
  <c r="Q20" i="2"/>
  <c r="P33" i="7"/>
  <c r="AN24" i="6"/>
  <c r="AH24" i="6"/>
  <c r="A10" i="22" s="1"/>
  <c r="Q2410" i="8"/>
  <c r="Q2409" i="8"/>
  <c r="Q2408" i="8"/>
  <c r="I2407" i="8"/>
  <c r="R2406" i="8"/>
  <c r="I2410" i="8"/>
  <c r="A2410" i="8"/>
  <c r="I2408" i="8"/>
  <c r="A2408" i="8"/>
  <c r="Q2407" i="8"/>
  <c r="A2407" i="8"/>
  <c r="A2409" i="8"/>
  <c r="H2406" i="8"/>
  <c r="A2406" i="8"/>
  <c r="K2405" i="8"/>
  <c r="A2405" i="8"/>
  <c r="A86" i="15"/>
  <c r="V86" i="15"/>
  <c r="D86" i="15"/>
  <c r="S86" i="15"/>
  <c r="P86" i="15"/>
  <c r="I86" i="15"/>
  <c r="T86" i="15"/>
  <c r="M86" i="15"/>
  <c r="S69" i="15"/>
  <c r="I69" i="15"/>
  <c r="A69" i="15"/>
  <c r="M69" i="15"/>
  <c r="D69" i="15"/>
  <c r="T69" i="15"/>
  <c r="V69" i="15"/>
  <c r="P69" i="15"/>
  <c r="S66" i="20"/>
  <c r="M66" i="20"/>
  <c r="T66" i="20"/>
  <c r="I66" i="20"/>
  <c r="D66" i="20"/>
  <c r="P66" i="20"/>
  <c r="A66" i="20"/>
  <c r="V66" i="20"/>
  <c r="J24" i="5"/>
  <c r="S33" i="7"/>
  <c r="AI24" i="6"/>
  <c r="S77" i="17"/>
  <c r="M77" i="17"/>
  <c r="I77" i="17"/>
  <c r="A77" i="17"/>
  <c r="P77" i="17"/>
  <c r="D77" i="17"/>
  <c r="V77" i="17"/>
  <c r="T77" i="17"/>
  <c r="V77" i="16"/>
  <c r="S77" i="16"/>
  <c r="D77" i="16"/>
  <c r="A77" i="16"/>
  <c r="T77" i="16"/>
  <c r="P77" i="16"/>
  <c r="I77" i="16"/>
  <c r="M77" i="16"/>
  <c r="V66" i="21"/>
  <c r="M66" i="21"/>
  <c r="D66" i="21"/>
  <c r="I66" i="21"/>
  <c r="T66" i="21"/>
  <c r="S66" i="21"/>
  <c r="P66" i="21"/>
  <c r="A66" i="21"/>
  <c r="A78" i="15"/>
  <c r="T78" i="15"/>
  <c r="M78" i="15"/>
  <c r="D78" i="15"/>
  <c r="S78" i="15"/>
  <c r="P78" i="15"/>
  <c r="I78" i="15"/>
  <c r="V78" i="15"/>
  <c r="I84" i="15"/>
  <c r="A84" i="15"/>
  <c r="D84" i="15"/>
  <c r="V84" i="15"/>
  <c r="T84" i="15"/>
  <c r="S84" i="15"/>
  <c r="M84" i="15"/>
  <c r="P84" i="15"/>
  <c r="V69" i="17"/>
  <c r="S69" i="17"/>
  <c r="P69" i="17"/>
  <c r="I69" i="17"/>
  <c r="D69" i="17"/>
  <c r="M69" i="17"/>
  <c r="A69" i="17"/>
  <c r="T69" i="17"/>
  <c r="A77" i="20"/>
  <c r="V77" i="20"/>
  <c r="I77" i="20"/>
  <c r="S77" i="20"/>
  <c r="T77" i="20"/>
  <c r="P77" i="20"/>
  <c r="M77" i="20"/>
  <c r="D77" i="20"/>
  <c r="U24" i="7"/>
  <c r="K15" i="5"/>
  <c r="AN15" i="6"/>
  <c r="AJ15" i="6"/>
  <c r="A1146" i="8"/>
  <c r="I1145" i="8"/>
  <c r="Q1145" i="8"/>
  <c r="A1145" i="8"/>
  <c r="I1144" i="8"/>
  <c r="K1142" i="8"/>
  <c r="Q1147" i="8"/>
  <c r="I1147" i="8"/>
  <c r="Q1146" i="8"/>
  <c r="Q1144" i="8"/>
  <c r="A1144" i="8"/>
  <c r="R1143" i="8"/>
  <c r="H1143" i="8"/>
  <c r="A1143" i="8"/>
  <c r="A1147" i="8"/>
  <c r="A1142" i="8"/>
  <c r="A64" i="15"/>
  <c r="I64" i="15"/>
  <c r="T64" i="15"/>
  <c r="S64" i="15"/>
  <c r="M64" i="15"/>
  <c r="V64" i="15"/>
  <c r="P64" i="15"/>
  <c r="D64" i="15"/>
  <c r="V88" i="22"/>
  <c r="M88" i="22"/>
  <c r="A88" i="22"/>
  <c r="I88" i="22"/>
  <c r="S88" i="22"/>
  <c r="P88" i="22"/>
  <c r="D88" i="22"/>
  <c r="T88" i="22"/>
  <c r="T78" i="16"/>
  <c r="M78" i="16"/>
  <c r="D78" i="16"/>
  <c r="V78" i="16"/>
  <c r="S78" i="16"/>
  <c r="I78" i="16"/>
  <c r="A78" i="16"/>
  <c r="P78" i="16"/>
  <c r="S72" i="22"/>
  <c r="D72" i="22"/>
  <c r="V72" i="22"/>
  <c r="M72" i="22"/>
  <c r="I72" i="22"/>
  <c r="T72" i="22"/>
  <c r="A72" i="22"/>
  <c r="P72" i="22"/>
  <c r="I82" i="17"/>
  <c r="A82" i="17"/>
  <c r="M82" i="17"/>
  <c r="S82" i="17"/>
  <c r="D82" i="17"/>
  <c r="T82" i="17"/>
  <c r="V82" i="17"/>
  <c r="P82" i="17"/>
  <c r="V65" i="18"/>
  <c r="S65" i="18"/>
  <c r="P65" i="18"/>
  <c r="I65" i="18"/>
  <c r="M65" i="18"/>
  <c r="A65" i="18"/>
  <c r="T65" i="18"/>
  <c r="D65" i="18"/>
  <c r="V91" i="15"/>
  <c r="M91" i="15"/>
  <c r="A91" i="15"/>
  <c r="D91" i="15"/>
  <c r="I91" i="15"/>
  <c r="T91" i="15"/>
  <c r="P91" i="15"/>
  <c r="S91" i="15"/>
  <c r="S80" i="23"/>
  <c r="A80" i="23"/>
  <c r="T80" i="23"/>
  <c r="P80" i="23"/>
  <c r="V80" i="23"/>
  <c r="M80" i="23"/>
  <c r="I80" i="23"/>
  <c r="D80" i="23"/>
  <c r="P74" i="17"/>
  <c r="I74" i="17"/>
  <c r="V74" i="17"/>
  <c r="T74" i="17"/>
  <c r="M74" i="17"/>
  <c r="D74" i="17"/>
  <c r="A74" i="17"/>
  <c r="S74" i="17"/>
  <c r="M77" i="18"/>
  <c r="D77" i="18"/>
  <c r="T77" i="18"/>
  <c r="S77" i="18"/>
  <c r="I77" i="18"/>
  <c r="V77" i="18"/>
  <c r="A77" i="18"/>
  <c r="P77" i="18"/>
  <c r="V90" i="21"/>
  <c r="I90" i="21"/>
  <c r="M90" i="21"/>
  <c r="A90" i="21"/>
  <c r="S90" i="21"/>
  <c r="D90" i="21"/>
  <c r="T90" i="21"/>
  <c r="P90" i="21"/>
  <c r="I74" i="18"/>
  <c r="A74" i="18"/>
  <c r="T74" i="18"/>
  <c r="S74" i="18"/>
  <c r="M74" i="18"/>
  <c r="V74" i="18"/>
  <c r="P74" i="18"/>
  <c r="D74" i="18"/>
  <c r="S78" i="17"/>
  <c r="M78" i="17"/>
  <c r="I78" i="17"/>
  <c r="A78" i="17"/>
  <c r="T78" i="17"/>
  <c r="V78" i="17"/>
  <c r="P78" i="17"/>
  <c r="D78" i="17"/>
  <c r="V81" i="25"/>
  <c r="I81" i="25"/>
  <c r="A81" i="25"/>
  <c r="S81" i="25"/>
  <c r="P81" i="25"/>
  <c r="M81" i="25"/>
  <c r="T81" i="25"/>
  <c r="D81" i="25"/>
  <c r="V80" i="24"/>
  <c r="T80" i="24"/>
  <c r="P80" i="24"/>
  <c r="M80" i="24"/>
  <c r="I80" i="24"/>
  <c r="S80" i="24"/>
  <c r="A80" i="24"/>
  <c r="D80" i="24"/>
  <c r="M86" i="20"/>
  <c r="D86" i="20"/>
  <c r="I86" i="20"/>
  <c r="T86" i="20"/>
  <c r="S86" i="20"/>
  <c r="A86" i="20"/>
  <c r="P86" i="20"/>
  <c r="V86" i="20"/>
  <c r="P77" i="25"/>
  <c r="M77" i="25"/>
  <c r="A77" i="25"/>
  <c r="T77" i="25"/>
  <c r="I77" i="25"/>
  <c r="V77" i="25"/>
  <c r="S77" i="25"/>
  <c r="D77" i="25"/>
  <c r="P93" i="23"/>
  <c r="A93" i="23"/>
  <c r="I93" i="23"/>
  <c r="M93" i="23"/>
  <c r="D93" i="23"/>
  <c r="V93" i="23"/>
  <c r="T93" i="23"/>
  <c r="S93" i="23"/>
  <c r="A83" i="36"/>
  <c r="P83" i="36"/>
  <c r="I83" i="36"/>
  <c r="D83" i="36"/>
  <c r="T83" i="36"/>
  <c r="V83" i="36"/>
  <c r="S83" i="36"/>
  <c r="M83" i="36"/>
  <c r="V90" i="36"/>
  <c r="T90" i="36"/>
  <c r="P90" i="36"/>
  <c r="I90" i="36"/>
  <c r="S90" i="36"/>
  <c r="M90" i="36"/>
  <c r="A90" i="36"/>
  <c r="D90" i="36"/>
  <c r="P74" i="20"/>
  <c r="M74" i="20"/>
  <c r="V74" i="20"/>
  <c r="T74" i="20"/>
  <c r="S74" i="20"/>
  <c r="D74" i="20"/>
  <c r="I74" i="20"/>
  <c r="A74" i="20"/>
  <c r="V72" i="23"/>
  <c r="P72" i="23"/>
  <c r="D72" i="23"/>
  <c r="A72" i="23"/>
  <c r="T72" i="23"/>
  <c r="S72" i="23"/>
  <c r="M72" i="23"/>
  <c r="I72" i="23"/>
  <c r="D69" i="19"/>
  <c r="V69" i="19"/>
  <c r="I69" i="19"/>
  <c r="A69" i="19"/>
  <c r="T69" i="19"/>
  <c r="S69" i="19"/>
  <c r="M69" i="19"/>
  <c r="P69" i="19"/>
  <c r="T70" i="24"/>
  <c r="S70" i="24"/>
  <c r="P70" i="24"/>
  <c r="V70" i="24"/>
  <c r="M70" i="24"/>
  <c r="A70" i="24"/>
  <c r="D70" i="24"/>
  <c r="I70" i="24"/>
  <c r="P83" i="26"/>
  <c r="M83" i="26"/>
  <c r="I83" i="26"/>
  <c r="D83" i="26"/>
  <c r="A83" i="26"/>
  <c r="V83" i="26"/>
  <c r="T83" i="26"/>
  <c r="S83" i="26"/>
  <c r="D73" i="20"/>
  <c r="A73" i="20"/>
  <c r="V73" i="20"/>
  <c r="T73" i="20"/>
  <c r="P73" i="20"/>
  <c r="M73" i="20"/>
  <c r="I73" i="20"/>
  <c r="S73" i="20"/>
  <c r="P76" i="25"/>
  <c r="T76" i="25"/>
  <c r="S76" i="25"/>
  <c r="M76" i="25"/>
  <c r="D76" i="25"/>
  <c r="V76" i="25"/>
  <c r="I76" i="25"/>
  <c r="A76" i="25"/>
  <c r="I83" i="24"/>
  <c r="T83" i="24"/>
  <c r="P83" i="24"/>
  <c r="A83" i="24"/>
  <c r="S83" i="24"/>
  <c r="V83" i="24"/>
  <c r="M83" i="24"/>
  <c r="D83" i="24"/>
  <c r="Q1058" i="8"/>
  <c r="A1058" i="8"/>
  <c r="K1055" i="8"/>
  <c r="Q1060" i="8"/>
  <c r="A1055" i="8"/>
  <c r="A1060" i="8"/>
  <c r="I1057" i="8"/>
  <c r="A1059" i="8"/>
  <c r="I1058" i="8"/>
  <c r="Q1057" i="8"/>
  <c r="A1057" i="8"/>
  <c r="R1056" i="8"/>
  <c r="H1056" i="8"/>
  <c r="A1056" i="8"/>
  <c r="I1060" i="8"/>
  <c r="Q1059" i="8"/>
  <c r="A490" i="8"/>
  <c r="A485" i="8"/>
  <c r="A489" i="8"/>
  <c r="I490" i="8"/>
  <c r="I488" i="8"/>
  <c r="A488" i="8"/>
  <c r="Q490" i="8"/>
  <c r="Q489" i="8"/>
  <c r="A486" i="8"/>
  <c r="Q488" i="8"/>
  <c r="Q487" i="8"/>
  <c r="I487" i="8"/>
  <c r="A487" i="8"/>
  <c r="R486" i="8"/>
  <c r="H486" i="8"/>
  <c r="K485" i="8"/>
  <c r="I280" i="8"/>
  <c r="Q279" i="8"/>
  <c r="Q281" i="8"/>
  <c r="I279" i="8"/>
  <c r="A279" i="8"/>
  <c r="R278" i="8"/>
  <c r="H278" i="8"/>
  <c r="A278" i="8"/>
  <c r="Q282" i="8"/>
  <c r="I282" i="8"/>
  <c r="A280" i="8"/>
  <c r="A281" i="8"/>
  <c r="Q280" i="8"/>
  <c r="K277" i="8"/>
  <c r="A277" i="8"/>
  <c r="A282" i="8"/>
  <c r="A743" i="8"/>
  <c r="I747" i="8"/>
  <c r="K742" i="8"/>
  <c r="Q744" i="8"/>
  <c r="A746" i="8"/>
  <c r="A745" i="8"/>
  <c r="I744" i="8"/>
  <c r="A744" i="8"/>
  <c r="R743" i="8"/>
  <c r="H743" i="8"/>
  <c r="A742" i="8"/>
  <c r="Q747" i="8"/>
  <c r="Q745" i="8"/>
  <c r="I745" i="8"/>
  <c r="A747" i="8"/>
  <c r="Q746" i="8"/>
  <c r="Q1097" i="8"/>
  <c r="Q1096" i="8"/>
  <c r="I1098" i="8"/>
  <c r="A1098" i="8"/>
  <c r="I1096" i="8"/>
  <c r="A1094" i="8"/>
  <c r="Q1098" i="8"/>
  <c r="A1096" i="8"/>
  <c r="Q1095" i="8"/>
  <c r="H1094" i="8"/>
  <c r="K1093" i="8"/>
  <c r="A1093" i="8"/>
  <c r="A1097" i="8"/>
  <c r="I1095" i="8"/>
  <c r="A1095" i="8"/>
  <c r="R1094" i="8"/>
  <c r="A624" i="8"/>
  <c r="A619" i="8"/>
  <c r="A623" i="8"/>
  <c r="K619" i="8"/>
  <c r="R620" i="8"/>
  <c r="A621" i="8"/>
  <c r="H620" i="8"/>
  <c r="A620" i="8"/>
  <c r="Q621" i="8"/>
  <c r="I621" i="8"/>
  <c r="Q624" i="8"/>
  <c r="I624" i="8"/>
  <c r="I622" i="8"/>
  <c r="A622" i="8"/>
  <c r="Q622" i="8"/>
  <c r="Q623" i="8"/>
  <c r="A1592" i="8"/>
  <c r="A1587" i="8"/>
  <c r="A1591" i="8"/>
  <c r="Q1590" i="8"/>
  <c r="A1590" i="8"/>
  <c r="K1587" i="8"/>
  <c r="Q1592" i="8"/>
  <c r="Q1591" i="8"/>
  <c r="H1588" i="8"/>
  <c r="A1588" i="8"/>
  <c r="I1592" i="8"/>
  <c r="A1589" i="8"/>
  <c r="Q1589" i="8"/>
  <c r="I1589" i="8"/>
  <c r="R1588" i="8"/>
  <c r="I1590" i="8"/>
  <c r="A904" i="8"/>
  <c r="I908" i="8"/>
  <c r="K903" i="8"/>
  <c r="I906" i="8"/>
  <c r="Q905" i="8"/>
  <c r="Q907" i="8"/>
  <c r="H904" i="8"/>
  <c r="A903" i="8"/>
  <c r="Q908" i="8"/>
  <c r="A908" i="8"/>
  <c r="A907" i="8"/>
  <c r="Q906" i="8"/>
  <c r="A905" i="8"/>
  <c r="R904" i="8"/>
  <c r="I905" i="8"/>
  <c r="A906" i="8"/>
  <c r="Q2143" i="8"/>
  <c r="Q2142" i="8"/>
  <c r="A2142" i="8"/>
  <c r="I2141" i="8"/>
  <c r="I2144" i="8"/>
  <c r="A2144" i="8"/>
  <c r="I2142" i="8"/>
  <c r="A2143" i="8"/>
  <c r="Q2141" i="8"/>
  <c r="R2140" i="8"/>
  <c r="Q2144" i="8"/>
  <c r="A2141" i="8"/>
  <c r="H2140" i="8"/>
  <c r="A2140" i="8"/>
  <c r="K2139" i="8"/>
  <c r="A2139" i="8"/>
  <c r="A1553" i="8"/>
  <c r="I1552" i="8"/>
  <c r="A1552" i="8"/>
  <c r="I1551" i="8"/>
  <c r="Q1551" i="8"/>
  <c r="R1550" i="8"/>
  <c r="H1550" i="8"/>
  <c r="A1551" i="8"/>
  <c r="A1554" i="8"/>
  <c r="Q1553" i="8"/>
  <c r="Q1552" i="8"/>
  <c r="A1550" i="8"/>
  <c r="K1549" i="8"/>
  <c r="Q1554" i="8"/>
  <c r="I1554" i="8"/>
  <c r="A1549" i="8"/>
  <c r="Q2236" i="8"/>
  <c r="A2236" i="8"/>
  <c r="A2234" i="8"/>
  <c r="K2233" i="8"/>
  <c r="I2238" i="8"/>
  <c r="A2238" i="8"/>
  <c r="A2237" i="8"/>
  <c r="A2235" i="8"/>
  <c r="H2234" i="8"/>
  <c r="A2233" i="8"/>
  <c r="Q2238" i="8"/>
  <c r="I2236" i="8"/>
  <c r="R2234" i="8"/>
  <c r="Q2235" i="8"/>
  <c r="I2235" i="8"/>
  <c r="Q2237" i="8"/>
  <c r="A1856" i="8"/>
  <c r="I1855" i="8"/>
  <c r="I1858" i="8"/>
  <c r="Q1857" i="8"/>
  <c r="A1857" i="8"/>
  <c r="I1856" i="8"/>
  <c r="A1853" i="8"/>
  <c r="Q1856" i="8"/>
  <c r="A1855" i="8"/>
  <c r="R1854" i="8"/>
  <c r="H1854" i="8"/>
  <c r="A1854" i="8"/>
  <c r="K1853" i="8"/>
  <c r="Q1855" i="8"/>
  <c r="Q1858" i="8"/>
  <c r="A1858" i="8"/>
  <c r="Q2275" i="8"/>
  <c r="Q2274" i="8"/>
  <c r="K2271" i="8"/>
  <c r="I2276" i="8"/>
  <c r="I2273" i="8"/>
  <c r="R2272" i="8"/>
  <c r="H2272" i="8"/>
  <c r="A2276" i="8"/>
  <c r="A2275" i="8"/>
  <c r="A2274" i="8"/>
  <c r="A2272" i="8"/>
  <c r="Q2276" i="8"/>
  <c r="I2274" i="8"/>
  <c r="Q2273" i="8"/>
  <c r="A2273" i="8"/>
  <c r="A2271" i="8"/>
  <c r="A1998" i="8"/>
  <c r="H1997" i="8"/>
  <c r="R1997" i="8"/>
  <c r="K1996" i="8"/>
  <c r="I2001" i="8"/>
  <c r="Q2001" i="8"/>
  <c r="A2001" i="8"/>
  <c r="A2000" i="8"/>
  <c r="Q1999" i="8"/>
  <c r="A1999" i="8"/>
  <c r="Q1998" i="8"/>
  <c r="I1998" i="8"/>
  <c r="A1997" i="8"/>
  <c r="A1996" i="8"/>
  <c r="Q2000" i="8"/>
  <c r="I1999" i="8"/>
  <c r="A2216" i="8"/>
  <c r="I2220" i="8"/>
  <c r="K2215" i="8"/>
  <c r="R2216" i="8"/>
  <c r="Q2219" i="8"/>
  <c r="Q2218" i="8"/>
  <c r="I2218" i="8"/>
  <c r="Q2217" i="8"/>
  <c r="A2220" i="8"/>
  <c r="A2218" i="8"/>
  <c r="I2217" i="8"/>
  <c r="H2216" i="8"/>
  <c r="Q2220" i="8"/>
  <c r="A2219" i="8"/>
  <c r="A2217" i="8"/>
  <c r="A2215" i="8"/>
  <c r="AH29" i="6"/>
  <c r="P38" i="7"/>
  <c r="U243" i="1"/>
  <c r="C243" i="1"/>
  <c r="O243" i="1"/>
  <c r="A243" i="1"/>
  <c r="R243" i="1"/>
  <c r="L243" i="1"/>
  <c r="U121" i="1"/>
  <c r="C121" i="1"/>
  <c r="O121" i="1"/>
  <c r="L121" i="1"/>
  <c r="R121" i="1"/>
  <c r="A121" i="1"/>
  <c r="O226" i="1"/>
  <c r="A226" i="1"/>
  <c r="U226" i="1"/>
  <c r="R226" i="1"/>
  <c r="L226" i="1"/>
  <c r="C226" i="1"/>
  <c r="U115" i="1"/>
  <c r="C115" i="1"/>
  <c r="A115" i="1"/>
  <c r="O115" i="1"/>
  <c r="R115" i="1"/>
  <c r="L115" i="1"/>
  <c r="U224" i="1"/>
  <c r="C224" i="1"/>
  <c r="A224" i="1"/>
  <c r="R224" i="1"/>
  <c r="L224" i="1"/>
  <c r="O224" i="1"/>
  <c r="U261" i="1"/>
  <c r="C261" i="1"/>
  <c r="O261" i="1"/>
  <c r="R261" i="1"/>
  <c r="L261" i="1"/>
  <c r="A261" i="1"/>
  <c r="U219" i="1"/>
  <c r="C219" i="1"/>
  <c r="O219" i="1"/>
  <c r="L219" i="1"/>
  <c r="R219" i="1"/>
  <c r="A219" i="1"/>
  <c r="O170" i="1"/>
  <c r="A170" i="1"/>
  <c r="U170" i="1"/>
  <c r="L170" i="1"/>
  <c r="C170" i="1"/>
  <c r="R170" i="1"/>
  <c r="R216" i="1"/>
  <c r="O216" i="1"/>
  <c r="U216" i="1"/>
  <c r="L216" i="1"/>
  <c r="A216" i="1"/>
  <c r="C216" i="1"/>
  <c r="U50" i="1"/>
  <c r="C50" i="1"/>
  <c r="R50" i="1"/>
  <c r="O50" i="1"/>
  <c r="L50" i="1"/>
  <c r="A50" i="1"/>
  <c r="U246" i="1"/>
  <c r="L246" i="1"/>
  <c r="C246" i="1"/>
  <c r="A246" i="1"/>
  <c r="R246" i="1"/>
  <c r="O246" i="1"/>
  <c r="U193" i="1"/>
  <c r="C193" i="1"/>
  <c r="L193" i="1"/>
  <c r="A193" i="1"/>
  <c r="R193" i="1"/>
  <c r="O193" i="1"/>
  <c r="U147" i="1"/>
  <c r="C147" i="1"/>
  <c r="A147" i="1"/>
  <c r="O147" i="1"/>
  <c r="L147" i="1"/>
  <c r="R147" i="1"/>
  <c r="U159" i="1"/>
  <c r="C159" i="1"/>
  <c r="O159" i="1"/>
  <c r="R159" i="1"/>
  <c r="L159" i="1"/>
  <c r="A159" i="1"/>
  <c r="M54" i="24"/>
  <c r="P28" i="24"/>
  <c r="M49" i="24"/>
  <c r="AA7" i="24"/>
  <c r="M44" i="24"/>
  <c r="M40" i="24"/>
  <c r="M58" i="24"/>
  <c r="P36" i="24"/>
  <c r="P35" i="24"/>
  <c r="P37" i="24"/>
  <c r="P34" i="24"/>
  <c r="P31" i="24"/>
  <c r="P33" i="24"/>
  <c r="P30" i="24"/>
  <c r="P27" i="24"/>
  <c r="P29" i="24"/>
  <c r="U23" i="1"/>
  <c r="C23" i="1"/>
  <c r="O23" i="1"/>
  <c r="L23" i="1"/>
  <c r="A23" i="1"/>
  <c r="U135" i="1"/>
  <c r="C135" i="1"/>
  <c r="O135" i="1"/>
  <c r="L135" i="1"/>
  <c r="A135" i="1"/>
  <c r="R135" i="1"/>
  <c r="O68" i="1"/>
  <c r="U68" i="1"/>
  <c r="A68" i="1"/>
  <c r="L68" i="1"/>
  <c r="R68" i="1"/>
  <c r="C68" i="1"/>
  <c r="O254" i="1"/>
  <c r="A254" i="1"/>
  <c r="L254" i="1"/>
  <c r="C254" i="1"/>
  <c r="R254" i="1"/>
  <c r="U254" i="1"/>
  <c r="A70" i="16"/>
  <c r="V70" i="16"/>
  <c r="T70" i="16"/>
  <c r="S70" i="16"/>
  <c r="P70" i="16"/>
  <c r="I70" i="16"/>
  <c r="M70" i="16"/>
  <c r="D70" i="16"/>
  <c r="D68" i="25"/>
  <c r="A68" i="25"/>
  <c r="S68" i="25"/>
  <c r="M68" i="25"/>
  <c r="I68" i="25"/>
  <c r="T68" i="25"/>
  <c r="P68" i="25"/>
  <c r="V68" i="25"/>
  <c r="M78" i="23"/>
  <c r="A78" i="23"/>
  <c r="S78" i="23"/>
  <c r="P78" i="23"/>
  <c r="V78" i="23"/>
  <c r="I78" i="23"/>
  <c r="D78" i="23"/>
  <c r="T78" i="23"/>
  <c r="A211" i="8"/>
  <c r="I215" i="8"/>
  <c r="K210" i="8"/>
  <c r="A210" i="8"/>
  <c r="A214" i="8"/>
  <c r="Q213" i="8"/>
  <c r="I213" i="8"/>
  <c r="A213" i="8"/>
  <c r="Q212" i="8"/>
  <c r="I212" i="8"/>
  <c r="Q215" i="8"/>
  <c r="R211" i="8"/>
  <c r="A215" i="8"/>
  <c r="Q214" i="8"/>
  <c r="A212" i="8"/>
  <c r="H211" i="8"/>
  <c r="D93" i="17"/>
  <c r="I93" i="17"/>
  <c r="V93" i="17"/>
  <c r="T93" i="17"/>
  <c r="S93" i="17"/>
  <c r="M93" i="17"/>
  <c r="P93" i="17"/>
  <c r="A93" i="17"/>
  <c r="T73" i="21"/>
  <c r="P73" i="21"/>
  <c r="A73" i="21"/>
  <c r="M73" i="21"/>
  <c r="V73" i="21"/>
  <c r="I73" i="21"/>
  <c r="S73" i="21"/>
  <c r="D73" i="21"/>
  <c r="P79" i="23"/>
  <c r="T79" i="23"/>
  <c r="S79" i="23"/>
  <c r="M79" i="23"/>
  <c r="A79" i="23"/>
  <c r="V79" i="23"/>
  <c r="I79" i="23"/>
  <c r="D79" i="23"/>
  <c r="A195" i="8"/>
  <c r="I194" i="8"/>
  <c r="A197" i="8"/>
  <c r="Q194" i="8"/>
  <c r="A194" i="8"/>
  <c r="R193" i="8"/>
  <c r="H193" i="8"/>
  <c r="A193" i="8"/>
  <c r="A196" i="8"/>
  <c r="Q196" i="8"/>
  <c r="Q195" i="8"/>
  <c r="I195" i="8"/>
  <c r="K192" i="8"/>
  <c r="A192" i="8"/>
  <c r="Q197" i="8"/>
  <c r="I197" i="8"/>
  <c r="Q2135" i="8"/>
  <c r="A2135" i="8"/>
  <c r="A2130" i="8"/>
  <c r="I2133" i="8"/>
  <c r="Q2132" i="8"/>
  <c r="I2135" i="8"/>
  <c r="A2134" i="8"/>
  <c r="Q2133" i="8"/>
  <c r="I2132" i="8"/>
  <c r="R2131" i="8"/>
  <c r="A2131" i="8"/>
  <c r="K2130" i="8"/>
  <c r="Q2134" i="8"/>
  <c r="A2133" i="8"/>
  <c r="H2131" i="8"/>
  <c r="A2132" i="8"/>
  <c r="AJ29" i="6"/>
  <c r="M24" i="4" s="1"/>
  <c r="AN29" i="6"/>
  <c r="K29" i="5"/>
  <c r="U38" i="7"/>
  <c r="U73" i="1"/>
  <c r="C73" i="1"/>
  <c r="A73" i="1"/>
  <c r="R73" i="1"/>
  <c r="O73" i="1"/>
  <c r="L73" i="1"/>
  <c r="U162" i="1"/>
  <c r="R162" i="1"/>
  <c r="O162" i="1"/>
  <c r="L162" i="1"/>
  <c r="C162" i="1"/>
  <c r="A162" i="1"/>
  <c r="U117" i="1"/>
  <c r="C117" i="1"/>
  <c r="O117" i="1"/>
  <c r="A117" i="1"/>
  <c r="R117" i="1"/>
  <c r="L117" i="1"/>
  <c r="A2324" i="8"/>
  <c r="I2323" i="8"/>
  <c r="A2325" i="8"/>
  <c r="Q2323" i="8"/>
  <c r="A2320" i="8"/>
  <c r="Q2325" i="8"/>
  <c r="I2325" i="8"/>
  <c r="A2323" i="8"/>
  <c r="Q2324" i="8"/>
  <c r="I2322" i="8"/>
  <c r="A2322" i="8"/>
  <c r="H2321" i="8"/>
  <c r="R2321" i="8"/>
  <c r="A2321" i="8"/>
  <c r="K2320" i="8"/>
  <c r="Q2322" i="8"/>
  <c r="AH21" i="6"/>
  <c r="A10" i="17" s="1"/>
  <c r="P30" i="7"/>
  <c r="AN21" i="6"/>
  <c r="A76" i="17"/>
  <c r="V76" i="17"/>
  <c r="S76" i="17"/>
  <c r="P76" i="17"/>
  <c r="I76" i="17"/>
  <c r="M76" i="17"/>
  <c r="D76" i="17"/>
  <c r="T76" i="17"/>
  <c r="T77" i="24"/>
  <c r="V77" i="24"/>
  <c r="A77" i="24"/>
  <c r="I77" i="24"/>
  <c r="M77" i="24"/>
  <c r="D77" i="24"/>
  <c r="S77" i="24"/>
  <c r="P77" i="24"/>
  <c r="T93" i="22"/>
  <c r="V93" i="22"/>
  <c r="S93" i="22"/>
  <c r="D93" i="22"/>
  <c r="M93" i="22"/>
  <c r="A93" i="22"/>
  <c r="P93" i="22"/>
  <c r="I93" i="22"/>
  <c r="S70" i="21"/>
  <c r="D70" i="21"/>
  <c r="A70" i="21"/>
  <c r="V70" i="21"/>
  <c r="P70" i="21"/>
  <c r="T70" i="21"/>
  <c r="M70" i="21"/>
  <c r="I70" i="21"/>
  <c r="T78" i="18"/>
  <c r="P78" i="18"/>
  <c r="I78" i="18"/>
  <c r="D78" i="18"/>
  <c r="A78" i="18"/>
  <c r="V78" i="18"/>
  <c r="S78" i="18"/>
  <c r="M78" i="18"/>
  <c r="V64" i="26"/>
  <c r="T64" i="26"/>
  <c r="I64" i="26"/>
  <c r="S64" i="26"/>
  <c r="P64" i="26"/>
  <c r="M64" i="26"/>
  <c r="D64" i="26"/>
  <c r="A64" i="26"/>
  <c r="A70" i="26"/>
  <c r="S70" i="26"/>
  <c r="P70" i="26"/>
  <c r="I70" i="26"/>
  <c r="M70" i="26"/>
  <c r="D70" i="26"/>
  <c r="T70" i="26"/>
  <c r="V70" i="26"/>
  <c r="A1887" i="8"/>
  <c r="A1882" i="8"/>
  <c r="A1886" i="8"/>
  <c r="Q1886" i="8"/>
  <c r="I1885" i="8"/>
  <c r="A1885" i="8"/>
  <c r="I1884" i="8"/>
  <c r="Q1887" i="8"/>
  <c r="Q1885" i="8"/>
  <c r="R1883" i="8"/>
  <c r="I1887" i="8"/>
  <c r="Q1884" i="8"/>
  <c r="A1884" i="8"/>
  <c r="H1883" i="8"/>
  <c r="A1883" i="8"/>
  <c r="K1882" i="8"/>
  <c r="I1951" i="8"/>
  <c r="R1950" i="8"/>
  <c r="A1952" i="8"/>
  <c r="A1951" i="8"/>
  <c r="H1950" i="8"/>
  <c r="A1954" i="8"/>
  <c r="A1953" i="8"/>
  <c r="Q1952" i="8"/>
  <c r="Q1951" i="8"/>
  <c r="Q1954" i="8"/>
  <c r="Q1953" i="8"/>
  <c r="A1949" i="8"/>
  <c r="I1954" i="8"/>
  <c r="I1952" i="8"/>
  <c r="A1950" i="8"/>
  <c r="K1949" i="8"/>
  <c r="U99" i="1"/>
  <c r="C99" i="1"/>
  <c r="L99" i="1"/>
  <c r="A99" i="1"/>
  <c r="R99" i="1"/>
  <c r="O99" i="1"/>
  <c r="U131" i="1"/>
  <c r="C131" i="1"/>
  <c r="O131" i="1"/>
  <c r="R131" i="1"/>
  <c r="A131" i="1"/>
  <c r="L131" i="1"/>
  <c r="P27" i="17"/>
  <c r="M44" i="17"/>
  <c r="P30" i="17"/>
  <c r="M58" i="17"/>
  <c r="P28" i="17"/>
  <c r="M49" i="17"/>
  <c r="P29" i="17"/>
  <c r="M54" i="17"/>
  <c r="P33" i="17"/>
  <c r="P31" i="17"/>
  <c r="AA7" i="17"/>
  <c r="M40" i="17"/>
  <c r="P36" i="17"/>
  <c r="P37" i="17"/>
  <c r="P35" i="17"/>
  <c r="P34" i="17"/>
  <c r="P80" i="18"/>
  <c r="I80" i="18"/>
  <c r="M80" i="18"/>
  <c r="A80" i="18"/>
  <c r="V80" i="18"/>
  <c r="S80" i="18"/>
  <c r="D80" i="18"/>
  <c r="T80" i="18"/>
  <c r="T64" i="20"/>
  <c r="I64" i="20"/>
  <c r="M64" i="20"/>
  <c r="A64" i="20"/>
  <c r="V64" i="20"/>
  <c r="S64" i="20"/>
  <c r="D64" i="20"/>
  <c r="P64" i="20"/>
  <c r="Q24" i="2"/>
  <c r="K34" i="8"/>
  <c r="U28" i="7"/>
  <c r="AN19" i="6"/>
  <c r="AJ19" i="6"/>
  <c r="K19" i="5"/>
  <c r="A735" i="8"/>
  <c r="H734" i="8"/>
  <c r="A736" i="8"/>
  <c r="A737" i="8"/>
  <c r="Q735" i="8"/>
  <c r="I735" i="8"/>
  <c r="K733" i="8"/>
  <c r="A733" i="8"/>
  <c r="Q736" i="8"/>
  <c r="I736" i="8"/>
  <c r="Q738" i="8"/>
  <c r="I738" i="8"/>
  <c r="A738" i="8"/>
  <c r="Q737" i="8"/>
  <c r="R734" i="8"/>
  <c r="A734" i="8"/>
  <c r="D87" i="16"/>
  <c r="V87" i="16"/>
  <c r="S87" i="16"/>
  <c r="P87" i="16"/>
  <c r="I87" i="16"/>
  <c r="T87" i="16"/>
  <c r="M87" i="16"/>
  <c r="A87" i="16"/>
  <c r="T88" i="16"/>
  <c r="P88" i="16"/>
  <c r="V88" i="16"/>
  <c r="S88" i="16"/>
  <c r="I88" i="16"/>
  <c r="M88" i="16"/>
  <c r="A88" i="16"/>
  <c r="D88" i="16"/>
  <c r="A84" i="16"/>
  <c r="I84" i="16"/>
  <c r="D84" i="16"/>
  <c r="P84" i="16"/>
  <c r="M84" i="16"/>
  <c r="V84" i="16"/>
  <c r="T84" i="16"/>
  <c r="S84" i="16"/>
  <c r="A75" i="23"/>
  <c r="T75" i="23"/>
  <c r="S75" i="23"/>
  <c r="D75" i="23"/>
  <c r="P75" i="23"/>
  <c r="I75" i="23"/>
  <c r="M75" i="23"/>
  <c r="V75" i="23"/>
  <c r="D71" i="18"/>
  <c r="M71" i="18"/>
  <c r="A71" i="18"/>
  <c r="T71" i="18"/>
  <c r="V71" i="18"/>
  <c r="P71" i="18"/>
  <c r="I71" i="18"/>
  <c r="S71" i="18"/>
  <c r="A68" i="18"/>
  <c r="V68" i="18"/>
  <c r="D68" i="18"/>
  <c r="T68" i="18"/>
  <c r="S68" i="18"/>
  <c r="M68" i="18"/>
  <c r="P68" i="18"/>
  <c r="I68" i="18"/>
  <c r="P68" i="16"/>
  <c r="I68" i="16"/>
  <c r="D68" i="16"/>
  <c r="A68" i="16"/>
  <c r="T68" i="16"/>
  <c r="S68" i="16"/>
  <c r="V68" i="16"/>
  <c r="M68" i="16"/>
  <c r="M73" i="15"/>
  <c r="D73" i="15"/>
  <c r="I73" i="15"/>
  <c r="V73" i="15"/>
  <c r="S73" i="15"/>
  <c r="P73" i="15"/>
  <c r="A73" i="15"/>
  <c r="T73" i="15"/>
  <c r="V75" i="19"/>
  <c r="S75" i="19"/>
  <c r="P75" i="19"/>
  <c r="I75" i="19"/>
  <c r="M75" i="19"/>
  <c r="A75" i="19"/>
  <c r="T75" i="19"/>
  <c r="D75" i="19"/>
  <c r="D76" i="19"/>
  <c r="M76" i="19"/>
  <c r="I76" i="19"/>
  <c r="A76" i="19"/>
  <c r="P76" i="19"/>
  <c r="V76" i="19"/>
  <c r="T76" i="19"/>
  <c r="S76" i="19"/>
  <c r="I87" i="23"/>
  <c r="M87" i="23"/>
  <c r="T87" i="23"/>
  <c r="S87" i="23"/>
  <c r="D87" i="23"/>
  <c r="P87" i="23"/>
  <c r="V87" i="23"/>
  <c r="A87" i="23"/>
  <c r="A87" i="18"/>
  <c r="T87" i="18"/>
  <c r="S87" i="18"/>
  <c r="M87" i="18"/>
  <c r="V87" i="18"/>
  <c r="I87" i="18"/>
  <c r="D87" i="18"/>
  <c r="P87" i="18"/>
  <c r="V92" i="17"/>
  <c r="T92" i="17"/>
  <c r="P92" i="17"/>
  <c r="M92" i="17"/>
  <c r="D92" i="17"/>
  <c r="A92" i="17"/>
  <c r="I92" i="17"/>
  <c r="S92" i="17"/>
  <c r="M88" i="25"/>
  <c r="I88" i="25"/>
  <c r="D88" i="25"/>
  <c r="V88" i="25"/>
  <c r="S88" i="25"/>
  <c r="P88" i="25"/>
  <c r="A88" i="25"/>
  <c r="T88" i="25"/>
  <c r="M68" i="19"/>
  <c r="V68" i="19"/>
  <c r="S68" i="19"/>
  <c r="I68" i="19"/>
  <c r="A68" i="19"/>
  <c r="T68" i="19"/>
  <c r="P68" i="19"/>
  <c r="D68" i="19"/>
  <c r="M78" i="21"/>
  <c r="S78" i="21"/>
  <c r="A78" i="21"/>
  <c r="V78" i="21"/>
  <c r="T78" i="21"/>
  <c r="P78" i="21"/>
  <c r="D78" i="21"/>
  <c r="I78" i="21"/>
  <c r="T82" i="21"/>
  <c r="P82" i="21"/>
  <c r="M82" i="21"/>
  <c r="I82" i="21"/>
  <c r="D82" i="21"/>
  <c r="A82" i="21"/>
  <c r="V82" i="21"/>
  <c r="S82" i="21"/>
  <c r="P85" i="24"/>
  <c r="D85" i="24"/>
  <c r="M85" i="24"/>
  <c r="I85" i="24"/>
  <c r="T85" i="24"/>
  <c r="V85" i="24"/>
  <c r="A85" i="24"/>
  <c r="S85" i="24"/>
  <c r="S88" i="19"/>
  <c r="A88" i="19"/>
  <c r="P88" i="19"/>
  <c r="I88" i="19"/>
  <c r="D88" i="19"/>
  <c r="V88" i="19"/>
  <c r="M88" i="19"/>
  <c r="T88" i="19"/>
  <c r="V91" i="36"/>
  <c r="P91" i="36"/>
  <c r="M91" i="36"/>
  <c r="I91" i="36"/>
  <c r="D91" i="36"/>
  <c r="A91" i="36"/>
  <c r="T91" i="36"/>
  <c r="S91" i="36"/>
  <c r="I83" i="20"/>
  <c r="P83" i="20"/>
  <c r="S83" i="20"/>
  <c r="D83" i="20"/>
  <c r="V83" i="20"/>
  <c r="M83" i="20"/>
  <c r="A83" i="20"/>
  <c r="T83" i="20"/>
  <c r="V86" i="23"/>
  <c r="T86" i="23"/>
  <c r="A86" i="23"/>
  <c r="D86" i="23"/>
  <c r="S86" i="23"/>
  <c r="P86" i="23"/>
  <c r="M86" i="23"/>
  <c r="I86" i="23"/>
  <c r="A83" i="19"/>
  <c r="D83" i="19"/>
  <c r="I83" i="19"/>
  <c r="T83" i="19"/>
  <c r="P83" i="19"/>
  <c r="M83" i="19"/>
  <c r="S83" i="19"/>
  <c r="V83" i="19"/>
  <c r="T72" i="24"/>
  <c r="S72" i="24"/>
  <c r="P72" i="24"/>
  <c r="M72" i="24"/>
  <c r="V72" i="24"/>
  <c r="I72" i="24"/>
  <c r="D72" i="24"/>
  <c r="A72" i="24"/>
  <c r="T89" i="26"/>
  <c r="S89" i="26"/>
  <c r="D89" i="26"/>
  <c r="V89" i="26"/>
  <c r="P89" i="26"/>
  <c r="M89" i="26"/>
  <c r="I89" i="26"/>
  <c r="A89" i="26"/>
  <c r="V87" i="20"/>
  <c r="P87" i="20"/>
  <c r="A87" i="20"/>
  <c r="T87" i="20"/>
  <c r="M87" i="20"/>
  <c r="D87" i="20"/>
  <c r="S87" i="20"/>
  <c r="I87" i="20"/>
  <c r="P76" i="26"/>
  <c r="I76" i="26"/>
  <c r="A76" i="26"/>
  <c r="T76" i="26"/>
  <c r="S76" i="26"/>
  <c r="M76" i="26"/>
  <c r="D76" i="26"/>
  <c r="V76" i="26"/>
  <c r="V75" i="25"/>
  <c r="D75" i="25"/>
  <c r="S75" i="25"/>
  <c r="P75" i="25"/>
  <c r="M75" i="25"/>
  <c r="I75" i="25"/>
  <c r="T75" i="25"/>
  <c r="A75" i="25"/>
  <c r="A880" i="8"/>
  <c r="I879" i="8"/>
  <c r="Q880" i="8"/>
  <c r="A879" i="8"/>
  <c r="A878" i="8"/>
  <c r="A881" i="8"/>
  <c r="I878" i="8"/>
  <c r="R877" i="8"/>
  <c r="K876" i="8"/>
  <c r="A876" i="8"/>
  <c r="Q878" i="8"/>
  <c r="H877" i="8"/>
  <c r="Q881" i="8"/>
  <c r="I881" i="8"/>
  <c r="Q879" i="8"/>
  <c r="A877" i="8"/>
  <c r="A601" i="8"/>
  <c r="H600" i="8"/>
  <c r="K599" i="8"/>
  <c r="A600" i="8"/>
  <c r="Q604" i="8"/>
  <c r="I604" i="8"/>
  <c r="A604" i="8"/>
  <c r="Q603" i="8"/>
  <c r="A603" i="8"/>
  <c r="Q602" i="8"/>
  <c r="I602" i="8"/>
  <c r="R600" i="8"/>
  <c r="A602" i="8"/>
  <c r="Q601" i="8"/>
  <c r="I601" i="8"/>
  <c r="A599" i="8"/>
  <c r="A451" i="8"/>
  <c r="I450" i="8"/>
  <c r="K447" i="8"/>
  <c r="Q451" i="8"/>
  <c r="A449" i="8"/>
  <c r="R448" i="8"/>
  <c r="H448" i="8"/>
  <c r="A448" i="8"/>
  <c r="Q449" i="8"/>
  <c r="I449" i="8"/>
  <c r="A450" i="8"/>
  <c r="A447" i="8"/>
  <c r="A452" i="8"/>
  <c r="Q450" i="8"/>
  <c r="I452" i="8"/>
  <c r="Q452" i="8"/>
  <c r="A1012" i="8"/>
  <c r="I1011" i="8"/>
  <c r="H1009" i="8"/>
  <c r="A1009" i="8"/>
  <c r="K1008" i="8"/>
  <c r="A1011" i="8"/>
  <c r="Q1012" i="8"/>
  <c r="I1010" i="8"/>
  <c r="A1010" i="8"/>
  <c r="Q1011" i="8"/>
  <c r="Q1010" i="8"/>
  <c r="R1009" i="8"/>
  <c r="A1008" i="8"/>
  <c r="I1013" i="8"/>
  <c r="Q1013" i="8"/>
  <c r="A1013" i="8"/>
  <c r="A1437" i="8"/>
  <c r="A1436" i="8"/>
  <c r="I1440" i="8"/>
  <c r="K1435" i="8"/>
  <c r="Q1438" i="8"/>
  <c r="A1438" i="8"/>
  <c r="Q1437" i="8"/>
  <c r="R1436" i="8"/>
  <c r="H1436" i="8"/>
  <c r="Q1440" i="8"/>
  <c r="A1440" i="8"/>
  <c r="I1437" i="8"/>
  <c r="A1435" i="8"/>
  <c r="A1439" i="8"/>
  <c r="I1438" i="8"/>
  <c r="Q1439" i="8"/>
  <c r="Q631" i="8"/>
  <c r="A631" i="8"/>
  <c r="Q633" i="8"/>
  <c r="A628" i="8"/>
  <c r="R629" i="8"/>
  <c r="K628" i="8"/>
  <c r="I631" i="8"/>
  <c r="Q630" i="8"/>
  <c r="I630" i="8"/>
  <c r="A630" i="8"/>
  <c r="H629" i="8"/>
  <c r="Q632" i="8"/>
  <c r="I633" i="8"/>
  <c r="A633" i="8"/>
  <c r="A632" i="8"/>
  <c r="A629" i="8"/>
  <c r="Q1640" i="8"/>
  <c r="Q1639" i="8"/>
  <c r="I1639" i="8"/>
  <c r="Q1638" i="8"/>
  <c r="A1641" i="8"/>
  <c r="A1639" i="8"/>
  <c r="I1638" i="8"/>
  <c r="R1637" i="8"/>
  <c r="H1637" i="8"/>
  <c r="A1637" i="8"/>
  <c r="K1636" i="8"/>
  <c r="A1636" i="8"/>
  <c r="A1638" i="8"/>
  <c r="Q1641" i="8"/>
  <c r="I1641" i="8"/>
  <c r="A1640" i="8"/>
  <c r="A1154" i="8"/>
  <c r="I1153" i="8"/>
  <c r="Q1154" i="8"/>
  <c r="I1154" i="8"/>
  <c r="A1153" i="8"/>
  <c r="A1152" i="8"/>
  <c r="K1151" i="8"/>
  <c r="A1151" i="8"/>
  <c r="A1155" i="8"/>
  <c r="Q1153" i="8"/>
  <c r="I1156" i="8"/>
  <c r="A1156" i="8"/>
  <c r="Q1155" i="8"/>
  <c r="R1152" i="8"/>
  <c r="H1152" i="8"/>
  <c r="Q1156" i="8"/>
  <c r="A2332" i="8"/>
  <c r="I2331" i="8"/>
  <c r="Q2333" i="8"/>
  <c r="Q2332" i="8"/>
  <c r="K2329" i="8"/>
  <c r="Q2334" i="8"/>
  <c r="A2334" i="8"/>
  <c r="A2333" i="8"/>
  <c r="I2332" i="8"/>
  <c r="A2331" i="8"/>
  <c r="I2334" i="8"/>
  <c r="Q2331" i="8"/>
  <c r="R2330" i="8"/>
  <c r="H2330" i="8"/>
  <c r="A2330" i="8"/>
  <c r="A2329" i="8"/>
  <c r="Q2112" i="8"/>
  <c r="A2112" i="8"/>
  <c r="A2114" i="8"/>
  <c r="I2113" i="8"/>
  <c r="Q2113" i="8"/>
  <c r="I2112" i="8"/>
  <c r="R2111" i="8"/>
  <c r="A2111" i="8"/>
  <c r="I2115" i="8"/>
  <c r="Q2114" i="8"/>
  <c r="A2113" i="8"/>
  <c r="Q2115" i="8"/>
  <c r="A2115" i="8"/>
  <c r="H2111" i="8"/>
  <c r="A2110" i="8"/>
  <c r="K2110" i="8"/>
  <c r="A1030" i="8"/>
  <c r="H1029" i="8"/>
  <c r="K1028" i="8"/>
  <c r="I1033" i="8"/>
  <c r="Q1033" i="8"/>
  <c r="A1028" i="8"/>
  <c r="A1033" i="8"/>
  <c r="I1030" i="8"/>
  <c r="R1029" i="8"/>
  <c r="A1029" i="8"/>
  <c r="Q1032" i="8"/>
  <c r="A1032" i="8"/>
  <c r="Q1031" i="8"/>
  <c r="Q1030" i="8"/>
  <c r="I1031" i="8"/>
  <c r="A1031" i="8"/>
  <c r="Q1894" i="8"/>
  <c r="A1894" i="8"/>
  <c r="Q1895" i="8"/>
  <c r="I1894" i="8"/>
  <c r="Q1893" i="8"/>
  <c r="A1893" i="8"/>
  <c r="A1891" i="8"/>
  <c r="I1893" i="8"/>
  <c r="K1891" i="8"/>
  <c r="A1892" i="8"/>
  <c r="Q1896" i="8"/>
  <c r="I1896" i="8"/>
  <c r="H1892" i="8"/>
  <c r="A1895" i="8"/>
  <c r="R1892" i="8"/>
  <c r="A1896" i="8"/>
  <c r="Q2370" i="8"/>
  <c r="A2370" i="8"/>
  <c r="I2370" i="8"/>
  <c r="I2369" i="8"/>
  <c r="Q2369" i="8"/>
  <c r="R2368" i="8"/>
  <c r="H2368" i="8"/>
  <c r="A2371" i="8"/>
  <c r="A2368" i="8"/>
  <c r="K2367" i="8"/>
  <c r="Q2372" i="8"/>
  <c r="A2369" i="8"/>
  <c r="A2372" i="8"/>
  <c r="A2367" i="8"/>
  <c r="I2372" i="8"/>
  <c r="Q2371" i="8"/>
  <c r="A2006" i="8"/>
  <c r="I2010" i="8"/>
  <c r="K2005" i="8"/>
  <c r="R2006" i="8"/>
  <c r="A2005" i="8"/>
  <c r="A2010" i="8"/>
  <c r="A2007" i="8"/>
  <c r="I2008" i="8"/>
  <c r="Q2007" i="8"/>
  <c r="Q2010" i="8"/>
  <c r="Q2009" i="8"/>
  <c r="A2008" i="8"/>
  <c r="I2007" i="8"/>
  <c r="A2009" i="8"/>
  <c r="Q2008" i="8"/>
  <c r="H2006" i="8"/>
  <c r="A2229" i="8"/>
  <c r="A2224" i="8"/>
  <c r="A2228" i="8"/>
  <c r="H2225" i="8"/>
  <c r="Q2229" i="8"/>
  <c r="Q2228" i="8"/>
  <c r="Q2227" i="8"/>
  <c r="A2227" i="8"/>
  <c r="I2229" i="8"/>
  <c r="I2227" i="8"/>
  <c r="I2226" i="8"/>
  <c r="K2224" i="8"/>
  <c r="Q2226" i="8"/>
  <c r="A2226" i="8"/>
  <c r="R2225" i="8"/>
  <c r="A2225" i="8"/>
  <c r="AI29" i="6"/>
  <c r="L24" i="4" s="1"/>
  <c r="J29" i="5"/>
  <c r="S38" i="7"/>
  <c r="U233" i="1"/>
  <c r="C233" i="1"/>
  <c r="O233" i="1"/>
  <c r="L233" i="1"/>
  <c r="A233" i="1"/>
  <c r="R233" i="1"/>
  <c r="U43" i="1"/>
  <c r="C43" i="1"/>
  <c r="A43" i="1"/>
  <c r="R43" i="1"/>
  <c r="L43" i="1"/>
  <c r="O43" i="1"/>
  <c r="U185" i="1"/>
  <c r="C185" i="1"/>
  <c r="A185" i="1"/>
  <c r="R185" i="1"/>
  <c r="O185" i="1"/>
  <c r="L185" i="1"/>
  <c r="U60" i="1"/>
  <c r="L60" i="1"/>
  <c r="R60" i="1"/>
  <c r="O60" i="1"/>
  <c r="C60" i="1"/>
  <c r="A60" i="1"/>
  <c r="U247" i="1"/>
  <c r="C247" i="1"/>
  <c r="O247" i="1"/>
  <c r="R247" i="1"/>
  <c r="A247" i="1"/>
  <c r="L247" i="1"/>
  <c r="O264" i="1"/>
  <c r="C264" i="1"/>
  <c r="L264" i="1"/>
  <c r="A264" i="1"/>
  <c r="U264" i="1"/>
  <c r="R264" i="1"/>
  <c r="O222" i="1"/>
  <c r="R222" i="1"/>
  <c r="U222" i="1"/>
  <c r="L222" i="1"/>
  <c r="C222" i="1"/>
  <c r="A222" i="1"/>
  <c r="U229" i="1"/>
  <c r="C229" i="1"/>
  <c r="O229" i="1"/>
  <c r="R229" i="1"/>
  <c r="A229" i="1"/>
  <c r="L229" i="1"/>
  <c r="U252" i="1"/>
  <c r="C252" i="1"/>
  <c r="R252" i="1"/>
  <c r="O252" i="1"/>
  <c r="A252" i="1"/>
  <c r="L252" i="1"/>
  <c r="U64" i="1"/>
  <c r="R64" i="1"/>
  <c r="O64" i="1"/>
  <c r="L64" i="1"/>
  <c r="C64" i="1"/>
  <c r="A64" i="1"/>
  <c r="U260" i="1"/>
  <c r="R260" i="1"/>
  <c r="L260" i="1"/>
  <c r="O260" i="1"/>
  <c r="A260" i="1"/>
  <c r="C260" i="1"/>
  <c r="U207" i="1"/>
  <c r="C207" i="1"/>
  <c r="L207" i="1"/>
  <c r="A207" i="1"/>
  <c r="O207" i="1"/>
  <c r="R207" i="1"/>
  <c r="U161" i="1"/>
  <c r="C161" i="1"/>
  <c r="A161" i="1"/>
  <c r="O161" i="1"/>
  <c r="L161" i="1"/>
  <c r="R161" i="1"/>
  <c r="U69" i="1"/>
  <c r="C69" i="1"/>
  <c r="R69" i="1"/>
  <c r="O69" i="1"/>
  <c r="L69" i="1"/>
  <c r="A69" i="1"/>
  <c r="M49" i="25"/>
  <c r="M44" i="25"/>
  <c r="P31" i="25"/>
  <c r="P27" i="25"/>
  <c r="P29" i="25"/>
  <c r="AA7" i="25"/>
  <c r="M58" i="25"/>
  <c r="M54" i="25"/>
  <c r="P36" i="25"/>
  <c r="P34" i="25"/>
  <c r="P33" i="25"/>
  <c r="P30" i="25"/>
  <c r="M40" i="25"/>
  <c r="P37" i="25"/>
  <c r="P35" i="25"/>
  <c r="P28" i="25"/>
  <c r="C262" i="1"/>
  <c r="R262" i="1"/>
  <c r="O262" i="1"/>
  <c r="L262" i="1"/>
  <c r="A262" i="1"/>
  <c r="U262" i="1"/>
  <c r="U102" i="1"/>
  <c r="L102" i="1"/>
  <c r="C102" i="1"/>
  <c r="A102" i="1"/>
  <c r="O102" i="1"/>
  <c r="R102" i="1"/>
  <c r="U41" i="1"/>
  <c r="C41" i="1"/>
  <c r="R41" i="1"/>
  <c r="O41" i="1"/>
  <c r="L41" i="1"/>
  <c r="A41" i="1"/>
  <c r="U158" i="1"/>
  <c r="L158" i="1"/>
  <c r="C158" i="1"/>
  <c r="A158" i="1"/>
  <c r="R158" i="1"/>
  <c r="O158" i="1"/>
  <c r="A611" i="8"/>
  <c r="I615" i="8"/>
  <c r="K610" i="8"/>
  <c r="A610" i="8"/>
  <c r="R611" i="8"/>
  <c r="Q615" i="8"/>
  <c r="A615" i="8"/>
  <c r="Q614" i="8"/>
  <c r="A613" i="8"/>
  <c r="A614" i="8"/>
  <c r="Q613" i="8"/>
  <c r="I613" i="8"/>
  <c r="Q612" i="8"/>
  <c r="I612" i="8"/>
  <c r="A612" i="8"/>
  <c r="H611" i="8"/>
  <c r="S67" i="20"/>
  <c r="D67" i="20"/>
  <c r="I67" i="20"/>
  <c r="V67" i="20"/>
  <c r="T67" i="20"/>
  <c r="M67" i="20"/>
  <c r="P67" i="20"/>
  <c r="A67" i="20"/>
  <c r="V74" i="23"/>
  <c r="S74" i="23"/>
  <c r="P74" i="23"/>
  <c r="T74" i="23"/>
  <c r="D74" i="23"/>
  <c r="A74" i="23"/>
  <c r="M74" i="23"/>
  <c r="I74" i="23"/>
  <c r="S88" i="18"/>
  <c r="I88" i="18"/>
  <c r="A88" i="18"/>
  <c r="V88" i="18"/>
  <c r="P88" i="18"/>
  <c r="M88" i="18"/>
  <c r="T88" i="18"/>
  <c r="D88" i="18"/>
  <c r="D78" i="22"/>
  <c r="V78" i="22"/>
  <c r="S78" i="22"/>
  <c r="I78" i="22"/>
  <c r="A78" i="22"/>
  <c r="M78" i="22"/>
  <c r="T78" i="22"/>
  <c r="P78" i="22"/>
  <c r="T80" i="16"/>
  <c r="P80" i="16"/>
  <c r="I80" i="16"/>
  <c r="D80" i="16"/>
  <c r="V80" i="16"/>
  <c r="A80" i="16"/>
  <c r="S80" i="16"/>
  <c r="M80" i="16"/>
  <c r="V83" i="22"/>
  <c r="I83" i="22"/>
  <c r="A83" i="22"/>
  <c r="P83" i="22"/>
  <c r="M83" i="22"/>
  <c r="T83" i="22"/>
  <c r="D83" i="22"/>
  <c r="S83" i="22"/>
  <c r="S65" i="15"/>
  <c r="M65" i="15"/>
  <c r="T65" i="15"/>
  <c r="I65" i="15"/>
  <c r="V65" i="15"/>
  <c r="P65" i="15"/>
  <c r="D65" i="15"/>
  <c r="A65" i="15"/>
  <c r="D90" i="24"/>
  <c r="S90" i="24"/>
  <c r="M90" i="24"/>
  <c r="I90" i="24"/>
  <c r="A90" i="24"/>
  <c r="T90" i="24"/>
  <c r="V90" i="24"/>
  <c r="P90" i="24"/>
  <c r="T86" i="17"/>
  <c r="V86" i="17"/>
  <c r="P86" i="17"/>
  <c r="S86" i="17"/>
  <c r="M86" i="17"/>
  <c r="I86" i="17"/>
  <c r="A86" i="17"/>
  <c r="D86" i="17"/>
  <c r="I78" i="24"/>
  <c r="V78" i="24"/>
  <c r="S78" i="24"/>
  <c r="P78" i="24"/>
  <c r="M78" i="24"/>
  <c r="T78" i="24"/>
  <c r="A78" i="24"/>
  <c r="D78" i="24"/>
  <c r="T78" i="25"/>
  <c r="I78" i="25"/>
  <c r="V78" i="25"/>
  <c r="S78" i="25"/>
  <c r="P78" i="25"/>
  <c r="M78" i="25"/>
  <c r="D78" i="25"/>
  <c r="A78" i="25"/>
  <c r="R1076" i="8"/>
  <c r="A1076" i="8"/>
  <c r="I1080" i="8"/>
  <c r="A1080" i="8"/>
  <c r="A1079" i="8"/>
  <c r="Q1080" i="8"/>
  <c r="A1077" i="8"/>
  <c r="H1076" i="8"/>
  <c r="K1075" i="8"/>
  <c r="A1075" i="8"/>
  <c r="Q1077" i="8"/>
  <c r="I1077" i="8"/>
  <c r="Q1079" i="8"/>
  <c r="Q1078" i="8"/>
  <c r="I1078" i="8"/>
  <c r="A1078" i="8"/>
  <c r="I2314" i="8"/>
  <c r="K2309" i="8"/>
  <c r="Q2313" i="8"/>
  <c r="A2314" i="8"/>
  <c r="Q2312" i="8"/>
  <c r="A2313" i="8"/>
  <c r="I2312" i="8"/>
  <c r="Q2311" i="8"/>
  <c r="H2310" i="8"/>
  <c r="A2309" i="8"/>
  <c r="A2312" i="8"/>
  <c r="A2311" i="8"/>
  <c r="A2310" i="8"/>
  <c r="I2311" i="8"/>
  <c r="R2310" i="8"/>
  <c r="Q2314" i="8"/>
  <c r="I412" i="8"/>
  <c r="Q411" i="8"/>
  <c r="A410" i="8"/>
  <c r="I414" i="8"/>
  <c r="Q414" i="8"/>
  <c r="A414" i="8"/>
  <c r="Q413" i="8"/>
  <c r="A413" i="8"/>
  <c r="Q412" i="8"/>
  <c r="R410" i="8"/>
  <c r="K409" i="8"/>
  <c r="A409" i="8"/>
  <c r="A412" i="8"/>
  <c r="H410" i="8"/>
  <c r="I411" i="8"/>
  <c r="A411" i="8"/>
  <c r="U140" i="1"/>
  <c r="C140" i="1"/>
  <c r="A140" i="1"/>
  <c r="R140" i="1"/>
  <c r="L140" i="1"/>
  <c r="O140" i="1"/>
  <c r="U109" i="1"/>
  <c r="C109" i="1"/>
  <c r="L109" i="1"/>
  <c r="O109" i="1"/>
  <c r="R109" i="1"/>
  <c r="A109" i="1"/>
  <c r="Q804" i="8"/>
  <c r="Q803" i="8"/>
  <c r="H801" i="8"/>
  <c r="Q805" i="8"/>
  <c r="A804" i="8"/>
  <c r="I803" i="8"/>
  <c r="I805" i="8"/>
  <c r="A805" i="8"/>
  <c r="A803" i="8"/>
  <c r="A800" i="8"/>
  <c r="Q802" i="8"/>
  <c r="I802" i="8"/>
  <c r="A802" i="8"/>
  <c r="R801" i="8"/>
  <c r="K800" i="8"/>
  <c r="A801" i="8"/>
  <c r="V82" i="22"/>
  <c r="S82" i="22"/>
  <c r="D82" i="22"/>
  <c r="P82" i="22"/>
  <c r="A82" i="22"/>
  <c r="I82" i="22"/>
  <c r="T82" i="22"/>
  <c r="M82" i="22"/>
  <c r="A66" i="15"/>
  <c r="V66" i="15"/>
  <c r="T66" i="15"/>
  <c r="P66" i="15"/>
  <c r="M66" i="15"/>
  <c r="I66" i="15"/>
  <c r="D66" i="15"/>
  <c r="S66" i="15"/>
  <c r="D92" i="22"/>
  <c r="T92" i="22"/>
  <c r="I92" i="22"/>
  <c r="M92" i="22"/>
  <c r="A92" i="22"/>
  <c r="V92" i="22"/>
  <c r="P92" i="22"/>
  <c r="S92" i="22"/>
  <c r="M67" i="24"/>
  <c r="D67" i="24"/>
  <c r="A67" i="24"/>
  <c r="I67" i="24"/>
  <c r="T67" i="24"/>
  <c r="S67" i="24"/>
  <c r="V67" i="24"/>
  <c r="P67" i="24"/>
  <c r="A2190" i="8"/>
  <c r="I2189" i="8"/>
  <c r="A2188" i="8"/>
  <c r="H2187" i="8"/>
  <c r="Q2188" i="8"/>
  <c r="R2187" i="8"/>
  <c r="A2187" i="8"/>
  <c r="K2186" i="8"/>
  <c r="Q2190" i="8"/>
  <c r="A2189" i="8"/>
  <c r="I2188" i="8"/>
  <c r="A2186" i="8"/>
  <c r="Q2189" i="8"/>
  <c r="Q2191" i="8"/>
  <c r="I2191" i="8"/>
  <c r="A2191" i="8"/>
  <c r="I820" i="8"/>
  <c r="R819" i="8"/>
  <c r="Q823" i="8"/>
  <c r="Q822" i="8"/>
  <c r="A822" i="8"/>
  <c r="A820" i="8"/>
  <c r="H819" i="8"/>
  <c r="A819" i="8"/>
  <c r="K818" i="8"/>
  <c r="A818" i="8"/>
  <c r="I823" i="8"/>
  <c r="A823" i="8"/>
  <c r="A821" i="8"/>
  <c r="Q820" i="8"/>
  <c r="Q821" i="8"/>
  <c r="I821" i="8"/>
  <c r="Q2267" i="8"/>
  <c r="A2267" i="8"/>
  <c r="A2262" i="8"/>
  <c r="K2262" i="8"/>
  <c r="I2267" i="8"/>
  <c r="A2264" i="8"/>
  <c r="H2263" i="8"/>
  <c r="A2263" i="8"/>
  <c r="A2265" i="8"/>
  <c r="I2264" i="8"/>
  <c r="R2263" i="8"/>
  <c r="Q2266" i="8"/>
  <c r="Q2264" i="8"/>
  <c r="Q2265" i="8"/>
  <c r="I2265" i="8"/>
  <c r="A2266" i="8"/>
  <c r="U103" i="1"/>
  <c r="C103" i="1"/>
  <c r="O103" i="1"/>
  <c r="R103" i="1"/>
  <c r="A103" i="1"/>
  <c r="L103" i="1"/>
  <c r="O128" i="1"/>
  <c r="A128" i="1"/>
  <c r="U128" i="1"/>
  <c r="R128" i="1"/>
  <c r="C128" i="1"/>
  <c r="L128" i="1"/>
  <c r="U32" i="1"/>
  <c r="L32" i="1"/>
  <c r="C32" i="1"/>
  <c r="A32" i="1"/>
  <c r="R32" i="1"/>
  <c r="O32" i="1"/>
  <c r="T82" i="15"/>
  <c r="P82" i="15"/>
  <c r="I82" i="15"/>
  <c r="V82" i="15"/>
  <c r="D82" i="15"/>
  <c r="A82" i="15"/>
  <c r="S82" i="15"/>
  <c r="M82" i="15"/>
  <c r="I65" i="19"/>
  <c r="V65" i="19"/>
  <c r="P65" i="19"/>
  <c r="D65" i="19"/>
  <c r="S65" i="19"/>
  <c r="T65" i="19"/>
  <c r="M65" i="19"/>
  <c r="A65" i="19"/>
  <c r="P65" i="23"/>
  <c r="T65" i="23"/>
  <c r="S65" i="23"/>
  <c r="M65" i="23"/>
  <c r="V65" i="23"/>
  <c r="A65" i="23"/>
  <c r="I65" i="23"/>
  <c r="D65" i="23"/>
  <c r="P80" i="22"/>
  <c r="S80" i="22"/>
  <c r="D80" i="22"/>
  <c r="A80" i="22"/>
  <c r="V80" i="22"/>
  <c r="M80" i="22"/>
  <c r="T80" i="22"/>
  <c r="I80" i="22"/>
  <c r="AJ18" i="6"/>
  <c r="M20" i="4" s="1"/>
  <c r="U27" i="7"/>
  <c r="K18" i="5"/>
  <c r="AN18" i="6"/>
  <c r="A107" i="8"/>
  <c r="Q110" i="8"/>
  <c r="H106" i="8"/>
  <c r="A106" i="8"/>
  <c r="K105" i="8"/>
  <c r="A105" i="8"/>
  <c r="I110" i="8"/>
  <c r="I108" i="8"/>
  <c r="A108" i="8"/>
  <c r="A110" i="8"/>
  <c r="Q109" i="8"/>
  <c r="A109" i="8"/>
  <c r="Q108" i="8"/>
  <c r="R106" i="8"/>
  <c r="I107" i="8"/>
  <c r="Q107" i="8"/>
  <c r="I2182" i="8"/>
  <c r="K2177" i="8"/>
  <c r="Q2181" i="8"/>
  <c r="I2179" i="8"/>
  <c r="R2178" i="8"/>
  <c r="A2179" i="8"/>
  <c r="A2178" i="8"/>
  <c r="A2177" i="8"/>
  <c r="Q2182" i="8"/>
  <c r="I2180" i="8"/>
  <c r="H2178" i="8"/>
  <c r="A2182" i="8"/>
  <c r="A2181" i="8"/>
  <c r="Q2180" i="8"/>
  <c r="A2180" i="8"/>
  <c r="Q2179" i="8"/>
  <c r="U89" i="1"/>
  <c r="C89" i="1"/>
  <c r="O89" i="1"/>
  <c r="R89" i="1"/>
  <c r="L89" i="1"/>
  <c r="A89" i="1"/>
  <c r="U107" i="1"/>
  <c r="C107" i="1"/>
  <c r="O107" i="1"/>
  <c r="L107" i="1"/>
  <c r="R107" i="1"/>
  <c r="A107" i="1"/>
  <c r="U91" i="1"/>
  <c r="C91" i="1"/>
  <c r="A91" i="1"/>
  <c r="R91" i="1"/>
  <c r="O91" i="1"/>
  <c r="L91" i="1"/>
  <c r="A92" i="19"/>
  <c r="M92" i="19"/>
  <c r="S92" i="19"/>
  <c r="I92" i="19"/>
  <c r="D92" i="19"/>
  <c r="V92" i="19"/>
  <c r="P92" i="19"/>
  <c r="T92" i="19"/>
  <c r="K17" i="5"/>
  <c r="U26" i="7"/>
  <c r="AN17" i="6"/>
  <c r="AJ17" i="6"/>
  <c r="AJ25" i="6"/>
  <c r="P10" i="22" s="1"/>
  <c r="AN25" i="6"/>
  <c r="K25" i="5"/>
  <c r="U34" i="7"/>
  <c r="A319" i="8"/>
  <c r="I318" i="8"/>
  <c r="A318" i="8"/>
  <c r="R316" i="8"/>
  <c r="Q320" i="8"/>
  <c r="I320" i="8"/>
  <c r="A320" i="8"/>
  <c r="Q319" i="8"/>
  <c r="Q318" i="8"/>
  <c r="A317" i="8"/>
  <c r="H316" i="8"/>
  <c r="A315" i="8"/>
  <c r="Q317" i="8"/>
  <c r="I317" i="8"/>
  <c r="A316" i="8"/>
  <c r="K315" i="8"/>
  <c r="T74" i="16"/>
  <c r="P74" i="16"/>
  <c r="V74" i="16"/>
  <c r="M74" i="16"/>
  <c r="A74" i="16"/>
  <c r="D74" i="16"/>
  <c r="I74" i="16"/>
  <c r="S74" i="16"/>
  <c r="S69" i="18"/>
  <c r="M69" i="18"/>
  <c r="P69" i="18"/>
  <c r="D69" i="18"/>
  <c r="A69" i="18"/>
  <c r="V69" i="18"/>
  <c r="I69" i="18"/>
  <c r="T69" i="18"/>
  <c r="M73" i="25"/>
  <c r="P73" i="25"/>
  <c r="A73" i="25"/>
  <c r="V73" i="25"/>
  <c r="S73" i="25"/>
  <c r="D73" i="25"/>
  <c r="I73" i="25"/>
  <c r="T73" i="25"/>
  <c r="I70" i="15"/>
  <c r="A70" i="15"/>
  <c r="V70" i="15"/>
  <c r="P70" i="15"/>
  <c r="M70" i="15"/>
  <c r="D70" i="15"/>
  <c r="S70" i="15"/>
  <c r="T70" i="15"/>
  <c r="V75" i="18"/>
  <c r="S75" i="18"/>
  <c r="P75" i="18"/>
  <c r="I75" i="18"/>
  <c r="D75" i="18"/>
  <c r="M75" i="18"/>
  <c r="T75" i="18"/>
  <c r="A75" i="18"/>
  <c r="D64" i="19"/>
  <c r="I64" i="19"/>
  <c r="V64" i="19"/>
  <c r="T64" i="19"/>
  <c r="S64" i="19"/>
  <c r="M64" i="19"/>
  <c r="P64" i="19"/>
  <c r="A64" i="19"/>
  <c r="S85" i="16"/>
  <c r="M85" i="16"/>
  <c r="V85" i="16"/>
  <c r="T85" i="16"/>
  <c r="I85" i="16"/>
  <c r="P85" i="16"/>
  <c r="A85" i="16"/>
  <c r="D85" i="16"/>
  <c r="M87" i="15"/>
  <c r="D87" i="15"/>
  <c r="V87" i="15"/>
  <c r="P87" i="15"/>
  <c r="A87" i="15"/>
  <c r="T87" i="15"/>
  <c r="I87" i="15"/>
  <c r="S87" i="15"/>
  <c r="A78" i="19"/>
  <c r="V78" i="19"/>
  <c r="D78" i="19"/>
  <c r="T78" i="19"/>
  <c r="S78" i="19"/>
  <c r="P78" i="19"/>
  <c r="I78" i="19"/>
  <c r="M78" i="19"/>
  <c r="V88" i="20"/>
  <c r="S88" i="20"/>
  <c r="T88" i="20"/>
  <c r="M88" i="20"/>
  <c r="I88" i="20"/>
  <c r="D88" i="20"/>
  <c r="A88" i="20"/>
  <c r="P88" i="20"/>
  <c r="V83" i="16"/>
  <c r="T83" i="16"/>
  <c r="P83" i="16"/>
  <c r="S83" i="16"/>
  <c r="M83" i="16"/>
  <c r="D83" i="16"/>
  <c r="A83" i="16"/>
  <c r="I83" i="16"/>
  <c r="V70" i="19"/>
  <c r="S70" i="19"/>
  <c r="P70" i="19"/>
  <c r="I70" i="19"/>
  <c r="M70" i="19"/>
  <c r="D70" i="19"/>
  <c r="T70" i="19"/>
  <c r="A70" i="19"/>
  <c r="V70" i="18"/>
  <c r="S70" i="18"/>
  <c r="M70" i="18"/>
  <c r="D70" i="18"/>
  <c r="A70" i="18"/>
  <c r="P70" i="18"/>
  <c r="T70" i="18"/>
  <c r="I70" i="18"/>
  <c r="A71" i="26"/>
  <c r="S71" i="26"/>
  <c r="D71" i="26"/>
  <c r="V71" i="26"/>
  <c r="T71" i="26"/>
  <c r="P71" i="26"/>
  <c r="I71" i="26"/>
  <c r="M71" i="26"/>
  <c r="A73" i="19"/>
  <c r="V73" i="19"/>
  <c r="S73" i="19"/>
  <c r="D73" i="19"/>
  <c r="T73" i="19"/>
  <c r="P73" i="19"/>
  <c r="M73" i="19"/>
  <c r="I73" i="19"/>
  <c r="I74" i="22"/>
  <c r="T74" i="22"/>
  <c r="M74" i="22"/>
  <c r="D74" i="22"/>
  <c r="V74" i="22"/>
  <c r="S74" i="22"/>
  <c r="P74" i="22"/>
  <c r="A74" i="22"/>
  <c r="A91" i="22"/>
  <c r="V91" i="22"/>
  <c r="T91" i="22"/>
  <c r="S91" i="22"/>
  <c r="P91" i="22"/>
  <c r="M91" i="22"/>
  <c r="I91" i="22"/>
  <c r="D91" i="22"/>
  <c r="S70" i="36"/>
  <c r="P70" i="36"/>
  <c r="A70" i="36"/>
  <c r="M70" i="36"/>
  <c r="I70" i="36"/>
  <c r="T70" i="36"/>
  <c r="D70" i="36"/>
  <c r="V70" i="36"/>
  <c r="P89" i="20"/>
  <c r="S89" i="20"/>
  <c r="I89" i="20"/>
  <c r="T89" i="20"/>
  <c r="V89" i="20"/>
  <c r="M89" i="20"/>
  <c r="D89" i="20"/>
  <c r="A89" i="20"/>
  <c r="A65" i="20"/>
  <c r="I65" i="20"/>
  <c r="D65" i="20"/>
  <c r="V65" i="20"/>
  <c r="M65" i="20"/>
  <c r="T65" i="20"/>
  <c r="P65" i="20"/>
  <c r="S65" i="20"/>
  <c r="I75" i="21"/>
  <c r="D75" i="21"/>
  <c r="S75" i="21"/>
  <c r="P75" i="21"/>
  <c r="M75" i="21"/>
  <c r="V75" i="21"/>
  <c r="T75" i="21"/>
  <c r="A75" i="21"/>
  <c r="A65" i="25"/>
  <c r="S65" i="25"/>
  <c r="V65" i="25"/>
  <c r="P65" i="25"/>
  <c r="T65" i="25"/>
  <c r="I65" i="25"/>
  <c r="D65" i="25"/>
  <c r="M65" i="25"/>
  <c r="S92" i="20"/>
  <c r="M92" i="20"/>
  <c r="P92" i="20"/>
  <c r="I92" i="20"/>
  <c r="D92" i="20"/>
  <c r="A92" i="20"/>
  <c r="V92" i="20"/>
  <c r="T92" i="20"/>
  <c r="D76" i="24"/>
  <c r="S76" i="24"/>
  <c r="A76" i="24"/>
  <c r="T76" i="24"/>
  <c r="P76" i="24"/>
  <c r="M76" i="24"/>
  <c r="V76" i="24"/>
  <c r="I76" i="24"/>
  <c r="P67" i="36"/>
  <c r="M67" i="36"/>
  <c r="I67" i="36"/>
  <c r="T67" i="36"/>
  <c r="S67" i="36"/>
  <c r="D67" i="36"/>
  <c r="V67" i="36"/>
  <c r="A67" i="36"/>
  <c r="D65" i="21"/>
  <c r="S65" i="21"/>
  <c r="V65" i="21"/>
  <c r="T65" i="21"/>
  <c r="P65" i="21"/>
  <c r="M65" i="21"/>
  <c r="A65" i="21"/>
  <c r="I65" i="21"/>
  <c r="V78" i="26"/>
  <c r="T78" i="26"/>
  <c r="I78" i="26"/>
  <c r="M78" i="26"/>
  <c r="A78" i="26"/>
  <c r="D78" i="26"/>
  <c r="P78" i="26"/>
  <c r="S78" i="26"/>
  <c r="V89" i="25"/>
  <c r="S89" i="25"/>
  <c r="D89" i="25"/>
  <c r="T89" i="25"/>
  <c r="M89" i="25"/>
  <c r="I89" i="25"/>
  <c r="A89" i="25"/>
  <c r="P89" i="25"/>
  <c r="H10" i="26"/>
  <c r="L14" i="4"/>
  <c r="G88" i="3"/>
  <c r="O29" i="1" s="1"/>
  <c r="I1840" i="8"/>
  <c r="K1835" i="8"/>
  <c r="Q1839" i="8"/>
  <c r="A1835" i="8"/>
  <c r="A1840" i="8"/>
  <c r="A1839" i="8"/>
  <c r="I1838" i="8"/>
  <c r="Q1838" i="8"/>
  <c r="Q1837" i="8"/>
  <c r="I1837" i="8"/>
  <c r="R1836" i="8"/>
  <c r="A1837" i="8"/>
  <c r="H1836" i="8"/>
  <c r="A1836" i="8"/>
  <c r="A1838" i="8"/>
  <c r="Q1840" i="8"/>
  <c r="I678" i="8"/>
  <c r="Q677" i="8"/>
  <c r="Q679" i="8"/>
  <c r="I677" i="8"/>
  <c r="H676" i="8"/>
  <c r="A676" i="8"/>
  <c r="I680" i="8"/>
  <c r="A680" i="8"/>
  <c r="A679" i="8"/>
  <c r="Q678" i="8"/>
  <c r="A678" i="8"/>
  <c r="R676" i="8"/>
  <c r="Q680" i="8"/>
  <c r="A677" i="8"/>
  <c r="K675" i="8"/>
  <c r="A675" i="8"/>
  <c r="Q670" i="8"/>
  <c r="Q669" i="8"/>
  <c r="A671" i="8"/>
  <c r="I668" i="8"/>
  <c r="H667" i="8"/>
  <c r="A667" i="8"/>
  <c r="A669" i="8"/>
  <c r="Q668" i="8"/>
  <c r="A668" i="8"/>
  <c r="R667" i="8"/>
  <c r="I671" i="8"/>
  <c r="K666" i="8"/>
  <c r="A666" i="8"/>
  <c r="A670" i="8"/>
  <c r="I669" i="8"/>
  <c r="Q671" i="8"/>
  <c r="Q1506" i="8"/>
  <c r="I1505" i="8"/>
  <c r="Q1504" i="8"/>
  <c r="A1502" i="8"/>
  <c r="I1507" i="8"/>
  <c r="A1507" i="8"/>
  <c r="Q1505" i="8"/>
  <c r="A1505" i="8"/>
  <c r="I1504" i="8"/>
  <c r="A1504" i="8"/>
  <c r="R1503" i="8"/>
  <c r="H1503" i="8"/>
  <c r="A1503" i="8"/>
  <c r="Q1507" i="8"/>
  <c r="A1506" i="8"/>
  <c r="K1502" i="8"/>
  <c r="A1713" i="8"/>
  <c r="I1717" i="8"/>
  <c r="K1712" i="8"/>
  <c r="A1717" i="8"/>
  <c r="A1712" i="8"/>
  <c r="A1716" i="8"/>
  <c r="Q1716" i="8"/>
  <c r="I1715" i="8"/>
  <c r="A1715" i="8"/>
  <c r="I1714" i="8"/>
  <c r="Q1717" i="8"/>
  <c r="Q1715" i="8"/>
  <c r="Q1714" i="8"/>
  <c r="H1713" i="8"/>
  <c r="R1713" i="8"/>
  <c r="A1714" i="8"/>
  <c r="Q639" i="8"/>
  <c r="A639" i="8"/>
  <c r="I642" i="8"/>
  <c r="R638" i="8"/>
  <c r="K637" i="8"/>
  <c r="A642" i="8"/>
  <c r="Q641" i="8"/>
  <c r="A641" i="8"/>
  <c r="Q640" i="8"/>
  <c r="I640" i="8"/>
  <c r="H638" i="8"/>
  <c r="A638" i="8"/>
  <c r="Q642" i="8"/>
  <c r="A640" i="8"/>
  <c r="I639" i="8"/>
  <c r="A637" i="8"/>
  <c r="I2151" i="8"/>
  <c r="Q2150" i="8"/>
  <c r="A2151" i="8"/>
  <c r="A2150" i="8"/>
  <c r="A2148" i="8"/>
  <c r="Q2153" i="8"/>
  <c r="I2153" i="8"/>
  <c r="Q2152" i="8"/>
  <c r="K2148" i="8"/>
  <c r="A2149" i="8"/>
  <c r="R2149" i="8"/>
  <c r="H2149" i="8"/>
  <c r="I2150" i="8"/>
  <c r="A2152" i="8"/>
  <c r="Q2151" i="8"/>
  <c r="A2153" i="8"/>
  <c r="Q1192" i="8"/>
  <c r="A1192" i="8"/>
  <c r="I1191" i="8"/>
  <c r="A1191" i="8"/>
  <c r="H1190" i="8"/>
  <c r="K1189" i="8"/>
  <c r="A1189" i="8"/>
  <c r="A1190" i="8"/>
  <c r="A1194" i="8"/>
  <c r="Q1194" i="8"/>
  <c r="I1194" i="8"/>
  <c r="Q1193" i="8"/>
  <c r="A1193" i="8"/>
  <c r="I1192" i="8"/>
  <c r="Q1191" i="8"/>
  <c r="R1190" i="8"/>
  <c r="A2066" i="8"/>
  <c r="I2065" i="8"/>
  <c r="I2068" i="8"/>
  <c r="Q2067" i="8"/>
  <c r="K2063" i="8"/>
  <c r="Q2068" i="8"/>
  <c r="A2067" i="8"/>
  <c r="A2068" i="8"/>
  <c r="Q2066" i="8"/>
  <c r="Q2065" i="8"/>
  <c r="H2064" i="8"/>
  <c r="I2066" i="8"/>
  <c r="A2065" i="8"/>
  <c r="R2064" i="8"/>
  <c r="A2064" i="8"/>
  <c r="A2063" i="8"/>
  <c r="Q262" i="8"/>
  <c r="A262" i="8"/>
  <c r="A257" i="8"/>
  <c r="Q261" i="8"/>
  <c r="A260" i="8"/>
  <c r="H258" i="8"/>
  <c r="A258" i="8"/>
  <c r="K257" i="8"/>
  <c r="I260" i="8"/>
  <c r="I259" i="8"/>
  <c r="A259" i="8"/>
  <c r="R258" i="8"/>
  <c r="Q260" i="8"/>
  <c r="Q259" i="8"/>
  <c r="A261" i="8"/>
  <c r="I262" i="8"/>
  <c r="A1038" i="8"/>
  <c r="I1042" i="8"/>
  <c r="K1037" i="8"/>
  <c r="A1037" i="8"/>
  <c r="A1042" i="8"/>
  <c r="I1039" i="8"/>
  <c r="H1038" i="8"/>
  <c r="Q1041" i="8"/>
  <c r="A1041" i="8"/>
  <c r="Q1040" i="8"/>
  <c r="I1040" i="8"/>
  <c r="A1040" i="8"/>
  <c r="R1038" i="8"/>
  <c r="Q1042" i="8"/>
  <c r="Q1039" i="8"/>
  <c r="A1039" i="8"/>
  <c r="Q1933" i="8"/>
  <c r="Q1932" i="8"/>
  <c r="A1932" i="8"/>
  <c r="I1931" i="8"/>
  <c r="A1931" i="8"/>
  <c r="H1930" i="8"/>
  <c r="A1929" i="8"/>
  <c r="Q1934" i="8"/>
  <c r="A1934" i="8"/>
  <c r="R1930" i="8"/>
  <c r="Q1931" i="8"/>
  <c r="A1930" i="8"/>
  <c r="K1929" i="8"/>
  <c r="I1934" i="8"/>
  <c r="A1933" i="8"/>
  <c r="I1932" i="8"/>
  <c r="Q957" i="8"/>
  <c r="A957" i="8"/>
  <c r="A952" i="8"/>
  <c r="Q954" i="8"/>
  <c r="I954" i="8"/>
  <c r="R953" i="8"/>
  <c r="A955" i="8"/>
  <c r="K952" i="8"/>
  <c r="A956" i="8"/>
  <c r="Q955" i="8"/>
  <c r="I955" i="8"/>
  <c r="A954" i="8"/>
  <c r="H953" i="8"/>
  <c r="A953" i="8"/>
  <c r="I957" i="8"/>
  <c r="Q956" i="8"/>
  <c r="A2021" i="8"/>
  <c r="A2016" i="8"/>
  <c r="A2020" i="8"/>
  <c r="H2017" i="8"/>
  <c r="K2016" i="8"/>
  <c r="I2021" i="8"/>
  <c r="A2019" i="8"/>
  <c r="I2018" i="8"/>
  <c r="A2018" i="8"/>
  <c r="A2017" i="8"/>
  <c r="Q2019" i="8"/>
  <c r="Q2021" i="8"/>
  <c r="Q2020" i="8"/>
  <c r="I2019" i="8"/>
  <c r="Q2018" i="8"/>
  <c r="R2017" i="8"/>
  <c r="Q1793" i="8"/>
  <c r="A1793" i="8"/>
  <c r="A1788" i="8"/>
  <c r="H1789" i="8"/>
  <c r="K1788" i="8"/>
  <c r="Q1792" i="8"/>
  <c r="I1790" i="8"/>
  <c r="R1789" i="8"/>
  <c r="A1789" i="8"/>
  <c r="A1790" i="8"/>
  <c r="Q1791" i="8"/>
  <c r="I1791" i="8"/>
  <c r="A1791" i="8"/>
  <c r="Q1790" i="8"/>
  <c r="I1793" i="8"/>
  <c r="A1792" i="8"/>
  <c r="AH11" i="6"/>
  <c r="P20" i="7"/>
  <c r="U223" i="1"/>
  <c r="C223" i="1"/>
  <c r="R223" i="1"/>
  <c r="O223" i="1"/>
  <c r="L223" i="1"/>
  <c r="A223" i="1"/>
  <c r="P10" i="24"/>
  <c r="H86" i="3"/>
  <c r="R27" i="1" s="1"/>
  <c r="U97" i="1"/>
  <c r="C97" i="1"/>
  <c r="R97" i="1"/>
  <c r="O97" i="1"/>
  <c r="L97" i="1"/>
  <c r="A97" i="1"/>
  <c r="U55" i="1"/>
  <c r="C55" i="1"/>
  <c r="R55" i="1"/>
  <c r="O55" i="1"/>
  <c r="L55" i="1"/>
  <c r="A55" i="1"/>
  <c r="O250" i="1"/>
  <c r="L250" i="1"/>
  <c r="U250" i="1"/>
  <c r="R250" i="1"/>
  <c r="C250" i="1"/>
  <c r="A250" i="1"/>
  <c r="R104" i="1"/>
  <c r="U104" i="1"/>
  <c r="L104" i="1"/>
  <c r="C104" i="1"/>
  <c r="A104" i="1"/>
  <c r="O104" i="1"/>
  <c r="C248" i="1"/>
  <c r="R248" i="1"/>
  <c r="U248" i="1"/>
  <c r="O248" i="1"/>
  <c r="L248" i="1"/>
  <c r="A248" i="1"/>
  <c r="U255" i="1"/>
  <c r="C255" i="1"/>
  <c r="A255" i="1"/>
  <c r="R255" i="1"/>
  <c r="L255" i="1"/>
  <c r="O255" i="1"/>
  <c r="U141" i="1"/>
  <c r="C141" i="1"/>
  <c r="R141" i="1"/>
  <c r="O141" i="1"/>
  <c r="L141" i="1"/>
  <c r="A141" i="1"/>
  <c r="O78" i="1"/>
  <c r="L78" i="1"/>
  <c r="C78" i="1"/>
  <c r="U78" i="1"/>
  <c r="R78" i="1"/>
  <c r="A78" i="1"/>
  <c r="U25" i="1"/>
  <c r="C25" i="1"/>
  <c r="L25" i="1"/>
  <c r="A25" i="1"/>
  <c r="U221" i="1"/>
  <c r="C221" i="1"/>
  <c r="L221" i="1"/>
  <c r="A221" i="1"/>
  <c r="R221" i="1"/>
  <c r="O221" i="1"/>
  <c r="U175" i="1"/>
  <c r="C175" i="1"/>
  <c r="A175" i="1"/>
  <c r="O175" i="1"/>
  <c r="L175" i="1"/>
  <c r="R175" i="1"/>
  <c r="R244" i="1"/>
  <c r="O244" i="1"/>
  <c r="L244" i="1"/>
  <c r="A244" i="1"/>
  <c r="U244" i="1"/>
  <c r="C244" i="1"/>
  <c r="P35" i="21"/>
  <c r="M49" i="21"/>
  <c r="P37" i="21"/>
  <c r="P29" i="21"/>
  <c r="M54" i="21"/>
  <c r="AA7" i="21"/>
  <c r="M58" i="21"/>
  <c r="M40" i="21"/>
  <c r="P36" i="21"/>
  <c r="P34" i="21"/>
  <c r="P33" i="21"/>
  <c r="P30" i="21"/>
  <c r="M44" i="21"/>
  <c r="P31" i="21"/>
  <c r="P27" i="21"/>
  <c r="P28" i="21"/>
  <c r="U75" i="1"/>
  <c r="C75" i="1"/>
  <c r="O75" i="1"/>
  <c r="R75" i="1"/>
  <c r="A75" i="1"/>
  <c r="L75" i="1"/>
  <c r="U93" i="1"/>
  <c r="C93" i="1"/>
  <c r="O93" i="1"/>
  <c r="L93" i="1"/>
  <c r="A93" i="1"/>
  <c r="R93" i="1"/>
  <c r="L22" i="4"/>
  <c r="U21" i="1"/>
  <c r="C21" i="1"/>
  <c r="A21" i="1"/>
  <c r="L21" i="1"/>
  <c r="O240" i="1"/>
  <c r="A240" i="1"/>
  <c r="L240" i="1"/>
  <c r="U240" i="1"/>
  <c r="R240" i="1"/>
  <c r="C240" i="1"/>
  <c r="U228" i="1"/>
  <c r="L228" i="1"/>
  <c r="C228" i="1"/>
  <c r="A228" i="1"/>
  <c r="R228" i="1"/>
  <c r="O228" i="1"/>
  <c r="Q241" i="8"/>
  <c r="A241" i="8"/>
  <c r="I244" i="8"/>
  <c r="Q242" i="8"/>
  <c r="A239" i="8"/>
  <c r="Q244" i="8"/>
  <c r="A244" i="8"/>
  <c r="Q243" i="8"/>
  <c r="A243" i="8"/>
  <c r="H240" i="8"/>
  <c r="A240" i="8"/>
  <c r="K239" i="8"/>
  <c r="I241" i="8"/>
  <c r="R240" i="8"/>
  <c r="A242" i="8"/>
  <c r="I242" i="8"/>
  <c r="I71" i="25"/>
  <c r="D71" i="25"/>
  <c r="S71" i="25"/>
  <c r="V71" i="25"/>
  <c r="A71" i="25"/>
  <c r="T71" i="25"/>
  <c r="M71" i="25"/>
  <c r="P71" i="25"/>
  <c r="I92" i="18"/>
  <c r="A92" i="18"/>
  <c r="D92" i="18"/>
  <c r="T92" i="18"/>
  <c r="S92" i="18"/>
  <c r="P92" i="18"/>
  <c r="M92" i="18"/>
  <c r="V92" i="18"/>
  <c r="T85" i="20"/>
  <c r="I85" i="20"/>
  <c r="S85" i="20"/>
  <c r="M85" i="20"/>
  <c r="V85" i="20"/>
  <c r="P85" i="20"/>
  <c r="A85" i="20"/>
  <c r="D85" i="20"/>
  <c r="T72" i="18"/>
  <c r="P72" i="18"/>
  <c r="V72" i="18"/>
  <c r="M72" i="18"/>
  <c r="S72" i="18"/>
  <c r="I72" i="18"/>
  <c r="A72" i="18"/>
  <c r="D72" i="18"/>
  <c r="S81" i="24"/>
  <c r="D81" i="24"/>
  <c r="T81" i="24"/>
  <c r="P81" i="24"/>
  <c r="I81" i="24"/>
  <c r="A81" i="24"/>
  <c r="V81" i="24"/>
  <c r="M81" i="24"/>
  <c r="P91" i="21"/>
  <c r="S91" i="21"/>
  <c r="D91" i="21"/>
  <c r="A91" i="21"/>
  <c r="V91" i="21"/>
  <c r="T91" i="21"/>
  <c r="I91" i="21"/>
  <c r="M91" i="21"/>
  <c r="D68" i="20"/>
  <c r="A68" i="20"/>
  <c r="V68" i="20"/>
  <c r="S68" i="20"/>
  <c r="P68" i="20"/>
  <c r="I68" i="20"/>
  <c r="M68" i="20"/>
  <c r="T68" i="20"/>
  <c r="P68" i="21"/>
  <c r="A68" i="21"/>
  <c r="D68" i="21"/>
  <c r="S68" i="21"/>
  <c r="I68" i="21"/>
  <c r="V68" i="21"/>
  <c r="T68" i="21"/>
  <c r="M68" i="21"/>
  <c r="M70" i="22"/>
  <c r="P70" i="22"/>
  <c r="V70" i="22"/>
  <c r="I70" i="22"/>
  <c r="D70" i="22"/>
  <c r="S70" i="22"/>
  <c r="T70" i="22"/>
  <c r="A70" i="22"/>
  <c r="I1514" i="8"/>
  <c r="I1513" i="8"/>
  <c r="R1512" i="8"/>
  <c r="A1511" i="8"/>
  <c r="I1516" i="8"/>
  <c r="A1516" i="8"/>
  <c r="A1515" i="8"/>
  <c r="Q1516" i="8"/>
  <c r="Q1515" i="8"/>
  <c r="Q1514" i="8"/>
  <c r="K1511" i="8"/>
  <c r="A1514" i="8"/>
  <c r="Q1513" i="8"/>
  <c r="A1513" i="8"/>
  <c r="H1512" i="8"/>
  <c r="A1512" i="8"/>
  <c r="A593" i="8"/>
  <c r="I592" i="8"/>
  <c r="A591" i="8"/>
  <c r="Q595" i="8"/>
  <c r="I595" i="8"/>
  <c r="Q593" i="8"/>
  <c r="I593" i="8"/>
  <c r="Q592" i="8"/>
  <c r="A592" i="8"/>
  <c r="R591" i="8"/>
  <c r="A594" i="8"/>
  <c r="H591" i="8"/>
  <c r="K590" i="8"/>
  <c r="A590" i="8"/>
  <c r="A595" i="8"/>
  <c r="Q594" i="8"/>
  <c r="Q2036" i="8"/>
  <c r="A2036" i="8"/>
  <c r="Q2039" i="8"/>
  <c r="A2034" i="8"/>
  <c r="I2039" i="8"/>
  <c r="Q2038" i="8"/>
  <c r="A2038" i="8"/>
  <c r="A2037" i="8"/>
  <c r="A2039" i="8"/>
  <c r="Q2037" i="8"/>
  <c r="I2037" i="8"/>
  <c r="H2035" i="8"/>
  <c r="I2036" i="8"/>
  <c r="R2035" i="8"/>
  <c r="A2035" i="8"/>
  <c r="K2034" i="8"/>
  <c r="C136" i="1"/>
  <c r="R136" i="1"/>
  <c r="U136" i="1"/>
  <c r="O136" i="1"/>
  <c r="A136" i="1"/>
  <c r="L136" i="1"/>
  <c r="U116" i="1"/>
  <c r="L116" i="1"/>
  <c r="R116" i="1"/>
  <c r="C116" i="1"/>
  <c r="A116" i="1"/>
  <c r="O116" i="1"/>
  <c r="P33" i="22"/>
  <c r="P31" i="22"/>
  <c r="M54" i="22"/>
  <c r="P27" i="22"/>
  <c r="P37" i="22"/>
  <c r="P34" i="22"/>
  <c r="P30" i="22"/>
  <c r="M44" i="22"/>
  <c r="M40" i="22"/>
  <c r="P36" i="22"/>
  <c r="M58" i="22"/>
  <c r="P35" i="22"/>
  <c r="P29" i="22"/>
  <c r="AA7" i="22"/>
  <c r="M49" i="22"/>
  <c r="P28" i="22"/>
  <c r="O114" i="1"/>
  <c r="A114" i="1"/>
  <c r="C114" i="1"/>
  <c r="U114" i="1"/>
  <c r="R114" i="1"/>
  <c r="L114" i="1"/>
  <c r="T86" i="18"/>
  <c r="P86" i="18"/>
  <c r="A86" i="18"/>
  <c r="D86" i="18"/>
  <c r="V86" i="18"/>
  <c r="M86" i="18"/>
  <c r="S86" i="18"/>
  <c r="I86" i="18"/>
  <c r="P93" i="18"/>
  <c r="S93" i="18"/>
  <c r="D93" i="18"/>
  <c r="T93" i="18"/>
  <c r="M93" i="18"/>
  <c r="V93" i="18"/>
  <c r="A93" i="18"/>
  <c r="I93" i="18"/>
  <c r="S77" i="22"/>
  <c r="D77" i="22"/>
  <c r="V77" i="22"/>
  <c r="P77" i="22"/>
  <c r="M77" i="22"/>
  <c r="T77" i="22"/>
  <c r="I77" i="22"/>
  <c r="A77" i="22"/>
  <c r="S65" i="26"/>
  <c r="T65" i="26"/>
  <c r="M65" i="26"/>
  <c r="I65" i="26"/>
  <c r="D65" i="26"/>
  <c r="P65" i="26"/>
  <c r="A65" i="26"/>
  <c r="V65" i="26"/>
  <c r="P69" i="24"/>
  <c r="D69" i="24"/>
  <c r="T69" i="24"/>
  <c r="I69" i="24"/>
  <c r="A69" i="24"/>
  <c r="V69" i="24"/>
  <c r="S69" i="24"/>
  <c r="M69" i="24"/>
  <c r="I1373" i="8"/>
  <c r="Q1372" i="8"/>
  <c r="A1375" i="8"/>
  <c r="A1374" i="8"/>
  <c r="Q1373" i="8"/>
  <c r="I1372" i="8"/>
  <c r="A1372" i="8"/>
  <c r="Q1375" i="8"/>
  <c r="I1375" i="8"/>
  <c r="Q1374" i="8"/>
  <c r="A1373" i="8"/>
  <c r="R1371" i="8"/>
  <c r="H1371" i="8"/>
  <c r="A1371" i="8"/>
  <c r="K1370" i="8"/>
  <c r="A1370" i="8"/>
  <c r="A1296" i="8"/>
  <c r="H1295" i="8"/>
  <c r="Q1299" i="8"/>
  <c r="A1294" i="8"/>
  <c r="I1299" i="8"/>
  <c r="Q1298" i="8"/>
  <c r="Q1296" i="8"/>
  <c r="A1295" i="8"/>
  <c r="K1294" i="8"/>
  <c r="Q1297" i="8"/>
  <c r="I1296" i="8"/>
  <c r="R1295" i="8"/>
  <c r="I1297" i="8"/>
  <c r="A1297" i="8"/>
  <c r="A1299" i="8"/>
  <c r="A1298" i="8"/>
  <c r="U163" i="1"/>
  <c r="C163" i="1"/>
  <c r="O163" i="1"/>
  <c r="R163" i="1"/>
  <c r="L163" i="1"/>
  <c r="A163" i="1"/>
  <c r="U176" i="1"/>
  <c r="R176" i="1"/>
  <c r="A176" i="1"/>
  <c r="O176" i="1"/>
  <c r="L176" i="1"/>
  <c r="C176" i="1"/>
  <c r="C66" i="1"/>
  <c r="R66" i="1"/>
  <c r="O66" i="1"/>
  <c r="L66" i="1"/>
  <c r="U66" i="1"/>
  <c r="A66" i="1"/>
  <c r="T67" i="17"/>
  <c r="P67" i="17"/>
  <c r="M67" i="17"/>
  <c r="D67" i="17"/>
  <c r="A67" i="17"/>
  <c r="S67" i="17"/>
  <c r="I67" i="17"/>
  <c r="V67" i="17"/>
  <c r="S79" i="15"/>
  <c r="M79" i="15"/>
  <c r="I79" i="15"/>
  <c r="D79" i="15"/>
  <c r="A79" i="15"/>
  <c r="T79" i="15"/>
  <c r="V79" i="15"/>
  <c r="P79" i="15"/>
  <c r="I85" i="21"/>
  <c r="T85" i="21"/>
  <c r="M85" i="21"/>
  <c r="D85" i="21"/>
  <c r="P85" i="21"/>
  <c r="V85" i="21"/>
  <c r="S85" i="21"/>
  <c r="A85" i="21"/>
  <c r="V88" i="23"/>
  <c r="M88" i="23"/>
  <c r="T88" i="23"/>
  <c r="S88" i="23"/>
  <c r="A88" i="23"/>
  <c r="I88" i="23"/>
  <c r="D88" i="23"/>
  <c r="P88" i="23"/>
  <c r="A756" i="8"/>
  <c r="A751" i="8"/>
  <c r="A755" i="8"/>
  <c r="I753" i="8"/>
  <c r="Q755" i="8"/>
  <c r="A754" i="8"/>
  <c r="Q753" i="8"/>
  <c r="I756" i="8"/>
  <c r="Q754" i="8"/>
  <c r="I754" i="8"/>
  <c r="A753" i="8"/>
  <c r="R752" i="8"/>
  <c r="Q756" i="8"/>
  <c r="H752" i="8"/>
  <c r="A752" i="8"/>
  <c r="K751" i="8"/>
  <c r="A1687" i="8"/>
  <c r="I1686" i="8"/>
  <c r="A1686" i="8"/>
  <c r="I1685" i="8"/>
  <c r="R1684" i="8"/>
  <c r="A1684" i="8"/>
  <c r="A1683" i="8"/>
  <c r="I1688" i="8"/>
  <c r="Q1686" i="8"/>
  <c r="Q1685" i="8"/>
  <c r="A1685" i="8"/>
  <c r="H1684" i="8"/>
  <c r="K1683" i="8"/>
  <c r="A1688" i="8"/>
  <c r="Q1687" i="8"/>
  <c r="Q1688" i="8"/>
  <c r="D84" i="17"/>
  <c r="V84" i="17"/>
  <c r="S84" i="17"/>
  <c r="P84" i="17"/>
  <c r="I84" i="17"/>
  <c r="T84" i="17"/>
  <c r="M84" i="17"/>
  <c r="A84" i="17"/>
  <c r="I76" i="16"/>
  <c r="A76" i="16"/>
  <c r="S76" i="16"/>
  <c r="M76" i="16"/>
  <c r="P76" i="16"/>
  <c r="D76" i="16"/>
  <c r="V76" i="16"/>
  <c r="T76" i="16"/>
  <c r="Q19" i="2"/>
  <c r="K29" i="8"/>
  <c r="I1545" i="8"/>
  <c r="K1540" i="8"/>
  <c r="Q1544" i="8"/>
  <c r="A1544" i="8"/>
  <c r="I1543" i="8"/>
  <c r="A1542" i="8"/>
  <c r="H1541" i="8"/>
  <c r="A1541" i="8"/>
  <c r="A1540" i="8"/>
  <c r="A1543" i="8"/>
  <c r="R1541" i="8"/>
  <c r="Q1545" i="8"/>
  <c r="Q1542" i="8"/>
  <c r="I1542" i="8"/>
  <c r="A1545" i="8"/>
  <c r="Q1543" i="8"/>
  <c r="A896" i="8"/>
  <c r="H895" i="8"/>
  <c r="Q897" i="8"/>
  <c r="A897" i="8"/>
  <c r="A898" i="8"/>
  <c r="I899" i="8"/>
  <c r="A899" i="8"/>
  <c r="Q899" i="8"/>
  <c r="Q898" i="8"/>
  <c r="I897" i="8"/>
  <c r="Q896" i="8"/>
  <c r="I896" i="8"/>
  <c r="K894" i="8"/>
  <c r="R895" i="8"/>
  <c r="A895" i="8"/>
  <c r="A894" i="8"/>
  <c r="A1185" i="8"/>
  <c r="A1180" i="8"/>
  <c r="A1184" i="8"/>
  <c r="Q1182" i="8"/>
  <c r="I1182" i="8"/>
  <c r="R1181" i="8"/>
  <c r="Q1185" i="8"/>
  <c r="I1185" i="8"/>
  <c r="Q1184" i="8"/>
  <c r="Q1183" i="8"/>
  <c r="I1183" i="8"/>
  <c r="A1183" i="8"/>
  <c r="A1182" i="8"/>
  <c r="H1181" i="8"/>
  <c r="A1181" i="8"/>
  <c r="K1180" i="8"/>
  <c r="T77" i="19"/>
  <c r="S77" i="19"/>
  <c r="M77" i="19"/>
  <c r="I77" i="19"/>
  <c r="A77" i="19"/>
  <c r="V77" i="19"/>
  <c r="P77" i="19"/>
  <c r="D77" i="19"/>
  <c r="V71" i="15"/>
  <c r="S71" i="15"/>
  <c r="M71" i="15"/>
  <c r="A71" i="15"/>
  <c r="T71" i="15"/>
  <c r="P71" i="15"/>
  <c r="D71" i="15"/>
  <c r="I71" i="15"/>
  <c r="T66" i="17"/>
  <c r="P66" i="17"/>
  <c r="V66" i="17"/>
  <c r="S66" i="17"/>
  <c r="I66" i="17"/>
  <c r="M66" i="17"/>
  <c r="D66" i="17"/>
  <c r="A66" i="17"/>
  <c r="T76" i="18"/>
  <c r="P76" i="18"/>
  <c r="M76" i="18"/>
  <c r="D76" i="18"/>
  <c r="S76" i="18"/>
  <c r="I76" i="18"/>
  <c r="A76" i="18"/>
  <c r="V76" i="18"/>
  <c r="A82" i="18"/>
  <c r="I82" i="18"/>
  <c r="V82" i="18"/>
  <c r="T82" i="18"/>
  <c r="P82" i="18"/>
  <c r="M82" i="18"/>
  <c r="D82" i="18"/>
  <c r="S82" i="18"/>
  <c r="I89" i="21"/>
  <c r="V89" i="21"/>
  <c r="S89" i="21"/>
  <c r="D89" i="21"/>
  <c r="A89" i="21"/>
  <c r="P89" i="21"/>
  <c r="M89" i="21"/>
  <c r="T89" i="21"/>
  <c r="P66" i="18"/>
  <c r="I66" i="18"/>
  <c r="A66" i="18"/>
  <c r="T66" i="18"/>
  <c r="M66" i="18"/>
  <c r="D66" i="18"/>
  <c r="V66" i="18"/>
  <c r="S66" i="18"/>
  <c r="S71" i="16"/>
  <c r="M71" i="16"/>
  <c r="P71" i="16"/>
  <c r="A71" i="16"/>
  <c r="V71" i="16"/>
  <c r="I71" i="16"/>
  <c r="T71" i="16"/>
  <c r="D71" i="16"/>
  <c r="M82" i="19"/>
  <c r="V82" i="19"/>
  <c r="T82" i="19"/>
  <c r="P82" i="19"/>
  <c r="S82" i="19"/>
  <c r="I82" i="19"/>
  <c r="A82" i="19"/>
  <c r="D82" i="19"/>
  <c r="T90" i="26"/>
  <c r="M90" i="26"/>
  <c r="A90" i="26"/>
  <c r="I90" i="26"/>
  <c r="S90" i="26"/>
  <c r="V90" i="26"/>
  <c r="D90" i="26"/>
  <c r="P90" i="26"/>
  <c r="V92" i="16"/>
  <c r="S92" i="16"/>
  <c r="T92" i="16"/>
  <c r="P92" i="16"/>
  <c r="I92" i="16"/>
  <c r="M92" i="16"/>
  <c r="A92" i="16"/>
  <c r="D92" i="16"/>
  <c r="A87" i="19"/>
  <c r="V87" i="19"/>
  <c r="S87" i="19"/>
  <c r="P87" i="19"/>
  <c r="I87" i="19"/>
  <c r="T87" i="19"/>
  <c r="M87" i="19"/>
  <c r="D87" i="19"/>
  <c r="D84" i="18"/>
  <c r="V84" i="18"/>
  <c r="A84" i="18"/>
  <c r="I84" i="18"/>
  <c r="S84" i="18"/>
  <c r="P84" i="18"/>
  <c r="M84" i="18"/>
  <c r="T84" i="18"/>
  <c r="T74" i="15"/>
  <c r="S74" i="15"/>
  <c r="M74" i="15"/>
  <c r="V74" i="15"/>
  <c r="D74" i="15"/>
  <c r="A74" i="15"/>
  <c r="P74" i="15"/>
  <c r="I74" i="15"/>
  <c r="P75" i="20"/>
  <c r="D75" i="20"/>
  <c r="V75" i="20"/>
  <c r="S75" i="20"/>
  <c r="I75" i="20"/>
  <c r="T75" i="20"/>
  <c r="A75" i="20"/>
  <c r="M75" i="20"/>
  <c r="M84" i="22"/>
  <c r="I84" i="22"/>
  <c r="S84" i="22"/>
  <c r="A84" i="22"/>
  <c r="V84" i="22"/>
  <c r="T84" i="22"/>
  <c r="P84" i="22"/>
  <c r="D84" i="22"/>
  <c r="A68" i="26"/>
  <c r="P68" i="26"/>
  <c r="D68" i="26"/>
  <c r="V68" i="26"/>
  <c r="S68" i="26"/>
  <c r="M68" i="26"/>
  <c r="I68" i="26"/>
  <c r="T68" i="26"/>
  <c r="V86" i="25"/>
  <c r="T86" i="25"/>
  <c r="A86" i="25"/>
  <c r="D86" i="25"/>
  <c r="S86" i="25"/>
  <c r="M86" i="25"/>
  <c r="I86" i="25"/>
  <c r="P86" i="25"/>
  <c r="A91" i="20"/>
  <c r="I91" i="20"/>
  <c r="D91" i="20"/>
  <c r="T91" i="20"/>
  <c r="V91" i="20"/>
  <c r="P91" i="20"/>
  <c r="M91" i="20"/>
  <c r="S91" i="20"/>
  <c r="T70" i="20"/>
  <c r="V70" i="20"/>
  <c r="S70" i="20"/>
  <c r="M70" i="20"/>
  <c r="I70" i="20"/>
  <c r="P70" i="20"/>
  <c r="D70" i="20"/>
  <c r="A70" i="20"/>
  <c r="D64" i="22"/>
  <c r="I64" i="22"/>
  <c r="S64" i="22"/>
  <c r="P64" i="22"/>
  <c r="V64" i="22"/>
  <c r="T64" i="22"/>
  <c r="M64" i="22"/>
  <c r="A64" i="22"/>
  <c r="S80" i="25"/>
  <c r="P80" i="25"/>
  <c r="T80" i="25"/>
  <c r="A80" i="25"/>
  <c r="V80" i="25"/>
  <c r="M80" i="25"/>
  <c r="I80" i="25"/>
  <c r="D80" i="25"/>
  <c r="V76" i="21"/>
  <c r="M76" i="21"/>
  <c r="A76" i="21"/>
  <c r="S76" i="21"/>
  <c r="D76" i="21"/>
  <c r="T76" i="21"/>
  <c r="P76" i="21"/>
  <c r="I76" i="21"/>
  <c r="M74" i="25"/>
  <c r="I74" i="25"/>
  <c r="T74" i="25"/>
  <c r="S74" i="25"/>
  <c r="P74" i="25"/>
  <c r="D74" i="25"/>
  <c r="V74" i="25"/>
  <c r="A74" i="25"/>
  <c r="T73" i="36"/>
  <c r="S73" i="36"/>
  <c r="D73" i="36"/>
  <c r="V73" i="36"/>
  <c r="P73" i="36"/>
  <c r="M73" i="36"/>
  <c r="A73" i="36"/>
  <c r="I73" i="36"/>
  <c r="T79" i="21"/>
  <c r="V79" i="21"/>
  <c r="M79" i="21"/>
  <c r="I79" i="21"/>
  <c r="A79" i="21"/>
  <c r="S79" i="21"/>
  <c r="D79" i="21"/>
  <c r="P79" i="21"/>
  <c r="P82" i="26"/>
  <c r="A82" i="26"/>
  <c r="T82" i="26"/>
  <c r="M82" i="26"/>
  <c r="I82" i="26"/>
  <c r="D82" i="26"/>
  <c r="V82" i="26"/>
  <c r="S82" i="26"/>
  <c r="V67" i="26"/>
  <c r="M67" i="26"/>
  <c r="T67" i="26"/>
  <c r="P67" i="26"/>
  <c r="I67" i="26"/>
  <c r="D67" i="26"/>
  <c r="S67" i="26"/>
  <c r="A67" i="26"/>
  <c r="A1874" i="8"/>
  <c r="I1878" i="8"/>
  <c r="K1873" i="8"/>
  <c r="Q1877" i="8"/>
  <c r="Q1876" i="8"/>
  <c r="I1876" i="8"/>
  <c r="Q1875" i="8"/>
  <c r="A1878" i="8"/>
  <c r="A1876" i="8"/>
  <c r="I1875" i="8"/>
  <c r="R1874" i="8"/>
  <c r="A1877" i="8"/>
  <c r="Q1878" i="8"/>
  <c r="A1875" i="8"/>
  <c r="H1874" i="8"/>
  <c r="A1873" i="8"/>
  <c r="R1342" i="8"/>
  <c r="A1342" i="8"/>
  <c r="I1346" i="8"/>
  <c r="Q1345" i="8"/>
  <c r="A1345" i="8"/>
  <c r="I1344" i="8"/>
  <c r="A1346" i="8"/>
  <c r="Q1346" i="8"/>
  <c r="Q1344" i="8"/>
  <c r="A1344" i="8"/>
  <c r="Q1343" i="8"/>
  <c r="I1343" i="8"/>
  <c r="H1342" i="8"/>
  <c r="A1341" i="8"/>
  <c r="A1343" i="8"/>
  <c r="K1341" i="8"/>
  <c r="I709" i="8"/>
  <c r="K704" i="8"/>
  <c r="Q708" i="8"/>
  <c r="I707" i="8"/>
  <c r="A707" i="8"/>
  <c r="A706" i="8"/>
  <c r="R705" i="8"/>
  <c r="Q706" i="8"/>
  <c r="I706" i="8"/>
  <c r="H705" i="8"/>
  <c r="A705" i="8"/>
  <c r="Q709" i="8"/>
  <c r="A709" i="8"/>
  <c r="A708" i="8"/>
  <c r="Q707" i="8"/>
  <c r="A704" i="8"/>
  <c r="Q1609" i="8"/>
  <c r="A1609" i="8"/>
  <c r="R1608" i="8"/>
  <c r="A1608" i="8"/>
  <c r="H1608" i="8"/>
  <c r="K1607" i="8"/>
  <c r="A1607" i="8"/>
  <c r="Q1612" i="8"/>
  <c r="Q1611" i="8"/>
  <c r="I1610" i="8"/>
  <c r="A1610" i="8"/>
  <c r="I1609" i="8"/>
  <c r="I1612" i="8"/>
  <c r="A1612" i="8"/>
  <c r="A1611" i="8"/>
  <c r="Q1610" i="8"/>
  <c r="I1744" i="8"/>
  <c r="Q1741" i="8"/>
  <c r="A1741" i="8"/>
  <c r="R1740" i="8"/>
  <c r="A1740" i="8"/>
  <c r="K1739" i="8"/>
  <c r="A1744" i="8"/>
  <c r="Q1744" i="8"/>
  <c r="H1740" i="8"/>
  <c r="A1739" i="8"/>
  <c r="Q1742" i="8"/>
  <c r="I1741" i="8"/>
  <c r="Q1743" i="8"/>
  <c r="A1743" i="8"/>
  <c r="I1742" i="8"/>
  <c r="A1742" i="8"/>
  <c r="R649" i="8"/>
  <c r="A649" i="8"/>
  <c r="A653" i="8"/>
  <c r="I650" i="8"/>
  <c r="K648" i="8"/>
  <c r="Q653" i="8"/>
  <c r="I653" i="8"/>
  <c r="Q652" i="8"/>
  <c r="I651" i="8"/>
  <c r="A652" i="8"/>
  <c r="Q651" i="8"/>
  <c r="A651" i="8"/>
  <c r="H649" i="8"/>
  <c r="A648" i="8"/>
  <c r="Q650" i="8"/>
  <c r="A650" i="8"/>
  <c r="I1115" i="8"/>
  <c r="R1114" i="8"/>
  <c r="Q1117" i="8"/>
  <c r="A1117" i="8"/>
  <c r="I1116" i="8"/>
  <c r="A1116" i="8"/>
  <c r="A1114" i="8"/>
  <c r="A1113" i="8"/>
  <c r="K1113" i="8"/>
  <c r="Q1116" i="8"/>
  <c r="I1118" i="8"/>
  <c r="A1118" i="8"/>
  <c r="Q1115" i="8"/>
  <c r="A1115" i="8"/>
  <c r="H1114" i="8"/>
  <c r="Q1118" i="8"/>
  <c r="Q1324" i="8"/>
  <c r="A1324" i="8"/>
  <c r="K1321" i="8"/>
  <c r="I1326" i="8"/>
  <c r="A1326" i="8"/>
  <c r="A1325" i="8"/>
  <c r="A1322" i="8"/>
  <c r="A1321" i="8"/>
  <c r="Q1326" i="8"/>
  <c r="Q1325" i="8"/>
  <c r="I1324" i="8"/>
  <c r="Q1323" i="8"/>
  <c r="I1323" i="8"/>
  <c r="A1323" i="8"/>
  <c r="R1322" i="8"/>
  <c r="H1322" i="8"/>
  <c r="A2363" i="8"/>
  <c r="A2358" i="8"/>
  <c r="A2362" i="8"/>
  <c r="I2361" i="8"/>
  <c r="Q2360" i="8"/>
  <c r="A2360" i="8"/>
  <c r="H2359" i="8"/>
  <c r="A2359" i="8"/>
  <c r="K2358" i="8"/>
  <c r="Q2363" i="8"/>
  <c r="Q2361" i="8"/>
  <c r="A2361" i="8"/>
  <c r="I2360" i="8"/>
  <c r="R2359" i="8"/>
  <c r="Q2362" i="8"/>
  <c r="I2363" i="8"/>
  <c r="Q396" i="8"/>
  <c r="A396" i="8"/>
  <c r="A391" i="8"/>
  <c r="R392" i="8"/>
  <c r="A395" i="8"/>
  <c r="Q394" i="8"/>
  <c r="I394" i="8"/>
  <c r="A394" i="8"/>
  <c r="Q393" i="8"/>
  <c r="I393" i="8"/>
  <c r="I396" i="8"/>
  <c r="Q395" i="8"/>
  <c r="A393" i="8"/>
  <c r="K391" i="8"/>
  <c r="A392" i="8"/>
  <c r="H392" i="8"/>
  <c r="A1051" i="8"/>
  <c r="A1046" i="8"/>
  <c r="A1050" i="8"/>
  <c r="K1046" i="8"/>
  <c r="I1051" i="8"/>
  <c r="R1047" i="8"/>
  <c r="I1049" i="8"/>
  <c r="I1048" i="8"/>
  <c r="A1048" i="8"/>
  <c r="H1047" i="8"/>
  <c r="A1047" i="8"/>
  <c r="Q1050" i="8"/>
  <c r="Q1049" i="8"/>
  <c r="A1049" i="8"/>
  <c r="Q1048" i="8"/>
  <c r="Q1051" i="8"/>
  <c r="H857" i="8"/>
  <c r="Q861" i="8"/>
  <c r="Q860" i="8"/>
  <c r="Q859" i="8"/>
  <c r="A857" i="8"/>
  <c r="A858" i="8"/>
  <c r="A856" i="8"/>
  <c r="A859" i="8"/>
  <c r="Q858" i="8"/>
  <c r="I858" i="8"/>
  <c r="R857" i="8"/>
  <c r="K856" i="8"/>
  <c r="I861" i="8"/>
  <c r="A861" i="8"/>
  <c r="A860" i="8"/>
  <c r="I859" i="8"/>
  <c r="Q1089" i="8"/>
  <c r="A1089" i="8"/>
  <c r="A1084" i="8"/>
  <c r="I1089" i="8"/>
  <c r="Q1088" i="8"/>
  <c r="Q1087" i="8"/>
  <c r="A1087" i="8"/>
  <c r="Q1086" i="8"/>
  <c r="A1086" i="8"/>
  <c r="R1085" i="8"/>
  <c r="A1088" i="8"/>
  <c r="I1086" i="8"/>
  <c r="A1085" i="8"/>
  <c r="K1084" i="8"/>
  <c r="I1087" i="8"/>
  <c r="H1085" i="8"/>
  <c r="A2082" i="8"/>
  <c r="I2086" i="8"/>
  <c r="K2081" i="8"/>
  <c r="Q2085" i="8"/>
  <c r="Q2084" i="8"/>
  <c r="R2082" i="8"/>
  <c r="A2081" i="8"/>
  <c r="I2084" i="8"/>
  <c r="Q2083" i="8"/>
  <c r="I2083" i="8"/>
  <c r="H2082" i="8"/>
  <c r="A2084" i="8"/>
  <c r="Q2086" i="8"/>
  <c r="A2086" i="8"/>
  <c r="A2085" i="8"/>
  <c r="A2083" i="8"/>
  <c r="Q1925" i="8"/>
  <c r="A1925" i="8"/>
  <c r="A1920" i="8"/>
  <c r="I1923" i="8"/>
  <c r="Q1922" i="8"/>
  <c r="I1922" i="8"/>
  <c r="R1921" i="8"/>
  <c r="I1925" i="8"/>
  <c r="A1924" i="8"/>
  <c r="A1921" i="8"/>
  <c r="Q1924" i="8"/>
  <c r="Q1923" i="8"/>
  <c r="K1920" i="8"/>
  <c r="A1923" i="8"/>
  <c r="A1922" i="8"/>
  <c r="H1921" i="8"/>
  <c r="A10" i="26"/>
  <c r="AI11" i="6"/>
  <c r="S20" i="7"/>
  <c r="J11" i="5"/>
  <c r="O212" i="1"/>
  <c r="A212" i="1"/>
  <c r="U212" i="1"/>
  <c r="C212" i="1"/>
  <c r="R212" i="1"/>
  <c r="L212" i="1"/>
  <c r="U83" i="1"/>
  <c r="C83" i="1"/>
  <c r="R83" i="1"/>
  <c r="O83" i="1"/>
  <c r="L83" i="1"/>
  <c r="A83" i="1"/>
  <c r="U46" i="1"/>
  <c r="L46" i="1"/>
  <c r="R46" i="1"/>
  <c r="O46" i="1"/>
  <c r="C46" i="1"/>
  <c r="A46" i="1"/>
  <c r="C38" i="1"/>
  <c r="R38" i="1"/>
  <c r="O38" i="1"/>
  <c r="L38" i="1"/>
  <c r="U38" i="1"/>
  <c r="A38" i="1"/>
  <c r="U242" i="1"/>
  <c r="L242" i="1"/>
  <c r="C242" i="1"/>
  <c r="R242" i="1"/>
  <c r="A242" i="1"/>
  <c r="O242" i="1"/>
  <c r="R258" i="1"/>
  <c r="O258" i="1"/>
  <c r="L258" i="1"/>
  <c r="U258" i="1"/>
  <c r="C258" i="1"/>
  <c r="A258" i="1"/>
  <c r="U265" i="1"/>
  <c r="C265" i="1"/>
  <c r="R265" i="1"/>
  <c r="O265" i="1"/>
  <c r="L265" i="1"/>
  <c r="A265" i="1"/>
  <c r="U155" i="1"/>
  <c r="C155" i="1"/>
  <c r="L155" i="1"/>
  <c r="A155" i="1"/>
  <c r="R155" i="1"/>
  <c r="O155" i="1"/>
  <c r="U92" i="1"/>
  <c r="O92" i="1"/>
  <c r="R92" i="1"/>
  <c r="L92" i="1"/>
  <c r="C92" i="1"/>
  <c r="A92" i="1"/>
  <c r="U39" i="1"/>
  <c r="C39" i="1"/>
  <c r="L39" i="1"/>
  <c r="R39" i="1"/>
  <c r="O39" i="1"/>
  <c r="A39" i="1"/>
  <c r="U235" i="1"/>
  <c r="C235" i="1"/>
  <c r="L235" i="1"/>
  <c r="A235" i="1"/>
  <c r="R235" i="1"/>
  <c r="O235" i="1"/>
  <c r="U189" i="1"/>
  <c r="C189" i="1"/>
  <c r="A189" i="1"/>
  <c r="L189" i="1"/>
  <c r="R189" i="1"/>
  <c r="O189" i="1"/>
  <c r="R118" i="1"/>
  <c r="L118" i="1"/>
  <c r="C118" i="1"/>
  <c r="A118" i="1"/>
  <c r="O118" i="1"/>
  <c r="U118" i="1"/>
  <c r="P35" i="36"/>
  <c r="P34" i="36"/>
  <c r="P29" i="36"/>
  <c r="P31" i="36"/>
  <c r="P30" i="36"/>
  <c r="P27" i="36"/>
  <c r="M58" i="36"/>
  <c r="M44" i="36"/>
  <c r="M40" i="36"/>
  <c r="P37" i="36"/>
  <c r="P36" i="36"/>
  <c r="P33" i="36"/>
  <c r="P28" i="36"/>
  <c r="M54" i="36"/>
  <c r="M49" i="36"/>
  <c r="AA7" i="36"/>
  <c r="U251" i="1"/>
  <c r="C251" i="1"/>
  <c r="R251" i="1"/>
  <c r="O251" i="1"/>
  <c r="L251" i="1"/>
  <c r="A251" i="1"/>
  <c r="U88" i="1"/>
  <c r="L88" i="1"/>
  <c r="R88" i="1"/>
  <c r="O88" i="1"/>
  <c r="C88" i="1"/>
  <c r="A88" i="1"/>
  <c r="C234" i="1"/>
  <c r="R234" i="1"/>
  <c r="A234" i="1"/>
  <c r="U234" i="1"/>
  <c r="O234" i="1"/>
  <c r="L234" i="1"/>
  <c r="R90" i="1"/>
  <c r="L90" i="1"/>
  <c r="C90" i="1"/>
  <c r="A90" i="1"/>
  <c r="U90" i="1"/>
  <c r="O90" i="1"/>
  <c r="H10" i="15" l="1"/>
  <c r="G10" i="3"/>
  <c r="O18" i="1" s="1"/>
  <c r="L21" i="4"/>
  <c r="M13" i="4"/>
  <c r="P10" i="20"/>
  <c r="H68" i="3"/>
  <c r="R23" i="1" s="1"/>
  <c r="B23" i="27"/>
  <c r="M9" i="4"/>
  <c r="P10" i="19"/>
  <c r="H62" i="3"/>
  <c r="R22" i="1" s="1"/>
  <c r="H10" i="16"/>
  <c r="L11" i="4"/>
  <c r="G11" i="3"/>
  <c r="O19" i="1" s="1"/>
  <c r="F9" i="27"/>
  <c r="P20" i="36"/>
  <c r="A56" i="36"/>
  <c r="P18" i="36"/>
  <c r="P17" i="36"/>
  <c r="P24" i="36"/>
  <c r="P19" i="36"/>
  <c r="P23" i="36"/>
  <c r="P22" i="36"/>
  <c r="P21" i="36"/>
  <c r="A10" i="16"/>
  <c r="E9" i="27"/>
  <c r="B7" i="27"/>
  <c r="P22" i="23"/>
  <c r="P20" i="23"/>
  <c r="P24" i="23"/>
  <c r="P21" i="23"/>
  <c r="P18" i="23"/>
  <c r="P17" i="23"/>
  <c r="A56" i="23"/>
  <c r="P23" i="23"/>
  <c r="P19" i="23"/>
  <c r="J23" i="8"/>
  <c r="P10" i="25"/>
  <c r="H87" i="3"/>
  <c r="R28" i="1" s="1"/>
  <c r="M21" i="4"/>
  <c r="P17" i="17"/>
  <c r="A56" i="17"/>
  <c r="P24" i="17"/>
  <c r="P22" i="17"/>
  <c r="P21" i="17"/>
  <c r="P20" i="17"/>
  <c r="P23" i="17"/>
  <c r="P19" i="17"/>
  <c r="P18" i="17"/>
  <c r="P10" i="21"/>
  <c r="H69" i="3"/>
  <c r="R24" i="1" s="1"/>
  <c r="M17" i="4"/>
  <c r="G6" i="27"/>
  <c r="A56" i="19"/>
  <c r="P24" i="19"/>
  <c r="P22" i="19"/>
  <c r="P21" i="19"/>
  <c r="P19" i="19"/>
  <c r="P18" i="19"/>
  <c r="P17" i="19"/>
  <c r="P20" i="19"/>
  <c r="P23" i="19"/>
  <c r="P24" i="20"/>
  <c r="P19" i="20"/>
  <c r="P21" i="20"/>
  <c r="P20" i="20"/>
  <c r="P22" i="20"/>
  <c r="P23" i="20"/>
  <c r="A56" i="20"/>
  <c r="P17" i="20"/>
  <c r="P18" i="20"/>
  <c r="A10" i="18"/>
  <c r="E10" i="27"/>
  <c r="P24" i="25"/>
  <c r="P18" i="25"/>
  <c r="A56" i="25"/>
  <c r="P23" i="25"/>
  <c r="P22" i="25"/>
  <c r="P21" i="25"/>
  <c r="P19" i="25"/>
  <c r="P20" i="25"/>
  <c r="P17" i="25"/>
  <c r="P23" i="24"/>
  <c r="A56" i="24"/>
  <c r="P24" i="24"/>
  <c r="P22" i="24"/>
  <c r="P21" i="24"/>
  <c r="P18" i="24"/>
  <c r="P17" i="24"/>
  <c r="P20" i="24"/>
  <c r="P19" i="24"/>
  <c r="H10" i="22"/>
  <c r="G83" i="3"/>
  <c r="O25" i="1" s="1"/>
  <c r="L15" i="4"/>
  <c r="A56" i="16"/>
  <c r="P18" i="16"/>
  <c r="P17" i="16"/>
  <c r="P24" i="16"/>
  <c r="P23" i="16"/>
  <c r="P22" i="16"/>
  <c r="P21" i="16"/>
  <c r="P19" i="16"/>
  <c r="P20" i="16"/>
  <c r="P22" i="18"/>
  <c r="P17" i="18"/>
  <c r="A56" i="18"/>
  <c r="P24" i="18"/>
  <c r="P21" i="18"/>
  <c r="P23" i="18"/>
  <c r="P19" i="18"/>
  <c r="P18" i="18"/>
  <c r="P20" i="18"/>
  <c r="P20" i="22"/>
  <c r="P17" i="22"/>
  <c r="P19" i="22"/>
  <c r="P22" i="22"/>
  <c r="P21" i="22"/>
  <c r="P18" i="22"/>
  <c r="A56" i="22"/>
  <c r="P24" i="22"/>
  <c r="P23" i="22"/>
  <c r="H10" i="21"/>
  <c r="G69" i="3"/>
  <c r="O24" i="1" s="1"/>
  <c r="L17" i="4"/>
  <c r="F6" i="27"/>
  <c r="H10" i="18"/>
  <c r="G56" i="3"/>
  <c r="O21" i="1" s="1"/>
  <c r="F10" i="27"/>
  <c r="L19" i="4"/>
  <c r="M22" i="4"/>
  <c r="P10" i="17"/>
  <c r="H40" i="3"/>
  <c r="R20" i="1" s="1"/>
  <c r="P10" i="16"/>
  <c r="H11" i="3"/>
  <c r="R19" i="1" s="1"/>
  <c r="M11" i="4"/>
  <c r="G9" i="27"/>
  <c r="B9" i="27"/>
  <c r="P19" i="15"/>
  <c r="A56" i="15"/>
  <c r="P18" i="15"/>
  <c r="P17" i="15"/>
  <c r="P24" i="15"/>
  <c r="P23" i="15"/>
  <c r="P21" i="15"/>
  <c r="P20" i="15"/>
  <c r="P22" i="15"/>
  <c r="H83" i="3"/>
  <c r="R25" i="1" s="1"/>
  <c r="M15" i="4"/>
  <c r="A10" i="21"/>
  <c r="E6" i="27"/>
  <c r="P23" i="21"/>
  <c r="P22" i="21"/>
  <c r="P20" i="21"/>
  <c r="P21" i="21"/>
  <c r="A56" i="21"/>
  <c r="P17" i="21"/>
  <c r="P24" i="21"/>
  <c r="P19" i="21"/>
  <c r="P18" i="21"/>
  <c r="P10" i="18"/>
  <c r="H56" i="3"/>
  <c r="R21" i="1" s="1"/>
  <c r="G10" i="27"/>
  <c r="M19" i="4"/>
  <c r="P23" i="26"/>
  <c r="P22" i="26"/>
  <c r="P18" i="26"/>
  <c r="A56" i="26"/>
  <c r="P20" i="26"/>
  <c r="P19" i="26"/>
  <c r="P24" i="26"/>
  <c r="P17" i="26"/>
  <c r="P21" i="26"/>
  <c r="B8" i="27"/>
  <c r="B11" i="27" l="1"/>
  <c r="T26" i="2"/>
  <c r="A10" i="7"/>
  <c r="M10" i="8"/>
  <c r="M10" i="2"/>
  <c r="S10" i="1"/>
  <c r="R32" i="8"/>
  <c r="T22" i="2"/>
  <c r="J6" i="27"/>
  <c r="B21" i="27"/>
  <c r="A30" i="2" s="1"/>
  <c r="G10" i="8"/>
  <c r="M10" i="1"/>
  <c r="G10" i="2"/>
  <c r="Q26" i="2"/>
  <c r="B10" i="27"/>
  <c r="K32" i="8"/>
  <c r="Q22" i="2"/>
  <c r="K31" i="8"/>
  <c r="Q21" i="2"/>
  <c r="R31" i="8"/>
  <c r="T21" i="2"/>
  <c r="K28" i="8"/>
  <c r="Q18" i="2"/>
  <c r="J19" i="8"/>
  <c r="S28" i="2"/>
  <c r="R28" i="8"/>
  <c r="T18" i="2"/>
  <c r="J7" i="27" l="1"/>
  <c r="S10" i="8"/>
  <c r="S10" i="2"/>
  <c r="F30" i="2"/>
  <c r="A33" i="2"/>
  <c r="J20" i="8"/>
  <c r="G10" i="7"/>
  <c r="S2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Source</author>
  </authors>
  <commentList>
    <comment ref="A9" authorId="0" shapeId="0" xr:uid="{00000000-0006-0000-0200-000001000000}">
      <text>
        <r>
          <rPr>
            <sz val="11"/>
            <color theme="1"/>
            <rFont val="Calibri"/>
            <family val="2"/>
            <scheme val="minor"/>
          </rPr>
          <t>Preserved from Kerry_Drydock_2027_Job_Workspace_Recovery_v2.xlsm | Jobs!A9. No new commercial figures or exchange rates have been entered.</t>
        </r>
      </text>
    </comment>
    <comment ref="B9" authorId="0" shapeId="0" xr:uid="{00000000-0006-0000-0200-000002000000}">
      <text>
        <r>
          <rPr>
            <sz val="11"/>
            <color theme="1"/>
            <rFont val="Calibri"/>
            <family val="2"/>
            <scheme val="minor"/>
          </rPr>
          <t>Preserved from Kerry_Drydock_2027_Job_Workspace_Recovery_v2.xlsm | Jobs!B9. No new commercial figures or exchange rates have been entered.</t>
        </r>
      </text>
    </comment>
    <comment ref="C9" authorId="0" shapeId="0" xr:uid="{00000000-0006-0000-0200-000003000000}">
      <text>
        <r>
          <rPr>
            <sz val="11"/>
            <color theme="1"/>
            <rFont val="Calibri"/>
            <family val="2"/>
            <scheme val="minor"/>
          </rPr>
          <t>Preserved from Kerry_Drydock_2027_Job_Workspace_Recovery_v2.xlsm | Jobs!C9. No new commercial figures or exchange rates have been entered.</t>
        </r>
      </text>
    </comment>
    <comment ref="D9" authorId="0" shapeId="0" xr:uid="{00000000-0006-0000-0200-000004000000}">
      <text>
        <r>
          <rPr>
            <sz val="11"/>
            <color theme="1"/>
            <rFont val="Calibri"/>
            <family val="2"/>
            <scheme val="minor"/>
          </rPr>
          <t>Preserved from Kerry_Drydock_2027_Job_Workspace_Recovery_v2.xlsm | Jobs!D9. No new commercial figures or exchange rates have been entered.</t>
        </r>
      </text>
    </comment>
    <comment ref="I9" authorId="0" shapeId="0" xr:uid="{00000000-0006-0000-0200-000005000000}">
      <text>
        <r>
          <rPr>
            <sz val="11"/>
            <color theme="1"/>
            <rFont val="Calibri"/>
            <family val="2"/>
            <scheme val="minor"/>
          </rPr>
          <t>Preserved from Kerry_Drydock_2027_Job_Workspace_Recovery_v2.xlsm | Jobs!I9. No new commercial figures or exchange rates have been entered.</t>
        </r>
      </text>
    </comment>
    <comment ref="L9" authorId="0" shapeId="0" xr:uid="{00000000-0006-0000-0200-000006000000}">
      <text>
        <r>
          <rPr>
            <sz val="11"/>
            <color theme="1"/>
            <rFont val="Calibri"/>
            <family val="2"/>
            <scheme val="minor"/>
          </rPr>
          <t>Preserved from Kerry_Drydock_2027_Job_Workspace_Recovery_v2.xlsm | Jobs!L9. No new commercial figures or exchange rates have been entered.</t>
        </r>
      </text>
    </comment>
    <comment ref="M9" authorId="0" shapeId="0" xr:uid="{00000000-0006-0000-0200-000007000000}">
      <text>
        <r>
          <rPr>
            <sz val="11"/>
            <color theme="1"/>
            <rFont val="Calibri"/>
            <family val="2"/>
            <scheme val="minor"/>
          </rPr>
          <t>Preserved from Kerry_Drydock_2027_Job_Workspace_Recovery_v2.xlsm | Jobs!M9. No new commercial figures or exchange rates have been entered.</t>
        </r>
      </text>
    </comment>
    <comment ref="O9" authorId="0" shapeId="0" xr:uid="{00000000-0006-0000-0200-000008000000}">
      <text>
        <r>
          <rPr>
            <sz val="11"/>
            <color theme="1"/>
            <rFont val="Calibri"/>
            <family val="2"/>
            <scheme val="minor"/>
          </rPr>
          <t>Preserved from Kerry_Drydock_2027_Job_Workspace_Recovery_v2.xlsm | Jobs!O9. No new commercial figures or exchange rates have been entered.</t>
        </r>
      </text>
    </comment>
    <comment ref="A10" authorId="0" shapeId="0" xr:uid="{00000000-0006-0000-0200-000009000000}">
      <text>
        <r>
          <rPr>
            <sz val="11"/>
            <color theme="1"/>
            <rFont val="Calibri"/>
            <family val="2"/>
            <scheme val="minor"/>
          </rPr>
          <t>Preserved from Kerry_Drydock_2027_Job_Workspace_Recovery_v2.xlsm | Jobs!A10. No new commercial figures or exchange rates have been entered.</t>
        </r>
      </text>
    </comment>
    <comment ref="B10" authorId="0" shapeId="0" xr:uid="{00000000-0006-0000-0200-00000A000000}">
      <text>
        <r>
          <rPr>
            <sz val="11"/>
            <color theme="1"/>
            <rFont val="Calibri"/>
            <family val="2"/>
            <scheme val="minor"/>
          </rPr>
          <t>Preserved from Kerry_Drydock_2027_Job_Workspace_Recovery_v2.xlsm | Jobs!B10. No new commercial figures or exchange rates have been entered.</t>
        </r>
      </text>
    </comment>
    <comment ref="C10" authorId="0" shapeId="0" xr:uid="{00000000-0006-0000-0200-00000B000000}">
      <text>
        <r>
          <rPr>
            <sz val="11"/>
            <color theme="1"/>
            <rFont val="Calibri"/>
            <family val="2"/>
            <scheme val="minor"/>
          </rPr>
          <t>Preserved from Kerry_Drydock_2027_Job_Workspace_Recovery_v2.xlsm | Jobs!C10. No new commercial figures or exchange rates have been entered.</t>
        </r>
      </text>
    </comment>
    <comment ref="D10" authorId="0" shapeId="0" xr:uid="{00000000-0006-0000-0200-00000C000000}">
      <text>
        <r>
          <rPr>
            <sz val="11"/>
            <color theme="1"/>
            <rFont val="Calibri"/>
            <family val="2"/>
            <scheme val="minor"/>
          </rPr>
          <t>Preserved from Kerry_Drydock_2027_Job_Workspace_Recovery_v2.xlsm | Jobs!D10. No new commercial figures or exchange rates have been entered.</t>
        </r>
      </text>
    </comment>
    <comment ref="L10" authorId="0" shapeId="0" xr:uid="{00000000-0006-0000-0200-00000D000000}">
      <text>
        <r>
          <rPr>
            <sz val="11"/>
            <color theme="1"/>
            <rFont val="Calibri"/>
            <family val="2"/>
            <scheme val="minor"/>
          </rPr>
          <t>Preserved from Kerry_Drydock_2027_Job_Workspace_Recovery_v2.xlsm | Jobs!L10. No new commercial figures or exchange rates have been entered.</t>
        </r>
      </text>
    </comment>
    <comment ref="M10" authorId="0" shapeId="0" xr:uid="{00000000-0006-0000-0200-00000E000000}">
      <text>
        <r>
          <rPr>
            <sz val="11"/>
            <color theme="1"/>
            <rFont val="Calibri"/>
            <family val="2"/>
            <scheme val="minor"/>
          </rPr>
          <t>Preserved from Kerry_Drydock_2027_Job_Workspace_Recovery_v2.xlsm | Jobs!M10. No new commercial figures or exchange rates have been entered.</t>
        </r>
      </text>
    </comment>
    <comment ref="O10" authorId="0" shapeId="0" xr:uid="{00000000-0006-0000-0200-00000F000000}">
      <text>
        <r>
          <rPr>
            <sz val="11"/>
            <color theme="1"/>
            <rFont val="Calibri"/>
            <family val="2"/>
            <scheme val="minor"/>
          </rPr>
          <t>Preserved from Kerry_Drydock_2027_Job_Workspace_Recovery_v2.xlsm | Jobs!O10. No new commercial figures or exchange rates have been entered.</t>
        </r>
      </text>
    </comment>
    <comment ref="P10" authorId="0" shapeId="0" xr:uid="{00000000-0006-0000-0200-000010000000}">
      <text>
        <r>
          <rPr>
            <sz val="11"/>
            <color theme="1"/>
            <rFont val="Calibri"/>
            <family val="2"/>
            <scheme val="minor"/>
          </rPr>
          <t>Preserved from Kerry_Drydock_2027_Job_Workspace_Recovery_v2.xlsm | Jobs!P10. No new commercial figures or exchange rates have been entered.</t>
        </r>
      </text>
    </comment>
    <comment ref="A11" authorId="0" shapeId="0" xr:uid="{00000000-0006-0000-0200-000011000000}">
      <text>
        <r>
          <rPr>
            <sz val="11"/>
            <color theme="1"/>
            <rFont val="Calibri"/>
            <family val="2"/>
            <scheme val="minor"/>
          </rPr>
          <t>Preserved from Kerry_Drydock_2027_Job_Workspace_Recovery_v2.xlsm | Jobs!A11. No new commercial figures or exchange rates have been entered.</t>
        </r>
      </text>
    </comment>
    <comment ref="B11" authorId="0" shapeId="0" xr:uid="{00000000-0006-0000-0200-000012000000}">
      <text>
        <r>
          <rPr>
            <sz val="11"/>
            <color theme="1"/>
            <rFont val="Calibri"/>
            <family val="2"/>
            <scheme val="minor"/>
          </rPr>
          <t>Preserved from Kerry_Drydock_2027_Job_Workspace_Recovery_v2.xlsm | Jobs!B11. No new commercial figures or exchange rates have been entered.</t>
        </r>
      </text>
    </comment>
    <comment ref="C11" authorId="0" shapeId="0" xr:uid="{00000000-0006-0000-0200-000013000000}">
      <text>
        <r>
          <rPr>
            <sz val="11"/>
            <color theme="1"/>
            <rFont val="Calibri"/>
            <family val="2"/>
            <scheme val="minor"/>
          </rPr>
          <t>Preserved from Kerry_Drydock_2027_Job_Workspace_Recovery_v2.xlsm | Jobs!C11. No new commercial figures or exchange rates have been entered.</t>
        </r>
      </text>
    </comment>
    <comment ref="D11" authorId="0" shapeId="0" xr:uid="{00000000-0006-0000-0200-000014000000}">
      <text>
        <r>
          <rPr>
            <sz val="11"/>
            <color theme="1"/>
            <rFont val="Calibri"/>
            <family val="2"/>
            <scheme val="minor"/>
          </rPr>
          <t>Preserved from Kerry_Drydock_2027_Job_Workspace_Recovery_v2.xlsm | Jobs!D11. No new commercial figures or exchange rates have been entered.</t>
        </r>
      </text>
    </comment>
    <comment ref="I11" authorId="0" shapeId="0" xr:uid="{00000000-0006-0000-0200-000015000000}">
      <text>
        <r>
          <rPr>
            <sz val="11"/>
            <color theme="1"/>
            <rFont val="Calibri"/>
            <family val="2"/>
            <scheme val="minor"/>
          </rPr>
          <t>Preserved from Kerry_Drydock_2027_Job_Workspace_Recovery_v2.xlsm | Jobs!I11. No new commercial figures or exchange rates have been entered.</t>
        </r>
      </text>
    </comment>
    <comment ref="L11" authorId="0" shapeId="0" xr:uid="{00000000-0006-0000-0200-000016000000}">
      <text>
        <r>
          <rPr>
            <sz val="11"/>
            <color theme="1"/>
            <rFont val="Calibri"/>
            <family val="2"/>
            <scheme val="minor"/>
          </rPr>
          <t>Preserved from Kerry_Drydock_2027_Job_Workspace_Recovery_v2.xlsm | Jobs!L11. No new commercial figures or exchange rates have been entered.</t>
        </r>
      </text>
    </comment>
    <comment ref="M11" authorId="0" shapeId="0" xr:uid="{00000000-0006-0000-0200-000017000000}">
      <text>
        <r>
          <rPr>
            <sz val="11"/>
            <color theme="1"/>
            <rFont val="Calibri"/>
            <family val="2"/>
            <scheme val="minor"/>
          </rPr>
          <t>Preserved from Kerry_Drydock_2027_Job_Workspace_Recovery_v2.xlsm | Jobs!M11. No new commercial figures or exchange rates have been entered.</t>
        </r>
      </text>
    </comment>
    <comment ref="O11" authorId="0" shapeId="0" xr:uid="{00000000-0006-0000-0200-000018000000}">
      <text>
        <r>
          <rPr>
            <sz val="11"/>
            <color theme="1"/>
            <rFont val="Calibri"/>
            <family val="2"/>
            <scheme val="minor"/>
          </rPr>
          <t>Preserved from Kerry_Drydock_2027_Job_Workspace_Recovery_v2.xlsm | Jobs!O11. No new commercial figures or exchange rates have been entered.</t>
        </r>
      </text>
    </comment>
    <comment ref="P11" authorId="0" shapeId="0" xr:uid="{00000000-0006-0000-0200-000019000000}">
      <text>
        <r>
          <rPr>
            <sz val="11"/>
            <color theme="1"/>
            <rFont val="Calibri"/>
            <family val="2"/>
            <scheme val="minor"/>
          </rPr>
          <t>Preserved from Kerry_Drydock_2027_Job_Workspace_Recovery_v2.xlsm | Jobs!P11. No new commercial figures or exchange rates have been entered.</t>
        </r>
      </text>
    </comment>
    <comment ref="A12" authorId="0" shapeId="0" xr:uid="{00000000-0006-0000-0200-00001A000000}">
      <text>
        <r>
          <rPr>
            <sz val="11"/>
            <color theme="1"/>
            <rFont val="Calibri"/>
            <family val="2"/>
            <scheme val="minor"/>
          </rPr>
          <t>Preserved from Kerry_Drydock_2027_Job_Workspace_Recovery_v2.xlsm | Jobs!A12. No new commercial figures or exchange rates have been entered.</t>
        </r>
      </text>
    </comment>
    <comment ref="B12" authorId="0" shapeId="0" xr:uid="{00000000-0006-0000-0200-00001B000000}">
      <text>
        <r>
          <rPr>
            <sz val="11"/>
            <color theme="1"/>
            <rFont val="Calibri"/>
            <family val="2"/>
            <scheme val="minor"/>
          </rPr>
          <t>Preserved from Kerry_Drydock_2027_Job_Workspace_Recovery_v2.xlsm | Jobs!B12. No new commercial figures or exchange rates have been entered.</t>
        </r>
      </text>
    </comment>
    <comment ref="C12" authorId="0" shapeId="0" xr:uid="{00000000-0006-0000-0200-00001C000000}">
      <text>
        <r>
          <rPr>
            <sz val="11"/>
            <color theme="1"/>
            <rFont val="Calibri"/>
            <family val="2"/>
            <scheme val="minor"/>
          </rPr>
          <t>Preserved from Kerry_Drydock_2027_Job_Workspace_Recovery_v2.xlsm | Jobs!C12. No new commercial figures or exchange rates have been entered.</t>
        </r>
      </text>
    </comment>
    <comment ref="D12" authorId="0" shapeId="0" xr:uid="{00000000-0006-0000-0200-00001D000000}">
      <text>
        <r>
          <rPr>
            <sz val="11"/>
            <color theme="1"/>
            <rFont val="Calibri"/>
            <family val="2"/>
            <scheme val="minor"/>
          </rPr>
          <t>Preserved from Kerry_Drydock_2027_Job_Workspace_Recovery_v2.xlsm | Jobs!D12. No new commercial figures or exchange rates have been entered.</t>
        </r>
      </text>
    </comment>
    <comment ref="I12" authorId="0" shapeId="0" xr:uid="{00000000-0006-0000-0200-00001E000000}">
      <text>
        <r>
          <rPr>
            <sz val="11"/>
            <color theme="1"/>
            <rFont val="Calibri"/>
            <family val="2"/>
            <scheme val="minor"/>
          </rPr>
          <t>Preserved from Kerry_Drydock_2027_Job_Workspace_Recovery_v2.xlsm | Jobs!I12. No new commercial figures or exchange rates have been entered.</t>
        </r>
      </text>
    </comment>
    <comment ref="L12" authorId="0" shapeId="0" xr:uid="{00000000-0006-0000-0200-00001F000000}">
      <text>
        <r>
          <rPr>
            <sz val="11"/>
            <color theme="1"/>
            <rFont val="Calibri"/>
            <family val="2"/>
            <scheme val="minor"/>
          </rPr>
          <t>Preserved from Kerry_Drydock_2027_Job_Workspace_Recovery_v2.xlsm | Jobs!L12. No new commercial figures or exchange rates have been entered.</t>
        </r>
      </text>
    </comment>
    <comment ref="M12" authorId="0" shapeId="0" xr:uid="{00000000-0006-0000-0200-000020000000}">
      <text>
        <r>
          <rPr>
            <sz val="11"/>
            <color theme="1"/>
            <rFont val="Calibri"/>
            <family val="2"/>
            <scheme val="minor"/>
          </rPr>
          <t>Preserved from Kerry_Drydock_2027_Job_Workspace_Recovery_v2.xlsm | Jobs!M12. No new commercial figures or exchange rates have been entered.</t>
        </r>
      </text>
    </comment>
    <comment ref="O12" authorId="0" shapeId="0" xr:uid="{00000000-0006-0000-0200-000021000000}">
      <text>
        <r>
          <rPr>
            <sz val="11"/>
            <color theme="1"/>
            <rFont val="Calibri"/>
            <family val="2"/>
            <scheme val="minor"/>
          </rPr>
          <t>Preserved from Kerry_Drydock_2027_Job_Workspace_Recovery_v2.xlsm | Jobs!O12. No new commercial figures or exchange rates have been entered.</t>
        </r>
      </text>
    </comment>
    <comment ref="A13" authorId="0" shapeId="0" xr:uid="{00000000-0006-0000-0200-000022000000}">
      <text>
        <r>
          <rPr>
            <sz val="11"/>
            <color theme="1"/>
            <rFont val="Calibri"/>
            <family val="2"/>
            <scheme val="minor"/>
          </rPr>
          <t>Preserved from Kerry_Drydock_2027_Job_Workspace_Recovery_v2.xlsm | Jobs!A13. No new commercial figures or exchange rates have been entered.</t>
        </r>
      </text>
    </comment>
    <comment ref="B13" authorId="0" shapeId="0" xr:uid="{00000000-0006-0000-0200-000023000000}">
      <text>
        <r>
          <rPr>
            <sz val="11"/>
            <color theme="1"/>
            <rFont val="Calibri"/>
            <family val="2"/>
            <scheme val="minor"/>
          </rPr>
          <t>Preserved from Kerry_Drydock_2027_Job_Workspace_Recovery_v2.xlsm | Jobs!B13. No new commercial figures or exchange rates have been entered.</t>
        </r>
      </text>
    </comment>
    <comment ref="C13" authorId="0" shapeId="0" xr:uid="{00000000-0006-0000-0200-000024000000}">
      <text>
        <r>
          <rPr>
            <sz val="11"/>
            <color theme="1"/>
            <rFont val="Calibri"/>
            <family val="2"/>
            <scheme val="minor"/>
          </rPr>
          <t>Preserved from Kerry_Drydock_2027_Job_Workspace_Recovery_v2.xlsm | Jobs!C13. No new commercial figures or exchange rates have been entered.</t>
        </r>
      </text>
    </comment>
    <comment ref="D13" authorId="0" shapeId="0" xr:uid="{00000000-0006-0000-0200-000025000000}">
      <text>
        <r>
          <rPr>
            <sz val="11"/>
            <color theme="1"/>
            <rFont val="Calibri"/>
            <family val="2"/>
            <scheme val="minor"/>
          </rPr>
          <t>Preserved from Kerry_Drydock_2027_Job_Workspace_Recovery_v2.xlsm | Jobs!D13. No new commercial figures or exchange rates have been entered.</t>
        </r>
      </text>
    </comment>
    <comment ref="I13" authorId="0" shapeId="0" xr:uid="{00000000-0006-0000-0200-000026000000}">
      <text>
        <r>
          <rPr>
            <sz val="11"/>
            <color theme="1"/>
            <rFont val="Calibri"/>
            <family val="2"/>
            <scheme val="minor"/>
          </rPr>
          <t>Preserved from Kerry_Drydock_2027_Job_Workspace_Recovery_v2.xlsm | Jobs!I13. No new commercial figures or exchange rates have been entered.</t>
        </r>
      </text>
    </comment>
    <comment ref="L13" authorId="0" shapeId="0" xr:uid="{00000000-0006-0000-0200-000027000000}">
      <text>
        <r>
          <rPr>
            <sz val="11"/>
            <color theme="1"/>
            <rFont val="Calibri"/>
            <family val="2"/>
            <scheme val="minor"/>
          </rPr>
          <t>Preserved from Kerry_Drydock_2027_Job_Workspace_Recovery_v2.xlsm | Jobs!L13. No new commercial figures or exchange rates have been entered.</t>
        </r>
      </text>
    </comment>
    <comment ref="M13" authorId="0" shapeId="0" xr:uid="{00000000-0006-0000-0200-000028000000}">
      <text>
        <r>
          <rPr>
            <sz val="11"/>
            <color theme="1"/>
            <rFont val="Calibri"/>
            <family val="2"/>
            <scheme val="minor"/>
          </rPr>
          <t>Preserved from Kerry_Drydock_2027_Job_Workspace_Recovery_v2.xlsm | Jobs!M13. No new commercial figures or exchange rates have been entered.</t>
        </r>
      </text>
    </comment>
    <comment ref="O13" authorId="0" shapeId="0" xr:uid="{00000000-0006-0000-0200-000029000000}">
      <text>
        <r>
          <rPr>
            <sz val="11"/>
            <color theme="1"/>
            <rFont val="Calibri"/>
            <family val="2"/>
            <scheme val="minor"/>
          </rPr>
          <t>Preserved from Kerry_Drydock_2027_Job_Workspace_Recovery_v2.xlsm | Jobs!O13. No new commercial figures or exchange rates have been entered.</t>
        </r>
      </text>
    </comment>
    <comment ref="A14" authorId="0" shapeId="0" xr:uid="{00000000-0006-0000-0200-00002A000000}">
      <text>
        <r>
          <rPr>
            <sz val="11"/>
            <color theme="1"/>
            <rFont val="Calibri"/>
            <family val="2"/>
            <scheme val="minor"/>
          </rPr>
          <t>Preserved from Kerry_Drydock_2027_Job_Workspace_Recovery_v2.xlsm | Jobs!A14. No new commercial figures or exchange rates have been entered.</t>
        </r>
      </text>
    </comment>
    <comment ref="B14" authorId="0" shapeId="0" xr:uid="{00000000-0006-0000-0200-00002B000000}">
      <text>
        <r>
          <rPr>
            <sz val="11"/>
            <color theme="1"/>
            <rFont val="Calibri"/>
            <family val="2"/>
            <scheme val="minor"/>
          </rPr>
          <t>Preserved from Kerry_Drydock_2027_Job_Workspace_Recovery_v2.xlsm | Jobs!B14. No new commercial figures or exchange rates have been entered.</t>
        </r>
      </text>
    </comment>
    <comment ref="C14" authorId="0" shapeId="0" xr:uid="{00000000-0006-0000-0200-00002C000000}">
      <text>
        <r>
          <rPr>
            <sz val="11"/>
            <color theme="1"/>
            <rFont val="Calibri"/>
            <family val="2"/>
            <scheme val="minor"/>
          </rPr>
          <t>Preserved from Kerry_Drydock_2027_Job_Workspace_Recovery_v2.xlsm | Jobs!C14. No new commercial figures or exchange rates have been entered.</t>
        </r>
      </text>
    </comment>
    <comment ref="D14" authorId="0" shapeId="0" xr:uid="{00000000-0006-0000-0200-00002D000000}">
      <text>
        <r>
          <rPr>
            <sz val="11"/>
            <color theme="1"/>
            <rFont val="Calibri"/>
            <family val="2"/>
            <scheme val="minor"/>
          </rPr>
          <t>Preserved from Kerry_Drydock_2027_Job_Workspace_Recovery_v2.xlsm | Jobs!D14. No new commercial figures or exchange rates have been entered.</t>
        </r>
      </text>
    </comment>
    <comment ref="I14" authorId="0" shapeId="0" xr:uid="{00000000-0006-0000-0200-00002E000000}">
      <text>
        <r>
          <rPr>
            <sz val="11"/>
            <color theme="1"/>
            <rFont val="Calibri"/>
            <family val="2"/>
            <scheme val="minor"/>
          </rPr>
          <t>Preserved from Kerry_Drydock_2027_Job_Workspace_Recovery_v2.xlsm | Jobs!I14. No new commercial figures or exchange rates have been entered.</t>
        </r>
      </text>
    </comment>
    <comment ref="L14" authorId="0" shapeId="0" xr:uid="{00000000-0006-0000-0200-00002F000000}">
      <text>
        <r>
          <rPr>
            <sz val="11"/>
            <color theme="1"/>
            <rFont val="Calibri"/>
            <family val="2"/>
            <scheme val="minor"/>
          </rPr>
          <t>Preserved from Kerry_Drydock_2027_Job_Workspace_Recovery_v2.xlsm | Jobs!L14. No new commercial figures or exchange rates have been entered.</t>
        </r>
      </text>
    </comment>
    <comment ref="M14" authorId="0" shapeId="0" xr:uid="{00000000-0006-0000-0200-000030000000}">
      <text>
        <r>
          <rPr>
            <sz val="11"/>
            <color theme="1"/>
            <rFont val="Calibri"/>
            <family val="2"/>
            <scheme val="minor"/>
          </rPr>
          <t>Preserved from Kerry_Drydock_2027_Job_Workspace_Recovery_v2.xlsm | Jobs!M14. No new commercial figures or exchange rates have been entered.</t>
        </r>
      </text>
    </comment>
    <comment ref="O14" authorId="0" shapeId="0" xr:uid="{00000000-0006-0000-0200-000031000000}">
      <text>
        <r>
          <rPr>
            <sz val="11"/>
            <color theme="1"/>
            <rFont val="Calibri"/>
            <family val="2"/>
            <scheme val="minor"/>
          </rPr>
          <t>Preserved from Kerry_Drydock_2027_Job_Workspace_Recovery_v2.xlsm | Jobs!O14. No new commercial figures or exchange rates have been entered.</t>
        </r>
      </text>
    </comment>
    <comment ref="A15" authorId="0" shapeId="0" xr:uid="{00000000-0006-0000-0200-000032000000}">
      <text>
        <r>
          <rPr>
            <sz val="11"/>
            <color theme="1"/>
            <rFont val="Calibri"/>
            <family val="2"/>
            <scheme val="minor"/>
          </rPr>
          <t>Preserved from Kerry_Drydock_2027_Job_Workspace_Recovery_v2.xlsm | Jobs!A15. No new commercial figures or exchange rates have been entered.</t>
        </r>
      </text>
    </comment>
    <comment ref="B15" authorId="0" shapeId="0" xr:uid="{00000000-0006-0000-0200-000033000000}">
      <text>
        <r>
          <rPr>
            <sz val="11"/>
            <color theme="1"/>
            <rFont val="Calibri"/>
            <family val="2"/>
            <scheme val="minor"/>
          </rPr>
          <t>Preserved from Kerry_Drydock_2027_Job_Workspace_Recovery_v2.xlsm | Jobs!B15. No new commercial figures or exchange rates have been entered.</t>
        </r>
      </text>
    </comment>
    <comment ref="C15" authorId="0" shapeId="0" xr:uid="{00000000-0006-0000-0200-000034000000}">
      <text>
        <r>
          <rPr>
            <sz val="11"/>
            <color theme="1"/>
            <rFont val="Calibri"/>
            <family val="2"/>
            <scheme val="minor"/>
          </rPr>
          <t>Preserved from Kerry_Drydock_2027_Job_Workspace_Recovery_v2.xlsm | Jobs!C15. No new commercial figures or exchange rates have been entered.</t>
        </r>
      </text>
    </comment>
    <comment ref="D15" authorId="0" shapeId="0" xr:uid="{00000000-0006-0000-0200-000035000000}">
      <text>
        <r>
          <rPr>
            <sz val="11"/>
            <color theme="1"/>
            <rFont val="Calibri"/>
            <family val="2"/>
            <scheme val="minor"/>
          </rPr>
          <t>Preserved from Kerry_Drydock_2027_Job_Workspace_Recovery_v2.xlsm | Jobs!D15. No new commercial figures or exchange rates have been entered.</t>
        </r>
      </text>
    </comment>
    <comment ref="I15" authorId="0" shapeId="0" xr:uid="{00000000-0006-0000-0200-000036000000}">
      <text>
        <r>
          <rPr>
            <sz val="11"/>
            <color theme="1"/>
            <rFont val="Calibri"/>
            <family val="2"/>
            <scheme val="minor"/>
          </rPr>
          <t>Preserved from Kerry_Drydock_2027_Job_Workspace_Recovery_v2.xlsm | Jobs!I15. No new commercial figures or exchange rates have been entered.</t>
        </r>
      </text>
    </comment>
    <comment ref="L15" authorId="0" shapeId="0" xr:uid="{00000000-0006-0000-0200-000037000000}">
      <text>
        <r>
          <rPr>
            <sz val="11"/>
            <color theme="1"/>
            <rFont val="Calibri"/>
            <family val="2"/>
            <scheme val="minor"/>
          </rPr>
          <t>Preserved from Kerry_Drydock_2027_Job_Workspace_Recovery_v2.xlsm | Jobs!L15. No new commercial figures or exchange rates have been entered.</t>
        </r>
      </text>
    </comment>
    <comment ref="M15" authorId="0" shapeId="0" xr:uid="{00000000-0006-0000-0200-000038000000}">
      <text>
        <r>
          <rPr>
            <sz val="11"/>
            <color theme="1"/>
            <rFont val="Calibri"/>
            <family val="2"/>
            <scheme val="minor"/>
          </rPr>
          <t>Preserved from Kerry_Drydock_2027_Job_Workspace_Recovery_v2.xlsm | Jobs!M15. No new commercial figures or exchange rates have been entered.</t>
        </r>
      </text>
    </comment>
    <comment ref="O15" authorId="0" shapeId="0" xr:uid="{00000000-0006-0000-0200-000039000000}">
      <text>
        <r>
          <rPr>
            <sz val="11"/>
            <color theme="1"/>
            <rFont val="Calibri"/>
            <family val="2"/>
            <scheme val="minor"/>
          </rPr>
          <t>Preserved from Kerry_Drydock_2027_Job_Workspace_Recovery_v2.xlsm | Jobs!O15. No new commercial figures or exchange rates have been entered.</t>
        </r>
      </text>
    </comment>
    <comment ref="A16" authorId="0" shapeId="0" xr:uid="{00000000-0006-0000-0200-00003A000000}">
      <text>
        <r>
          <rPr>
            <sz val="11"/>
            <color theme="1"/>
            <rFont val="Calibri"/>
            <family val="2"/>
            <scheme val="minor"/>
          </rPr>
          <t>Preserved from Kerry_Drydock_2027_Job_Workspace_Recovery_v2.xlsm | Jobs!A16. No new commercial figures or exchange rates have been entered.</t>
        </r>
      </text>
    </comment>
    <comment ref="B16" authorId="0" shapeId="0" xr:uid="{00000000-0006-0000-0200-00003B000000}">
      <text>
        <r>
          <rPr>
            <sz val="11"/>
            <color theme="1"/>
            <rFont val="Calibri"/>
            <family val="2"/>
            <scheme val="minor"/>
          </rPr>
          <t>Preserved from Kerry_Drydock_2027_Job_Workspace_Recovery_v2.xlsm | Jobs!B16. No new commercial figures or exchange rates have been entered.</t>
        </r>
      </text>
    </comment>
    <comment ref="C16" authorId="0" shapeId="0" xr:uid="{00000000-0006-0000-0200-00003C000000}">
      <text>
        <r>
          <rPr>
            <sz val="11"/>
            <color theme="1"/>
            <rFont val="Calibri"/>
            <family val="2"/>
            <scheme val="minor"/>
          </rPr>
          <t>Preserved from Kerry_Drydock_2027_Job_Workspace_Recovery_v2.xlsm | Jobs!C16. No new commercial figures or exchange rates have been entered.</t>
        </r>
      </text>
    </comment>
    <comment ref="D16" authorId="0" shapeId="0" xr:uid="{00000000-0006-0000-0200-00003D000000}">
      <text>
        <r>
          <rPr>
            <sz val="11"/>
            <color theme="1"/>
            <rFont val="Calibri"/>
            <family val="2"/>
            <scheme val="minor"/>
          </rPr>
          <t>Preserved from Kerry_Drydock_2027_Job_Workspace_Recovery_v2.xlsm | Jobs!D16. No new commercial figures or exchange rates have been entered.</t>
        </r>
      </text>
    </comment>
    <comment ref="I16" authorId="0" shapeId="0" xr:uid="{00000000-0006-0000-0200-00003E000000}">
      <text>
        <r>
          <rPr>
            <sz val="11"/>
            <color theme="1"/>
            <rFont val="Calibri"/>
            <family val="2"/>
            <scheme val="minor"/>
          </rPr>
          <t>Preserved from Kerry_Drydock_2027_Job_Workspace_Recovery_v2.xlsm | Jobs!I16. No new commercial figures or exchange rates have been entered.</t>
        </r>
      </text>
    </comment>
    <comment ref="L16" authorId="0" shapeId="0" xr:uid="{00000000-0006-0000-0200-00003F000000}">
      <text>
        <r>
          <rPr>
            <sz val="11"/>
            <color theme="1"/>
            <rFont val="Calibri"/>
            <family val="2"/>
            <scheme val="minor"/>
          </rPr>
          <t>Preserved from Kerry_Drydock_2027_Job_Workspace_Recovery_v2.xlsm | Jobs!L16. No new commercial figures or exchange rates have been entered.</t>
        </r>
      </text>
    </comment>
    <comment ref="M16" authorId="0" shapeId="0" xr:uid="{00000000-0006-0000-0200-000040000000}">
      <text>
        <r>
          <rPr>
            <sz val="11"/>
            <color theme="1"/>
            <rFont val="Calibri"/>
            <family val="2"/>
            <scheme val="minor"/>
          </rPr>
          <t>Preserved from Kerry_Drydock_2027_Job_Workspace_Recovery_v2.xlsm | Jobs!M16. No new commercial figures or exchange rates have been entered.</t>
        </r>
      </text>
    </comment>
    <comment ref="O16" authorId="0" shapeId="0" xr:uid="{00000000-0006-0000-0200-000041000000}">
      <text>
        <r>
          <rPr>
            <sz val="11"/>
            <color theme="1"/>
            <rFont val="Calibri"/>
            <family val="2"/>
            <scheme val="minor"/>
          </rPr>
          <t>Preserved from Kerry_Drydock_2027_Job_Workspace_Recovery_v2.xlsm | Jobs!O16. No new commercial figures or exchange rates have been entered.</t>
        </r>
      </text>
    </comment>
    <comment ref="A17" authorId="0" shapeId="0" xr:uid="{00000000-0006-0000-0200-000042000000}">
      <text>
        <r>
          <rPr>
            <sz val="11"/>
            <color theme="1"/>
            <rFont val="Calibri"/>
            <family val="2"/>
            <scheme val="minor"/>
          </rPr>
          <t>Preserved from Kerry_Drydock_2027_Job_Workspace_Recovery_v2.xlsm | Jobs!A17. No new commercial figures or exchange rates have been entered.</t>
        </r>
      </text>
    </comment>
    <comment ref="B17" authorId="0" shapeId="0" xr:uid="{00000000-0006-0000-0200-000043000000}">
      <text>
        <r>
          <rPr>
            <sz val="11"/>
            <color theme="1"/>
            <rFont val="Calibri"/>
            <family val="2"/>
            <scheme val="minor"/>
          </rPr>
          <t>Preserved from Kerry_Drydock_2027_Job_Workspace_Recovery_v2.xlsm | Jobs!B17. No new commercial figures or exchange rates have been entered.</t>
        </r>
      </text>
    </comment>
    <comment ref="C17" authorId="0" shapeId="0" xr:uid="{00000000-0006-0000-0200-000044000000}">
      <text>
        <r>
          <rPr>
            <sz val="11"/>
            <color theme="1"/>
            <rFont val="Calibri"/>
            <family val="2"/>
            <scheme val="minor"/>
          </rPr>
          <t>Preserved from Kerry_Drydock_2027_Job_Workspace_Recovery_v2.xlsm | Jobs!C17. No new commercial figures or exchange rates have been entered.</t>
        </r>
      </text>
    </comment>
    <comment ref="D17" authorId="0" shapeId="0" xr:uid="{00000000-0006-0000-0200-000045000000}">
      <text>
        <r>
          <rPr>
            <sz val="11"/>
            <color theme="1"/>
            <rFont val="Calibri"/>
            <family val="2"/>
            <scheme val="minor"/>
          </rPr>
          <t>Preserved from Kerry_Drydock_2027_Job_Workspace_Recovery_v2.xlsm | Jobs!D17. No new commercial figures or exchange rates have been entered.</t>
        </r>
      </text>
    </comment>
    <comment ref="I17" authorId="0" shapeId="0" xr:uid="{00000000-0006-0000-0200-000046000000}">
      <text>
        <r>
          <rPr>
            <sz val="11"/>
            <color theme="1"/>
            <rFont val="Calibri"/>
            <family val="2"/>
            <scheme val="minor"/>
          </rPr>
          <t>Preserved from Kerry_Drydock_2027_Job_Workspace_Recovery_v2.xlsm | Jobs!I17. No new commercial figures or exchange rates have been entered.</t>
        </r>
      </text>
    </comment>
    <comment ref="L17" authorId="0" shapeId="0" xr:uid="{00000000-0006-0000-0200-000047000000}">
      <text>
        <r>
          <rPr>
            <sz val="11"/>
            <color theme="1"/>
            <rFont val="Calibri"/>
            <family val="2"/>
            <scheme val="minor"/>
          </rPr>
          <t>Preserved from Kerry_Drydock_2027_Job_Workspace_Recovery_v2.xlsm | Jobs!L17. No new commercial figures or exchange rates have been entered.</t>
        </r>
      </text>
    </comment>
    <comment ref="M17" authorId="0" shapeId="0" xr:uid="{00000000-0006-0000-0200-000048000000}">
      <text>
        <r>
          <rPr>
            <sz val="11"/>
            <color theme="1"/>
            <rFont val="Calibri"/>
            <family val="2"/>
            <scheme val="minor"/>
          </rPr>
          <t>Preserved from Kerry_Drydock_2027_Job_Workspace_Recovery_v2.xlsm | Jobs!M17. No new commercial figures or exchange rates have been entered.</t>
        </r>
      </text>
    </comment>
    <comment ref="O17" authorId="0" shapeId="0" xr:uid="{00000000-0006-0000-0200-000049000000}">
      <text>
        <r>
          <rPr>
            <sz val="11"/>
            <color theme="1"/>
            <rFont val="Calibri"/>
            <family val="2"/>
            <scheme val="minor"/>
          </rPr>
          <t>Preserved from Kerry_Drydock_2027_Job_Workspace_Recovery_v2.xlsm | Jobs!O17. No new commercial figures or exchange rates have been entered.</t>
        </r>
      </text>
    </comment>
    <comment ref="A18" authorId="0" shapeId="0" xr:uid="{00000000-0006-0000-0200-00004A000000}">
      <text>
        <r>
          <rPr>
            <sz val="11"/>
            <color theme="1"/>
            <rFont val="Calibri"/>
            <family val="2"/>
            <scheme val="minor"/>
          </rPr>
          <t>Preserved from Kerry_Drydock_2027_Job_Workspace_Recovery_v2.xlsm | Jobs!A18. No new commercial figures or exchange rates have been entered.</t>
        </r>
      </text>
    </comment>
    <comment ref="B18" authorId="0" shapeId="0" xr:uid="{00000000-0006-0000-0200-00004B000000}">
      <text>
        <r>
          <rPr>
            <sz val="11"/>
            <color theme="1"/>
            <rFont val="Calibri"/>
            <family val="2"/>
            <scheme val="minor"/>
          </rPr>
          <t>Preserved from Kerry_Drydock_2027_Job_Workspace_Recovery_v2.xlsm | Jobs!B18. No new commercial figures or exchange rates have been entered.</t>
        </r>
      </text>
    </comment>
    <comment ref="C18" authorId="0" shapeId="0" xr:uid="{00000000-0006-0000-0200-00004C000000}">
      <text>
        <r>
          <rPr>
            <sz val="11"/>
            <color theme="1"/>
            <rFont val="Calibri"/>
            <family val="2"/>
            <scheme val="minor"/>
          </rPr>
          <t>Preserved from Kerry_Drydock_2027_Job_Workspace_Recovery_v2.xlsm | Jobs!C18. No new commercial figures or exchange rates have been entered.</t>
        </r>
      </text>
    </comment>
    <comment ref="D18" authorId="0" shapeId="0" xr:uid="{00000000-0006-0000-0200-00004D000000}">
      <text>
        <r>
          <rPr>
            <sz val="11"/>
            <color theme="1"/>
            <rFont val="Calibri"/>
            <family val="2"/>
            <scheme val="minor"/>
          </rPr>
          <t>Preserved from Kerry_Drydock_2027_Job_Workspace_Recovery_v2.xlsm | Jobs!D18. No new commercial figures or exchange rates have been entered.</t>
        </r>
      </text>
    </comment>
    <comment ref="I18" authorId="0" shapeId="0" xr:uid="{00000000-0006-0000-0200-00004E000000}">
      <text>
        <r>
          <rPr>
            <sz val="11"/>
            <color theme="1"/>
            <rFont val="Calibri"/>
            <family val="2"/>
            <scheme val="minor"/>
          </rPr>
          <t>Preserved from Kerry_Drydock_2027_Job_Workspace_Recovery_v2.xlsm | Jobs!I18. No new commercial figures or exchange rates have been entered.</t>
        </r>
      </text>
    </comment>
    <comment ref="L18" authorId="0" shapeId="0" xr:uid="{00000000-0006-0000-0200-00004F000000}">
      <text>
        <r>
          <rPr>
            <sz val="11"/>
            <color theme="1"/>
            <rFont val="Calibri"/>
            <family val="2"/>
            <scheme val="minor"/>
          </rPr>
          <t>Preserved from Kerry_Drydock_2027_Job_Workspace_Recovery_v2.xlsm | Jobs!L18. No new commercial figures or exchange rates have been entered.</t>
        </r>
      </text>
    </comment>
    <comment ref="M18" authorId="0" shapeId="0" xr:uid="{00000000-0006-0000-0200-000050000000}">
      <text>
        <r>
          <rPr>
            <sz val="11"/>
            <color theme="1"/>
            <rFont val="Calibri"/>
            <family val="2"/>
            <scheme val="minor"/>
          </rPr>
          <t>Preserved from Kerry_Drydock_2027_Job_Workspace_Recovery_v2.xlsm | Jobs!M18. No new commercial figures or exchange rates have been entered.</t>
        </r>
      </text>
    </comment>
    <comment ref="O18" authorId="0" shapeId="0" xr:uid="{00000000-0006-0000-0200-000051000000}">
      <text>
        <r>
          <rPr>
            <sz val="11"/>
            <color theme="1"/>
            <rFont val="Calibri"/>
            <family val="2"/>
            <scheme val="minor"/>
          </rPr>
          <t>Preserved from Kerry_Drydock_2027_Job_Workspace_Recovery_v2.xlsm | Jobs!O18. No new commercial figures or exchange rates have been entered.</t>
        </r>
      </text>
    </comment>
    <comment ref="A19" authorId="0" shapeId="0" xr:uid="{00000000-0006-0000-0200-000052000000}">
      <text>
        <r>
          <rPr>
            <sz val="11"/>
            <color theme="1"/>
            <rFont val="Calibri"/>
            <family val="2"/>
            <scheme val="minor"/>
          </rPr>
          <t>Preserved from Kerry_Drydock_2027_Job_Workspace_Recovery_v2.xlsm | Jobs!A19. No new commercial figures or exchange rates have been entered.</t>
        </r>
      </text>
    </comment>
    <comment ref="B19" authorId="0" shapeId="0" xr:uid="{00000000-0006-0000-0200-000053000000}">
      <text>
        <r>
          <rPr>
            <sz val="11"/>
            <color theme="1"/>
            <rFont val="Calibri"/>
            <family val="2"/>
            <scheme val="minor"/>
          </rPr>
          <t>Preserved from Kerry_Drydock_2027_Job_Workspace_Recovery_v2.xlsm | Jobs!B19. No new commercial figures or exchange rates have been entered.</t>
        </r>
      </text>
    </comment>
    <comment ref="C19" authorId="0" shapeId="0" xr:uid="{00000000-0006-0000-0200-000054000000}">
      <text>
        <r>
          <rPr>
            <sz val="11"/>
            <color theme="1"/>
            <rFont val="Calibri"/>
            <family val="2"/>
            <scheme val="minor"/>
          </rPr>
          <t>Preserved from Kerry_Drydock_2027_Job_Workspace_Recovery_v2.xlsm | Jobs!C19. No new commercial figures or exchange rates have been entered.</t>
        </r>
      </text>
    </comment>
    <comment ref="D19" authorId="0" shapeId="0" xr:uid="{00000000-0006-0000-0200-000055000000}">
      <text>
        <r>
          <rPr>
            <sz val="11"/>
            <color theme="1"/>
            <rFont val="Calibri"/>
            <family val="2"/>
            <scheme val="minor"/>
          </rPr>
          <t>Preserved from Kerry_Drydock_2027_Job_Workspace_Recovery_v2.xlsm | Jobs!D19. No new commercial figures or exchange rates have been entered.</t>
        </r>
      </text>
    </comment>
    <comment ref="I19" authorId="0" shapeId="0" xr:uid="{00000000-0006-0000-0200-000056000000}">
      <text>
        <r>
          <rPr>
            <sz val="11"/>
            <color theme="1"/>
            <rFont val="Calibri"/>
            <family val="2"/>
            <scheme val="minor"/>
          </rPr>
          <t>Preserved from Kerry_Drydock_2027_Job_Workspace_Recovery_v2.xlsm | Jobs!I19. No new commercial figures or exchange rates have been entered.</t>
        </r>
      </text>
    </comment>
    <comment ref="L19" authorId="0" shapeId="0" xr:uid="{00000000-0006-0000-0200-000057000000}">
      <text>
        <r>
          <rPr>
            <sz val="11"/>
            <color theme="1"/>
            <rFont val="Calibri"/>
            <family val="2"/>
            <scheme val="minor"/>
          </rPr>
          <t>Preserved from Kerry_Drydock_2027_Job_Workspace_Recovery_v2.xlsm | Jobs!L19. No new commercial figures or exchange rates have been entered.</t>
        </r>
      </text>
    </comment>
    <comment ref="M19" authorId="0" shapeId="0" xr:uid="{00000000-0006-0000-0200-000058000000}">
      <text>
        <r>
          <rPr>
            <sz val="11"/>
            <color theme="1"/>
            <rFont val="Calibri"/>
            <family val="2"/>
            <scheme val="minor"/>
          </rPr>
          <t>Preserved from Kerry_Drydock_2027_Job_Workspace_Recovery_v2.xlsm | Jobs!M19. No new commercial figures or exchange rates have been entered.</t>
        </r>
      </text>
    </comment>
    <comment ref="O19" authorId="0" shapeId="0" xr:uid="{00000000-0006-0000-0200-000059000000}">
      <text>
        <r>
          <rPr>
            <sz val="11"/>
            <color theme="1"/>
            <rFont val="Calibri"/>
            <family val="2"/>
            <scheme val="minor"/>
          </rPr>
          <t>Preserved from Kerry_Drydock_2027_Job_Workspace_Recovery_v2.xlsm | Jobs!O19. No new commercial figures or exchange rates have been entered.</t>
        </r>
      </text>
    </comment>
    <comment ref="A20" authorId="0" shapeId="0" xr:uid="{00000000-0006-0000-0200-00005A000000}">
      <text>
        <r>
          <rPr>
            <sz val="11"/>
            <color theme="1"/>
            <rFont val="Calibri"/>
            <family val="2"/>
            <scheme val="minor"/>
          </rPr>
          <t>Preserved from Kerry_Drydock_2027_Job_Workspace_Recovery_v2.xlsm | Jobs!A20. No new commercial figures or exchange rates have been entered.</t>
        </r>
      </text>
    </comment>
    <comment ref="B20" authorId="0" shapeId="0" xr:uid="{00000000-0006-0000-0200-00005B000000}">
      <text>
        <r>
          <rPr>
            <sz val="11"/>
            <color theme="1"/>
            <rFont val="Calibri"/>
            <family val="2"/>
            <scheme val="minor"/>
          </rPr>
          <t>Preserved from Kerry_Drydock_2027_Job_Workspace_Recovery_v2.xlsm | Jobs!B20. No new commercial figures or exchange rates have been entered.</t>
        </r>
      </text>
    </comment>
    <comment ref="C20" authorId="0" shapeId="0" xr:uid="{00000000-0006-0000-0200-00005C000000}">
      <text>
        <r>
          <rPr>
            <sz val="11"/>
            <color theme="1"/>
            <rFont val="Calibri"/>
            <family val="2"/>
            <scheme val="minor"/>
          </rPr>
          <t>Preserved from Kerry_Drydock_2027_Job_Workspace_Recovery_v2.xlsm | Jobs!C20. No new commercial figures or exchange rates have been entered.</t>
        </r>
      </text>
    </comment>
    <comment ref="D20" authorId="0" shapeId="0" xr:uid="{00000000-0006-0000-0200-00005D000000}">
      <text>
        <r>
          <rPr>
            <sz val="11"/>
            <color theme="1"/>
            <rFont val="Calibri"/>
            <family val="2"/>
            <scheme val="minor"/>
          </rPr>
          <t>Preserved from Kerry_Drydock_2027_Job_Workspace_Recovery_v2.xlsm | Jobs!D20. No new commercial figures or exchange rates have been entered.</t>
        </r>
      </text>
    </comment>
    <comment ref="I20" authorId="0" shapeId="0" xr:uid="{00000000-0006-0000-0200-00005E000000}">
      <text>
        <r>
          <rPr>
            <sz val="11"/>
            <color theme="1"/>
            <rFont val="Calibri"/>
            <family val="2"/>
            <scheme val="minor"/>
          </rPr>
          <t>Preserved from Kerry_Drydock_2027_Job_Workspace_Recovery_v2.xlsm | Jobs!I20. No new commercial figures or exchange rates have been entered.</t>
        </r>
      </text>
    </comment>
    <comment ref="L20" authorId="0" shapeId="0" xr:uid="{00000000-0006-0000-0200-00005F000000}">
      <text>
        <r>
          <rPr>
            <sz val="11"/>
            <color theme="1"/>
            <rFont val="Calibri"/>
            <family val="2"/>
            <scheme val="minor"/>
          </rPr>
          <t>Preserved from Kerry_Drydock_2027_Job_Workspace_Recovery_v2.xlsm | Jobs!L20. No new commercial figures or exchange rates have been entered.</t>
        </r>
      </text>
    </comment>
    <comment ref="M20" authorId="0" shapeId="0" xr:uid="{00000000-0006-0000-0200-000060000000}">
      <text>
        <r>
          <rPr>
            <sz val="11"/>
            <color theme="1"/>
            <rFont val="Calibri"/>
            <family val="2"/>
            <scheme val="minor"/>
          </rPr>
          <t>Preserved from Kerry_Drydock_2027_Job_Workspace_Recovery_v2.xlsm | Jobs!M20. No new commercial figures or exchange rates have been entered.</t>
        </r>
      </text>
    </comment>
    <comment ref="O20" authorId="0" shapeId="0" xr:uid="{00000000-0006-0000-0200-000061000000}">
      <text>
        <r>
          <rPr>
            <sz val="11"/>
            <color theme="1"/>
            <rFont val="Calibri"/>
            <family val="2"/>
            <scheme val="minor"/>
          </rPr>
          <t>Preserved from Kerry_Drydock_2027_Job_Workspace_Recovery_v2.xlsm | Jobs!O20. No new commercial figures or exchange rates have been entered.</t>
        </r>
      </text>
    </comment>
    <comment ref="A21" authorId="0" shapeId="0" xr:uid="{00000000-0006-0000-0200-000062000000}">
      <text>
        <r>
          <rPr>
            <sz val="11"/>
            <color theme="1"/>
            <rFont val="Calibri"/>
            <family val="2"/>
            <scheme val="minor"/>
          </rPr>
          <t>Preserved from Kerry_Drydock_2027_Job_Workspace_Recovery_v2.xlsm | Jobs!A21. No new commercial figures or exchange rates have been entered.</t>
        </r>
      </text>
    </comment>
    <comment ref="B21" authorId="0" shapeId="0" xr:uid="{00000000-0006-0000-0200-000063000000}">
      <text>
        <r>
          <rPr>
            <sz val="11"/>
            <color theme="1"/>
            <rFont val="Calibri"/>
            <family val="2"/>
            <scheme val="minor"/>
          </rPr>
          <t>Preserved from Kerry_Drydock_2027_Job_Workspace_Recovery_v2.xlsm | Jobs!B21. No new commercial figures or exchange rates have been entered.</t>
        </r>
      </text>
    </comment>
    <comment ref="C21" authorId="0" shapeId="0" xr:uid="{00000000-0006-0000-0200-000064000000}">
      <text>
        <r>
          <rPr>
            <sz val="11"/>
            <color theme="1"/>
            <rFont val="Calibri"/>
            <family val="2"/>
            <scheme val="minor"/>
          </rPr>
          <t>Preserved from Kerry_Drydock_2027_Job_Workspace_Recovery_v2.xlsm | Jobs!C21. No new commercial figures or exchange rates have been entered.</t>
        </r>
      </text>
    </comment>
    <comment ref="D21" authorId="0" shapeId="0" xr:uid="{00000000-0006-0000-0200-000065000000}">
      <text>
        <r>
          <rPr>
            <sz val="11"/>
            <color theme="1"/>
            <rFont val="Calibri"/>
            <family val="2"/>
            <scheme val="minor"/>
          </rPr>
          <t>Preserved from Kerry_Drydock_2027_Job_Workspace_Recovery_v2.xlsm | Jobs!D21. No new commercial figures or exchange rates have been entered.</t>
        </r>
      </text>
    </comment>
    <comment ref="I21" authorId="0" shapeId="0" xr:uid="{00000000-0006-0000-0200-000066000000}">
      <text>
        <r>
          <rPr>
            <sz val="11"/>
            <color theme="1"/>
            <rFont val="Calibri"/>
            <family val="2"/>
            <scheme val="minor"/>
          </rPr>
          <t>Preserved from Kerry_Drydock_2027_Job_Workspace_Recovery_v2.xlsm | Jobs!I21. No new commercial figures or exchange rates have been entered.</t>
        </r>
      </text>
    </comment>
    <comment ref="L21" authorId="0" shapeId="0" xr:uid="{00000000-0006-0000-0200-000067000000}">
      <text>
        <r>
          <rPr>
            <sz val="11"/>
            <color theme="1"/>
            <rFont val="Calibri"/>
            <family val="2"/>
            <scheme val="minor"/>
          </rPr>
          <t>Preserved from Kerry_Drydock_2027_Job_Workspace_Recovery_v2.xlsm | Jobs!L21. No new commercial figures or exchange rates have been entered.</t>
        </r>
      </text>
    </comment>
    <comment ref="M21" authorId="0" shapeId="0" xr:uid="{00000000-0006-0000-0200-000068000000}">
      <text>
        <r>
          <rPr>
            <sz val="11"/>
            <color theme="1"/>
            <rFont val="Calibri"/>
            <family val="2"/>
            <scheme val="minor"/>
          </rPr>
          <t>Preserved from Kerry_Drydock_2027_Job_Workspace_Recovery_v2.xlsm | Jobs!M21. No new commercial figures or exchange rates have been entered.</t>
        </r>
      </text>
    </comment>
    <comment ref="O21" authorId="0" shapeId="0" xr:uid="{00000000-0006-0000-0200-000069000000}">
      <text>
        <r>
          <rPr>
            <sz val="11"/>
            <color theme="1"/>
            <rFont val="Calibri"/>
            <family val="2"/>
            <scheme val="minor"/>
          </rPr>
          <t>Preserved from Kerry_Drydock_2027_Job_Workspace_Recovery_v2.xlsm | Jobs!O21. No new commercial figures or exchange rates have been entered.</t>
        </r>
      </text>
    </comment>
    <comment ref="A22" authorId="0" shapeId="0" xr:uid="{00000000-0006-0000-0200-00006A000000}">
      <text>
        <r>
          <rPr>
            <sz val="11"/>
            <color theme="1"/>
            <rFont val="Calibri"/>
            <family val="2"/>
            <scheme val="minor"/>
          </rPr>
          <t>Preserved from Kerry_Drydock_2027_Job_Workspace_Recovery_v2.xlsm | Jobs!A22. No new commercial figures or exchange rates have been entered.</t>
        </r>
      </text>
    </comment>
    <comment ref="B22" authorId="0" shapeId="0" xr:uid="{00000000-0006-0000-0200-00006B000000}">
      <text>
        <r>
          <rPr>
            <sz val="11"/>
            <color theme="1"/>
            <rFont val="Calibri"/>
            <family val="2"/>
            <scheme val="minor"/>
          </rPr>
          <t>Preserved from Kerry_Drydock_2027_Job_Workspace_Recovery_v2.xlsm | Jobs!B22. No new commercial figures or exchange rates have been entered.</t>
        </r>
      </text>
    </comment>
    <comment ref="C22" authorId="0" shapeId="0" xr:uid="{00000000-0006-0000-0200-00006C000000}">
      <text>
        <r>
          <rPr>
            <sz val="11"/>
            <color theme="1"/>
            <rFont val="Calibri"/>
            <family val="2"/>
            <scheme val="minor"/>
          </rPr>
          <t>Preserved from Kerry_Drydock_2027_Job_Workspace_Recovery_v2.xlsm | Jobs!C22. No new commercial figures or exchange rates have been entered.</t>
        </r>
      </text>
    </comment>
    <comment ref="D22" authorId="0" shapeId="0" xr:uid="{00000000-0006-0000-0200-00006D000000}">
      <text>
        <r>
          <rPr>
            <sz val="11"/>
            <color theme="1"/>
            <rFont val="Calibri"/>
            <family val="2"/>
            <scheme val="minor"/>
          </rPr>
          <t>Preserved from Kerry_Drydock_2027_Job_Workspace_Recovery_v2.xlsm | Jobs!D22. No new commercial figures or exchange rates have been entered.</t>
        </r>
      </text>
    </comment>
    <comment ref="I22" authorId="0" shapeId="0" xr:uid="{00000000-0006-0000-0200-00006E000000}">
      <text>
        <r>
          <rPr>
            <sz val="11"/>
            <color theme="1"/>
            <rFont val="Calibri"/>
            <family val="2"/>
            <scheme val="minor"/>
          </rPr>
          <t>Preserved from Kerry_Drydock_2027_Job_Workspace_Recovery_v2.xlsm | Jobs!I22. No new commercial figures or exchange rates have been entered.</t>
        </r>
      </text>
    </comment>
    <comment ref="L22" authorId="0" shapeId="0" xr:uid="{00000000-0006-0000-0200-00006F000000}">
      <text>
        <r>
          <rPr>
            <sz val="11"/>
            <color theme="1"/>
            <rFont val="Calibri"/>
            <family val="2"/>
            <scheme val="minor"/>
          </rPr>
          <t>Preserved from Kerry_Drydock_2027_Job_Workspace_Recovery_v2.xlsm | Jobs!L22. No new commercial figures or exchange rates have been entered.</t>
        </r>
      </text>
    </comment>
    <comment ref="M22" authorId="0" shapeId="0" xr:uid="{00000000-0006-0000-0200-000070000000}">
      <text>
        <r>
          <rPr>
            <sz val="11"/>
            <color theme="1"/>
            <rFont val="Calibri"/>
            <family val="2"/>
            <scheme val="minor"/>
          </rPr>
          <t>Preserved from Kerry_Drydock_2027_Job_Workspace_Recovery_v2.xlsm | Jobs!M22. No new commercial figures or exchange rates have been entered.</t>
        </r>
      </text>
    </comment>
    <comment ref="O22" authorId="0" shapeId="0" xr:uid="{00000000-0006-0000-0200-000071000000}">
      <text>
        <r>
          <rPr>
            <sz val="11"/>
            <color theme="1"/>
            <rFont val="Calibri"/>
            <family val="2"/>
            <scheme val="minor"/>
          </rPr>
          <t>Preserved from Kerry_Drydock_2027_Job_Workspace_Recovery_v2.xlsm | Jobs!O22. No new commercial figures or exchange rates have been entered.</t>
        </r>
      </text>
    </comment>
    <comment ref="A23" authorId="0" shapeId="0" xr:uid="{00000000-0006-0000-0200-000072000000}">
      <text>
        <r>
          <rPr>
            <sz val="11"/>
            <color theme="1"/>
            <rFont val="Calibri"/>
            <family val="2"/>
            <scheme val="minor"/>
          </rPr>
          <t>Preserved from Kerry_Drydock_2027_Job_Workspace_Recovery_v2.xlsm | Jobs!A23. No new commercial figures or exchange rates have been entered.</t>
        </r>
      </text>
    </comment>
    <comment ref="B23" authorId="0" shapeId="0" xr:uid="{00000000-0006-0000-0200-000073000000}">
      <text>
        <r>
          <rPr>
            <sz val="11"/>
            <color theme="1"/>
            <rFont val="Calibri"/>
            <family val="2"/>
            <scheme val="minor"/>
          </rPr>
          <t>Preserved from Kerry_Drydock_2027_Job_Workspace_Recovery_v2.xlsm | Jobs!B23. No new commercial figures or exchange rates have been entered.</t>
        </r>
      </text>
    </comment>
    <comment ref="C23" authorId="0" shapeId="0" xr:uid="{00000000-0006-0000-0200-000074000000}">
      <text>
        <r>
          <rPr>
            <sz val="11"/>
            <color theme="1"/>
            <rFont val="Calibri"/>
            <family val="2"/>
            <scheme val="minor"/>
          </rPr>
          <t>Preserved from Kerry_Drydock_2027_Job_Workspace_Recovery_v2.xlsm | Jobs!C23. No new commercial figures or exchange rates have been entered.</t>
        </r>
      </text>
    </comment>
    <comment ref="D23" authorId="0" shapeId="0" xr:uid="{00000000-0006-0000-0200-000075000000}">
      <text>
        <r>
          <rPr>
            <sz val="11"/>
            <color theme="1"/>
            <rFont val="Calibri"/>
            <family val="2"/>
            <scheme val="minor"/>
          </rPr>
          <t>Preserved from Kerry_Drydock_2027_Job_Workspace_Recovery_v2.xlsm | Jobs!D23. No new commercial figures or exchange rates have been entered.</t>
        </r>
      </text>
    </comment>
    <comment ref="I23" authorId="0" shapeId="0" xr:uid="{00000000-0006-0000-0200-000076000000}">
      <text>
        <r>
          <rPr>
            <sz val="11"/>
            <color theme="1"/>
            <rFont val="Calibri"/>
            <family val="2"/>
            <scheme val="minor"/>
          </rPr>
          <t>Preserved from Kerry_Drydock_2027_Job_Workspace_Recovery_v2.xlsm | Jobs!I23. No new commercial figures or exchange rates have been entered.</t>
        </r>
      </text>
    </comment>
    <comment ref="L23" authorId="0" shapeId="0" xr:uid="{00000000-0006-0000-0200-000077000000}">
      <text>
        <r>
          <rPr>
            <sz val="11"/>
            <color theme="1"/>
            <rFont val="Calibri"/>
            <family val="2"/>
            <scheme val="minor"/>
          </rPr>
          <t>Preserved from Kerry_Drydock_2027_Job_Workspace_Recovery_v2.xlsm | Jobs!L23. No new commercial figures or exchange rates have been entered.</t>
        </r>
      </text>
    </comment>
    <comment ref="M23" authorId="0" shapeId="0" xr:uid="{00000000-0006-0000-0200-000078000000}">
      <text>
        <r>
          <rPr>
            <sz val="11"/>
            <color theme="1"/>
            <rFont val="Calibri"/>
            <family val="2"/>
            <scheme val="minor"/>
          </rPr>
          <t>Preserved from Kerry_Drydock_2027_Job_Workspace_Recovery_v2.xlsm | Jobs!M23. No new commercial figures or exchange rates have been entered.</t>
        </r>
      </text>
    </comment>
    <comment ref="O23" authorId="0" shapeId="0" xr:uid="{00000000-0006-0000-0200-000079000000}">
      <text>
        <r>
          <rPr>
            <sz val="11"/>
            <color theme="1"/>
            <rFont val="Calibri"/>
            <family val="2"/>
            <scheme val="minor"/>
          </rPr>
          <t>Preserved from Kerry_Drydock_2027_Job_Workspace_Recovery_v2.xlsm | Jobs!O23. No new commercial figures or exchange rates have been entered.</t>
        </r>
      </text>
    </comment>
    <comment ref="A24" authorId="0" shapeId="0" xr:uid="{00000000-0006-0000-0200-00007A000000}">
      <text>
        <r>
          <rPr>
            <sz val="11"/>
            <color theme="1"/>
            <rFont val="Calibri"/>
            <family val="2"/>
            <scheme val="minor"/>
          </rPr>
          <t>Preserved from Kerry_Drydock_2027_Job_Workspace_Recovery_v2.xlsm | Jobs!A24. No new commercial figures or exchange rates have been entered.</t>
        </r>
      </text>
    </comment>
    <comment ref="B24" authorId="0" shapeId="0" xr:uid="{00000000-0006-0000-0200-00007B000000}">
      <text>
        <r>
          <rPr>
            <sz val="11"/>
            <color theme="1"/>
            <rFont val="Calibri"/>
            <family val="2"/>
            <scheme val="minor"/>
          </rPr>
          <t>Preserved from Kerry_Drydock_2027_Job_Workspace_Recovery_v2.xlsm | Jobs!B24. No new commercial figures or exchange rates have been entered.</t>
        </r>
      </text>
    </comment>
    <comment ref="C24" authorId="0" shapeId="0" xr:uid="{00000000-0006-0000-0200-00007C000000}">
      <text>
        <r>
          <rPr>
            <sz val="11"/>
            <color theme="1"/>
            <rFont val="Calibri"/>
            <family val="2"/>
            <scheme val="minor"/>
          </rPr>
          <t>Preserved from Kerry_Drydock_2027_Job_Workspace_Recovery_v2.xlsm | Jobs!C24. No new commercial figures or exchange rates have been entered.</t>
        </r>
      </text>
    </comment>
    <comment ref="D24" authorId="0" shapeId="0" xr:uid="{00000000-0006-0000-0200-00007D000000}">
      <text>
        <r>
          <rPr>
            <sz val="11"/>
            <color theme="1"/>
            <rFont val="Calibri"/>
            <family val="2"/>
            <scheme val="minor"/>
          </rPr>
          <t>Preserved from Kerry_Drydock_2027_Job_Workspace_Recovery_v2.xlsm | Jobs!D24. No new commercial figures or exchange rates have been entered.</t>
        </r>
      </text>
    </comment>
    <comment ref="I24" authorId="0" shapeId="0" xr:uid="{00000000-0006-0000-0200-00007E000000}">
      <text>
        <r>
          <rPr>
            <sz val="11"/>
            <color theme="1"/>
            <rFont val="Calibri"/>
            <family val="2"/>
            <scheme val="minor"/>
          </rPr>
          <t>Preserved from Kerry_Drydock_2027_Job_Workspace_Recovery_v2.xlsm | Jobs!I24. No new commercial figures or exchange rates have been entered.</t>
        </r>
      </text>
    </comment>
    <comment ref="L24" authorId="0" shapeId="0" xr:uid="{00000000-0006-0000-0200-00007F000000}">
      <text>
        <r>
          <rPr>
            <sz val="11"/>
            <color theme="1"/>
            <rFont val="Calibri"/>
            <family val="2"/>
            <scheme val="minor"/>
          </rPr>
          <t>Preserved from Kerry_Drydock_2027_Job_Workspace_Recovery_v2.xlsm | Jobs!L24. No new commercial figures or exchange rates have been entered.</t>
        </r>
      </text>
    </comment>
    <comment ref="M24" authorId="0" shapeId="0" xr:uid="{00000000-0006-0000-0200-000080000000}">
      <text>
        <r>
          <rPr>
            <sz val="11"/>
            <color theme="1"/>
            <rFont val="Calibri"/>
            <family val="2"/>
            <scheme val="minor"/>
          </rPr>
          <t>Preserved from Kerry_Drydock_2027_Job_Workspace_Recovery_v2.xlsm | Jobs!M24. No new commercial figures or exchange rates have been entered.</t>
        </r>
      </text>
    </comment>
    <comment ref="O24" authorId="0" shapeId="0" xr:uid="{00000000-0006-0000-0200-000081000000}">
      <text>
        <r>
          <rPr>
            <sz val="11"/>
            <color theme="1"/>
            <rFont val="Calibri"/>
            <family val="2"/>
            <scheme val="minor"/>
          </rPr>
          <t>Preserved from Kerry_Drydock_2027_Job_Workspace_Recovery_v2.xlsm | Jobs!O24. No new commercial figures or exchange rates have been entered.</t>
        </r>
      </text>
    </comment>
    <comment ref="A25" authorId="0" shapeId="0" xr:uid="{00000000-0006-0000-0200-000082000000}">
      <text>
        <r>
          <rPr>
            <sz val="11"/>
            <color theme="1"/>
            <rFont val="Calibri"/>
            <family val="2"/>
            <scheme val="minor"/>
          </rPr>
          <t>Preserved from Kerry_Drydock_2027_Job_Workspace_Recovery_v2.xlsm | Jobs!A25. No new commercial figures or exchange rates have been entered.</t>
        </r>
      </text>
    </comment>
    <comment ref="B25" authorId="0" shapeId="0" xr:uid="{00000000-0006-0000-0200-000083000000}">
      <text>
        <r>
          <rPr>
            <sz val="11"/>
            <color theme="1"/>
            <rFont val="Calibri"/>
            <family val="2"/>
            <scheme val="minor"/>
          </rPr>
          <t>Preserved from Kerry_Drydock_2027_Job_Workspace_Recovery_v2.xlsm | Jobs!B25. No new commercial figures or exchange rates have been entered.</t>
        </r>
      </text>
    </comment>
    <comment ref="C25" authorId="0" shapeId="0" xr:uid="{00000000-0006-0000-0200-000084000000}">
      <text>
        <r>
          <rPr>
            <sz val="11"/>
            <color theme="1"/>
            <rFont val="Calibri"/>
            <family val="2"/>
            <scheme val="minor"/>
          </rPr>
          <t>Preserved from Kerry_Drydock_2027_Job_Workspace_Recovery_v2.xlsm | Jobs!C25. No new commercial figures or exchange rates have been entered.</t>
        </r>
      </text>
    </comment>
    <comment ref="D25" authorId="0" shapeId="0" xr:uid="{00000000-0006-0000-0200-000085000000}">
      <text>
        <r>
          <rPr>
            <sz val="11"/>
            <color theme="1"/>
            <rFont val="Calibri"/>
            <family val="2"/>
            <scheme val="minor"/>
          </rPr>
          <t>Preserved from Kerry_Drydock_2027_Job_Workspace_Recovery_v2.xlsm | Jobs!D25. No new commercial figures or exchange rates have been entered.</t>
        </r>
      </text>
    </comment>
    <comment ref="I25" authorId="0" shapeId="0" xr:uid="{00000000-0006-0000-0200-000086000000}">
      <text>
        <r>
          <rPr>
            <sz val="11"/>
            <color theme="1"/>
            <rFont val="Calibri"/>
            <family val="2"/>
            <scheme val="minor"/>
          </rPr>
          <t>Preserved from Kerry_Drydock_2027_Job_Workspace_Recovery_v2.xlsm | Jobs!I25. No new commercial figures or exchange rates have been entered.</t>
        </r>
      </text>
    </comment>
    <comment ref="L25" authorId="0" shapeId="0" xr:uid="{00000000-0006-0000-0200-000087000000}">
      <text>
        <r>
          <rPr>
            <sz val="11"/>
            <color theme="1"/>
            <rFont val="Calibri"/>
            <family val="2"/>
            <scheme val="minor"/>
          </rPr>
          <t>Preserved from Kerry_Drydock_2027_Job_Workspace_Recovery_v2.xlsm | Jobs!L25. No new commercial figures or exchange rates have been entered.</t>
        </r>
      </text>
    </comment>
    <comment ref="M25" authorId="0" shapeId="0" xr:uid="{00000000-0006-0000-0200-000088000000}">
      <text>
        <r>
          <rPr>
            <sz val="11"/>
            <color theme="1"/>
            <rFont val="Calibri"/>
            <family val="2"/>
            <scheme val="minor"/>
          </rPr>
          <t>Preserved from Kerry_Drydock_2027_Job_Workspace_Recovery_v2.xlsm | Jobs!M25. No new commercial figures or exchange rates have been entered.</t>
        </r>
      </text>
    </comment>
    <comment ref="O25" authorId="0" shapeId="0" xr:uid="{00000000-0006-0000-0200-000089000000}">
      <text>
        <r>
          <rPr>
            <sz val="11"/>
            <color theme="1"/>
            <rFont val="Calibri"/>
            <family val="2"/>
            <scheme val="minor"/>
          </rPr>
          <t>Preserved from Kerry_Drydock_2027_Job_Workspace_Recovery_v2.xlsm | Jobs!O25. No new commercial figures or exchange rates have been entered.</t>
        </r>
      </text>
    </comment>
    <comment ref="A26" authorId="0" shapeId="0" xr:uid="{00000000-0006-0000-0200-00008A000000}">
      <text>
        <r>
          <rPr>
            <sz val="11"/>
            <color theme="1"/>
            <rFont val="Calibri"/>
            <family val="2"/>
            <scheme val="minor"/>
          </rPr>
          <t>Preserved from Kerry_Drydock_2027_Job_Workspace_Recovery_v2.xlsm | Jobs!A26. No new commercial figures or exchange rates have been entered.</t>
        </r>
      </text>
    </comment>
    <comment ref="B26" authorId="0" shapeId="0" xr:uid="{00000000-0006-0000-0200-00008B000000}">
      <text>
        <r>
          <rPr>
            <sz val="11"/>
            <color theme="1"/>
            <rFont val="Calibri"/>
            <family val="2"/>
            <scheme val="minor"/>
          </rPr>
          <t>Preserved from Kerry_Drydock_2027_Job_Workspace_Recovery_v2.xlsm | Jobs!B26. No new commercial figures or exchange rates have been entered.</t>
        </r>
      </text>
    </comment>
    <comment ref="C26" authorId="0" shapeId="0" xr:uid="{00000000-0006-0000-0200-00008C000000}">
      <text>
        <r>
          <rPr>
            <sz val="11"/>
            <color theme="1"/>
            <rFont val="Calibri"/>
            <family val="2"/>
            <scheme val="minor"/>
          </rPr>
          <t>Preserved from Kerry_Drydock_2027_Job_Workspace_Recovery_v2.xlsm | Jobs!C26. No new commercial figures or exchange rates have been entered.</t>
        </r>
      </text>
    </comment>
    <comment ref="D26" authorId="0" shapeId="0" xr:uid="{00000000-0006-0000-0200-00008D000000}">
      <text>
        <r>
          <rPr>
            <sz val="11"/>
            <color theme="1"/>
            <rFont val="Calibri"/>
            <family val="2"/>
            <scheme val="minor"/>
          </rPr>
          <t>Preserved from Kerry_Drydock_2027_Job_Workspace_Recovery_v2.xlsm | Jobs!D26. No new commercial figures or exchange rates have been entered.</t>
        </r>
      </text>
    </comment>
    <comment ref="I26" authorId="0" shapeId="0" xr:uid="{00000000-0006-0000-0200-00008E000000}">
      <text>
        <r>
          <rPr>
            <sz val="11"/>
            <color theme="1"/>
            <rFont val="Calibri"/>
            <family val="2"/>
            <scheme val="minor"/>
          </rPr>
          <t>Preserved from Kerry_Drydock_2027_Job_Workspace_Recovery_v2.xlsm | Jobs!I26. No new commercial figures or exchange rates have been entered.</t>
        </r>
      </text>
    </comment>
    <comment ref="L26" authorId="0" shapeId="0" xr:uid="{00000000-0006-0000-0200-00008F000000}">
      <text>
        <r>
          <rPr>
            <sz val="11"/>
            <color theme="1"/>
            <rFont val="Calibri"/>
            <family val="2"/>
            <scheme val="minor"/>
          </rPr>
          <t>Preserved from Kerry_Drydock_2027_Job_Workspace_Recovery_v2.xlsm | Jobs!L26. No new commercial figures or exchange rates have been entered.</t>
        </r>
      </text>
    </comment>
    <comment ref="M26" authorId="0" shapeId="0" xr:uid="{00000000-0006-0000-0200-000090000000}">
      <text>
        <r>
          <rPr>
            <sz val="11"/>
            <color theme="1"/>
            <rFont val="Calibri"/>
            <family val="2"/>
            <scheme val="minor"/>
          </rPr>
          <t>Preserved from Kerry_Drydock_2027_Job_Workspace_Recovery_v2.xlsm | Jobs!M26. No new commercial figures or exchange rates have been entered.</t>
        </r>
      </text>
    </comment>
    <comment ref="O26" authorId="0" shapeId="0" xr:uid="{00000000-0006-0000-0200-000091000000}">
      <text>
        <r>
          <rPr>
            <sz val="11"/>
            <color theme="1"/>
            <rFont val="Calibri"/>
            <family val="2"/>
            <scheme val="minor"/>
          </rPr>
          <t>Preserved from Kerry_Drydock_2027_Job_Workspace_Recovery_v2.xlsm | Jobs!O26. No new commercial figures or exchange rates have been entered.</t>
        </r>
      </text>
    </comment>
    <comment ref="A27" authorId="0" shapeId="0" xr:uid="{00000000-0006-0000-0200-000092000000}">
      <text>
        <r>
          <rPr>
            <sz val="11"/>
            <color theme="1"/>
            <rFont val="Calibri"/>
            <family val="2"/>
            <scheme val="minor"/>
          </rPr>
          <t>Preserved from Kerry_Drydock_2027_Job_Workspace_Recovery_v2.xlsm | Jobs!A27. No new commercial figures or exchange rates have been entered.</t>
        </r>
      </text>
    </comment>
    <comment ref="B27" authorId="0" shapeId="0" xr:uid="{00000000-0006-0000-0200-000093000000}">
      <text>
        <r>
          <rPr>
            <sz val="11"/>
            <color theme="1"/>
            <rFont val="Calibri"/>
            <family val="2"/>
            <scheme val="minor"/>
          </rPr>
          <t>Preserved from Kerry_Drydock_2027_Job_Workspace_Recovery_v2.xlsm | Jobs!B27. No new commercial figures or exchange rates have been entered.</t>
        </r>
      </text>
    </comment>
    <comment ref="C27" authorId="0" shapeId="0" xr:uid="{00000000-0006-0000-0200-000094000000}">
      <text>
        <r>
          <rPr>
            <sz val="11"/>
            <color theme="1"/>
            <rFont val="Calibri"/>
            <family val="2"/>
            <scheme val="minor"/>
          </rPr>
          <t>Preserved from Kerry_Drydock_2027_Job_Workspace_Recovery_v2.xlsm | Jobs!C27. No new commercial figures or exchange rates have been entered.</t>
        </r>
      </text>
    </comment>
    <comment ref="D27" authorId="0" shapeId="0" xr:uid="{00000000-0006-0000-0200-000095000000}">
      <text>
        <r>
          <rPr>
            <sz val="11"/>
            <color theme="1"/>
            <rFont val="Calibri"/>
            <family val="2"/>
            <scheme val="minor"/>
          </rPr>
          <t>Preserved from Kerry_Drydock_2027_Job_Workspace_Recovery_v2.xlsm | Jobs!D27. No new commercial figures or exchange rates have been entered.</t>
        </r>
      </text>
    </comment>
    <comment ref="I27" authorId="0" shapeId="0" xr:uid="{00000000-0006-0000-0200-000096000000}">
      <text>
        <r>
          <rPr>
            <sz val="11"/>
            <color theme="1"/>
            <rFont val="Calibri"/>
            <family val="2"/>
            <scheme val="minor"/>
          </rPr>
          <t>Preserved from Kerry_Drydock_2027_Job_Workspace_Recovery_v2.xlsm | Jobs!I27. No new commercial figures or exchange rates have been entered.</t>
        </r>
      </text>
    </comment>
    <comment ref="L27" authorId="0" shapeId="0" xr:uid="{00000000-0006-0000-0200-000097000000}">
      <text>
        <r>
          <rPr>
            <sz val="11"/>
            <color theme="1"/>
            <rFont val="Calibri"/>
            <family val="2"/>
            <scheme val="minor"/>
          </rPr>
          <t>Preserved from Kerry_Drydock_2027_Job_Workspace_Recovery_v2.xlsm | Jobs!L27. No new commercial figures or exchange rates have been entered.</t>
        </r>
      </text>
    </comment>
    <comment ref="M27" authorId="0" shapeId="0" xr:uid="{00000000-0006-0000-0200-000098000000}">
      <text>
        <r>
          <rPr>
            <sz val="11"/>
            <color theme="1"/>
            <rFont val="Calibri"/>
            <family val="2"/>
            <scheme val="minor"/>
          </rPr>
          <t>Preserved from Kerry_Drydock_2027_Job_Workspace_Recovery_v2.xlsm | Jobs!M27. No new commercial figures or exchange rates have been entered.</t>
        </r>
      </text>
    </comment>
    <comment ref="O27" authorId="0" shapeId="0" xr:uid="{00000000-0006-0000-0200-000099000000}">
      <text>
        <r>
          <rPr>
            <sz val="11"/>
            <color theme="1"/>
            <rFont val="Calibri"/>
            <family val="2"/>
            <scheme val="minor"/>
          </rPr>
          <t>Preserved from Kerry_Drydock_2027_Job_Workspace_Recovery_v2.xlsm | Jobs!O27. No new commercial figures or exchange rates have been entered.</t>
        </r>
      </text>
    </comment>
    <comment ref="A28" authorId="0" shapeId="0" xr:uid="{00000000-0006-0000-0200-00009A000000}">
      <text>
        <r>
          <rPr>
            <sz val="11"/>
            <color theme="1"/>
            <rFont val="Calibri"/>
            <family val="2"/>
            <scheme val="minor"/>
          </rPr>
          <t>Preserved from Kerry_Drydock_2027_Job_Workspace_Recovery_v2.xlsm | Jobs!A28. No new commercial figures or exchange rates have been entered.</t>
        </r>
      </text>
    </comment>
    <comment ref="B28" authorId="0" shapeId="0" xr:uid="{00000000-0006-0000-0200-00009B000000}">
      <text>
        <r>
          <rPr>
            <sz val="11"/>
            <color theme="1"/>
            <rFont val="Calibri"/>
            <family val="2"/>
            <scheme val="minor"/>
          </rPr>
          <t>Preserved from Kerry_Drydock_2027_Job_Workspace_Recovery_v2.xlsm | Jobs!B28. No new commercial figures or exchange rates have been entered.</t>
        </r>
      </text>
    </comment>
    <comment ref="C28" authorId="0" shapeId="0" xr:uid="{00000000-0006-0000-0200-00009C000000}">
      <text>
        <r>
          <rPr>
            <sz val="11"/>
            <color theme="1"/>
            <rFont val="Calibri"/>
            <family val="2"/>
            <scheme val="minor"/>
          </rPr>
          <t>Preserved from Kerry_Drydock_2027_Job_Workspace_Recovery_v2.xlsm | Jobs!C28. No new commercial figures or exchange rates have been entered.</t>
        </r>
      </text>
    </comment>
    <comment ref="D28" authorId="0" shapeId="0" xr:uid="{00000000-0006-0000-0200-00009D000000}">
      <text>
        <r>
          <rPr>
            <sz val="11"/>
            <color theme="1"/>
            <rFont val="Calibri"/>
            <family val="2"/>
            <scheme val="minor"/>
          </rPr>
          <t>Preserved from Kerry_Drydock_2027_Job_Workspace_Recovery_v2.xlsm | Jobs!D28. No new commercial figures or exchange rates have been entered.</t>
        </r>
      </text>
    </comment>
    <comment ref="I28" authorId="0" shapeId="0" xr:uid="{00000000-0006-0000-0200-00009E000000}">
      <text>
        <r>
          <rPr>
            <sz val="11"/>
            <color theme="1"/>
            <rFont val="Calibri"/>
            <family val="2"/>
            <scheme val="minor"/>
          </rPr>
          <t>Preserved from Kerry_Drydock_2027_Job_Workspace_Recovery_v2.xlsm | Jobs!I28. No new commercial figures or exchange rates have been entered.</t>
        </r>
      </text>
    </comment>
    <comment ref="L28" authorId="0" shapeId="0" xr:uid="{00000000-0006-0000-0200-00009F000000}">
      <text>
        <r>
          <rPr>
            <sz val="11"/>
            <color theme="1"/>
            <rFont val="Calibri"/>
            <family val="2"/>
            <scheme val="minor"/>
          </rPr>
          <t>Preserved from Kerry_Drydock_2027_Job_Workspace_Recovery_v2.xlsm | Jobs!L28. No new commercial figures or exchange rates have been entered.</t>
        </r>
      </text>
    </comment>
    <comment ref="M28" authorId="0" shapeId="0" xr:uid="{00000000-0006-0000-0200-0000A0000000}">
      <text>
        <r>
          <rPr>
            <sz val="11"/>
            <color theme="1"/>
            <rFont val="Calibri"/>
            <family val="2"/>
            <scheme val="minor"/>
          </rPr>
          <t>Preserved from Kerry_Drydock_2027_Job_Workspace_Recovery_v2.xlsm | Jobs!M28. No new commercial figures or exchange rates have been entered.</t>
        </r>
      </text>
    </comment>
    <comment ref="O28" authorId="0" shapeId="0" xr:uid="{00000000-0006-0000-0200-0000A1000000}">
      <text>
        <r>
          <rPr>
            <sz val="11"/>
            <color theme="1"/>
            <rFont val="Calibri"/>
            <family val="2"/>
            <scheme val="minor"/>
          </rPr>
          <t>Preserved from Kerry_Drydock_2027_Job_Workspace_Recovery_v2.xlsm | Jobs!O28. No new commercial figures or exchange rates have been entered.</t>
        </r>
      </text>
    </comment>
    <comment ref="A29" authorId="0" shapeId="0" xr:uid="{00000000-0006-0000-0200-0000A2000000}">
      <text>
        <r>
          <rPr>
            <sz val="11"/>
            <color theme="1"/>
            <rFont val="Calibri"/>
            <family val="2"/>
            <scheme val="minor"/>
          </rPr>
          <t>Preserved from Kerry_Drydock_2027_Job_Workspace_Recovery_v2.xlsm | Jobs!A29. No new commercial figures or exchange rates have been entered.</t>
        </r>
      </text>
    </comment>
    <comment ref="B29" authorId="0" shapeId="0" xr:uid="{00000000-0006-0000-0200-0000A3000000}">
      <text>
        <r>
          <rPr>
            <sz val="11"/>
            <color theme="1"/>
            <rFont val="Calibri"/>
            <family val="2"/>
            <scheme val="minor"/>
          </rPr>
          <t>Preserved from Kerry_Drydock_2027_Job_Workspace_Recovery_v2.xlsm | Jobs!B29. No new commercial figures or exchange rates have been entered.</t>
        </r>
      </text>
    </comment>
    <comment ref="C29" authorId="0" shapeId="0" xr:uid="{00000000-0006-0000-0200-0000A4000000}">
      <text>
        <r>
          <rPr>
            <sz val="11"/>
            <color theme="1"/>
            <rFont val="Calibri"/>
            <family val="2"/>
            <scheme val="minor"/>
          </rPr>
          <t>Preserved from Kerry_Drydock_2027_Job_Workspace_Recovery_v2.xlsm | Jobs!C29. No new commercial figures or exchange rates have been entered.</t>
        </r>
      </text>
    </comment>
    <comment ref="D29" authorId="0" shapeId="0" xr:uid="{00000000-0006-0000-0200-0000A5000000}">
      <text>
        <r>
          <rPr>
            <sz val="11"/>
            <color theme="1"/>
            <rFont val="Calibri"/>
            <family val="2"/>
            <scheme val="minor"/>
          </rPr>
          <t>Preserved from Kerry_Drydock_2027_Job_Workspace_Recovery_v2.xlsm | Jobs!D29. No new commercial figures or exchange rates have been entered.</t>
        </r>
      </text>
    </comment>
    <comment ref="I29" authorId="0" shapeId="0" xr:uid="{00000000-0006-0000-0200-0000A6000000}">
      <text>
        <r>
          <rPr>
            <sz val="11"/>
            <color theme="1"/>
            <rFont val="Calibri"/>
            <family val="2"/>
            <scheme val="minor"/>
          </rPr>
          <t>Preserved from Kerry_Drydock_2027_Job_Workspace_Recovery_v2.xlsm | Jobs!I29. No new commercial figures or exchange rates have been entered.</t>
        </r>
      </text>
    </comment>
    <comment ref="L29" authorId="0" shapeId="0" xr:uid="{00000000-0006-0000-0200-0000A7000000}">
      <text>
        <r>
          <rPr>
            <sz val="11"/>
            <color theme="1"/>
            <rFont val="Calibri"/>
            <family val="2"/>
            <scheme val="minor"/>
          </rPr>
          <t>Preserved from Kerry_Drydock_2027_Job_Workspace_Recovery_v2.xlsm | Jobs!L29. No new commercial figures or exchange rates have been entered.</t>
        </r>
      </text>
    </comment>
    <comment ref="M29" authorId="0" shapeId="0" xr:uid="{00000000-0006-0000-0200-0000A8000000}">
      <text>
        <r>
          <rPr>
            <sz val="11"/>
            <color theme="1"/>
            <rFont val="Calibri"/>
            <family val="2"/>
            <scheme val="minor"/>
          </rPr>
          <t>Preserved from Kerry_Drydock_2027_Job_Workspace_Recovery_v2.xlsm | Jobs!M29. No new commercial figures or exchange rates have been entered.</t>
        </r>
      </text>
    </comment>
    <comment ref="O29" authorId="0" shapeId="0" xr:uid="{00000000-0006-0000-0200-0000A9000000}">
      <text>
        <r>
          <rPr>
            <sz val="11"/>
            <color theme="1"/>
            <rFont val="Calibri"/>
            <family val="2"/>
            <scheme val="minor"/>
          </rPr>
          <t>Preserved from Kerry_Drydock_2027_Job_Workspace_Recovery_v2.xlsm | Jobs!O29. No new commercial figures or exchange rates have been entered.</t>
        </r>
      </text>
    </comment>
    <comment ref="A30" authorId="0" shapeId="0" xr:uid="{00000000-0006-0000-0200-0000AA000000}">
      <text>
        <r>
          <rPr>
            <sz val="11"/>
            <color theme="1"/>
            <rFont val="Calibri"/>
            <family val="2"/>
            <scheme val="minor"/>
          </rPr>
          <t>Preserved from Kerry_Drydock_2027_Job_Workspace_Recovery_v2.xlsm | Jobs!A30. No new commercial figures or exchange rates have been entered.</t>
        </r>
      </text>
    </comment>
    <comment ref="B30" authorId="0" shapeId="0" xr:uid="{00000000-0006-0000-0200-0000AB000000}">
      <text>
        <r>
          <rPr>
            <sz val="11"/>
            <color theme="1"/>
            <rFont val="Calibri"/>
            <family val="2"/>
            <scheme val="minor"/>
          </rPr>
          <t>Preserved from Kerry_Drydock_2027_Job_Workspace_Recovery_v2.xlsm | Jobs!B30. No new commercial figures or exchange rates have been entered.</t>
        </r>
      </text>
    </comment>
    <comment ref="C30" authorId="0" shapeId="0" xr:uid="{00000000-0006-0000-0200-0000AC000000}">
      <text>
        <r>
          <rPr>
            <sz val="11"/>
            <color theme="1"/>
            <rFont val="Calibri"/>
            <family val="2"/>
            <scheme val="minor"/>
          </rPr>
          <t>Preserved from Kerry_Drydock_2027_Job_Workspace_Recovery_v2.xlsm | Jobs!C30. No new commercial figures or exchange rates have been entered.</t>
        </r>
      </text>
    </comment>
    <comment ref="D30" authorId="0" shapeId="0" xr:uid="{00000000-0006-0000-0200-0000AD000000}">
      <text>
        <r>
          <rPr>
            <sz val="11"/>
            <color theme="1"/>
            <rFont val="Calibri"/>
            <family val="2"/>
            <scheme val="minor"/>
          </rPr>
          <t>Preserved from Kerry_Drydock_2027_Job_Workspace_Recovery_v2.xlsm | Jobs!D30. No new commercial figures or exchange rates have been entered.</t>
        </r>
      </text>
    </comment>
    <comment ref="I30" authorId="0" shapeId="0" xr:uid="{00000000-0006-0000-0200-0000AE000000}">
      <text>
        <r>
          <rPr>
            <sz val="11"/>
            <color theme="1"/>
            <rFont val="Calibri"/>
            <family val="2"/>
            <scheme val="minor"/>
          </rPr>
          <t>Preserved from Kerry_Drydock_2027_Job_Workspace_Recovery_v2.xlsm | Jobs!I30. No new commercial figures or exchange rates have been entered.</t>
        </r>
      </text>
    </comment>
    <comment ref="L30" authorId="0" shapeId="0" xr:uid="{00000000-0006-0000-0200-0000AF000000}">
      <text>
        <r>
          <rPr>
            <sz val="11"/>
            <color theme="1"/>
            <rFont val="Calibri"/>
            <family val="2"/>
            <scheme val="minor"/>
          </rPr>
          <t>Preserved from Kerry_Drydock_2027_Job_Workspace_Recovery_v2.xlsm | Jobs!L30. No new commercial figures or exchange rates have been entered.</t>
        </r>
      </text>
    </comment>
    <comment ref="M30" authorId="0" shapeId="0" xr:uid="{00000000-0006-0000-0200-0000B0000000}">
      <text>
        <r>
          <rPr>
            <sz val="11"/>
            <color theme="1"/>
            <rFont val="Calibri"/>
            <family val="2"/>
            <scheme val="minor"/>
          </rPr>
          <t>Preserved from Kerry_Drydock_2027_Job_Workspace_Recovery_v2.xlsm | Jobs!M30. No new commercial figures or exchange rates have been entered.</t>
        </r>
      </text>
    </comment>
    <comment ref="O30" authorId="0" shapeId="0" xr:uid="{00000000-0006-0000-0200-0000B1000000}">
      <text>
        <r>
          <rPr>
            <sz val="11"/>
            <color theme="1"/>
            <rFont val="Calibri"/>
            <family val="2"/>
            <scheme val="minor"/>
          </rPr>
          <t>Preserved from Kerry_Drydock_2027_Job_Workspace_Recovery_v2.xlsm | Jobs!O30. No new commercial figures or exchange rates have been entered.</t>
        </r>
      </text>
    </comment>
    <comment ref="A31" authorId="0" shapeId="0" xr:uid="{00000000-0006-0000-0200-0000B2000000}">
      <text>
        <r>
          <rPr>
            <sz val="11"/>
            <color theme="1"/>
            <rFont val="Calibri"/>
            <family val="2"/>
            <scheme val="minor"/>
          </rPr>
          <t>Preserved from Kerry_Drydock_2027_Job_Workspace_Recovery_v2.xlsm | Jobs!A31. No new commercial figures or exchange rates have been entered.</t>
        </r>
      </text>
    </comment>
    <comment ref="B31" authorId="0" shapeId="0" xr:uid="{00000000-0006-0000-0200-0000B3000000}">
      <text>
        <r>
          <rPr>
            <sz val="11"/>
            <color theme="1"/>
            <rFont val="Calibri"/>
            <family val="2"/>
            <scheme val="minor"/>
          </rPr>
          <t>Preserved from Kerry_Drydock_2027_Job_Workspace_Recovery_v2.xlsm | Jobs!B31. No new commercial figures or exchange rates have been entered.</t>
        </r>
      </text>
    </comment>
    <comment ref="C31" authorId="0" shapeId="0" xr:uid="{00000000-0006-0000-0200-0000B4000000}">
      <text>
        <r>
          <rPr>
            <sz val="11"/>
            <color theme="1"/>
            <rFont val="Calibri"/>
            <family val="2"/>
            <scheme val="minor"/>
          </rPr>
          <t>Preserved from Kerry_Drydock_2027_Job_Workspace_Recovery_v2.xlsm | Jobs!C31. No new commercial figures or exchange rates have been entered.</t>
        </r>
      </text>
    </comment>
    <comment ref="D31" authorId="0" shapeId="0" xr:uid="{00000000-0006-0000-0200-0000B5000000}">
      <text>
        <r>
          <rPr>
            <sz val="11"/>
            <color theme="1"/>
            <rFont val="Calibri"/>
            <family val="2"/>
            <scheme val="minor"/>
          </rPr>
          <t>Preserved from Kerry_Drydock_2027_Job_Workspace_Recovery_v2.xlsm | Jobs!D31. No new commercial figures or exchange rates have been entered.</t>
        </r>
      </text>
    </comment>
    <comment ref="I31" authorId="0" shapeId="0" xr:uid="{00000000-0006-0000-0200-0000B6000000}">
      <text>
        <r>
          <rPr>
            <sz val="11"/>
            <color theme="1"/>
            <rFont val="Calibri"/>
            <family val="2"/>
            <scheme val="minor"/>
          </rPr>
          <t>Preserved from Kerry_Drydock_2027_Job_Workspace_Recovery_v2.xlsm | Jobs!I31. No new commercial figures or exchange rates have been entered.</t>
        </r>
      </text>
    </comment>
    <comment ref="L31" authorId="0" shapeId="0" xr:uid="{00000000-0006-0000-0200-0000B7000000}">
      <text>
        <r>
          <rPr>
            <sz val="11"/>
            <color theme="1"/>
            <rFont val="Calibri"/>
            <family val="2"/>
            <scheme val="minor"/>
          </rPr>
          <t>Preserved from Kerry_Drydock_2027_Job_Workspace_Recovery_v2.xlsm | Jobs!L31. No new commercial figures or exchange rates have been entered.</t>
        </r>
      </text>
    </comment>
    <comment ref="M31" authorId="0" shapeId="0" xr:uid="{00000000-0006-0000-0200-0000B8000000}">
      <text>
        <r>
          <rPr>
            <sz val="11"/>
            <color theme="1"/>
            <rFont val="Calibri"/>
            <family val="2"/>
            <scheme val="minor"/>
          </rPr>
          <t>Preserved from Kerry_Drydock_2027_Job_Workspace_Recovery_v2.xlsm | Jobs!M31. No new commercial figures or exchange rates have been entered.</t>
        </r>
      </text>
    </comment>
    <comment ref="O31" authorId="0" shapeId="0" xr:uid="{00000000-0006-0000-0200-0000B9000000}">
      <text>
        <r>
          <rPr>
            <sz val="11"/>
            <color theme="1"/>
            <rFont val="Calibri"/>
            <family val="2"/>
            <scheme val="minor"/>
          </rPr>
          <t>Preserved from Kerry_Drydock_2027_Job_Workspace_Recovery_v2.xlsm | Jobs!O31. No new commercial figures or exchange rates have been entered.</t>
        </r>
      </text>
    </comment>
    <comment ref="A32" authorId="0" shapeId="0" xr:uid="{00000000-0006-0000-0200-0000BA000000}">
      <text>
        <r>
          <rPr>
            <sz val="11"/>
            <color theme="1"/>
            <rFont val="Calibri"/>
            <family val="2"/>
            <scheme val="minor"/>
          </rPr>
          <t>Preserved from Kerry_Drydock_2027_Job_Workspace_Recovery_v2.xlsm | Jobs!A32. No new commercial figures or exchange rates have been entered.</t>
        </r>
      </text>
    </comment>
    <comment ref="B32" authorId="0" shapeId="0" xr:uid="{00000000-0006-0000-0200-0000BB000000}">
      <text>
        <r>
          <rPr>
            <sz val="11"/>
            <color theme="1"/>
            <rFont val="Calibri"/>
            <family val="2"/>
            <scheme val="minor"/>
          </rPr>
          <t>Preserved from Kerry_Drydock_2027_Job_Workspace_Recovery_v2.xlsm | Jobs!B32. No new commercial figures or exchange rates have been entered.</t>
        </r>
      </text>
    </comment>
    <comment ref="C32" authorId="0" shapeId="0" xr:uid="{00000000-0006-0000-0200-0000BC000000}">
      <text>
        <r>
          <rPr>
            <sz val="11"/>
            <color theme="1"/>
            <rFont val="Calibri"/>
            <family val="2"/>
            <scheme val="minor"/>
          </rPr>
          <t>Preserved from Kerry_Drydock_2027_Job_Workspace_Recovery_v2.xlsm | Jobs!C32. No new commercial figures or exchange rates have been entered.</t>
        </r>
      </text>
    </comment>
    <comment ref="D32" authorId="0" shapeId="0" xr:uid="{00000000-0006-0000-0200-0000BD000000}">
      <text>
        <r>
          <rPr>
            <sz val="11"/>
            <color theme="1"/>
            <rFont val="Calibri"/>
            <family val="2"/>
            <scheme val="minor"/>
          </rPr>
          <t>Preserved from Kerry_Drydock_2027_Job_Workspace_Recovery_v2.xlsm | Jobs!D32. No new commercial figures or exchange rates have been entered.</t>
        </r>
      </text>
    </comment>
    <comment ref="I32" authorId="0" shapeId="0" xr:uid="{00000000-0006-0000-0200-0000BE000000}">
      <text>
        <r>
          <rPr>
            <sz val="11"/>
            <color theme="1"/>
            <rFont val="Calibri"/>
            <family val="2"/>
            <scheme val="minor"/>
          </rPr>
          <t>Preserved from Kerry_Drydock_2027_Job_Workspace_Recovery_v2.xlsm | Jobs!I32. No new commercial figures or exchange rates have been entered.</t>
        </r>
      </text>
    </comment>
    <comment ref="L32" authorId="0" shapeId="0" xr:uid="{00000000-0006-0000-0200-0000BF000000}">
      <text>
        <r>
          <rPr>
            <sz val="11"/>
            <color theme="1"/>
            <rFont val="Calibri"/>
            <family val="2"/>
            <scheme val="minor"/>
          </rPr>
          <t>Preserved from Kerry_Drydock_2027_Job_Workspace_Recovery_v2.xlsm | Jobs!L32. No new commercial figures or exchange rates have been entered.</t>
        </r>
      </text>
    </comment>
    <comment ref="M32" authorId="0" shapeId="0" xr:uid="{00000000-0006-0000-0200-0000C0000000}">
      <text>
        <r>
          <rPr>
            <sz val="11"/>
            <color theme="1"/>
            <rFont val="Calibri"/>
            <family val="2"/>
            <scheme val="minor"/>
          </rPr>
          <t>Preserved from Kerry_Drydock_2027_Job_Workspace_Recovery_v2.xlsm | Jobs!M32. No new commercial figures or exchange rates have been entered.</t>
        </r>
      </text>
    </comment>
    <comment ref="O32" authorId="0" shapeId="0" xr:uid="{00000000-0006-0000-0200-0000C1000000}">
      <text>
        <r>
          <rPr>
            <sz val="11"/>
            <color theme="1"/>
            <rFont val="Calibri"/>
            <family val="2"/>
            <scheme val="minor"/>
          </rPr>
          <t>Preserved from Kerry_Drydock_2027_Job_Workspace_Recovery_v2.xlsm | Jobs!O32. No new commercial figures or exchange rates have been entered.</t>
        </r>
      </text>
    </comment>
    <comment ref="A33" authorId="0" shapeId="0" xr:uid="{00000000-0006-0000-0200-0000C2000000}">
      <text>
        <r>
          <rPr>
            <sz val="11"/>
            <color theme="1"/>
            <rFont val="Calibri"/>
            <family val="2"/>
            <scheme val="minor"/>
          </rPr>
          <t>Preserved from Kerry_Drydock_2027_Job_Workspace_Recovery_v2.xlsm | Jobs!A33. No new commercial figures or exchange rates have been entered.</t>
        </r>
      </text>
    </comment>
    <comment ref="B33" authorId="0" shapeId="0" xr:uid="{00000000-0006-0000-0200-0000C3000000}">
      <text>
        <r>
          <rPr>
            <sz val="11"/>
            <color theme="1"/>
            <rFont val="Calibri"/>
            <family val="2"/>
            <scheme val="minor"/>
          </rPr>
          <t>Preserved from Kerry_Drydock_2027_Job_Workspace_Recovery_v2.xlsm | Jobs!B33. No new commercial figures or exchange rates have been entered.</t>
        </r>
      </text>
    </comment>
    <comment ref="C33" authorId="0" shapeId="0" xr:uid="{00000000-0006-0000-0200-0000C4000000}">
      <text>
        <r>
          <rPr>
            <sz val="11"/>
            <color theme="1"/>
            <rFont val="Calibri"/>
            <family val="2"/>
            <scheme val="minor"/>
          </rPr>
          <t>Preserved from Kerry_Drydock_2027_Job_Workspace_Recovery_v2.xlsm | Jobs!C33. No new commercial figures or exchange rates have been entered.</t>
        </r>
      </text>
    </comment>
    <comment ref="D33" authorId="0" shapeId="0" xr:uid="{00000000-0006-0000-0200-0000C5000000}">
      <text>
        <r>
          <rPr>
            <sz val="11"/>
            <color theme="1"/>
            <rFont val="Calibri"/>
            <family val="2"/>
            <scheme val="minor"/>
          </rPr>
          <t>Preserved from Kerry_Drydock_2027_Job_Workspace_Recovery_v2.xlsm | Jobs!D33. No new commercial figures or exchange rates have been entered.</t>
        </r>
      </text>
    </comment>
    <comment ref="I33" authorId="0" shapeId="0" xr:uid="{00000000-0006-0000-0200-0000C6000000}">
      <text>
        <r>
          <rPr>
            <sz val="11"/>
            <color theme="1"/>
            <rFont val="Calibri"/>
            <family val="2"/>
            <scheme val="minor"/>
          </rPr>
          <t>Preserved from Kerry_Drydock_2027_Job_Workspace_Recovery_v2.xlsm | Jobs!I33. No new commercial figures or exchange rates have been entered.</t>
        </r>
      </text>
    </comment>
    <comment ref="L33" authorId="0" shapeId="0" xr:uid="{00000000-0006-0000-0200-0000C7000000}">
      <text>
        <r>
          <rPr>
            <sz val="11"/>
            <color theme="1"/>
            <rFont val="Calibri"/>
            <family val="2"/>
            <scheme val="minor"/>
          </rPr>
          <t>Preserved from Kerry_Drydock_2027_Job_Workspace_Recovery_v2.xlsm | Jobs!L33. No new commercial figures or exchange rates have been entered.</t>
        </r>
      </text>
    </comment>
    <comment ref="M33" authorId="0" shapeId="0" xr:uid="{00000000-0006-0000-0200-0000C8000000}">
      <text>
        <r>
          <rPr>
            <sz val="11"/>
            <color theme="1"/>
            <rFont val="Calibri"/>
            <family val="2"/>
            <scheme val="minor"/>
          </rPr>
          <t>Preserved from Kerry_Drydock_2027_Job_Workspace_Recovery_v2.xlsm | Jobs!M33. No new commercial figures or exchange rates have been entered.</t>
        </r>
      </text>
    </comment>
    <comment ref="O33" authorId="0" shapeId="0" xr:uid="{00000000-0006-0000-0200-0000C9000000}">
      <text>
        <r>
          <rPr>
            <sz val="11"/>
            <color theme="1"/>
            <rFont val="Calibri"/>
            <family val="2"/>
            <scheme val="minor"/>
          </rPr>
          <t>Preserved from Kerry_Drydock_2027_Job_Workspace_Recovery_v2.xlsm | Jobs!O33. No new commercial figures or exchange rates have been entered.</t>
        </r>
      </text>
    </comment>
    <comment ref="A34" authorId="0" shapeId="0" xr:uid="{00000000-0006-0000-0200-0000CA000000}">
      <text>
        <r>
          <rPr>
            <sz val="11"/>
            <color theme="1"/>
            <rFont val="Calibri"/>
            <family val="2"/>
            <scheme val="minor"/>
          </rPr>
          <t>Preserved from Kerry_Drydock_2027_Job_Workspace_Recovery_v2.xlsm | Jobs!A34. No new commercial figures or exchange rates have been entered.</t>
        </r>
      </text>
    </comment>
    <comment ref="B34" authorId="0" shapeId="0" xr:uid="{00000000-0006-0000-0200-0000CB000000}">
      <text>
        <r>
          <rPr>
            <sz val="11"/>
            <color theme="1"/>
            <rFont val="Calibri"/>
            <family val="2"/>
            <scheme val="minor"/>
          </rPr>
          <t>Preserved from Kerry_Drydock_2027_Job_Workspace_Recovery_v2.xlsm | Jobs!B34. No new commercial figures or exchange rates have been entered.</t>
        </r>
      </text>
    </comment>
    <comment ref="C34" authorId="0" shapeId="0" xr:uid="{00000000-0006-0000-0200-0000CC000000}">
      <text>
        <r>
          <rPr>
            <sz val="11"/>
            <color theme="1"/>
            <rFont val="Calibri"/>
            <family val="2"/>
            <scheme val="minor"/>
          </rPr>
          <t>Preserved from Kerry_Drydock_2027_Job_Workspace_Recovery_v2.xlsm | Jobs!C34. No new commercial figures or exchange rates have been entered.</t>
        </r>
      </text>
    </comment>
    <comment ref="D34" authorId="0" shapeId="0" xr:uid="{00000000-0006-0000-0200-0000CD000000}">
      <text>
        <r>
          <rPr>
            <sz val="11"/>
            <color theme="1"/>
            <rFont val="Calibri"/>
            <family val="2"/>
            <scheme val="minor"/>
          </rPr>
          <t>Preserved from Kerry_Drydock_2027_Job_Workspace_Recovery_v2.xlsm | Jobs!D34. No new commercial figures or exchange rates have been entered.</t>
        </r>
      </text>
    </comment>
    <comment ref="I34" authorId="0" shapeId="0" xr:uid="{00000000-0006-0000-0200-0000CE000000}">
      <text>
        <r>
          <rPr>
            <sz val="11"/>
            <color theme="1"/>
            <rFont val="Calibri"/>
            <family val="2"/>
            <scheme val="minor"/>
          </rPr>
          <t>Preserved from Kerry_Drydock_2027_Job_Workspace_Recovery_v2.xlsm | Jobs!I34. No new commercial figures or exchange rates have been entered.</t>
        </r>
      </text>
    </comment>
    <comment ref="L34" authorId="0" shapeId="0" xr:uid="{00000000-0006-0000-0200-0000CF000000}">
      <text>
        <r>
          <rPr>
            <sz val="11"/>
            <color theme="1"/>
            <rFont val="Calibri"/>
            <family val="2"/>
            <scheme val="minor"/>
          </rPr>
          <t>Preserved from Kerry_Drydock_2027_Job_Workspace_Recovery_v2.xlsm | Jobs!L34. No new commercial figures or exchange rates have been entered.</t>
        </r>
      </text>
    </comment>
    <comment ref="M34" authorId="0" shapeId="0" xr:uid="{00000000-0006-0000-0200-0000D0000000}">
      <text>
        <r>
          <rPr>
            <sz val="11"/>
            <color theme="1"/>
            <rFont val="Calibri"/>
            <family val="2"/>
            <scheme val="minor"/>
          </rPr>
          <t>Preserved from Kerry_Drydock_2027_Job_Workspace_Recovery_v2.xlsm | Jobs!M34. No new commercial figures or exchange rates have been entered.</t>
        </r>
      </text>
    </comment>
    <comment ref="O34" authorId="0" shapeId="0" xr:uid="{00000000-0006-0000-0200-0000D1000000}">
      <text>
        <r>
          <rPr>
            <sz val="11"/>
            <color theme="1"/>
            <rFont val="Calibri"/>
            <family val="2"/>
            <scheme val="minor"/>
          </rPr>
          <t>Preserved from Kerry_Drydock_2027_Job_Workspace_Recovery_v2.xlsm | Jobs!O34. No new commercial figures or exchange rates have been entered.</t>
        </r>
      </text>
    </comment>
    <comment ref="A35" authorId="0" shapeId="0" xr:uid="{00000000-0006-0000-0200-0000D2000000}">
      <text>
        <r>
          <rPr>
            <sz val="11"/>
            <color theme="1"/>
            <rFont val="Calibri"/>
            <family val="2"/>
            <scheme val="minor"/>
          </rPr>
          <t>Preserved from Kerry_Drydock_2027_Job_Workspace_Recovery_v2.xlsm | Jobs!A35. No new commercial figures or exchange rates have been entered.</t>
        </r>
      </text>
    </comment>
    <comment ref="B35" authorId="0" shapeId="0" xr:uid="{00000000-0006-0000-0200-0000D3000000}">
      <text>
        <r>
          <rPr>
            <sz val="11"/>
            <color theme="1"/>
            <rFont val="Calibri"/>
            <family val="2"/>
            <scheme val="minor"/>
          </rPr>
          <t>Preserved from Kerry_Drydock_2027_Job_Workspace_Recovery_v2.xlsm | Jobs!B35. No new commercial figures or exchange rates have been entered.</t>
        </r>
      </text>
    </comment>
    <comment ref="C35" authorId="0" shapeId="0" xr:uid="{00000000-0006-0000-0200-0000D4000000}">
      <text>
        <r>
          <rPr>
            <sz val="11"/>
            <color theme="1"/>
            <rFont val="Calibri"/>
            <family val="2"/>
            <scheme val="minor"/>
          </rPr>
          <t>Preserved from Kerry_Drydock_2027_Job_Workspace_Recovery_v2.xlsm | Jobs!C35. No new commercial figures or exchange rates have been entered.</t>
        </r>
      </text>
    </comment>
    <comment ref="D35" authorId="0" shapeId="0" xr:uid="{00000000-0006-0000-0200-0000D5000000}">
      <text>
        <r>
          <rPr>
            <sz val="11"/>
            <color theme="1"/>
            <rFont val="Calibri"/>
            <family val="2"/>
            <scheme val="minor"/>
          </rPr>
          <t>Preserved from Kerry_Drydock_2027_Job_Workspace_Recovery_v2.xlsm | Jobs!D35. No new commercial figures or exchange rates have been entered.</t>
        </r>
      </text>
    </comment>
    <comment ref="I35" authorId="0" shapeId="0" xr:uid="{00000000-0006-0000-0200-0000D6000000}">
      <text>
        <r>
          <rPr>
            <sz val="11"/>
            <color theme="1"/>
            <rFont val="Calibri"/>
            <family val="2"/>
            <scheme val="minor"/>
          </rPr>
          <t>Preserved from Kerry_Drydock_2027_Job_Workspace_Recovery_v2.xlsm | Jobs!I35. No new commercial figures or exchange rates have been entered.</t>
        </r>
      </text>
    </comment>
    <comment ref="L35" authorId="0" shapeId="0" xr:uid="{00000000-0006-0000-0200-0000D7000000}">
      <text>
        <r>
          <rPr>
            <sz val="11"/>
            <color theme="1"/>
            <rFont val="Calibri"/>
            <family val="2"/>
            <scheme val="minor"/>
          </rPr>
          <t>Preserved from Kerry_Drydock_2027_Job_Workspace_Recovery_v2.xlsm | Jobs!L35. No new commercial figures or exchange rates have been entered.</t>
        </r>
      </text>
    </comment>
    <comment ref="M35" authorId="0" shapeId="0" xr:uid="{00000000-0006-0000-0200-0000D8000000}">
      <text>
        <r>
          <rPr>
            <sz val="11"/>
            <color theme="1"/>
            <rFont val="Calibri"/>
            <family val="2"/>
            <scheme val="minor"/>
          </rPr>
          <t>Preserved from Kerry_Drydock_2027_Job_Workspace_Recovery_v2.xlsm | Jobs!M35. No new commercial figures or exchange rates have been entered.</t>
        </r>
      </text>
    </comment>
    <comment ref="O35" authorId="0" shapeId="0" xr:uid="{00000000-0006-0000-0200-0000D9000000}">
      <text>
        <r>
          <rPr>
            <sz val="11"/>
            <color theme="1"/>
            <rFont val="Calibri"/>
            <family val="2"/>
            <scheme val="minor"/>
          </rPr>
          <t>Preserved from Kerry_Drydock_2027_Job_Workspace_Recovery_v2.xlsm | Jobs!O35. No new commercial figures or exchange rates have been entered.</t>
        </r>
      </text>
    </comment>
    <comment ref="A36" authorId="0" shapeId="0" xr:uid="{00000000-0006-0000-0200-0000DA000000}">
      <text>
        <r>
          <rPr>
            <sz val="11"/>
            <color theme="1"/>
            <rFont val="Calibri"/>
            <family val="2"/>
            <scheme val="minor"/>
          </rPr>
          <t>Preserved from Kerry_Drydock_2027_Job_Workspace_Recovery_v2.xlsm | Jobs!A36. No new commercial figures or exchange rates have been entered.</t>
        </r>
      </text>
    </comment>
    <comment ref="B36" authorId="0" shapeId="0" xr:uid="{00000000-0006-0000-0200-0000DB000000}">
      <text>
        <r>
          <rPr>
            <sz val="11"/>
            <color theme="1"/>
            <rFont val="Calibri"/>
            <family val="2"/>
            <scheme val="minor"/>
          </rPr>
          <t>Preserved from Kerry_Drydock_2027_Job_Workspace_Recovery_v2.xlsm | Jobs!B36. No new commercial figures or exchange rates have been entered.</t>
        </r>
      </text>
    </comment>
    <comment ref="C36" authorId="0" shapeId="0" xr:uid="{00000000-0006-0000-0200-0000DC000000}">
      <text>
        <r>
          <rPr>
            <sz val="11"/>
            <color theme="1"/>
            <rFont val="Calibri"/>
            <family val="2"/>
            <scheme val="minor"/>
          </rPr>
          <t>Preserved from Kerry_Drydock_2027_Job_Workspace_Recovery_v2.xlsm | Jobs!C36. No new commercial figures or exchange rates have been entered.</t>
        </r>
      </text>
    </comment>
    <comment ref="D36" authorId="0" shapeId="0" xr:uid="{00000000-0006-0000-0200-0000DD000000}">
      <text>
        <r>
          <rPr>
            <sz val="11"/>
            <color theme="1"/>
            <rFont val="Calibri"/>
            <family val="2"/>
            <scheme val="minor"/>
          </rPr>
          <t>Preserved from Kerry_Drydock_2027_Job_Workspace_Recovery_v2.xlsm | Jobs!D36. No new commercial figures or exchange rates have been entered.</t>
        </r>
      </text>
    </comment>
    <comment ref="I36" authorId="0" shapeId="0" xr:uid="{00000000-0006-0000-0200-0000DE000000}">
      <text>
        <r>
          <rPr>
            <sz val="11"/>
            <color theme="1"/>
            <rFont val="Calibri"/>
            <family val="2"/>
            <scheme val="minor"/>
          </rPr>
          <t>Preserved from Kerry_Drydock_2027_Job_Workspace_Recovery_v2.xlsm | Jobs!I36. No new commercial figures or exchange rates have been entered.</t>
        </r>
      </text>
    </comment>
    <comment ref="L36" authorId="0" shapeId="0" xr:uid="{00000000-0006-0000-0200-0000DF000000}">
      <text>
        <r>
          <rPr>
            <sz val="11"/>
            <color theme="1"/>
            <rFont val="Calibri"/>
            <family val="2"/>
            <scheme val="minor"/>
          </rPr>
          <t>Preserved from Kerry_Drydock_2027_Job_Workspace_Recovery_v2.xlsm | Jobs!L36. No new commercial figures or exchange rates have been entered.</t>
        </r>
      </text>
    </comment>
    <comment ref="M36" authorId="0" shapeId="0" xr:uid="{00000000-0006-0000-0200-0000E0000000}">
      <text>
        <r>
          <rPr>
            <sz val="11"/>
            <color theme="1"/>
            <rFont val="Calibri"/>
            <family val="2"/>
            <scheme val="minor"/>
          </rPr>
          <t>Preserved from Kerry_Drydock_2027_Job_Workspace_Recovery_v2.xlsm | Jobs!M36. No new commercial figures or exchange rates have been entered.</t>
        </r>
      </text>
    </comment>
    <comment ref="O36" authorId="0" shapeId="0" xr:uid="{00000000-0006-0000-0200-0000E1000000}">
      <text>
        <r>
          <rPr>
            <sz val="11"/>
            <color theme="1"/>
            <rFont val="Calibri"/>
            <family val="2"/>
            <scheme val="minor"/>
          </rPr>
          <t>Preserved from Kerry_Drydock_2027_Job_Workspace_Recovery_v2.xlsm | Jobs!O36. No new commercial figures or exchange rates have been entered.</t>
        </r>
      </text>
    </comment>
    <comment ref="A37" authorId="0" shapeId="0" xr:uid="{00000000-0006-0000-0200-0000E2000000}">
      <text>
        <r>
          <rPr>
            <sz val="11"/>
            <color theme="1"/>
            <rFont val="Calibri"/>
            <family val="2"/>
            <scheme val="minor"/>
          </rPr>
          <t>Preserved from Kerry_Drydock_2027_Job_Workspace_Recovery_v2.xlsm | Jobs!A37. No new commercial figures or exchange rates have been entered.</t>
        </r>
      </text>
    </comment>
    <comment ref="B37" authorId="0" shapeId="0" xr:uid="{00000000-0006-0000-0200-0000E3000000}">
      <text>
        <r>
          <rPr>
            <sz val="11"/>
            <color theme="1"/>
            <rFont val="Calibri"/>
            <family val="2"/>
            <scheme val="minor"/>
          </rPr>
          <t>Preserved from Kerry_Drydock_2027_Job_Workspace_Recovery_v2.xlsm | Jobs!B37. No new commercial figures or exchange rates have been entered.</t>
        </r>
      </text>
    </comment>
    <comment ref="C37" authorId="0" shapeId="0" xr:uid="{00000000-0006-0000-0200-0000E4000000}">
      <text>
        <r>
          <rPr>
            <sz val="11"/>
            <color theme="1"/>
            <rFont val="Calibri"/>
            <family val="2"/>
            <scheme val="minor"/>
          </rPr>
          <t>Preserved from Kerry_Drydock_2027_Job_Workspace_Recovery_v2.xlsm | Jobs!C37. No new commercial figures or exchange rates have been entered.</t>
        </r>
      </text>
    </comment>
    <comment ref="D37" authorId="0" shapeId="0" xr:uid="{00000000-0006-0000-0200-0000E5000000}">
      <text>
        <r>
          <rPr>
            <sz val="11"/>
            <color theme="1"/>
            <rFont val="Calibri"/>
            <family val="2"/>
            <scheme val="minor"/>
          </rPr>
          <t>Preserved from Kerry_Drydock_2027_Job_Workspace_Recovery_v2.xlsm | Jobs!D37. No new commercial figures or exchange rates have been entered.</t>
        </r>
      </text>
    </comment>
    <comment ref="I37" authorId="0" shapeId="0" xr:uid="{00000000-0006-0000-0200-0000E6000000}">
      <text>
        <r>
          <rPr>
            <sz val="11"/>
            <color theme="1"/>
            <rFont val="Calibri"/>
            <family val="2"/>
            <scheme val="minor"/>
          </rPr>
          <t>Preserved from Kerry_Drydock_2027_Job_Workspace_Recovery_v2.xlsm | Jobs!I37. No new commercial figures or exchange rates have been entered.</t>
        </r>
      </text>
    </comment>
    <comment ref="L37" authorId="0" shapeId="0" xr:uid="{00000000-0006-0000-0200-0000E7000000}">
      <text>
        <r>
          <rPr>
            <sz val="11"/>
            <color theme="1"/>
            <rFont val="Calibri"/>
            <family val="2"/>
            <scheme val="minor"/>
          </rPr>
          <t>Preserved from Kerry_Drydock_2027_Job_Workspace_Recovery_v2.xlsm | Jobs!L37. No new commercial figures or exchange rates have been entered.</t>
        </r>
      </text>
    </comment>
    <comment ref="M37" authorId="0" shapeId="0" xr:uid="{00000000-0006-0000-0200-0000E8000000}">
      <text>
        <r>
          <rPr>
            <sz val="11"/>
            <color theme="1"/>
            <rFont val="Calibri"/>
            <family val="2"/>
            <scheme val="minor"/>
          </rPr>
          <t>Preserved from Kerry_Drydock_2027_Job_Workspace_Recovery_v2.xlsm | Jobs!M37. No new commercial figures or exchange rates have been entered.</t>
        </r>
      </text>
    </comment>
    <comment ref="O37" authorId="0" shapeId="0" xr:uid="{00000000-0006-0000-0200-0000E9000000}">
      <text>
        <r>
          <rPr>
            <sz val="11"/>
            <color theme="1"/>
            <rFont val="Calibri"/>
            <family val="2"/>
            <scheme val="minor"/>
          </rPr>
          <t>Preserved from Kerry_Drydock_2027_Job_Workspace_Recovery_v2.xlsm | Jobs!O37. No new commercial figures or exchange rates have been entered.</t>
        </r>
      </text>
    </comment>
    <comment ref="A38" authorId="0" shapeId="0" xr:uid="{00000000-0006-0000-0200-0000EA000000}">
      <text>
        <r>
          <rPr>
            <sz val="11"/>
            <color theme="1"/>
            <rFont val="Calibri"/>
            <family val="2"/>
            <scheme val="minor"/>
          </rPr>
          <t>Preserved from Kerry_Drydock_2027_Job_Workspace_Recovery_v2.xlsm | Jobs!A38. No new commercial figures or exchange rates have been entered.</t>
        </r>
      </text>
    </comment>
    <comment ref="B38" authorId="0" shapeId="0" xr:uid="{00000000-0006-0000-0200-0000EB000000}">
      <text>
        <r>
          <rPr>
            <sz val="11"/>
            <color theme="1"/>
            <rFont val="Calibri"/>
            <family val="2"/>
            <scheme val="minor"/>
          </rPr>
          <t>Preserved from Kerry_Drydock_2027_Job_Workspace_Recovery_v2.xlsm | Jobs!B38. No new commercial figures or exchange rates have been entered.</t>
        </r>
      </text>
    </comment>
    <comment ref="C38" authorId="0" shapeId="0" xr:uid="{00000000-0006-0000-0200-0000EC000000}">
      <text>
        <r>
          <rPr>
            <sz val="11"/>
            <color theme="1"/>
            <rFont val="Calibri"/>
            <family val="2"/>
            <scheme val="minor"/>
          </rPr>
          <t>Preserved from Kerry_Drydock_2027_Job_Workspace_Recovery_v2.xlsm | Jobs!C38. No new commercial figures or exchange rates have been entered.</t>
        </r>
      </text>
    </comment>
    <comment ref="D38" authorId="0" shapeId="0" xr:uid="{00000000-0006-0000-0200-0000ED000000}">
      <text>
        <r>
          <rPr>
            <sz val="11"/>
            <color theme="1"/>
            <rFont val="Calibri"/>
            <family val="2"/>
            <scheme val="minor"/>
          </rPr>
          <t>Preserved from Kerry_Drydock_2027_Job_Workspace_Recovery_v2.xlsm | Jobs!D38. No new commercial figures or exchange rates have been entered.</t>
        </r>
      </text>
    </comment>
    <comment ref="I38" authorId="0" shapeId="0" xr:uid="{00000000-0006-0000-0200-0000EE000000}">
      <text>
        <r>
          <rPr>
            <sz val="11"/>
            <color theme="1"/>
            <rFont val="Calibri"/>
            <family val="2"/>
            <scheme val="minor"/>
          </rPr>
          <t>Preserved from Kerry_Drydock_2027_Job_Workspace_Recovery_v2.xlsm | Jobs!I38. No new commercial figures or exchange rates have been entered.</t>
        </r>
      </text>
    </comment>
    <comment ref="L38" authorId="0" shapeId="0" xr:uid="{00000000-0006-0000-0200-0000EF000000}">
      <text>
        <r>
          <rPr>
            <sz val="11"/>
            <color theme="1"/>
            <rFont val="Calibri"/>
            <family val="2"/>
            <scheme val="minor"/>
          </rPr>
          <t>Preserved from Kerry_Drydock_2027_Job_Workspace_Recovery_v2.xlsm | Jobs!L38. No new commercial figures or exchange rates have been entered.</t>
        </r>
      </text>
    </comment>
    <comment ref="M38" authorId="0" shapeId="0" xr:uid="{00000000-0006-0000-0200-0000F0000000}">
      <text>
        <r>
          <rPr>
            <sz val="11"/>
            <color theme="1"/>
            <rFont val="Calibri"/>
            <family val="2"/>
            <scheme val="minor"/>
          </rPr>
          <t>Preserved from Kerry_Drydock_2027_Job_Workspace_Recovery_v2.xlsm | Jobs!M38. No new commercial figures or exchange rates have been entered.</t>
        </r>
      </text>
    </comment>
    <comment ref="O38" authorId="0" shapeId="0" xr:uid="{00000000-0006-0000-0200-0000F1000000}">
      <text>
        <r>
          <rPr>
            <sz val="11"/>
            <color theme="1"/>
            <rFont val="Calibri"/>
            <family val="2"/>
            <scheme val="minor"/>
          </rPr>
          <t>Preserved from Kerry_Drydock_2027_Job_Workspace_Recovery_v2.xlsm | Jobs!O38. No new commercial figures or exchange rates have been entered.</t>
        </r>
      </text>
    </comment>
    <comment ref="A39" authorId="0" shapeId="0" xr:uid="{00000000-0006-0000-0200-0000F2000000}">
      <text>
        <r>
          <rPr>
            <sz val="11"/>
            <color theme="1"/>
            <rFont val="Calibri"/>
            <family val="2"/>
            <scheme val="minor"/>
          </rPr>
          <t>Preserved from Kerry_Drydock_2027_Job_Workspace_Recovery_v2.xlsm | Jobs!A39. No new commercial figures or exchange rates have been entered.</t>
        </r>
      </text>
    </comment>
    <comment ref="B39" authorId="0" shapeId="0" xr:uid="{00000000-0006-0000-0200-0000F3000000}">
      <text>
        <r>
          <rPr>
            <sz val="11"/>
            <color theme="1"/>
            <rFont val="Calibri"/>
            <family val="2"/>
            <scheme val="minor"/>
          </rPr>
          <t>Preserved from Kerry_Drydock_2027_Job_Workspace_Recovery_v2.xlsm | Jobs!B39. No new commercial figures or exchange rates have been entered.</t>
        </r>
      </text>
    </comment>
    <comment ref="C39" authorId="0" shapeId="0" xr:uid="{00000000-0006-0000-0200-0000F4000000}">
      <text>
        <r>
          <rPr>
            <sz val="11"/>
            <color theme="1"/>
            <rFont val="Calibri"/>
            <family val="2"/>
            <scheme val="minor"/>
          </rPr>
          <t>Preserved from Kerry_Drydock_2027_Job_Workspace_Recovery_v2.xlsm | Jobs!C39. No new commercial figures or exchange rates have been entered.</t>
        </r>
      </text>
    </comment>
    <comment ref="D39" authorId="0" shapeId="0" xr:uid="{00000000-0006-0000-0200-0000F5000000}">
      <text>
        <r>
          <rPr>
            <sz val="11"/>
            <color theme="1"/>
            <rFont val="Calibri"/>
            <family val="2"/>
            <scheme val="minor"/>
          </rPr>
          <t>Preserved from Kerry_Drydock_2027_Job_Workspace_Recovery_v2.xlsm | Jobs!D39. No new commercial figures or exchange rates have been entered.</t>
        </r>
      </text>
    </comment>
    <comment ref="I39" authorId="0" shapeId="0" xr:uid="{00000000-0006-0000-0200-0000F6000000}">
      <text>
        <r>
          <rPr>
            <sz val="11"/>
            <color theme="1"/>
            <rFont val="Calibri"/>
            <family val="2"/>
            <scheme val="minor"/>
          </rPr>
          <t>Preserved from Kerry_Drydock_2027_Job_Workspace_Recovery_v2.xlsm | Jobs!I39. No new commercial figures or exchange rates have been entered.</t>
        </r>
      </text>
    </comment>
    <comment ref="L39" authorId="0" shapeId="0" xr:uid="{00000000-0006-0000-0200-0000F7000000}">
      <text>
        <r>
          <rPr>
            <sz val="11"/>
            <color theme="1"/>
            <rFont val="Calibri"/>
            <family val="2"/>
            <scheme val="minor"/>
          </rPr>
          <t>Preserved from Kerry_Drydock_2027_Job_Workspace_Recovery_v2.xlsm | Jobs!L39. No new commercial figures or exchange rates have been entered.</t>
        </r>
      </text>
    </comment>
    <comment ref="M39" authorId="0" shapeId="0" xr:uid="{00000000-0006-0000-0200-0000F8000000}">
      <text>
        <r>
          <rPr>
            <sz val="11"/>
            <color theme="1"/>
            <rFont val="Calibri"/>
            <family val="2"/>
            <scheme val="minor"/>
          </rPr>
          <t>Preserved from Kerry_Drydock_2027_Job_Workspace_Recovery_v2.xlsm | Jobs!M39. No new commercial figures or exchange rates have been entered.</t>
        </r>
      </text>
    </comment>
    <comment ref="O39" authorId="0" shapeId="0" xr:uid="{00000000-0006-0000-0200-0000F9000000}">
      <text>
        <r>
          <rPr>
            <sz val="11"/>
            <color theme="1"/>
            <rFont val="Calibri"/>
            <family val="2"/>
            <scheme val="minor"/>
          </rPr>
          <t>Preserved from Kerry_Drydock_2027_Job_Workspace_Recovery_v2.xlsm | Jobs!O39. No new commercial figures or exchange rates have been entered.</t>
        </r>
      </text>
    </comment>
    <comment ref="A40" authorId="0" shapeId="0" xr:uid="{00000000-0006-0000-0200-0000FA000000}">
      <text>
        <r>
          <rPr>
            <sz val="11"/>
            <color theme="1"/>
            <rFont val="Calibri"/>
            <family val="2"/>
            <scheme val="minor"/>
          </rPr>
          <t>Preserved from Kerry_Drydock_2027_Job_Workspace_Recovery_v2.xlsm | Jobs!A40. No new commercial figures or exchange rates have been entered.</t>
        </r>
      </text>
    </comment>
    <comment ref="B40" authorId="0" shapeId="0" xr:uid="{00000000-0006-0000-0200-0000FB000000}">
      <text>
        <r>
          <rPr>
            <sz val="11"/>
            <color theme="1"/>
            <rFont val="Calibri"/>
            <family val="2"/>
            <scheme val="minor"/>
          </rPr>
          <t>Preserved from Kerry_Drydock_2027_Job_Workspace_Recovery_v2.xlsm | Jobs!B40. No new commercial figures or exchange rates have been entered.</t>
        </r>
      </text>
    </comment>
    <comment ref="C40" authorId="0" shapeId="0" xr:uid="{00000000-0006-0000-0200-0000FC000000}">
      <text>
        <r>
          <rPr>
            <sz val="11"/>
            <color theme="1"/>
            <rFont val="Calibri"/>
            <family val="2"/>
            <scheme val="minor"/>
          </rPr>
          <t>Preserved from Kerry_Drydock_2027_Job_Workspace_Recovery_v2.xlsm | Jobs!C40. No new commercial figures or exchange rates have been entered.</t>
        </r>
      </text>
    </comment>
    <comment ref="D40" authorId="0" shapeId="0" xr:uid="{00000000-0006-0000-0200-0000FD000000}">
      <text>
        <r>
          <rPr>
            <sz val="11"/>
            <color theme="1"/>
            <rFont val="Calibri"/>
            <family val="2"/>
            <scheme val="minor"/>
          </rPr>
          <t>Preserved from Kerry_Drydock_2027_Job_Workspace_Recovery_v2.xlsm | Jobs!D40. No new commercial figures or exchange rates have been entered.</t>
        </r>
      </text>
    </comment>
    <comment ref="I40" authorId="0" shapeId="0" xr:uid="{00000000-0006-0000-0200-0000FE000000}">
      <text>
        <r>
          <rPr>
            <sz val="11"/>
            <color theme="1"/>
            <rFont val="Calibri"/>
            <family val="2"/>
            <scheme val="minor"/>
          </rPr>
          <t>Preserved from Kerry_Drydock_2027_Job_Workspace_Recovery_v2.xlsm | Jobs!I40. No new commercial figures or exchange rates have been entered.</t>
        </r>
      </text>
    </comment>
    <comment ref="L40" authorId="0" shapeId="0" xr:uid="{00000000-0006-0000-0200-0000FF000000}">
      <text>
        <r>
          <rPr>
            <sz val="11"/>
            <color theme="1"/>
            <rFont val="Calibri"/>
            <family val="2"/>
            <scheme val="minor"/>
          </rPr>
          <t>Preserved from Kerry_Drydock_2027_Job_Workspace_Recovery_v2.xlsm | Jobs!L40. No new commercial figures or exchange rates have been entered.</t>
        </r>
      </text>
    </comment>
    <comment ref="M40" authorId="0" shapeId="0" xr:uid="{00000000-0006-0000-0200-000000010000}">
      <text>
        <r>
          <rPr>
            <sz val="11"/>
            <color theme="1"/>
            <rFont val="Calibri"/>
            <family val="2"/>
            <scheme val="minor"/>
          </rPr>
          <t>Preserved from Kerry_Drydock_2027_Job_Workspace_Recovery_v2.xlsm | Jobs!M40. No new commercial figures or exchange rates have been entered.</t>
        </r>
      </text>
    </comment>
    <comment ref="O40" authorId="0" shapeId="0" xr:uid="{00000000-0006-0000-0200-000001010000}">
      <text>
        <r>
          <rPr>
            <sz val="11"/>
            <color theme="1"/>
            <rFont val="Calibri"/>
            <family val="2"/>
            <scheme val="minor"/>
          </rPr>
          <t>Preserved from Kerry_Drydock_2027_Job_Workspace_Recovery_v2.xlsm | Jobs!O40. No new commercial figures or exchange rates have been entered.</t>
        </r>
      </text>
    </comment>
    <comment ref="P40" authorId="0" shapeId="0" xr:uid="{00000000-0006-0000-0200-000002010000}">
      <text>
        <r>
          <rPr>
            <sz val="11"/>
            <color theme="1"/>
            <rFont val="Calibri"/>
            <family val="2"/>
            <scheme val="minor"/>
          </rPr>
          <t>Preserved from Kerry_Drydock_2027_Job_Workspace_Recovery_v2.xlsm | Jobs!P40. No new commercial figures or exchange rates have been entered.</t>
        </r>
      </text>
    </comment>
    <comment ref="A41" authorId="0" shapeId="0" xr:uid="{00000000-0006-0000-0200-000003010000}">
      <text>
        <r>
          <rPr>
            <sz val="11"/>
            <color theme="1"/>
            <rFont val="Calibri"/>
            <family val="2"/>
            <scheme val="minor"/>
          </rPr>
          <t>Preserved from Kerry_Drydock_2027_Job_Workspace_Recovery_v2.xlsm | Jobs!A41. No new commercial figures or exchange rates have been entered.</t>
        </r>
      </text>
    </comment>
    <comment ref="B41" authorId="0" shapeId="0" xr:uid="{00000000-0006-0000-0200-000004010000}">
      <text>
        <r>
          <rPr>
            <sz val="11"/>
            <color theme="1"/>
            <rFont val="Calibri"/>
            <family val="2"/>
            <scheme val="minor"/>
          </rPr>
          <t>Preserved from Kerry_Drydock_2027_Job_Workspace_Recovery_v2.xlsm | Jobs!B41. No new commercial figures or exchange rates have been entered.</t>
        </r>
      </text>
    </comment>
    <comment ref="C41" authorId="0" shapeId="0" xr:uid="{00000000-0006-0000-0200-000005010000}">
      <text>
        <r>
          <rPr>
            <sz val="11"/>
            <color theme="1"/>
            <rFont val="Calibri"/>
            <family val="2"/>
            <scheme val="minor"/>
          </rPr>
          <t>Preserved from Kerry_Drydock_2027_Job_Workspace_Recovery_v2.xlsm | Jobs!C41. No new commercial figures or exchange rates have been entered.</t>
        </r>
      </text>
    </comment>
    <comment ref="D41" authorId="0" shapeId="0" xr:uid="{00000000-0006-0000-0200-000006010000}">
      <text>
        <r>
          <rPr>
            <sz val="11"/>
            <color theme="1"/>
            <rFont val="Calibri"/>
            <family val="2"/>
            <scheme val="minor"/>
          </rPr>
          <t>Preserved from Kerry_Drydock_2027_Job_Workspace_Recovery_v2.xlsm | Jobs!D41. No new commercial figures or exchange rates have been entered.</t>
        </r>
      </text>
    </comment>
    <comment ref="I41" authorId="0" shapeId="0" xr:uid="{00000000-0006-0000-0200-000007010000}">
      <text>
        <r>
          <rPr>
            <sz val="11"/>
            <color theme="1"/>
            <rFont val="Calibri"/>
            <family val="2"/>
            <scheme val="minor"/>
          </rPr>
          <t>Preserved from Kerry_Drydock_2027_Job_Workspace_Recovery_v2.xlsm | Jobs!I41. No new commercial figures or exchange rates have been entered.</t>
        </r>
      </text>
    </comment>
    <comment ref="L41" authorId="0" shapeId="0" xr:uid="{00000000-0006-0000-0200-000008010000}">
      <text>
        <r>
          <rPr>
            <sz val="11"/>
            <color theme="1"/>
            <rFont val="Calibri"/>
            <family val="2"/>
            <scheme val="minor"/>
          </rPr>
          <t>Preserved from Kerry_Drydock_2027_Job_Workspace_Recovery_v2.xlsm | Jobs!L41. No new commercial figures or exchange rates have been entered.</t>
        </r>
      </text>
    </comment>
    <comment ref="M41" authorId="0" shapeId="0" xr:uid="{00000000-0006-0000-0200-000009010000}">
      <text>
        <r>
          <rPr>
            <sz val="11"/>
            <color theme="1"/>
            <rFont val="Calibri"/>
            <family val="2"/>
            <scheme val="minor"/>
          </rPr>
          <t>Preserved from Kerry_Drydock_2027_Job_Workspace_Recovery_v2.xlsm | Jobs!M41. No new commercial figures or exchange rates have been entered.</t>
        </r>
      </text>
    </comment>
    <comment ref="O41" authorId="0" shapeId="0" xr:uid="{00000000-0006-0000-0200-00000A010000}">
      <text>
        <r>
          <rPr>
            <sz val="11"/>
            <color theme="1"/>
            <rFont val="Calibri"/>
            <family val="2"/>
            <scheme val="minor"/>
          </rPr>
          <t>Preserved from Kerry_Drydock_2027_Job_Workspace_Recovery_v2.xlsm | Jobs!O41. No new commercial figures or exchange rates have been entered.</t>
        </r>
      </text>
    </comment>
    <comment ref="A42" authorId="0" shapeId="0" xr:uid="{00000000-0006-0000-0200-00000B010000}">
      <text>
        <r>
          <rPr>
            <sz val="11"/>
            <color theme="1"/>
            <rFont val="Calibri"/>
            <family val="2"/>
            <scheme val="minor"/>
          </rPr>
          <t>Preserved from Kerry_Drydock_2027_Job_Workspace_Recovery_v2.xlsm | Jobs!A42. No new commercial figures or exchange rates have been entered.</t>
        </r>
      </text>
    </comment>
    <comment ref="B42" authorId="0" shapeId="0" xr:uid="{00000000-0006-0000-0200-00000C010000}">
      <text>
        <r>
          <rPr>
            <sz val="11"/>
            <color theme="1"/>
            <rFont val="Calibri"/>
            <family val="2"/>
            <scheme val="minor"/>
          </rPr>
          <t>Preserved from Kerry_Drydock_2027_Job_Workspace_Recovery_v2.xlsm | Jobs!B42. No new commercial figures or exchange rates have been entered.</t>
        </r>
      </text>
    </comment>
    <comment ref="C42" authorId="0" shapeId="0" xr:uid="{00000000-0006-0000-0200-00000D010000}">
      <text>
        <r>
          <rPr>
            <sz val="11"/>
            <color theme="1"/>
            <rFont val="Calibri"/>
            <family val="2"/>
            <scheme val="minor"/>
          </rPr>
          <t>Preserved from Kerry_Drydock_2027_Job_Workspace_Recovery_v2.xlsm | Jobs!C42. No new commercial figures or exchange rates have been entered.</t>
        </r>
      </text>
    </comment>
    <comment ref="D42" authorId="0" shapeId="0" xr:uid="{00000000-0006-0000-0200-00000E010000}">
      <text>
        <r>
          <rPr>
            <sz val="11"/>
            <color theme="1"/>
            <rFont val="Calibri"/>
            <family val="2"/>
            <scheme val="minor"/>
          </rPr>
          <t>Preserved from Kerry_Drydock_2027_Job_Workspace_Recovery_v2.xlsm | Jobs!D42. No new commercial figures or exchange rates have been entered.</t>
        </r>
      </text>
    </comment>
    <comment ref="I42" authorId="0" shapeId="0" xr:uid="{00000000-0006-0000-0200-00000F010000}">
      <text>
        <r>
          <rPr>
            <sz val="11"/>
            <color theme="1"/>
            <rFont val="Calibri"/>
            <family val="2"/>
            <scheme val="minor"/>
          </rPr>
          <t>Preserved from Kerry_Drydock_2027_Job_Workspace_Recovery_v2.xlsm | Jobs!I42. No new commercial figures or exchange rates have been entered.</t>
        </r>
      </text>
    </comment>
    <comment ref="L42" authorId="0" shapeId="0" xr:uid="{00000000-0006-0000-0200-000010010000}">
      <text>
        <r>
          <rPr>
            <sz val="11"/>
            <color theme="1"/>
            <rFont val="Calibri"/>
            <family val="2"/>
            <scheme val="minor"/>
          </rPr>
          <t>Preserved from Kerry_Drydock_2027_Job_Workspace_Recovery_v2.xlsm | Jobs!L42. No new commercial figures or exchange rates have been entered.</t>
        </r>
      </text>
    </comment>
    <comment ref="M42" authorId="0" shapeId="0" xr:uid="{00000000-0006-0000-0200-000011010000}">
      <text>
        <r>
          <rPr>
            <sz val="11"/>
            <color theme="1"/>
            <rFont val="Calibri"/>
            <family val="2"/>
            <scheme val="minor"/>
          </rPr>
          <t>Preserved from Kerry_Drydock_2027_Job_Workspace_Recovery_v2.xlsm | Jobs!M42. No new commercial figures or exchange rates have been entered.</t>
        </r>
      </text>
    </comment>
    <comment ref="O42" authorId="0" shapeId="0" xr:uid="{00000000-0006-0000-0200-000012010000}">
      <text>
        <r>
          <rPr>
            <sz val="11"/>
            <color theme="1"/>
            <rFont val="Calibri"/>
            <family val="2"/>
            <scheme val="minor"/>
          </rPr>
          <t>Preserved from Kerry_Drydock_2027_Job_Workspace_Recovery_v2.xlsm | Jobs!O42. No new commercial figures or exchange rates have been entered.</t>
        </r>
      </text>
    </comment>
    <comment ref="A43" authorId="0" shapeId="0" xr:uid="{00000000-0006-0000-0200-000013010000}">
      <text>
        <r>
          <rPr>
            <sz val="11"/>
            <color theme="1"/>
            <rFont val="Calibri"/>
            <family val="2"/>
            <scheme val="minor"/>
          </rPr>
          <t>Preserved from Kerry_Drydock_2027_Job_Workspace_Recovery_v2.xlsm | Jobs!A43. No new commercial figures or exchange rates have been entered.</t>
        </r>
      </text>
    </comment>
    <comment ref="B43" authorId="0" shapeId="0" xr:uid="{00000000-0006-0000-0200-000014010000}">
      <text>
        <r>
          <rPr>
            <sz val="11"/>
            <color theme="1"/>
            <rFont val="Calibri"/>
            <family val="2"/>
            <scheme val="minor"/>
          </rPr>
          <t>Preserved from Kerry_Drydock_2027_Job_Workspace_Recovery_v2.xlsm | Jobs!B43. No new commercial figures or exchange rates have been entered.</t>
        </r>
      </text>
    </comment>
    <comment ref="C43" authorId="0" shapeId="0" xr:uid="{00000000-0006-0000-0200-000015010000}">
      <text>
        <r>
          <rPr>
            <sz val="11"/>
            <color theme="1"/>
            <rFont val="Calibri"/>
            <family val="2"/>
            <scheme val="minor"/>
          </rPr>
          <t>Preserved from Kerry_Drydock_2027_Job_Workspace_Recovery_v2.xlsm | Jobs!C43. No new commercial figures or exchange rates have been entered.</t>
        </r>
      </text>
    </comment>
    <comment ref="D43" authorId="0" shapeId="0" xr:uid="{00000000-0006-0000-0200-000016010000}">
      <text>
        <r>
          <rPr>
            <sz val="11"/>
            <color theme="1"/>
            <rFont val="Calibri"/>
            <family val="2"/>
            <scheme val="minor"/>
          </rPr>
          <t>Preserved from Kerry_Drydock_2027_Job_Workspace_Recovery_v2.xlsm | Jobs!D43. No new commercial figures or exchange rates have been entered.</t>
        </r>
      </text>
    </comment>
    <comment ref="I43" authorId="0" shapeId="0" xr:uid="{00000000-0006-0000-0200-000017010000}">
      <text>
        <r>
          <rPr>
            <sz val="11"/>
            <color theme="1"/>
            <rFont val="Calibri"/>
            <family val="2"/>
            <scheme val="minor"/>
          </rPr>
          <t>Preserved from Kerry_Drydock_2027_Job_Workspace_Recovery_v2.xlsm | Jobs!I43. No new commercial figures or exchange rates have been entered.</t>
        </r>
      </text>
    </comment>
    <comment ref="L43" authorId="0" shapeId="0" xr:uid="{00000000-0006-0000-0200-000018010000}">
      <text>
        <r>
          <rPr>
            <sz val="11"/>
            <color theme="1"/>
            <rFont val="Calibri"/>
            <family val="2"/>
            <scheme val="minor"/>
          </rPr>
          <t>Preserved from Kerry_Drydock_2027_Job_Workspace_Recovery_v2.xlsm | Jobs!L43. No new commercial figures or exchange rates have been entered.</t>
        </r>
      </text>
    </comment>
    <comment ref="M43" authorId="0" shapeId="0" xr:uid="{00000000-0006-0000-0200-000019010000}">
      <text>
        <r>
          <rPr>
            <sz val="11"/>
            <color theme="1"/>
            <rFont val="Calibri"/>
            <family val="2"/>
            <scheme val="minor"/>
          </rPr>
          <t>Preserved from Kerry_Drydock_2027_Job_Workspace_Recovery_v2.xlsm | Jobs!M43. No new commercial figures or exchange rates have been entered.</t>
        </r>
      </text>
    </comment>
    <comment ref="O43" authorId="0" shapeId="0" xr:uid="{00000000-0006-0000-0200-00001A010000}">
      <text>
        <r>
          <rPr>
            <sz val="11"/>
            <color theme="1"/>
            <rFont val="Calibri"/>
            <family val="2"/>
            <scheme val="minor"/>
          </rPr>
          <t>Preserved from Kerry_Drydock_2027_Job_Workspace_Recovery_v2.xlsm | Jobs!O43. No new commercial figures or exchange rates have been entered.</t>
        </r>
      </text>
    </comment>
    <comment ref="A44" authorId="0" shapeId="0" xr:uid="{00000000-0006-0000-0200-00001B010000}">
      <text>
        <r>
          <rPr>
            <sz val="11"/>
            <color theme="1"/>
            <rFont val="Calibri"/>
            <family val="2"/>
            <scheme val="minor"/>
          </rPr>
          <t>Preserved from Kerry_Drydock_2027_Job_Workspace_Recovery_v2.xlsm | Jobs!A44. No new commercial figures or exchange rates have been entered.</t>
        </r>
      </text>
    </comment>
    <comment ref="B44" authorId="0" shapeId="0" xr:uid="{00000000-0006-0000-0200-00001C010000}">
      <text>
        <r>
          <rPr>
            <sz val="11"/>
            <color theme="1"/>
            <rFont val="Calibri"/>
            <family val="2"/>
            <scheme val="minor"/>
          </rPr>
          <t>Preserved from Kerry_Drydock_2027_Job_Workspace_Recovery_v2.xlsm | Jobs!B44. No new commercial figures or exchange rates have been entered.</t>
        </r>
      </text>
    </comment>
    <comment ref="C44" authorId="0" shapeId="0" xr:uid="{00000000-0006-0000-0200-00001D010000}">
      <text>
        <r>
          <rPr>
            <sz val="11"/>
            <color theme="1"/>
            <rFont val="Calibri"/>
            <family val="2"/>
            <scheme val="minor"/>
          </rPr>
          <t>Preserved from Kerry_Drydock_2027_Job_Workspace_Recovery_v2.xlsm | Jobs!C44. No new commercial figures or exchange rates have been entered.</t>
        </r>
      </text>
    </comment>
    <comment ref="D44" authorId="0" shapeId="0" xr:uid="{00000000-0006-0000-0200-00001E010000}">
      <text>
        <r>
          <rPr>
            <sz val="11"/>
            <color theme="1"/>
            <rFont val="Calibri"/>
            <family val="2"/>
            <scheme val="minor"/>
          </rPr>
          <t>Preserved from Kerry_Drydock_2027_Job_Workspace_Recovery_v2.xlsm | Jobs!D44. No new commercial figures or exchange rates have been entered.</t>
        </r>
      </text>
    </comment>
    <comment ref="I44" authorId="0" shapeId="0" xr:uid="{00000000-0006-0000-0200-00001F010000}">
      <text>
        <r>
          <rPr>
            <sz val="11"/>
            <color theme="1"/>
            <rFont val="Calibri"/>
            <family val="2"/>
            <scheme val="minor"/>
          </rPr>
          <t>Preserved from Kerry_Drydock_2027_Job_Workspace_Recovery_v2.xlsm | Jobs!I44. No new commercial figures or exchange rates have been entered.</t>
        </r>
      </text>
    </comment>
    <comment ref="L44" authorId="0" shapeId="0" xr:uid="{00000000-0006-0000-0200-000020010000}">
      <text>
        <r>
          <rPr>
            <sz val="11"/>
            <color theme="1"/>
            <rFont val="Calibri"/>
            <family val="2"/>
            <scheme val="minor"/>
          </rPr>
          <t>Preserved from Kerry_Drydock_2027_Job_Workspace_Recovery_v2.xlsm | Jobs!L44. No new commercial figures or exchange rates have been entered.</t>
        </r>
      </text>
    </comment>
    <comment ref="M44" authorId="0" shapeId="0" xr:uid="{00000000-0006-0000-0200-000021010000}">
      <text>
        <r>
          <rPr>
            <sz val="11"/>
            <color theme="1"/>
            <rFont val="Calibri"/>
            <family val="2"/>
            <scheme val="minor"/>
          </rPr>
          <t>Preserved from Kerry_Drydock_2027_Job_Workspace_Recovery_v2.xlsm | Jobs!M44. No new commercial figures or exchange rates have been entered.</t>
        </r>
      </text>
    </comment>
    <comment ref="O44" authorId="0" shapeId="0" xr:uid="{00000000-0006-0000-0200-000022010000}">
      <text>
        <r>
          <rPr>
            <sz val="11"/>
            <color theme="1"/>
            <rFont val="Calibri"/>
            <family val="2"/>
            <scheme val="minor"/>
          </rPr>
          <t>Preserved from Kerry_Drydock_2027_Job_Workspace_Recovery_v2.xlsm | Jobs!O44. No new commercial figures or exchange rates have been entered.</t>
        </r>
      </text>
    </comment>
    <comment ref="A45" authorId="0" shapeId="0" xr:uid="{00000000-0006-0000-0200-000023010000}">
      <text>
        <r>
          <rPr>
            <sz val="11"/>
            <color theme="1"/>
            <rFont val="Calibri"/>
            <family val="2"/>
            <scheme val="minor"/>
          </rPr>
          <t>Preserved from Kerry_Drydock_2027_Job_Workspace_Recovery_v2.xlsm | Jobs!A45. No new commercial figures or exchange rates have been entered.</t>
        </r>
      </text>
    </comment>
    <comment ref="B45" authorId="0" shapeId="0" xr:uid="{00000000-0006-0000-0200-000024010000}">
      <text>
        <r>
          <rPr>
            <sz val="11"/>
            <color theme="1"/>
            <rFont val="Calibri"/>
            <family val="2"/>
            <scheme val="minor"/>
          </rPr>
          <t>Preserved from Kerry_Drydock_2027_Job_Workspace_Recovery_v2.xlsm | Jobs!B45. No new commercial figures or exchange rates have been entered.</t>
        </r>
      </text>
    </comment>
    <comment ref="C45" authorId="0" shapeId="0" xr:uid="{00000000-0006-0000-0200-000025010000}">
      <text>
        <r>
          <rPr>
            <sz val="11"/>
            <color theme="1"/>
            <rFont val="Calibri"/>
            <family val="2"/>
            <scheme val="minor"/>
          </rPr>
          <t>Preserved from Kerry_Drydock_2027_Job_Workspace_Recovery_v2.xlsm | Jobs!C45. No new commercial figures or exchange rates have been entered.</t>
        </r>
      </text>
    </comment>
    <comment ref="D45" authorId="0" shapeId="0" xr:uid="{00000000-0006-0000-0200-000026010000}">
      <text>
        <r>
          <rPr>
            <sz val="11"/>
            <color theme="1"/>
            <rFont val="Calibri"/>
            <family val="2"/>
            <scheme val="minor"/>
          </rPr>
          <t>Preserved from Kerry_Drydock_2027_Job_Workspace_Recovery_v2.xlsm | Jobs!D45. No new commercial figures or exchange rates have been entered.</t>
        </r>
      </text>
    </comment>
    <comment ref="I45" authorId="0" shapeId="0" xr:uid="{00000000-0006-0000-0200-000027010000}">
      <text>
        <r>
          <rPr>
            <sz val="11"/>
            <color theme="1"/>
            <rFont val="Calibri"/>
            <family val="2"/>
            <scheme val="minor"/>
          </rPr>
          <t>Preserved from Kerry_Drydock_2027_Job_Workspace_Recovery_v2.xlsm | Jobs!I45. No new commercial figures or exchange rates have been entered.</t>
        </r>
      </text>
    </comment>
    <comment ref="L45" authorId="0" shapeId="0" xr:uid="{00000000-0006-0000-0200-000028010000}">
      <text>
        <r>
          <rPr>
            <sz val="11"/>
            <color theme="1"/>
            <rFont val="Calibri"/>
            <family val="2"/>
            <scheme val="minor"/>
          </rPr>
          <t>Preserved from Kerry_Drydock_2027_Job_Workspace_Recovery_v2.xlsm | Jobs!L45. No new commercial figures or exchange rates have been entered.</t>
        </r>
      </text>
    </comment>
    <comment ref="M45" authorId="0" shapeId="0" xr:uid="{00000000-0006-0000-0200-000029010000}">
      <text>
        <r>
          <rPr>
            <sz val="11"/>
            <color theme="1"/>
            <rFont val="Calibri"/>
            <family val="2"/>
            <scheme val="minor"/>
          </rPr>
          <t>Preserved from Kerry_Drydock_2027_Job_Workspace_Recovery_v2.xlsm | Jobs!M45. No new commercial figures or exchange rates have been entered.</t>
        </r>
      </text>
    </comment>
    <comment ref="O45" authorId="0" shapeId="0" xr:uid="{00000000-0006-0000-0200-00002A010000}">
      <text>
        <r>
          <rPr>
            <sz val="11"/>
            <color theme="1"/>
            <rFont val="Calibri"/>
            <family val="2"/>
            <scheme val="minor"/>
          </rPr>
          <t>Preserved from Kerry_Drydock_2027_Job_Workspace_Recovery_v2.xlsm | Jobs!O45. No new commercial figures or exchange rates have been entered.</t>
        </r>
      </text>
    </comment>
    <comment ref="A46" authorId="0" shapeId="0" xr:uid="{00000000-0006-0000-0200-00002B010000}">
      <text>
        <r>
          <rPr>
            <sz val="11"/>
            <color theme="1"/>
            <rFont val="Calibri"/>
            <family val="2"/>
            <scheme val="minor"/>
          </rPr>
          <t>Preserved from Kerry_Drydock_2027_Job_Workspace_Recovery_v2.xlsm | Jobs!A46. No new commercial figures or exchange rates have been entered.</t>
        </r>
      </text>
    </comment>
    <comment ref="B46" authorId="0" shapeId="0" xr:uid="{00000000-0006-0000-0200-00002C010000}">
      <text>
        <r>
          <rPr>
            <sz val="11"/>
            <color theme="1"/>
            <rFont val="Calibri"/>
            <family val="2"/>
            <scheme val="minor"/>
          </rPr>
          <t>Preserved from Kerry_Drydock_2027_Job_Workspace_Recovery_v2.xlsm | Jobs!B46. No new commercial figures or exchange rates have been entered.</t>
        </r>
      </text>
    </comment>
    <comment ref="C46" authorId="0" shapeId="0" xr:uid="{00000000-0006-0000-0200-00002D010000}">
      <text>
        <r>
          <rPr>
            <sz val="11"/>
            <color theme="1"/>
            <rFont val="Calibri"/>
            <family val="2"/>
            <scheme val="minor"/>
          </rPr>
          <t>Preserved from Kerry_Drydock_2027_Job_Workspace_Recovery_v2.xlsm | Jobs!C46. No new commercial figures or exchange rates have been entered.</t>
        </r>
      </text>
    </comment>
    <comment ref="D46" authorId="0" shapeId="0" xr:uid="{00000000-0006-0000-0200-00002E010000}">
      <text>
        <r>
          <rPr>
            <sz val="11"/>
            <color theme="1"/>
            <rFont val="Calibri"/>
            <family val="2"/>
            <scheme val="minor"/>
          </rPr>
          <t>Preserved from Kerry_Drydock_2027_Job_Workspace_Recovery_v2.xlsm | Jobs!D46. No new commercial figures or exchange rates have been entered.</t>
        </r>
      </text>
    </comment>
    <comment ref="I46" authorId="0" shapeId="0" xr:uid="{00000000-0006-0000-0200-00002F010000}">
      <text>
        <r>
          <rPr>
            <sz val="11"/>
            <color theme="1"/>
            <rFont val="Calibri"/>
            <family val="2"/>
            <scheme val="minor"/>
          </rPr>
          <t>Preserved from Kerry_Drydock_2027_Job_Workspace_Recovery_v2.xlsm | Jobs!I46. No new commercial figures or exchange rates have been entered.</t>
        </r>
      </text>
    </comment>
    <comment ref="L46" authorId="0" shapeId="0" xr:uid="{00000000-0006-0000-0200-000030010000}">
      <text>
        <r>
          <rPr>
            <sz val="11"/>
            <color theme="1"/>
            <rFont val="Calibri"/>
            <family val="2"/>
            <scheme val="minor"/>
          </rPr>
          <t>Preserved from Kerry_Drydock_2027_Job_Workspace_Recovery_v2.xlsm | Jobs!L46. No new commercial figures or exchange rates have been entered.</t>
        </r>
      </text>
    </comment>
    <comment ref="M46" authorId="0" shapeId="0" xr:uid="{00000000-0006-0000-0200-000031010000}">
      <text>
        <r>
          <rPr>
            <sz val="11"/>
            <color theme="1"/>
            <rFont val="Calibri"/>
            <family val="2"/>
            <scheme val="minor"/>
          </rPr>
          <t>Preserved from Kerry_Drydock_2027_Job_Workspace_Recovery_v2.xlsm | Jobs!M46. No new commercial figures or exchange rates have been entered.</t>
        </r>
      </text>
    </comment>
    <comment ref="O46" authorId="0" shapeId="0" xr:uid="{00000000-0006-0000-0200-000032010000}">
      <text>
        <r>
          <rPr>
            <sz val="11"/>
            <color theme="1"/>
            <rFont val="Calibri"/>
            <family val="2"/>
            <scheme val="minor"/>
          </rPr>
          <t>Preserved from Kerry_Drydock_2027_Job_Workspace_Recovery_v2.xlsm | Jobs!O46. No new commercial figures or exchange rates have been entered.</t>
        </r>
      </text>
    </comment>
    <comment ref="A47" authorId="0" shapeId="0" xr:uid="{00000000-0006-0000-0200-000033010000}">
      <text>
        <r>
          <rPr>
            <sz val="11"/>
            <color theme="1"/>
            <rFont val="Calibri"/>
            <family val="2"/>
            <scheme val="minor"/>
          </rPr>
          <t>Preserved from Kerry_Drydock_2027_Job_Workspace_Recovery_v2.xlsm | Jobs!A47. No new commercial figures or exchange rates have been entered.</t>
        </r>
      </text>
    </comment>
    <comment ref="B47" authorId="0" shapeId="0" xr:uid="{00000000-0006-0000-0200-000034010000}">
      <text>
        <r>
          <rPr>
            <sz val="11"/>
            <color theme="1"/>
            <rFont val="Calibri"/>
            <family val="2"/>
            <scheme val="minor"/>
          </rPr>
          <t>Preserved from Kerry_Drydock_2027_Job_Workspace_Recovery_v2.xlsm | Jobs!B47. No new commercial figures or exchange rates have been entered.</t>
        </r>
      </text>
    </comment>
    <comment ref="C47" authorId="0" shapeId="0" xr:uid="{00000000-0006-0000-0200-000035010000}">
      <text>
        <r>
          <rPr>
            <sz val="11"/>
            <color theme="1"/>
            <rFont val="Calibri"/>
            <family val="2"/>
            <scheme val="minor"/>
          </rPr>
          <t>Preserved from Kerry_Drydock_2027_Job_Workspace_Recovery_v2.xlsm | Jobs!C47. No new commercial figures or exchange rates have been entered.</t>
        </r>
      </text>
    </comment>
    <comment ref="D47" authorId="0" shapeId="0" xr:uid="{00000000-0006-0000-0200-000036010000}">
      <text>
        <r>
          <rPr>
            <sz val="11"/>
            <color theme="1"/>
            <rFont val="Calibri"/>
            <family val="2"/>
            <scheme val="minor"/>
          </rPr>
          <t>Preserved from Kerry_Drydock_2027_Job_Workspace_Recovery_v2.xlsm | Jobs!D47. No new commercial figures or exchange rates have been entered.</t>
        </r>
      </text>
    </comment>
    <comment ref="I47" authorId="0" shapeId="0" xr:uid="{00000000-0006-0000-0200-000037010000}">
      <text>
        <r>
          <rPr>
            <sz val="11"/>
            <color theme="1"/>
            <rFont val="Calibri"/>
            <family val="2"/>
            <scheme val="minor"/>
          </rPr>
          <t>Preserved from Kerry_Drydock_2027_Job_Workspace_Recovery_v2.xlsm | Jobs!I47. No new commercial figures or exchange rates have been entered.</t>
        </r>
      </text>
    </comment>
    <comment ref="L47" authorId="0" shapeId="0" xr:uid="{00000000-0006-0000-0200-000038010000}">
      <text>
        <r>
          <rPr>
            <sz val="11"/>
            <color theme="1"/>
            <rFont val="Calibri"/>
            <family val="2"/>
            <scheme val="minor"/>
          </rPr>
          <t>Preserved from Kerry_Drydock_2027_Job_Workspace_Recovery_v2.xlsm | Jobs!L47. No new commercial figures or exchange rates have been entered.</t>
        </r>
      </text>
    </comment>
    <comment ref="M47" authorId="0" shapeId="0" xr:uid="{00000000-0006-0000-0200-000039010000}">
      <text>
        <r>
          <rPr>
            <sz val="11"/>
            <color theme="1"/>
            <rFont val="Calibri"/>
            <family val="2"/>
            <scheme val="minor"/>
          </rPr>
          <t>Preserved from Kerry_Drydock_2027_Job_Workspace_Recovery_v2.xlsm | Jobs!M47. No new commercial figures or exchange rates have been entered.</t>
        </r>
      </text>
    </comment>
    <comment ref="O47" authorId="0" shapeId="0" xr:uid="{00000000-0006-0000-0200-00003A010000}">
      <text>
        <r>
          <rPr>
            <sz val="11"/>
            <color theme="1"/>
            <rFont val="Calibri"/>
            <family val="2"/>
            <scheme val="minor"/>
          </rPr>
          <t>Preserved from Kerry_Drydock_2027_Job_Workspace_Recovery_v2.xlsm | Jobs!O47. No new commercial figures or exchange rates have been entered.</t>
        </r>
      </text>
    </comment>
    <comment ref="A48" authorId="0" shapeId="0" xr:uid="{00000000-0006-0000-0200-00003B010000}">
      <text>
        <r>
          <rPr>
            <sz val="11"/>
            <color theme="1"/>
            <rFont val="Calibri"/>
            <family val="2"/>
            <scheme val="minor"/>
          </rPr>
          <t>Preserved from Kerry_Drydock_2027_Job_Workspace_Recovery_v2.xlsm | Jobs!A48. No new commercial figures or exchange rates have been entered.</t>
        </r>
      </text>
    </comment>
    <comment ref="B48" authorId="0" shapeId="0" xr:uid="{00000000-0006-0000-0200-00003C010000}">
      <text>
        <r>
          <rPr>
            <sz val="11"/>
            <color theme="1"/>
            <rFont val="Calibri"/>
            <family val="2"/>
            <scheme val="minor"/>
          </rPr>
          <t>Preserved from Kerry_Drydock_2027_Job_Workspace_Recovery_v2.xlsm | Jobs!B48. No new commercial figures or exchange rates have been entered.</t>
        </r>
      </text>
    </comment>
    <comment ref="C48" authorId="0" shapeId="0" xr:uid="{00000000-0006-0000-0200-00003D010000}">
      <text>
        <r>
          <rPr>
            <sz val="11"/>
            <color theme="1"/>
            <rFont val="Calibri"/>
            <family val="2"/>
            <scheme val="minor"/>
          </rPr>
          <t>Preserved from Kerry_Drydock_2027_Job_Workspace_Recovery_v2.xlsm | Jobs!C48. No new commercial figures or exchange rates have been entered.</t>
        </r>
      </text>
    </comment>
    <comment ref="D48" authorId="0" shapeId="0" xr:uid="{00000000-0006-0000-0200-00003E010000}">
      <text>
        <r>
          <rPr>
            <sz val="11"/>
            <color theme="1"/>
            <rFont val="Calibri"/>
            <family val="2"/>
            <scheme val="minor"/>
          </rPr>
          <t>Preserved from Kerry_Drydock_2027_Job_Workspace_Recovery_v2.xlsm | Jobs!D48. No new commercial figures or exchange rates have been entered.</t>
        </r>
      </text>
    </comment>
    <comment ref="I48" authorId="0" shapeId="0" xr:uid="{00000000-0006-0000-0200-00003F010000}">
      <text>
        <r>
          <rPr>
            <sz val="11"/>
            <color theme="1"/>
            <rFont val="Calibri"/>
            <family val="2"/>
            <scheme val="minor"/>
          </rPr>
          <t>Preserved from Kerry_Drydock_2027_Job_Workspace_Recovery_v2.xlsm | Jobs!I48. No new commercial figures or exchange rates have been entered.</t>
        </r>
      </text>
    </comment>
    <comment ref="L48" authorId="0" shapeId="0" xr:uid="{00000000-0006-0000-0200-000040010000}">
      <text>
        <r>
          <rPr>
            <sz val="11"/>
            <color theme="1"/>
            <rFont val="Calibri"/>
            <family val="2"/>
            <scheme val="minor"/>
          </rPr>
          <t>Preserved from Kerry_Drydock_2027_Job_Workspace_Recovery_v2.xlsm | Jobs!L48. No new commercial figures or exchange rates have been entered.</t>
        </r>
      </text>
    </comment>
    <comment ref="M48" authorId="0" shapeId="0" xr:uid="{00000000-0006-0000-0200-000041010000}">
      <text>
        <r>
          <rPr>
            <sz val="11"/>
            <color theme="1"/>
            <rFont val="Calibri"/>
            <family val="2"/>
            <scheme val="minor"/>
          </rPr>
          <t>Preserved from Kerry_Drydock_2027_Job_Workspace_Recovery_v2.xlsm | Jobs!M48. No new commercial figures or exchange rates have been entered.</t>
        </r>
      </text>
    </comment>
    <comment ref="O48" authorId="0" shapeId="0" xr:uid="{00000000-0006-0000-0200-000042010000}">
      <text>
        <r>
          <rPr>
            <sz val="11"/>
            <color theme="1"/>
            <rFont val="Calibri"/>
            <family val="2"/>
            <scheme val="minor"/>
          </rPr>
          <t>Preserved from Kerry_Drydock_2027_Job_Workspace_Recovery_v2.xlsm | Jobs!O48. No new commercial figures or exchange rates have been entered.</t>
        </r>
      </text>
    </comment>
    <comment ref="A49" authorId="0" shapeId="0" xr:uid="{00000000-0006-0000-0200-000043010000}">
      <text>
        <r>
          <rPr>
            <sz val="11"/>
            <color theme="1"/>
            <rFont val="Calibri"/>
            <family val="2"/>
            <scheme val="minor"/>
          </rPr>
          <t>Preserved from Kerry_Drydock_2027_Job_Workspace_Recovery_v2.xlsm | Jobs!A49. No new commercial figures or exchange rates have been entered.</t>
        </r>
      </text>
    </comment>
    <comment ref="B49" authorId="0" shapeId="0" xr:uid="{00000000-0006-0000-0200-000044010000}">
      <text>
        <r>
          <rPr>
            <sz val="11"/>
            <color theme="1"/>
            <rFont val="Calibri"/>
            <family val="2"/>
            <scheme val="minor"/>
          </rPr>
          <t>Preserved from Kerry_Drydock_2027_Job_Workspace_Recovery_v2.xlsm | Jobs!B49. No new commercial figures or exchange rates have been entered.</t>
        </r>
      </text>
    </comment>
    <comment ref="C49" authorId="0" shapeId="0" xr:uid="{00000000-0006-0000-0200-000045010000}">
      <text>
        <r>
          <rPr>
            <sz val="11"/>
            <color theme="1"/>
            <rFont val="Calibri"/>
            <family val="2"/>
            <scheme val="minor"/>
          </rPr>
          <t>Preserved from Kerry_Drydock_2027_Job_Workspace_Recovery_v2.xlsm | Jobs!C49. No new commercial figures or exchange rates have been entered.</t>
        </r>
      </text>
    </comment>
    <comment ref="D49" authorId="0" shapeId="0" xr:uid="{00000000-0006-0000-0200-000046010000}">
      <text>
        <r>
          <rPr>
            <sz val="11"/>
            <color theme="1"/>
            <rFont val="Calibri"/>
            <family val="2"/>
            <scheme val="minor"/>
          </rPr>
          <t>Preserved from Kerry_Drydock_2027_Job_Workspace_Recovery_v2.xlsm | Jobs!D49. No new commercial figures or exchange rates have been entered.</t>
        </r>
      </text>
    </comment>
    <comment ref="I49" authorId="0" shapeId="0" xr:uid="{00000000-0006-0000-0200-000047010000}">
      <text>
        <r>
          <rPr>
            <sz val="11"/>
            <color theme="1"/>
            <rFont val="Calibri"/>
            <family val="2"/>
            <scheme val="minor"/>
          </rPr>
          <t>Preserved from Kerry_Drydock_2027_Job_Workspace_Recovery_v2.xlsm | Jobs!I49. No new commercial figures or exchange rates have been entered.</t>
        </r>
      </text>
    </comment>
    <comment ref="L49" authorId="0" shapeId="0" xr:uid="{00000000-0006-0000-0200-000048010000}">
      <text>
        <r>
          <rPr>
            <sz val="11"/>
            <color theme="1"/>
            <rFont val="Calibri"/>
            <family val="2"/>
            <scheme val="minor"/>
          </rPr>
          <t>Preserved from Kerry_Drydock_2027_Job_Workspace_Recovery_v2.xlsm | Jobs!L49. No new commercial figures or exchange rates have been entered.</t>
        </r>
      </text>
    </comment>
    <comment ref="M49" authorId="0" shapeId="0" xr:uid="{00000000-0006-0000-0200-000049010000}">
      <text>
        <r>
          <rPr>
            <sz val="11"/>
            <color theme="1"/>
            <rFont val="Calibri"/>
            <family val="2"/>
            <scheme val="minor"/>
          </rPr>
          <t>Preserved from Kerry_Drydock_2027_Job_Workspace_Recovery_v2.xlsm | Jobs!M49. No new commercial figures or exchange rates have been entered.</t>
        </r>
      </text>
    </comment>
    <comment ref="O49" authorId="0" shapeId="0" xr:uid="{00000000-0006-0000-0200-00004A010000}">
      <text>
        <r>
          <rPr>
            <sz val="11"/>
            <color theme="1"/>
            <rFont val="Calibri"/>
            <family val="2"/>
            <scheme val="minor"/>
          </rPr>
          <t>Preserved from Kerry_Drydock_2027_Job_Workspace_Recovery_v2.xlsm | Jobs!O49. No new commercial figures or exchange rates have been entered.</t>
        </r>
      </text>
    </comment>
    <comment ref="A50" authorId="0" shapeId="0" xr:uid="{00000000-0006-0000-0200-00004B010000}">
      <text>
        <r>
          <rPr>
            <sz val="11"/>
            <color theme="1"/>
            <rFont val="Calibri"/>
            <family val="2"/>
            <scheme val="minor"/>
          </rPr>
          <t>Preserved from Kerry_Drydock_2027_Job_Workspace_Recovery_v2.xlsm | Jobs!A50. No new commercial figures or exchange rates have been entered.</t>
        </r>
      </text>
    </comment>
    <comment ref="B50" authorId="0" shapeId="0" xr:uid="{00000000-0006-0000-0200-00004C010000}">
      <text>
        <r>
          <rPr>
            <sz val="11"/>
            <color theme="1"/>
            <rFont val="Calibri"/>
            <family val="2"/>
            <scheme val="minor"/>
          </rPr>
          <t>Preserved from Kerry_Drydock_2027_Job_Workspace_Recovery_v2.xlsm | Jobs!B50. No new commercial figures or exchange rates have been entered.</t>
        </r>
      </text>
    </comment>
    <comment ref="C50" authorId="0" shapeId="0" xr:uid="{00000000-0006-0000-0200-00004D010000}">
      <text>
        <r>
          <rPr>
            <sz val="11"/>
            <color theme="1"/>
            <rFont val="Calibri"/>
            <family val="2"/>
            <scheme val="minor"/>
          </rPr>
          <t>Preserved from Kerry_Drydock_2027_Job_Workspace_Recovery_v2.xlsm | Jobs!C50. No new commercial figures or exchange rates have been entered.</t>
        </r>
      </text>
    </comment>
    <comment ref="D50" authorId="0" shapeId="0" xr:uid="{00000000-0006-0000-0200-00004E010000}">
      <text>
        <r>
          <rPr>
            <sz val="11"/>
            <color theme="1"/>
            <rFont val="Calibri"/>
            <family val="2"/>
            <scheme val="minor"/>
          </rPr>
          <t>Preserved from Kerry_Drydock_2027_Job_Workspace_Recovery_v2.xlsm | Jobs!D50. No new commercial figures or exchange rates have been entered.</t>
        </r>
      </text>
    </comment>
    <comment ref="I50" authorId="0" shapeId="0" xr:uid="{00000000-0006-0000-0200-00004F010000}">
      <text>
        <r>
          <rPr>
            <sz val="11"/>
            <color theme="1"/>
            <rFont val="Calibri"/>
            <family val="2"/>
            <scheme val="minor"/>
          </rPr>
          <t>Preserved from Kerry_Drydock_2027_Job_Workspace_Recovery_v2.xlsm | Jobs!I50. No new commercial figures or exchange rates have been entered.</t>
        </r>
      </text>
    </comment>
    <comment ref="L50" authorId="0" shapeId="0" xr:uid="{00000000-0006-0000-0200-000050010000}">
      <text>
        <r>
          <rPr>
            <sz val="11"/>
            <color theme="1"/>
            <rFont val="Calibri"/>
            <family val="2"/>
            <scheme val="minor"/>
          </rPr>
          <t>Preserved from Kerry_Drydock_2027_Job_Workspace_Recovery_v2.xlsm | Jobs!L50. No new commercial figures or exchange rates have been entered.</t>
        </r>
      </text>
    </comment>
    <comment ref="M50" authorId="0" shapeId="0" xr:uid="{00000000-0006-0000-0200-000051010000}">
      <text>
        <r>
          <rPr>
            <sz val="11"/>
            <color theme="1"/>
            <rFont val="Calibri"/>
            <family val="2"/>
            <scheme val="minor"/>
          </rPr>
          <t>Preserved from Kerry_Drydock_2027_Job_Workspace_Recovery_v2.xlsm | Jobs!M50. No new commercial figures or exchange rates have been entered.</t>
        </r>
      </text>
    </comment>
    <comment ref="O50" authorId="0" shapeId="0" xr:uid="{00000000-0006-0000-0200-000052010000}">
      <text>
        <r>
          <rPr>
            <sz val="11"/>
            <color theme="1"/>
            <rFont val="Calibri"/>
            <family val="2"/>
            <scheme val="minor"/>
          </rPr>
          <t>Preserved from Kerry_Drydock_2027_Job_Workspace_Recovery_v2.xlsm | Jobs!O50. No new commercial figures or exchange rates have been entered.</t>
        </r>
      </text>
    </comment>
    <comment ref="A51" authorId="0" shapeId="0" xr:uid="{00000000-0006-0000-0200-000053010000}">
      <text>
        <r>
          <rPr>
            <sz val="11"/>
            <color theme="1"/>
            <rFont val="Calibri"/>
            <family val="2"/>
            <scheme val="minor"/>
          </rPr>
          <t>Preserved from Kerry_Drydock_2027_Job_Workspace_Recovery_v2.xlsm | Jobs!A51. No new commercial figures or exchange rates have been entered.</t>
        </r>
      </text>
    </comment>
    <comment ref="B51" authorId="0" shapeId="0" xr:uid="{00000000-0006-0000-0200-000054010000}">
      <text>
        <r>
          <rPr>
            <sz val="11"/>
            <color theme="1"/>
            <rFont val="Calibri"/>
            <family val="2"/>
            <scheme val="minor"/>
          </rPr>
          <t>Preserved from Kerry_Drydock_2027_Job_Workspace_Recovery_v2.xlsm | Jobs!B51. No new commercial figures or exchange rates have been entered.</t>
        </r>
      </text>
    </comment>
    <comment ref="C51" authorId="0" shapeId="0" xr:uid="{00000000-0006-0000-0200-000055010000}">
      <text>
        <r>
          <rPr>
            <sz val="11"/>
            <color theme="1"/>
            <rFont val="Calibri"/>
            <family val="2"/>
            <scheme val="minor"/>
          </rPr>
          <t>Preserved from Kerry_Drydock_2027_Job_Workspace_Recovery_v2.xlsm | Jobs!C51. No new commercial figures or exchange rates have been entered.</t>
        </r>
      </text>
    </comment>
    <comment ref="D51" authorId="0" shapeId="0" xr:uid="{00000000-0006-0000-0200-000056010000}">
      <text>
        <r>
          <rPr>
            <sz val="11"/>
            <color theme="1"/>
            <rFont val="Calibri"/>
            <family val="2"/>
            <scheme val="minor"/>
          </rPr>
          <t>Preserved from Kerry_Drydock_2027_Job_Workspace_Recovery_v2.xlsm | Jobs!D51. No new commercial figures or exchange rates have been entered.</t>
        </r>
      </text>
    </comment>
    <comment ref="I51" authorId="0" shapeId="0" xr:uid="{00000000-0006-0000-0200-000057010000}">
      <text>
        <r>
          <rPr>
            <sz val="11"/>
            <color theme="1"/>
            <rFont val="Calibri"/>
            <family val="2"/>
            <scheme val="minor"/>
          </rPr>
          <t>Preserved from Kerry_Drydock_2027_Job_Workspace_Recovery_v2.xlsm | Jobs!I51. No new commercial figures or exchange rates have been entered.</t>
        </r>
      </text>
    </comment>
    <comment ref="L51" authorId="0" shapeId="0" xr:uid="{00000000-0006-0000-0200-000058010000}">
      <text>
        <r>
          <rPr>
            <sz val="11"/>
            <color theme="1"/>
            <rFont val="Calibri"/>
            <family val="2"/>
            <scheme val="minor"/>
          </rPr>
          <t>Preserved from Kerry_Drydock_2027_Job_Workspace_Recovery_v2.xlsm | Jobs!L51. No new commercial figures or exchange rates have been entered.</t>
        </r>
      </text>
    </comment>
    <comment ref="M51" authorId="0" shapeId="0" xr:uid="{00000000-0006-0000-0200-000059010000}">
      <text>
        <r>
          <rPr>
            <sz val="11"/>
            <color theme="1"/>
            <rFont val="Calibri"/>
            <family val="2"/>
            <scheme val="minor"/>
          </rPr>
          <t>Preserved from Kerry_Drydock_2027_Job_Workspace_Recovery_v2.xlsm | Jobs!M51. No new commercial figures or exchange rates have been entered.</t>
        </r>
      </text>
    </comment>
    <comment ref="O51" authorId="0" shapeId="0" xr:uid="{00000000-0006-0000-0200-00005A010000}">
      <text>
        <r>
          <rPr>
            <sz val="11"/>
            <color theme="1"/>
            <rFont val="Calibri"/>
            <family val="2"/>
            <scheme val="minor"/>
          </rPr>
          <t>Preserved from Kerry_Drydock_2027_Job_Workspace_Recovery_v2.xlsm | Jobs!O51. No new commercial figures or exchange rates have been entered.</t>
        </r>
      </text>
    </comment>
    <comment ref="A52" authorId="0" shapeId="0" xr:uid="{00000000-0006-0000-0200-00005B010000}">
      <text>
        <r>
          <rPr>
            <sz val="11"/>
            <color theme="1"/>
            <rFont val="Calibri"/>
            <family val="2"/>
            <scheme val="minor"/>
          </rPr>
          <t>Preserved from Kerry_Drydock_2027_Job_Workspace_Recovery_v2.xlsm | Jobs!A52. No new commercial figures or exchange rates have been entered.</t>
        </r>
      </text>
    </comment>
    <comment ref="B52" authorId="0" shapeId="0" xr:uid="{00000000-0006-0000-0200-00005C010000}">
      <text>
        <r>
          <rPr>
            <sz val="11"/>
            <color theme="1"/>
            <rFont val="Calibri"/>
            <family val="2"/>
            <scheme val="minor"/>
          </rPr>
          <t>Preserved from Kerry_Drydock_2027_Job_Workspace_Recovery_v2.xlsm | Jobs!B52. No new commercial figures or exchange rates have been entered.</t>
        </r>
      </text>
    </comment>
    <comment ref="C52" authorId="0" shapeId="0" xr:uid="{00000000-0006-0000-0200-00005D010000}">
      <text>
        <r>
          <rPr>
            <sz val="11"/>
            <color theme="1"/>
            <rFont val="Calibri"/>
            <family val="2"/>
            <scheme val="minor"/>
          </rPr>
          <t>Preserved from Kerry_Drydock_2027_Job_Workspace_Recovery_v2.xlsm | Jobs!C52. No new commercial figures or exchange rates have been entered.</t>
        </r>
      </text>
    </comment>
    <comment ref="D52" authorId="0" shapeId="0" xr:uid="{00000000-0006-0000-0200-00005E010000}">
      <text>
        <r>
          <rPr>
            <sz val="11"/>
            <color theme="1"/>
            <rFont val="Calibri"/>
            <family val="2"/>
            <scheme val="minor"/>
          </rPr>
          <t>Preserved from Kerry_Drydock_2027_Job_Workspace_Recovery_v2.xlsm | Jobs!D52. No new commercial figures or exchange rates have been entered.</t>
        </r>
      </text>
    </comment>
    <comment ref="I52" authorId="0" shapeId="0" xr:uid="{00000000-0006-0000-0200-00005F010000}">
      <text>
        <r>
          <rPr>
            <sz val="11"/>
            <color theme="1"/>
            <rFont val="Calibri"/>
            <family val="2"/>
            <scheme val="minor"/>
          </rPr>
          <t>Preserved from Kerry_Drydock_2027_Job_Workspace_Recovery_v2.xlsm | Jobs!I52. No new commercial figures or exchange rates have been entered.</t>
        </r>
      </text>
    </comment>
    <comment ref="L52" authorId="0" shapeId="0" xr:uid="{00000000-0006-0000-0200-000060010000}">
      <text>
        <r>
          <rPr>
            <sz val="11"/>
            <color theme="1"/>
            <rFont val="Calibri"/>
            <family val="2"/>
            <scheme val="minor"/>
          </rPr>
          <t>Preserved from Kerry_Drydock_2027_Job_Workspace_Recovery_v2.xlsm | Jobs!L52. No new commercial figures or exchange rates have been entered.</t>
        </r>
      </text>
    </comment>
    <comment ref="M52" authorId="0" shapeId="0" xr:uid="{00000000-0006-0000-0200-000061010000}">
      <text>
        <r>
          <rPr>
            <sz val="11"/>
            <color theme="1"/>
            <rFont val="Calibri"/>
            <family val="2"/>
            <scheme val="minor"/>
          </rPr>
          <t>Preserved from Kerry_Drydock_2027_Job_Workspace_Recovery_v2.xlsm | Jobs!M52. No new commercial figures or exchange rates have been entered.</t>
        </r>
      </text>
    </comment>
    <comment ref="O52" authorId="0" shapeId="0" xr:uid="{00000000-0006-0000-0200-000062010000}">
      <text>
        <r>
          <rPr>
            <sz val="11"/>
            <color theme="1"/>
            <rFont val="Calibri"/>
            <family val="2"/>
            <scheme val="minor"/>
          </rPr>
          <t>Preserved from Kerry_Drydock_2027_Job_Workspace_Recovery_v2.xlsm | Jobs!O52. No new commercial figures or exchange rates have been entered.</t>
        </r>
      </text>
    </comment>
    <comment ref="A53" authorId="0" shapeId="0" xr:uid="{00000000-0006-0000-0200-000063010000}">
      <text>
        <r>
          <rPr>
            <sz val="11"/>
            <color theme="1"/>
            <rFont val="Calibri"/>
            <family val="2"/>
            <scheme val="minor"/>
          </rPr>
          <t>Preserved from Kerry_Drydock_2027_Job_Workspace_Recovery_v2.xlsm | Jobs!A53. No new commercial figures or exchange rates have been entered.</t>
        </r>
      </text>
    </comment>
    <comment ref="B53" authorId="0" shapeId="0" xr:uid="{00000000-0006-0000-0200-000064010000}">
      <text>
        <r>
          <rPr>
            <sz val="11"/>
            <color theme="1"/>
            <rFont val="Calibri"/>
            <family val="2"/>
            <scheme val="minor"/>
          </rPr>
          <t>Preserved from Kerry_Drydock_2027_Job_Workspace_Recovery_v2.xlsm | Jobs!B53. No new commercial figures or exchange rates have been entered.</t>
        </r>
      </text>
    </comment>
    <comment ref="C53" authorId="0" shapeId="0" xr:uid="{00000000-0006-0000-0200-000065010000}">
      <text>
        <r>
          <rPr>
            <sz val="11"/>
            <color theme="1"/>
            <rFont val="Calibri"/>
            <family val="2"/>
            <scheme val="minor"/>
          </rPr>
          <t>Preserved from Kerry_Drydock_2027_Job_Workspace_Recovery_v2.xlsm | Jobs!C53. No new commercial figures or exchange rates have been entered.</t>
        </r>
      </text>
    </comment>
    <comment ref="D53" authorId="0" shapeId="0" xr:uid="{00000000-0006-0000-0200-000066010000}">
      <text>
        <r>
          <rPr>
            <sz val="11"/>
            <color theme="1"/>
            <rFont val="Calibri"/>
            <family val="2"/>
            <scheme val="minor"/>
          </rPr>
          <t>Preserved from Kerry_Drydock_2027_Job_Workspace_Recovery_v2.xlsm | Jobs!D53. No new commercial figures or exchange rates have been entered.</t>
        </r>
      </text>
    </comment>
    <comment ref="I53" authorId="0" shapeId="0" xr:uid="{00000000-0006-0000-0200-000067010000}">
      <text>
        <r>
          <rPr>
            <sz val="11"/>
            <color theme="1"/>
            <rFont val="Calibri"/>
            <family val="2"/>
            <scheme val="minor"/>
          </rPr>
          <t>Preserved from Kerry_Drydock_2027_Job_Workspace_Recovery_v2.xlsm | Jobs!I53. No new commercial figures or exchange rates have been entered.</t>
        </r>
      </text>
    </comment>
    <comment ref="L53" authorId="0" shapeId="0" xr:uid="{00000000-0006-0000-0200-000068010000}">
      <text>
        <r>
          <rPr>
            <sz val="11"/>
            <color theme="1"/>
            <rFont val="Calibri"/>
            <family val="2"/>
            <scheme val="minor"/>
          </rPr>
          <t>Preserved from Kerry_Drydock_2027_Job_Workspace_Recovery_v2.xlsm | Jobs!L53. No new commercial figures or exchange rates have been entered.</t>
        </r>
      </text>
    </comment>
    <comment ref="M53" authorId="0" shapeId="0" xr:uid="{00000000-0006-0000-0200-000069010000}">
      <text>
        <r>
          <rPr>
            <sz val="11"/>
            <color theme="1"/>
            <rFont val="Calibri"/>
            <family val="2"/>
            <scheme val="minor"/>
          </rPr>
          <t>Preserved from Kerry_Drydock_2027_Job_Workspace_Recovery_v2.xlsm | Jobs!M53. No new commercial figures or exchange rates have been entered.</t>
        </r>
      </text>
    </comment>
    <comment ref="O53" authorId="0" shapeId="0" xr:uid="{00000000-0006-0000-0200-00006A010000}">
      <text>
        <r>
          <rPr>
            <sz val="11"/>
            <color theme="1"/>
            <rFont val="Calibri"/>
            <family val="2"/>
            <scheme val="minor"/>
          </rPr>
          <t>Preserved from Kerry_Drydock_2027_Job_Workspace_Recovery_v2.xlsm | Jobs!O53. No new commercial figures or exchange rates have been entered.</t>
        </r>
      </text>
    </comment>
    <comment ref="A54" authorId="0" shapeId="0" xr:uid="{00000000-0006-0000-0200-00006B010000}">
      <text>
        <r>
          <rPr>
            <sz val="11"/>
            <color theme="1"/>
            <rFont val="Calibri"/>
            <family val="2"/>
            <scheme val="minor"/>
          </rPr>
          <t>Preserved from Kerry_Drydock_2027_Job_Workspace_Recovery_v2.xlsm | Jobs!A54. No new commercial figures or exchange rates have been entered.</t>
        </r>
      </text>
    </comment>
    <comment ref="B54" authorId="0" shapeId="0" xr:uid="{00000000-0006-0000-0200-00006C010000}">
      <text>
        <r>
          <rPr>
            <sz val="11"/>
            <color theme="1"/>
            <rFont val="Calibri"/>
            <family val="2"/>
            <scheme val="minor"/>
          </rPr>
          <t>Preserved from Kerry_Drydock_2027_Job_Workspace_Recovery_v2.xlsm | Jobs!B54. No new commercial figures or exchange rates have been entered.</t>
        </r>
      </text>
    </comment>
    <comment ref="C54" authorId="0" shapeId="0" xr:uid="{00000000-0006-0000-0200-00006D010000}">
      <text>
        <r>
          <rPr>
            <sz val="11"/>
            <color theme="1"/>
            <rFont val="Calibri"/>
            <family val="2"/>
            <scheme val="minor"/>
          </rPr>
          <t>Preserved from Kerry_Drydock_2027_Job_Workspace_Recovery_v2.xlsm | Jobs!C54. No new commercial figures or exchange rates have been entered.</t>
        </r>
      </text>
    </comment>
    <comment ref="D54" authorId="0" shapeId="0" xr:uid="{00000000-0006-0000-0200-00006E010000}">
      <text>
        <r>
          <rPr>
            <sz val="11"/>
            <color theme="1"/>
            <rFont val="Calibri"/>
            <family val="2"/>
            <scheme val="minor"/>
          </rPr>
          <t>Preserved from Kerry_Drydock_2027_Job_Workspace_Recovery_v2.xlsm | Jobs!D54. No new commercial figures or exchange rates have been entered.</t>
        </r>
      </text>
    </comment>
    <comment ref="I54" authorId="0" shapeId="0" xr:uid="{00000000-0006-0000-0200-00006F010000}">
      <text>
        <r>
          <rPr>
            <sz val="11"/>
            <color theme="1"/>
            <rFont val="Calibri"/>
            <family val="2"/>
            <scheme val="minor"/>
          </rPr>
          <t>Preserved from Kerry_Drydock_2027_Job_Workspace_Recovery_v2.xlsm | Jobs!I54. No new commercial figures or exchange rates have been entered.</t>
        </r>
      </text>
    </comment>
    <comment ref="L54" authorId="0" shapeId="0" xr:uid="{00000000-0006-0000-0200-000070010000}">
      <text>
        <r>
          <rPr>
            <sz val="11"/>
            <color theme="1"/>
            <rFont val="Calibri"/>
            <family val="2"/>
            <scheme val="minor"/>
          </rPr>
          <t>Preserved from Kerry_Drydock_2027_Job_Workspace_Recovery_v2.xlsm | Jobs!L54. No new commercial figures or exchange rates have been entered.</t>
        </r>
      </text>
    </comment>
    <comment ref="M54" authorId="0" shapeId="0" xr:uid="{00000000-0006-0000-0200-000071010000}">
      <text>
        <r>
          <rPr>
            <sz val="11"/>
            <color theme="1"/>
            <rFont val="Calibri"/>
            <family val="2"/>
            <scheme val="minor"/>
          </rPr>
          <t>Preserved from Kerry_Drydock_2027_Job_Workspace_Recovery_v2.xlsm | Jobs!M54. No new commercial figures or exchange rates have been entered.</t>
        </r>
      </text>
    </comment>
    <comment ref="O54" authorId="0" shapeId="0" xr:uid="{00000000-0006-0000-0200-000072010000}">
      <text>
        <r>
          <rPr>
            <sz val="11"/>
            <color theme="1"/>
            <rFont val="Calibri"/>
            <family val="2"/>
            <scheme val="minor"/>
          </rPr>
          <t>Preserved from Kerry_Drydock_2027_Job_Workspace_Recovery_v2.xlsm | Jobs!O54. No new commercial figures or exchange rates have been entered.</t>
        </r>
      </text>
    </comment>
    <comment ref="A55" authorId="0" shapeId="0" xr:uid="{00000000-0006-0000-0200-000073010000}">
      <text>
        <r>
          <rPr>
            <sz val="11"/>
            <color theme="1"/>
            <rFont val="Calibri"/>
            <family val="2"/>
            <scheme val="minor"/>
          </rPr>
          <t>Preserved from Kerry_Drydock_2027_Job_Workspace_Recovery_v2.xlsm | Jobs!A55. No new commercial figures or exchange rates have been entered.</t>
        </r>
      </text>
    </comment>
    <comment ref="B55" authorId="0" shapeId="0" xr:uid="{00000000-0006-0000-0200-000074010000}">
      <text>
        <r>
          <rPr>
            <sz val="11"/>
            <color theme="1"/>
            <rFont val="Calibri"/>
            <family val="2"/>
            <scheme val="minor"/>
          </rPr>
          <t>Preserved from Kerry_Drydock_2027_Job_Workspace_Recovery_v2.xlsm | Jobs!B55. No new commercial figures or exchange rates have been entered.</t>
        </r>
      </text>
    </comment>
    <comment ref="C55" authorId="0" shapeId="0" xr:uid="{00000000-0006-0000-0200-000075010000}">
      <text>
        <r>
          <rPr>
            <sz val="11"/>
            <color theme="1"/>
            <rFont val="Calibri"/>
            <family val="2"/>
            <scheme val="minor"/>
          </rPr>
          <t>Preserved from Kerry_Drydock_2027_Job_Workspace_Recovery_v2.xlsm | Jobs!C55. No new commercial figures or exchange rates have been entered.</t>
        </r>
      </text>
    </comment>
    <comment ref="D55" authorId="0" shapeId="0" xr:uid="{00000000-0006-0000-0200-000076010000}">
      <text>
        <r>
          <rPr>
            <sz val="11"/>
            <color theme="1"/>
            <rFont val="Calibri"/>
            <family val="2"/>
            <scheme val="minor"/>
          </rPr>
          <t>Preserved from Kerry_Drydock_2027_Job_Workspace_Recovery_v2.xlsm | Jobs!D55. No new commercial figures or exchange rates have been entered.</t>
        </r>
      </text>
    </comment>
    <comment ref="I55" authorId="0" shapeId="0" xr:uid="{00000000-0006-0000-0200-000077010000}">
      <text>
        <r>
          <rPr>
            <sz val="11"/>
            <color theme="1"/>
            <rFont val="Calibri"/>
            <family val="2"/>
            <scheme val="minor"/>
          </rPr>
          <t>Preserved from Kerry_Drydock_2027_Job_Workspace_Recovery_v2.xlsm | Jobs!I55. No new commercial figures or exchange rates have been entered.</t>
        </r>
      </text>
    </comment>
    <comment ref="L55" authorId="0" shapeId="0" xr:uid="{00000000-0006-0000-0200-000078010000}">
      <text>
        <r>
          <rPr>
            <sz val="11"/>
            <color theme="1"/>
            <rFont val="Calibri"/>
            <family val="2"/>
            <scheme val="minor"/>
          </rPr>
          <t>Preserved from Kerry_Drydock_2027_Job_Workspace_Recovery_v2.xlsm | Jobs!L55. No new commercial figures or exchange rates have been entered.</t>
        </r>
      </text>
    </comment>
    <comment ref="M55" authorId="0" shapeId="0" xr:uid="{00000000-0006-0000-0200-000079010000}">
      <text>
        <r>
          <rPr>
            <sz val="11"/>
            <color theme="1"/>
            <rFont val="Calibri"/>
            <family val="2"/>
            <scheme val="minor"/>
          </rPr>
          <t>Preserved from Kerry_Drydock_2027_Job_Workspace_Recovery_v2.xlsm | Jobs!M55. No new commercial figures or exchange rates have been entered.</t>
        </r>
      </text>
    </comment>
    <comment ref="O55" authorId="0" shapeId="0" xr:uid="{00000000-0006-0000-0200-00007A010000}">
      <text>
        <r>
          <rPr>
            <sz val="11"/>
            <color theme="1"/>
            <rFont val="Calibri"/>
            <family val="2"/>
            <scheme val="minor"/>
          </rPr>
          <t>Preserved from Kerry_Drydock_2027_Job_Workspace_Recovery_v2.xlsm | Jobs!O55. No new commercial figures or exchange rates have been entered.</t>
        </r>
      </text>
    </comment>
    <comment ref="A56" authorId="0" shapeId="0" xr:uid="{00000000-0006-0000-0200-00007B010000}">
      <text>
        <r>
          <rPr>
            <sz val="11"/>
            <color theme="1"/>
            <rFont val="Calibri"/>
            <family val="2"/>
            <scheme val="minor"/>
          </rPr>
          <t>Preserved from Kerry_Drydock_2027_Job_Workspace_Recovery_v2.xlsm | Jobs!A56. No new commercial figures or exchange rates have been entered.</t>
        </r>
      </text>
    </comment>
    <comment ref="B56" authorId="0" shapeId="0" xr:uid="{00000000-0006-0000-0200-00007C010000}">
      <text>
        <r>
          <rPr>
            <sz val="11"/>
            <color theme="1"/>
            <rFont val="Calibri"/>
            <family val="2"/>
            <scheme val="minor"/>
          </rPr>
          <t>Preserved from Kerry_Drydock_2027_Job_Workspace_Recovery_v2.xlsm | Jobs!B56. No new commercial figures or exchange rates have been entered.</t>
        </r>
      </text>
    </comment>
    <comment ref="C56" authorId="0" shapeId="0" xr:uid="{00000000-0006-0000-0200-00007D010000}">
      <text>
        <r>
          <rPr>
            <sz val="11"/>
            <color theme="1"/>
            <rFont val="Calibri"/>
            <family val="2"/>
            <scheme val="minor"/>
          </rPr>
          <t>Preserved from Kerry_Drydock_2027_Job_Workspace_Recovery_v2.xlsm | Jobs!C56. No new commercial figures or exchange rates have been entered.</t>
        </r>
      </text>
    </comment>
    <comment ref="D56" authorId="0" shapeId="0" xr:uid="{00000000-0006-0000-0200-00007E010000}">
      <text>
        <r>
          <rPr>
            <sz val="11"/>
            <color theme="1"/>
            <rFont val="Calibri"/>
            <family val="2"/>
            <scheme val="minor"/>
          </rPr>
          <t>Preserved from Kerry_Drydock_2027_Job_Workspace_Recovery_v2.xlsm | Jobs!D56. No new commercial figures or exchange rates have been entered.</t>
        </r>
      </text>
    </comment>
    <comment ref="I56" authorId="0" shapeId="0" xr:uid="{00000000-0006-0000-0200-00007F010000}">
      <text>
        <r>
          <rPr>
            <sz val="11"/>
            <color theme="1"/>
            <rFont val="Calibri"/>
            <family val="2"/>
            <scheme val="minor"/>
          </rPr>
          <t>Preserved from Kerry_Drydock_2027_Job_Workspace_Recovery_v2.xlsm | Jobs!I56. No new commercial figures or exchange rates have been entered.</t>
        </r>
      </text>
    </comment>
    <comment ref="L56" authorId="0" shapeId="0" xr:uid="{00000000-0006-0000-0200-000080010000}">
      <text>
        <r>
          <rPr>
            <sz val="11"/>
            <color theme="1"/>
            <rFont val="Calibri"/>
            <family val="2"/>
            <scheme val="minor"/>
          </rPr>
          <t>Preserved from Kerry_Drydock_2027_Job_Workspace_Recovery_v2.xlsm | Jobs!L56. No new commercial figures or exchange rates have been entered.</t>
        </r>
      </text>
    </comment>
    <comment ref="M56" authorId="0" shapeId="0" xr:uid="{00000000-0006-0000-0200-000081010000}">
      <text>
        <r>
          <rPr>
            <sz val="11"/>
            <color theme="1"/>
            <rFont val="Calibri"/>
            <family val="2"/>
            <scheme val="minor"/>
          </rPr>
          <t>Preserved from Kerry_Drydock_2027_Job_Workspace_Recovery_v2.xlsm | Jobs!M56. No new commercial figures or exchange rates have been entered.</t>
        </r>
      </text>
    </comment>
    <comment ref="O56" authorId="0" shapeId="0" xr:uid="{00000000-0006-0000-0200-000082010000}">
      <text>
        <r>
          <rPr>
            <sz val="11"/>
            <color theme="1"/>
            <rFont val="Calibri"/>
            <family val="2"/>
            <scheme val="minor"/>
          </rPr>
          <t>Preserved from Kerry_Drydock_2027_Job_Workspace_Recovery_v2.xlsm | Jobs!O56. No new commercial figures or exchange rates have been entered.</t>
        </r>
      </text>
    </comment>
    <comment ref="P56" authorId="0" shapeId="0" xr:uid="{00000000-0006-0000-0200-000083010000}">
      <text>
        <r>
          <rPr>
            <sz val="11"/>
            <color theme="1"/>
            <rFont val="Calibri"/>
            <family val="2"/>
            <scheme val="minor"/>
          </rPr>
          <t>Preserved from Kerry_Drydock_2027_Job_Workspace_Recovery_v2.xlsm | Jobs!P56. No new commercial figures or exchange rates have been entered.</t>
        </r>
      </text>
    </comment>
    <comment ref="A57" authorId="0" shapeId="0" xr:uid="{00000000-0006-0000-0200-000084010000}">
      <text>
        <r>
          <rPr>
            <sz val="11"/>
            <color theme="1"/>
            <rFont val="Calibri"/>
            <family val="2"/>
            <scheme val="minor"/>
          </rPr>
          <t>Preserved from Kerry_Drydock_2027_Job_Workspace_Recovery_v2.xlsm | Jobs!A57. No new commercial figures or exchange rates have been entered.</t>
        </r>
      </text>
    </comment>
    <comment ref="B57" authorId="0" shapeId="0" xr:uid="{00000000-0006-0000-0200-000085010000}">
      <text>
        <r>
          <rPr>
            <sz val="11"/>
            <color theme="1"/>
            <rFont val="Calibri"/>
            <family val="2"/>
            <scheme val="minor"/>
          </rPr>
          <t>Preserved from Kerry_Drydock_2027_Job_Workspace_Recovery_v2.xlsm | Jobs!B57. No new commercial figures or exchange rates have been entered.</t>
        </r>
      </text>
    </comment>
    <comment ref="C57" authorId="0" shapeId="0" xr:uid="{00000000-0006-0000-0200-000086010000}">
      <text>
        <r>
          <rPr>
            <sz val="11"/>
            <color theme="1"/>
            <rFont val="Calibri"/>
            <family val="2"/>
            <scheme val="minor"/>
          </rPr>
          <t>Preserved from Kerry_Drydock_2027_Job_Workspace_Recovery_v2.xlsm | Jobs!C57. No new commercial figures or exchange rates have been entered.</t>
        </r>
      </text>
    </comment>
    <comment ref="D57" authorId="0" shapeId="0" xr:uid="{00000000-0006-0000-0200-000087010000}">
      <text>
        <r>
          <rPr>
            <sz val="11"/>
            <color theme="1"/>
            <rFont val="Calibri"/>
            <family val="2"/>
            <scheme val="minor"/>
          </rPr>
          <t>Preserved from Kerry_Drydock_2027_Job_Workspace_Recovery_v2.xlsm | Jobs!D57. No new commercial figures or exchange rates have been entered.</t>
        </r>
      </text>
    </comment>
    <comment ref="I57" authorId="0" shapeId="0" xr:uid="{00000000-0006-0000-0200-000088010000}">
      <text>
        <r>
          <rPr>
            <sz val="11"/>
            <color theme="1"/>
            <rFont val="Calibri"/>
            <family val="2"/>
            <scheme val="minor"/>
          </rPr>
          <t>Preserved from Kerry_Drydock_2027_Job_Workspace_Recovery_v2.xlsm | Jobs!I57. No new commercial figures or exchange rates have been entered.</t>
        </r>
      </text>
    </comment>
    <comment ref="L57" authorId="0" shapeId="0" xr:uid="{00000000-0006-0000-0200-000089010000}">
      <text>
        <r>
          <rPr>
            <sz val="11"/>
            <color theme="1"/>
            <rFont val="Calibri"/>
            <family val="2"/>
            <scheme val="minor"/>
          </rPr>
          <t>Preserved from Kerry_Drydock_2027_Job_Workspace_Recovery_v2.xlsm | Jobs!L57. No new commercial figures or exchange rates have been entered.</t>
        </r>
      </text>
    </comment>
    <comment ref="M57" authorId="0" shapeId="0" xr:uid="{00000000-0006-0000-0200-00008A010000}">
      <text>
        <r>
          <rPr>
            <sz val="11"/>
            <color theme="1"/>
            <rFont val="Calibri"/>
            <family val="2"/>
            <scheme val="minor"/>
          </rPr>
          <t>Preserved from Kerry_Drydock_2027_Job_Workspace_Recovery_v2.xlsm | Jobs!M57. No new commercial figures or exchange rates have been entered.</t>
        </r>
      </text>
    </comment>
    <comment ref="O57" authorId="0" shapeId="0" xr:uid="{00000000-0006-0000-0200-00008B010000}">
      <text>
        <r>
          <rPr>
            <sz val="11"/>
            <color theme="1"/>
            <rFont val="Calibri"/>
            <family val="2"/>
            <scheme val="minor"/>
          </rPr>
          <t>Preserved from Kerry_Drydock_2027_Job_Workspace_Recovery_v2.xlsm | Jobs!O57. No new commercial figures or exchange rates have been entered.</t>
        </r>
      </text>
    </comment>
    <comment ref="A58" authorId="0" shapeId="0" xr:uid="{00000000-0006-0000-0200-00008C010000}">
      <text>
        <r>
          <rPr>
            <sz val="11"/>
            <color theme="1"/>
            <rFont val="Calibri"/>
            <family val="2"/>
            <scheme val="minor"/>
          </rPr>
          <t>Preserved from Kerry_Drydock_2027_Job_Workspace_Recovery_v2.xlsm | Jobs!A58. No new commercial figures or exchange rates have been entered.</t>
        </r>
      </text>
    </comment>
    <comment ref="B58" authorId="0" shapeId="0" xr:uid="{00000000-0006-0000-0200-00008D010000}">
      <text>
        <r>
          <rPr>
            <sz val="11"/>
            <color theme="1"/>
            <rFont val="Calibri"/>
            <family val="2"/>
            <scheme val="minor"/>
          </rPr>
          <t>Preserved from Kerry_Drydock_2027_Job_Workspace_Recovery_v2.xlsm | Jobs!B58. No new commercial figures or exchange rates have been entered.</t>
        </r>
      </text>
    </comment>
    <comment ref="C58" authorId="0" shapeId="0" xr:uid="{00000000-0006-0000-0200-00008E010000}">
      <text>
        <r>
          <rPr>
            <sz val="11"/>
            <color theme="1"/>
            <rFont val="Calibri"/>
            <family val="2"/>
            <scheme val="minor"/>
          </rPr>
          <t>Preserved from Kerry_Drydock_2027_Job_Workspace_Recovery_v2.xlsm | Jobs!C58. No new commercial figures or exchange rates have been entered.</t>
        </r>
      </text>
    </comment>
    <comment ref="D58" authorId="0" shapeId="0" xr:uid="{00000000-0006-0000-0200-00008F010000}">
      <text>
        <r>
          <rPr>
            <sz val="11"/>
            <color theme="1"/>
            <rFont val="Calibri"/>
            <family val="2"/>
            <scheme val="minor"/>
          </rPr>
          <t>Preserved from Kerry_Drydock_2027_Job_Workspace_Recovery_v2.xlsm | Jobs!D58. No new commercial figures or exchange rates have been entered.</t>
        </r>
      </text>
    </comment>
    <comment ref="I58" authorId="0" shapeId="0" xr:uid="{00000000-0006-0000-0200-000090010000}">
      <text>
        <r>
          <rPr>
            <sz val="11"/>
            <color theme="1"/>
            <rFont val="Calibri"/>
            <family val="2"/>
            <scheme val="minor"/>
          </rPr>
          <t>Preserved from Kerry_Drydock_2027_Job_Workspace_Recovery_v2.xlsm | Jobs!I58. No new commercial figures or exchange rates have been entered.</t>
        </r>
      </text>
    </comment>
    <comment ref="L58" authorId="0" shapeId="0" xr:uid="{00000000-0006-0000-0200-000091010000}">
      <text>
        <r>
          <rPr>
            <sz val="11"/>
            <color theme="1"/>
            <rFont val="Calibri"/>
            <family val="2"/>
            <scheme val="minor"/>
          </rPr>
          <t>Preserved from Kerry_Drydock_2027_Job_Workspace_Recovery_v2.xlsm | Jobs!L58. No new commercial figures or exchange rates have been entered.</t>
        </r>
      </text>
    </comment>
    <comment ref="M58" authorId="0" shapeId="0" xr:uid="{00000000-0006-0000-0200-000092010000}">
      <text>
        <r>
          <rPr>
            <sz val="11"/>
            <color theme="1"/>
            <rFont val="Calibri"/>
            <family val="2"/>
            <scheme val="minor"/>
          </rPr>
          <t>Preserved from Kerry_Drydock_2027_Job_Workspace_Recovery_v2.xlsm | Jobs!M58. No new commercial figures or exchange rates have been entered.</t>
        </r>
      </text>
    </comment>
    <comment ref="O58" authorId="0" shapeId="0" xr:uid="{00000000-0006-0000-0200-000093010000}">
      <text>
        <r>
          <rPr>
            <sz val="11"/>
            <color theme="1"/>
            <rFont val="Calibri"/>
            <family val="2"/>
            <scheme val="minor"/>
          </rPr>
          <t>Preserved from Kerry_Drydock_2027_Job_Workspace_Recovery_v2.xlsm | Jobs!O58. No new commercial figures or exchange rates have been entered.</t>
        </r>
      </text>
    </comment>
    <comment ref="A59" authorId="0" shapeId="0" xr:uid="{00000000-0006-0000-0200-000094010000}">
      <text>
        <r>
          <rPr>
            <sz val="11"/>
            <color theme="1"/>
            <rFont val="Calibri"/>
            <family val="2"/>
            <scheme val="minor"/>
          </rPr>
          <t>Preserved from Kerry_Drydock_2027_Job_Workspace_Recovery_v2.xlsm | Jobs!A59. No new commercial figures or exchange rates have been entered.</t>
        </r>
      </text>
    </comment>
    <comment ref="B59" authorId="0" shapeId="0" xr:uid="{00000000-0006-0000-0200-000095010000}">
      <text>
        <r>
          <rPr>
            <sz val="11"/>
            <color theme="1"/>
            <rFont val="Calibri"/>
            <family val="2"/>
            <scheme val="minor"/>
          </rPr>
          <t>Preserved from Kerry_Drydock_2027_Job_Workspace_Recovery_v2.xlsm | Jobs!B59. No new commercial figures or exchange rates have been entered.</t>
        </r>
      </text>
    </comment>
    <comment ref="C59" authorId="0" shapeId="0" xr:uid="{00000000-0006-0000-0200-000096010000}">
      <text>
        <r>
          <rPr>
            <sz val="11"/>
            <color theme="1"/>
            <rFont val="Calibri"/>
            <family val="2"/>
            <scheme val="minor"/>
          </rPr>
          <t>Preserved from Kerry_Drydock_2027_Job_Workspace_Recovery_v2.xlsm | Jobs!C59. No new commercial figures or exchange rates have been entered.</t>
        </r>
      </text>
    </comment>
    <comment ref="D59" authorId="0" shapeId="0" xr:uid="{00000000-0006-0000-0200-000097010000}">
      <text>
        <r>
          <rPr>
            <sz val="11"/>
            <color theme="1"/>
            <rFont val="Calibri"/>
            <family val="2"/>
            <scheme val="minor"/>
          </rPr>
          <t>Preserved from Kerry_Drydock_2027_Job_Workspace_Recovery_v2.xlsm | Jobs!D59. No new commercial figures or exchange rates have been entered.</t>
        </r>
      </text>
    </comment>
    <comment ref="I59" authorId="0" shapeId="0" xr:uid="{00000000-0006-0000-0200-000098010000}">
      <text>
        <r>
          <rPr>
            <sz val="11"/>
            <color theme="1"/>
            <rFont val="Calibri"/>
            <family val="2"/>
            <scheme val="minor"/>
          </rPr>
          <t>Preserved from Kerry_Drydock_2027_Job_Workspace_Recovery_v2.xlsm | Jobs!I59. No new commercial figures or exchange rates have been entered.</t>
        </r>
      </text>
    </comment>
    <comment ref="L59" authorId="0" shapeId="0" xr:uid="{00000000-0006-0000-0200-000099010000}">
      <text>
        <r>
          <rPr>
            <sz val="11"/>
            <color theme="1"/>
            <rFont val="Calibri"/>
            <family val="2"/>
            <scheme val="minor"/>
          </rPr>
          <t>Preserved from Kerry_Drydock_2027_Job_Workspace_Recovery_v2.xlsm | Jobs!L59. No new commercial figures or exchange rates have been entered.</t>
        </r>
      </text>
    </comment>
    <comment ref="M59" authorId="0" shapeId="0" xr:uid="{00000000-0006-0000-0200-00009A010000}">
      <text>
        <r>
          <rPr>
            <sz val="11"/>
            <color theme="1"/>
            <rFont val="Calibri"/>
            <family val="2"/>
            <scheme val="minor"/>
          </rPr>
          <t>Preserved from Kerry_Drydock_2027_Job_Workspace_Recovery_v2.xlsm | Jobs!M59. No new commercial figures or exchange rates have been entered.</t>
        </r>
      </text>
    </comment>
    <comment ref="O59" authorId="0" shapeId="0" xr:uid="{00000000-0006-0000-0200-00009B010000}">
      <text>
        <r>
          <rPr>
            <sz val="11"/>
            <color theme="1"/>
            <rFont val="Calibri"/>
            <family val="2"/>
            <scheme val="minor"/>
          </rPr>
          <t>Preserved from Kerry_Drydock_2027_Job_Workspace_Recovery_v2.xlsm | Jobs!O59. No new commercial figures or exchange rates have been entered.</t>
        </r>
      </text>
    </comment>
    <comment ref="A60" authorId="0" shapeId="0" xr:uid="{00000000-0006-0000-0200-00009C010000}">
      <text>
        <r>
          <rPr>
            <sz val="11"/>
            <color theme="1"/>
            <rFont val="Calibri"/>
            <family val="2"/>
            <scheme val="minor"/>
          </rPr>
          <t>Preserved from Kerry_Drydock_2027_Job_Workspace_Recovery_v2.xlsm | Jobs!A60. No new commercial figures or exchange rates have been entered.</t>
        </r>
      </text>
    </comment>
    <comment ref="B60" authorId="0" shapeId="0" xr:uid="{00000000-0006-0000-0200-00009D010000}">
      <text>
        <r>
          <rPr>
            <sz val="11"/>
            <color theme="1"/>
            <rFont val="Calibri"/>
            <family val="2"/>
            <scheme val="minor"/>
          </rPr>
          <t>Preserved from Kerry_Drydock_2027_Job_Workspace_Recovery_v2.xlsm | Jobs!B60. No new commercial figures or exchange rates have been entered.</t>
        </r>
      </text>
    </comment>
    <comment ref="C60" authorId="0" shapeId="0" xr:uid="{00000000-0006-0000-0200-00009E010000}">
      <text>
        <r>
          <rPr>
            <sz val="11"/>
            <color theme="1"/>
            <rFont val="Calibri"/>
            <family val="2"/>
            <scheme val="minor"/>
          </rPr>
          <t>Preserved from Kerry_Drydock_2027_Job_Workspace_Recovery_v2.xlsm | Jobs!C60. No new commercial figures or exchange rates have been entered.</t>
        </r>
      </text>
    </comment>
    <comment ref="D60" authorId="0" shapeId="0" xr:uid="{00000000-0006-0000-0200-00009F010000}">
      <text>
        <r>
          <rPr>
            <sz val="11"/>
            <color theme="1"/>
            <rFont val="Calibri"/>
            <family val="2"/>
            <scheme val="minor"/>
          </rPr>
          <t>Preserved from Kerry_Drydock_2027_Job_Workspace_Recovery_v2.xlsm | Jobs!D60. No new commercial figures or exchange rates have been entered.</t>
        </r>
      </text>
    </comment>
    <comment ref="I60" authorId="0" shapeId="0" xr:uid="{00000000-0006-0000-0200-0000A0010000}">
      <text>
        <r>
          <rPr>
            <sz val="11"/>
            <color theme="1"/>
            <rFont val="Calibri"/>
            <family val="2"/>
            <scheme val="minor"/>
          </rPr>
          <t>Preserved from Kerry_Drydock_2027_Job_Workspace_Recovery_v2.xlsm | Jobs!I60. No new commercial figures or exchange rates have been entered.</t>
        </r>
      </text>
    </comment>
    <comment ref="L60" authorId="0" shapeId="0" xr:uid="{00000000-0006-0000-0200-0000A1010000}">
      <text>
        <r>
          <rPr>
            <sz val="11"/>
            <color theme="1"/>
            <rFont val="Calibri"/>
            <family val="2"/>
            <scheme val="minor"/>
          </rPr>
          <t>Preserved from Kerry_Drydock_2027_Job_Workspace_Recovery_v2.xlsm | Jobs!L60. No new commercial figures or exchange rates have been entered.</t>
        </r>
      </text>
    </comment>
    <comment ref="M60" authorId="0" shapeId="0" xr:uid="{00000000-0006-0000-0200-0000A2010000}">
      <text>
        <r>
          <rPr>
            <sz val="11"/>
            <color theme="1"/>
            <rFont val="Calibri"/>
            <family val="2"/>
            <scheme val="minor"/>
          </rPr>
          <t>Preserved from Kerry_Drydock_2027_Job_Workspace_Recovery_v2.xlsm | Jobs!M60. No new commercial figures or exchange rates have been entered.</t>
        </r>
      </text>
    </comment>
    <comment ref="O60" authorId="0" shapeId="0" xr:uid="{00000000-0006-0000-0200-0000A3010000}">
      <text>
        <r>
          <rPr>
            <sz val="11"/>
            <color theme="1"/>
            <rFont val="Calibri"/>
            <family val="2"/>
            <scheme val="minor"/>
          </rPr>
          <t>Preserved from Kerry_Drydock_2027_Job_Workspace_Recovery_v2.xlsm | Jobs!O60. No new commercial figures or exchange rates have been entered.</t>
        </r>
      </text>
    </comment>
    <comment ref="A61" authorId="0" shapeId="0" xr:uid="{00000000-0006-0000-0200-0000A4010000}">
      <text>
        <r>
          <rPr>
            <sz val="11"/>
            <color theme="1"/>
            <rFont val="Calibri"/>
            <family val="2"/>
            <scheme val="minor"/>
          </rPr>
          <t>Preserved from Kerry_Drydock_2027_Job_Workspace_Recovery_v2.xlsm | Jobs!A61. No new commercial figures or exchange rates have been entered.</t>
        </r>
      </text>
    </comment>
    <comment ref="B61" authorId="0" shapeId="0" xr:uid="{00000000-0006-0000-0200-0000A5010000}">
      <text>
        <r>
          <rPr>
            <sz val="11"/>
            <color theme="1"/>
            <rFont val="Calibri"/>
            <family val="2"/>
            <scheme val="minor"/>
          </rPr>
          <t>Preserved from Kerry_Drydock_2027_Job_Workspace_Recovery_v2.xlsm | Jobs!B61. No new commercial figures or exchange rates have been entered.</t>
        </r>
      </text>
    </comment>
    <comment ref="C61" authorId="0" shapeId="0" xr:uid="{00000000-0006-0000-0200-0000A6010000}">
      <text>
        <r>
          <rPr>
            <sz val="11"/>
            <color theme="1"/>
            <rFont val="Calibri"/>
            <family val="2"/>
            <scheme val="minor"/>
          </rPr>
          <t>Preserved from Kerry_Drydock_2027_Job_Workspace_Recovery_v2.xlsm | Jobs!C61. No new commercial figures or exchange rates have been entered.</t>
        </r>
      </text>
    </comment>
    <comment ref="D61" authorId="0" shapeId="0" xr:uid="{00000000-0006-0000-0200-0000A7010000}">
      <text>
        <r>
          <rPr>
            <sz val="11"/>
            <color theme="1"/>
            <rFont val="Calibri"/>
            <family val="2"/>
            <scheme val="minor"/>
          </rPr>
          <t>Preserved from Kerry_Drydock_2027_Job_Workspace_Recovery_v2.xlsm | Jobs!D61. No new commercial figures or exchange rates have been entered.</t>
        </r>
      </text>
    </comment>
    <comment ref="I61" authorId="0" shapeId="0" xr:uid="{00000000-0006-0000-0200-0000A8010000}">
      <text>
        <r>
          <rPr>
            <sz val="11"/>
            <color theme="1"/>
            <rFont val="Calibri"/>
            <family val="2"/>
            <scheme val="minor"/>
          </rPr>
          <t>Preserved from Kerry_Drydock_2027_Job_Workspace_Recovery_v2.xlsm | Jobs!I61. No new commercial figures or exchange rates have been entered.</t>
        </r>
      </text>
    </comment>
    <comment ref="L61" authorId="0" shapeId="0" xr:uid="{00000000-0006-0000-0200-0000A9010000}">
      <text>
        <r>
          <rPr>
            <sz val="11"/>
            <color theme="1"/>
            <rFont val="Calibri"/>
            <family val="2"/>
            <scheme val="minor"/>
          </rPr>
          <t>Preserved from Kerry_Drydock_2027_Job_Workspace_Recovery_v2.xlsm | Jobs!L61. No new commercial figures or exchange rates have been entered.</t>
        </r>
      </text>
    </comment>
    <comment ref="M61" authorId="0" shapeId="0" xr:uid="{00000000-0006-0000-0200-0000AA010000}">
      <text>
        <r>
          <rPr>
            <sz val="11"/>
            <color theme="1"/>
            <rFont val="Calibri"/>
            <family val="2"/>
            <scheme val="minor"/>
          </rPr>
          <t>Preserved from Kerry_Drydock_2027_Job_Workspace_Recovery_v2.xlsm | Jobs!M61. No new commercial figures or exchange rates have been entered.</t>
        </r>
      </text>
    </comment>
    <comment ref="O61" authorId="0" shapeId="0" xr:uid="{00000000-0006-0000-0200-0000AB010000}">
      <text>
        <r>
          <rPr>
            <sz val="11"/>
            <color theme="1"/>
            <rFont val="Calibri"/>
            <family val="2"/>
            <scheme val="minor"/>
          </rPr>
          <t>Preserved from Kerry_Drydock_2027_Job_Workspace_Recovery_v2.xlsm | Jobs!O61. No new commercial figures or exchange rates have been entered.</t>
        </r>
      </text>
    </comment>
    <comment ref="A62" authorId="0" shapeId="0" xr:uid="{00000000-0006-0000-0200-0000AC010000}">
      <text>
        <r>
          <rPr>
            <sz val="11"/>
            <color theme="1"/>
            <rFont val="Calibri"/>
            <family val="2"/>
            <scheme val="minor"/>
          </rPr>
          <t>Preserved from Kerry_Drydock_2027_Job_Workspace_Recovery_v2.xlsm | Jobs!A62. No new commercial figures or exchange rates have been entered.</t>
        </r>
      </text>
    </comment>
    <comment ref="B62" authorId="0" shapeId="0" xr:uid="{00000000-0006-0000-0200-0000AD010000}">
      <text>
        <r>
          <rPr>
            <sz val="11"/>
            <color theme="1"/>
            <rFont val="Calibri"/>
            <family val="2"/>
            <scheme val="minor"/>
          </rPr>
          <t>Preserved from Kerry_Drydock_2027_Job_Workspace_Recovery_v2.xlsm | Jobs!B62. No new commercial figures or exchange rates have been entered.</t>
        </r>
      </text>
    </comment>
    <comment ref="C62" authorId="0" shapeId="0" xr:uid="{00000000-0006-0000-0200-0000AE010000}">
      <text>
        <r>
          <rPr>
            <sz val="11"/>
            <color theme="1"/>
            <rFont val="Calibri"/>
            <family val="2"/>
            <scheme val="minor"/>
          </rPr>
          <t>Preserved from Kerry_Drydock_2027_Job_Workspace_Recovery_v2.xlsm | Jobs!C62. No new commercial figures or exchange rates have been entered.</t>
        </r>
      </text>
    </comment>
    <comment ref="D62" authorId="0" shapeId="0" xr:uid="{00000000-0006-0000-0200-0000AF010000}">
      <text>
        <r>
          <rPr>
            <sz val="11"/>
            <color theme="1"/>
            <rFont val="Calibri"/>
            <family val="2"/>
            <scheme val="minor"/>
          </rPr>
          <t>Preserved from Kerry_Drydock_2027_Job_Workspace_Recovery_v2.xlsm | Jobs!D62. No new commercial figures or exchange rates have been entered.</t>
        </r>
      </text>
    </comment>
    <comment ref="I62" authorId="0" shapeId="0" xr:uid="{00000000-0006-0000-0200-0000B0010000}">
      <text>
        <r>
          <rPr>
            <sz val="11"/>
            <color theme="1"/>
            <rFont val="Calibri"/>
            <family val="2"/>
            <scheme val="minor"/>
          </rPr>
          <t>Preserved from Kerry_Drydock_2027_Job_Workspace_Recovery_v2.xlsm | Jobs!I62. No new commercial figures or exchange rates have been entered.</t>
        </r>
      </text>
    </comment>
    <comment ref="L62" authorId="0" shapeId="0" xr:uid="{00000000-0006-0000-0200-0000B1010000}">
      <text>
        <r>
          <rPr>
            <sz val="11"/>
            <color theme="1"/>
            <rFont val="Calibri"/>
            <family val="2"/>
            <scheme val="minor"/>
          </rPr>
          <t>Preserved from Kerry_Drydock_2027_Job_Workspace_Recovery_v2.xlsm | Jobs!L62. No new commercial figures or exchange rates have been entered.</t>
        </r>
      </text>
    </comment>
    <comment ref="M62" authorId="0" shapeId="0" xr:uid="{00000000-0006-0000-0200-0000B2010000}">
      <text>
        <r>
          <rPr>
            <sz val="11"/>
            <color theme="1"/>
            <rFont val="Calibri"/>
            <family val="2"/>
            <scheme val="minor"/>
          </rPr>
          <t>Preserved from Kerry_Drydock_2027_Job_Workspace_Recovery_v2.xlsm | Jobs!M62. No new commercial figures or exchange rates have been entered.</t>
        </r>
      </text>
    </comment>
    <comment ref="O62" authorId="0" shapeId="0" xr:uid="{00000000-0006-0000-0200-0000B3010000}">
      <text>
        <r>
          <rPr>
            <sz val="11"/>
            <color theme="1"/>
            <rFont val="Calibri"/>
            <family val="2"/>
            <scheme val="minor"/>
          </rPr>
          <t>Preserved from Kerry_Drydock_2027_Job_Workspace_Recovery_v2.xlsm | Jobs!O62. No new commercial figures or exchange rates have been entered.</t>
        </r>
      </text>
    </comment>
    <comment ref="P62" authorId="0" shapeId="0" xr:uid="{00000000-0006-0000-0200-0000B4010000}">
      <text>
        <r>
          <rPr>
            <sz val="11"/>
            <color theme="1"/>
            <rFont val="Calibri"/>
            <family val="2"/>
            <scheme val="minor"/>
          </rPr>
          <t>Preserved from Kerry_Drydock_2027_Job_Workspace_Recovery_v2.xlsm | Jobs!P62. No new commercial figures or exchange rates have been entered.</t>
        </r>
      </text>
    </comment>
    <comment ref="A63" authorId="0" shapeId="0" xr:uid="{00000000-0006-0000-0200-0000B5010000}">
      <text>
        <r>
          <rPr>
            <sz val="11"/>
            <color theme="1"/>
            <rFont val="Calibri"/>
            <family val="2"/>
            <scheme val="minor"/>
          </rPr>
          <t>Preserved from Kerry_Drydock_2027_Job_Workspace_Recovery_v2.xlsm | Jobs!A63. No new commercial figures or exchange rates have been entered.</t>
        </r>
      </text>
    </comment>
    <comment ref="B63" authorId="0" shapeId="0" xr:uid="{00000000-0006-0000-0200-0000B6010000}">
      <text>
        <r>
          <rPr>
            <sz val="11"/>
            <color theme="1"/>
            <rFont val="Calibri"/>
            <family val="2"/>
            <scheme val="minor"/>
          </rPr>
          <t>Preserved from Kerry_Drydock_2027_Job_Workspace_Recovery_v2.xlsm | Jobs!B63. No new commercial figures or exchange rates have been entered.</t>
        </r>
      </text>
    </comment>
    <comment ref="C63" authorId="0" shapeId="0" xr:uid="{00000000-0006-0000-0200-0000B7010000}">
      <text>
        <r>
          <rPr>
            <sz val="11"/>
            <color theme="1"/>
            <rFont val="Calibri"/>
            <family val="2"/>
            <scheme val="minor"/>
          </rPr>
          <t>Preserved from Kerry_Drydock_2027_Job_Workspace_Recovery_v2.xlsm | Jobs!C63. No new commercial figures or exchange rates have been entered.</t>
        </r>
      </text>
    </comment>
    <comment ref="D63" authorId="0" shapeId="0" xr:uid="{00000000-0006-0000-0200-0000B8010000}">
      <text>
        <r>
          <rPr>
            <sz val="11"/>
            <color theme="1"/>
            <rFont val="Calibri"/>
            <family val="2"/>
            <scheme val="minor"/>
          </rPr>
          <t>Preserved from Kerry_Drydock_2027_Job_Workspace_Recovery_v2.xlsm | Jobs!D63. No new commercial figures or exchange rates have been entered.</t>
        </r>
      </text>
    </comment>
    <comment ref="I63" authorId="0" shapeId="0" xr:uid="{00000000-0006-0000-0200-0000B9010000}">
      <text>
        <r>
          <rPr>
            <sz val="11"/>
            <color theme="1"/>
            <rFont val="Calibri"/>
            <family val="2"/>
            <scheme val="minor"/>
          </rPr>
          <t>Preserved from Kerry_Drydock_2027_Job_Workspace_Recovery_v2.xlsm | Jobs!I63. No new commercial figures or exchange rates have been entered.</t>
        </r>
      </text>
    </comment>
    <comment ref="L63" authorId="0" shapeId="0" xr:uid="{00000000-0006-0000-0200-0000BA010000}">
      <text>
        <r>
          <rPr>
            <sz val="11"/>
            <color theme="1"/>
            <rFont val="Calibri"/>
            <family val="2"/>
            <scheme val="minor"/>
          </rPr>
          <t>Preserved from Kerry_Drydock_2027_Job_Workspace_Recovery_v2.xlsm | Jobs!L63. No new commercial figures or exchange rates have been entered.</t>
        </r>
      </text>
    </comment>
    <comment ref="M63" authorId="0" shapeId="0" xr:uid="{00000000-0006-0000-0200-0000BB010000}">
      <text>
        <r>
          <rPr>
            <sz val="11"/>
            <color theme="1"/>
            <rFont val="Calibri"/>
            <family val="2"/>
            <scheme val="minor"/>
          </rPr>
          <t>Preserved from Kerry_Drydock_2027_Job_Workspace_Recovery_v2.xlsm | Jobs!M63. No new commercial figures or exchange rates have been entered.</t>
        </r>
      </text>
    </comment>
    <comment ref="O63" authorId="0" shapeId="0" xr:uid="{00000000-0006-0000-0200-0000BC010000}">
      <text>
        <r>
          <rPr>
            <sz val="11"/>
            <color theme="1"/>
            <rFont val="Calibri"/>
            <family val="2"/>
            <scheme val="minor"/>
          </rPr>
          <t>Preserved from Kerry_Drydock_2027_Job_Workspace_Recovery_v2.xlsm | Jobs!O63. No new commercial figures or exchange rates have been entered.</t>
        </r>
      </text>
    </comment>
    <comment ref="A64" authorId="0" shapeId="0" xr:uid="{00000000-0006-0000-0200-0000BD010000}">
      <text>
        <r>
          <rPr>
            <sz val="11"/>
            <color theme="1"/>
            <rFont val="Calibri"/>
            <family val="2"/>
            <scheme val="minor"/>
          </rPr>
          <t>Preserved from Kerry_Drydock_2027_Job_Workspace_Recovery_v2.xlsm | Jobs!A64. No new commercial figures or exchange rates have been entered.</t>
        </r>
      </text>
    </comment>
    <comment ref="B64" authorId="0" shapeId="0" xr:uid="{00000000-0006-0000-0200-0000BE010000}">
      <text>
        <r>
          <rPr>
            <sz val="11"/>
            <color theme="1"/>
            <rFont val="Calibri"/>
            <family val="2"/>
            <scheme val="minor"/>
          </rPr>
          <t>Preserved from Kerry_Drydock_2027_Job_Workspace_Recovery_v2.xlsm | Jobs!B64. No new commercial figures or exchange rates have been entered.</t>
        </r>
      </text>
    </comment>
    <comment ref="C64" authorId="0" shapeId="0" xr:uid="{00000000-0006-0000-0200-0000BF010000}">
      <text>
        <r>
          <rPr>
            <sz val="11"/>
            <color theme="1"/>
            <rFont val="Calibri"/>
            <family val="2"/>
            <scheme val="minor"/>
          </rPr>
          <t>Preserved from Kerry_Drydock_2027_Job_Workspace_Recovery_v2.xlsm | Jobs!C64. No new commercial figures or exchange rates have been entered.</t>
        </r>
      </text>
    </comment>
    <comment ref="D64" authorId="0" shapeId="0" xr:uid="{00000000-0006-0000-0200-0000C0010000}">
      <text>
        <r>
          <rPr>
            <sz val="11"/>
            <color theme="1"/>
            <rFont val="Calibri"/>
            <family val="2"/>
            <scheme val="minor"/>
          </rPr>
          <t>Preserved from Kerry_Drydock_2027_Job_Workspace_Recovery_v2.xlsm | Jobs!D64. No new commercial figures or exchange rates have been entered.</t>
        </r>
      </text>
    </comment>
    <comment ref="I64" authorId="0" shapeId="0" xr:uid="{00000000-0006-0000-0200-0000C1010000}">
      <text>
        <r>
          <rPr>
            <sz val="11"/>
            <color theme="1"/>
            <rFont val="Calibri"/>
            <family val="2"/>
            <scheme val="minor"/>
          </rPr>
          <t>Preserved from Kerry_Drydock_2027_Job_Workspace_Recovery_v2.xlsm | Jobs!I64. No new commercial figures or exchange rates have been entered.</t>
        </r>
      </text>
    </comment>
    <comment ref="L64" authorId="0" shapeId="0" xr:uid="{00000000-0006-0000-0200-0000C2010000}">
      <text>
        <r>
          <rPr>
            <sz val="11"/>
            <color theme="1"/>
            <rFont val="Calibri"/>
            <family val="2"/>
            <scheme val="minor"/>
          </rPr>
          <t>Preserved from Kerry_Drydock_2027_Job_Workspace_Recovery_v2.xlsm | Jobs!L64. No new commercial figures or exchange rates have been entered.</t>
        </r>
      </text>
    </comment>
    <comment ref="M64" authorId="0" shapeId="0" xr:uid="{00000000-0006-0000-0200-0000C3010000}">
      <text>
        <r>
          <rPr>
            <sz val="11"/>
            <color theme="1"/>
            <rFont val="Calibri"/>
            <family val="2"/>
            <scheme val="minor"/>
          </rPr>
          <t>Preserved from Kerry_Drydock_2027_Job_Workspace_Recovery_v2.xlsm | Jobs!M64. No new commercial figures or exchange rates have been entered.</t>
        </r>
      </text>
    </comment>
    <comment ref="O64" authorId="0" shapeId="0" xr:uid="{00000000-0006-0000-0200-0000C4010000}">
      <text>
        <r>
          <rPr>
            <sz val="11"/>
            <color theme="1"/>
            <rFont val="Calibri"/>
            <family val="2"/>
            <scheme val="minor"/>
          </rPr>
          <t>Preserved from Kerry_Drydock_2027_Job_Workspace_Recovery_v2.xlsm | Jobs!O64. No new commercial figures or exchange rates have been entered.</t>
        </r>
      </text>
    </comment>
    <comment ref="A65" authorId="0" shapeId="0" xr:uid="{00000000-0006-0000-0200-0000C5010000}">
      <text>
        <r>
          <rPr>
            <sz val="11"/>
            <color theme="1"/>
            <rFont val="Calibri"/>
            <family val="2"/>
            <scheme val="minor"/>
          </rPr>
          <t>Preserved from Kerry_Drydock_2027_Job_Workspace_Recovery_v2.xlsm | Jobs!A65. No new commercial figures or exchange rates have been entered.</t>
        </r>
      </text>
    </comment>
    <comment ref="B65" authorId="0" shapeId="0" xr:uid="{00000000-0006-0000-0200-0000C6010000}">
      <text>
        <r>
          <rPr>
            <sz val="11"/>
            <color theme="1"/>
            <rFont val="Calibri"/>
            <family val="2"/>
            <scheme val="minor"/>
          </rPr>
          <t>Preserved from Kerry_Drydock_2027_Job_Workspace_Recovery_v2.xlsm | Jobs!B65. No new commercial figures or exchange rates have been entered.</t>
        </r>
      </text>
    </comment>
    <comment ref="C65" authorId="0" shapeId="0" xr:uid="{00000000-0006-0000-0200-0000C7010000}">
      <text>
        <r>
          <rPr>
            <sz val="11"/>
            <color theme="1"/>
            <rFont val="Calibri"/>
            <family val="2"/>
            <scheme val="minor"/>
          </rPr>
          <t>Preserved from Kerry_Drydock_2027_Job_Workspace_Recovery_v2.xlsm | Jobs!C65. No new commercial figures or exchange rates have been entered.</t>
        </r>
      </text>
    </comment>
    <comment ref="D65" authorId="0" shapeId="0" xr:uid="{00000000-0006-0000-0200-0000C8010000}">
      <text>
        <r>
          <rPr>
            <sz val="11"/>
            <color theme="1"/>
            <rFont val="Calibri"/>
            <family val="2"/>
            <scheme val="minor"/>
          </rPr>
          <t>Preserved from Kerry_Drydock_2027_Job_Workspace_Recovery_v2.xlsm | Jobs!D65. No new commercial figures or exchange rates have been entered.</t>
        </r>
      </text>
    </comment>
    <comment ref="I65" authorId="0" shapeId="0" xr:uid="{00000000-0006-0000-0200-0000C9010000}">
      <text>
        <r>
          <rPr>
            <sz val="11"/>
            <color theme="1"/>
            <rFont val="Calibri"/>
            <family val="2"/>
            <scheme val="minor"/>
          </rPr>
          <t>Preserved from Kerry_Drydock_2027_Job_Workspace_Recovery_v2.xlsm | Jobs!I65. No new commercial figures or exchange rates have been entered.</t>
        </r>
      </text>
    </comment>
    <comment ref="L65" authorId="0" shapeId="0" xr:uid="{00000000-0006-0000-0200-0000CA010000}">
      <text>
        <r>
          <rPr>
            <sz val="11"/>
            <color theme="1"/>
            <rFont val="Calibri"/>
            <family val="2"/>
            <scheme val="minor"/>
          </rPr>
          <t>Preserved from Kerry_Drydock_2027_Job_Workspace_Recovery_v2.xlsm | Jobs!L65. No new commercial figures or exchange rates have been entered.</t>
        </r>
      </text>
    </comment>
    <comment ref="M65" authorId="0" shapeId="0" xr:uid="{00000000-0006-0000-0200-0000CB010000}">
      <text>
        <r>
          <rPr>
            <sz val="11"/>
            <color theme="1"/>
            <rFont val="Calibri"/>
            <family val="2"/>
            <scheme val="minor"/>
          </rPr>
          <t>Preserved from Kerry_Drydock_2027_Job_Workspace_Recovery_v2.xlsm | Jobs!M65. No new commercial figures or exchange rates have been entered.</t>
        </r>
      </text>
    </comment>
    <comment ref="O65" authorId="0" shapeId="0" xr:uid="{00000000-0006-0000-0200-0000CC010000}">
      <text>
        <r>
          <rPr>
            <sz val="11"/>
            <color theme="1"/>
            <rFont val="Calibri"/>
            <family val="2"/>
            <scheme val="minor"/>
          </rPr>
          <t>Preserved from Kerry_Drydock_2027_Job_Workspace_Recovery_v2.xlsm | Jobs!O65. No new commercial figures or exchange rates have been entered.</t>
        </r>
      </text>
    </comment>
    <comment ref="A66" authorId="0" shapeId="0" xr:uid="{00000000-0006-0000-0200-0000CD010000}">
      <text>
        <r>
          <rPr>
            <sz val="11"/>
            <color theme="1"/>
            <rFont val="Calibri"/>
            <family val="2"/>
            <scheme val="minor"/>
          </rPr>
          <t>Preserved from Kerry_Drydock_2027_Job_Workspace_Recovery_v2.xlsm | Jobs!A66. No new commercial figures or exchange rates have been entered.</t>
        </r>
      </text>
    </comment>
    <comment ref="B66" authorId="0" shapeId="0" xr:uid="{00000000-0006-0000-0200-0000CE010000}">
      <text>
        <r>
          <rPr>
            <sz val="11"/>
            <color theme="1"/>
            <rFont val="Calibri"/>
            <family val="2"/>
            <scheme val="minor"/>
          </rPr>
          <t>Preserved from Kerry_Drydock_2027_Job_Workspace_Recovery_v2.xlsm | Jobs!B66. No new commercial figures or exchange rates have been entered.</t>
        </r>
      </text>
    </comment>
    <comment ref="C66" authorId="0" shapeId="0" xr:uid="{00000000-0006-0000-0200-0000CF010000}">
      <text>
        <r>
          <rPr>
            <sz val="11"/>
            <color theme="1"/>
            <rFont val="Calibri"/>
            <family val="2"/>
            <scheme val="minor"/>
          </rPr>
          <t>Preserved from Kerry_Drydock_2027_Job_Workspace_Recovery_v2.xlsm | Jobs!C66. No new commercial figures or exchange rates have been entered.</t>
        </r>
      </text>
    </comment>
    <comment ref="D66" authorId="0" shapeId="0" xr:uid="{00000000-0006-0000-0200-0000D0010000}">
      <text>
        <r>
          <rPr>
            <sz val="11"/>
            <color theme="1"/>
            <rFont val="Calibri"/>
            <family val="2"/>
            <scheme val="minor"/>
          </rPr>
          <t>Preserved from Kerry_Drydock_2027_Job_Workspace_Recovery_v2.xlsm | Jobs!D66. No new commercial figures or exchange rates have been entered.</t>
        </r>
      </text>
    </comment>
    <comment ref="I66" authorId="0" shapeId="0" xr:uid="{00000000-0006-0000-0200-0000D1010000}">
      <text>
        <r>
          <rPr>
            <sz val="11"/>
            <color theme="1"/>
            <rFont val="Calibri"/>
            <family val="2"/>
            <scheme val="minor"/>
          </rPr>
          <t>Preserved from Kerry_Drydock_2027_Job_Workspace_Recovery_v2.xlsm | Jobs!I66. No new commercial figures or exchange rates have been entered.</t>
        </r>
      </text>
    </comment>
    <comment ref="L66" authorId="0" shapeId="0" xr:uid="{00000000-0006-0000-0200-0000D2010000}">
      <text>
        <r>
          <rPr>
            <sz val="11"/>
            <color theme="1"/>
            <rFont val="Calibri"/>
            <family val="2"/>
            <scheme val="minor"/>
          </rPr>
          <t>Preserved from Kerry_Drydock_2027_Job_Workspace_Recovery_v2.xlsm | Jobs!L66. No new commercial figures or exchange rates have been entered.</t>
        </r>
      </text>
    </comment>
    <comment ref="M66" authorId="0" shapeId="0" xr:uid="{00000000-0006-0000-0200-0000D3010000}">
      <text>
        <r>
          <rPr>
            <sz val="11"/>
            <color theme="1"/>
            <rFont val="Calibri"/>
            <family val="2"/>
            <scheme val="minor"/>
          </rPr>
          <t>Preserved from Kerry_Drydock_2027_Job_Workspace_Recovery_v2.xlsm | Jobs!M66. No new commercial figures or exchange rates have been entered.</t>
        </r>
      </text>
    </comment>
    <comment ref="O66" authorId="0" shapeId="0" xr:uid="{00000000-0006-0000-0200-0000D4010000}">
      <text>
        <r>
          <rPr>
            <sz val="11"/>
            <color theme="1"/>
            <rFont val="Calibri"/>
            <family val="2"/>
            <scheme val="minor"/>
          </rPr>
          <t>Preserved from Kerry_Drydock_2027_Job_Workspace_Recovery_v2.xlsm | Jobs!O66. No new commercial figures or exchange rates have been entered.</t>
        </r>
      </text>
    </comment>
    <comment ref="A67" authorId="0" shapeId="0" xr:uid="{00000000-0006-0000-0200-0000D5010000}">
      <text>
        <r>
          <rPr>
            <sz val="11"/>
            <color theme="1"/>
            <rFont val="Calibri"/>
            <family val="2"/>
            <scheme val="minor"/>
          </rPr>
          <t>Preserved from Kerry_Drydock_2027_Job_Workspace_Recovery_v2.xlsm | Jobs!A67. No new commercial figures or exchange rates have been entered.</t>
        </r>
      </text>
    </comment>
    <comment ref="B67" authorId="0" shapeId="0" xr:uid="{00000000-0006-0000-0200-0000D6010000}">
      <text>
        <r>
          <rPr>
            <sz val="11"/>
            <color theme="1"/>
            <rFont val="Calibri"/>
            <family val="2"/>
            <scheme val="minor"/>
          </rPr>
          <t>Preserved from Kerry_Drydock_2027_Job_Workspace_Recovery_v2.xlsm | Jobs!B67. No new commercial figures or exchange rates have been entered.</t>
        </r>
      </text>
    </comment>
    <comment ref="C67" authorId="0" shapeId="0" xr:uid="{00000000-0006-0000-0200-0000D7010000}">
      <text>
        <r>
          <rPr>
            <sz val="11"/>
            <color theme="1"/>
            <rFont val="Calibri"/>
            <family val="2"/>
            <scheme val="minor"/>
          </rPr>
          <t>Preserved from Kerry_Drydock_2027_Job_Workspace_Recovery_v2.xlsm | Jobs!C67. No new commercial figures or exchange rates have been entered.</t>
        </r>
      </text>
    </comment>
    <comment ref="D67" authorId="0" shapeId="0" xr:uid="{00000000-0006-0000-0200-0000D8010000}">
      <text>
        <r>
          <rPr>
            <sz val="11"/>
            <color theme="1"/>
            <rFont val="Calibri"/>
            <family val="2"/>
            <scheme val="minor"/>
          </rPr>
          <t>Preserved from Kerry_Drydock_2027_Job_Workspace_Recovery_v2.xlsm | Jobs!D67. No new commercial figures or exchange rates have been entered.</t>
        </r>
      </text>
    </comment>
    <comment ref="I67" authorId="0" shapeId="0" xr:uid="{00000000-0006-0000-0200-0000D9010000}">
      <text>
        <r>
          <rPr>
            <sz val="11"/>
            <color theme="1"/>
            <rFont val="Calibri"/>
            <family val="2"/>
            <scheme val="minor"/>
          </rPr>
          <t>Preserved from Kerry_Drydock_2027_Job_Workspace_Recovery_v2.xlsm | Jobs!I67. No new commercial figures or exchange rates have been entered.</t>
        </r>
      </text>
    </comment>
    <comment ref="L67" authorId="0" shapeId="0" xr:uid="{00000000-0006-0000-0200-0000DA010000}">
      <text>
        <r>
          <rPr>
            <sz val="11"/>
            <color theme="1"/>
            <rFont val="Calibri"/>
            <family val="2"/>
            <scheme val="minor"/>
          </rPr>
          <t>Preserved from Kerry_Drydock_2027_Job_Workspace_Recovery_v2.xlsm | Jobs!L67. No new commercial figures or exchange rates have been entered.</t>
        </r>
      </text>
    </comment>
    <comment ref="M67" authorId="0" shapeId="0" xr:uid="{00000000-0006-0000-0200-0000DB010000}">
      <text>
        <r>
          <rPr>
            <sz val="11"/>
            <color theme="1"/>
            <rFont val="Calibri"/>
            <family val="2"/>
            <scheme val="minor"/>
          </rPr>
          <t>Preserved from Kerry_Drydock_2027_Job_Workspace_Recovery_v2.xlsm | Jobs!M67. No new commercial figures or exchange rates have been entered.</t>
        </r>
      </text>
    </comment>
    <comment ref="O67" authorId="0" shapeId="0" xr:uid="{00000000-0006-0000-0200-0000DC010000}">
      <text>
        <r>
          <rPr>
            <sz val="11"/>
            <color theme="1"/>
            <rFont val="Calibri"/>
            <family val="2"/>
            <scheme val="minor"/>
          </rPr>
          <t>Preserved from Kerry_Drydock_2027_Job_Workspace_Recovery_v2.xlsm | Jobs!O67. No new commercial figures or exchange rates have been entered.</t>
        </r>
      </text>
    </comment>
    <comment ref="A68" authorId="0" shapeId="0" xr:uid="{00000000-0006-0000-0200-0000DD010000}">
      <text>
        <r>
          <rPr>
            <sz val="11"/>
            <color theme="1"/>
            <rFont val="Calibri"/>
            <family val="2"/>
            <scheme val="minor"/>
          </rPr>
          <t>Preserved from Kerry_Drydock_2027_Job_Workspace_Recovery_v2.xlsm | Jobs!A68. No new commercial figures or exchange rates have been entered.</t>
        </r>
      </text>
    </comment>
    <comment ref="B68" authorId="0" shapeId="0" xr:uid="{00000000-0006-0000-0200-0000DE010000}">
      <text>
        <r>
          <rPr>
            <sz val="11"/>
            <color theme="1"/>
            <rFont val="Calibri"/>
            <family val="2"/>
            <scheme val="minor"/>
          </rPr>
          <t>Preserved from Kerry_Drydock_2027_Job_Workspace_Recovery_v2.xlsm | Jobs!B68. No new commercial figures or exchange rates have been entered.</t>
        </r>
      </text>
    </comment>
    <comment ref="C68" authorId="0" shapeId="0" xr:uid="{00000000-0006-0000-0200-0000DF010000}">
      <text>
        <r>
          <rPr>
            <sz val="11"/>
            <color theme="1"/>
            <rFont val="Calibri"/>
            <family val="2"/>
            <scheme val="minor"/>
          </rPr>
          <t>Preserved from Kerry_Drydock_2027_Job_Workspace_Recovery_v2.xlsm | Jobs!C68. No new commercial figures or exchange rates have been entered.</t>
        </r>
      </text>
    </comment>
    <comment ref="D68" authorId="0" shapeId="0" xr:uid="{00000000-0006-0000-0200-0000E0010000}">
      <text>
        <r>
          <rPr>
            <sz val="11"/>
            <color theme="1"/>
            <rFont val="Calibri"/>
            <family val="2"/>
            <scheme val="minor"/>
          </rPr>
          <t>Preserved from Kerry_Drydock_2027_Job_Workspace_Recovery_v2.xlsm | Jobs!D68. No new commercial figures or exchange rates have been entered.</t>
        </r>
      </text>
    </comment>
    <comment ref="I68" authorId="0" shapeId="0" xr:uid="{00000000-0006-0000-0200-0000E1010000}">
      <text>
        <r>
          <rPr>
            <sz val="11"/>
            <color theme="1"/>
            <rFont val="Calibri"/>
            <family val="2"/>
            <scheme val="minor"/>
          </rPr>
          <t>Preserved from Kerry_Drydock_2027_Job_Workspace_Recovery_v2.xlsm | Jobs!I68. No new commercial figures or exchange rates have been entered.</t>
        </r>
      </text>
    </comment>
    <comment ref="L68" authorId="0" shapeId="0" xr:uid="{00000000-0006-0000-0200-0000E2010000}">
      <text>
        <r>
          <rPr>
            <sz val="11"/>
            <color theme="1"/>
            <rFont val="Calibri"/>
            <family val="2"/>
            <scheme val="minor"/>
          </rPr>
          <t>Preserved from Kerry_Drydock_2027_Job_Workspace_Recovery_v2.xlsm | Jobs!L68. No new commercial figures or exchange rates have been entered.</t>
        </r>
      </text>
    </comment>
    <comment ref="M68" authorId="0" shapeId="0" xr:uid="{00000000-0006-0000-0200-0000E3010000}">
      <text>
        <r>
          <rPr>
            <sz val="11"/>
            <color theme="1"/>
            <rFont val="Calibri"/>
            <family val="2"/>
            <scheme val="minor"/>
          </rPr>
          <t>Preserved from Kerry_Drydock_2027_Job_Workspace_Recovery_v2.xlsm | Jobs!M68. No new commercial figures or exchange rates have been entered.</t>
        </r>
      </text>
    </comment>
    <comment ref="O68" authorId="0" shapeId="0" xr:uid="{00000000-0006-0000-0200-0000E4010000}">
      <text>
        <r>
          <rPr>
            <sz val="11"/>
            <color theme="1"/>
            <rFont val="Calibri"/>
            <family val="2"/>
            <scheme val="minor"/>
          </rPr>
          <t>Preserved from Kerry_Drydock_2027_Job_Workspace_Recovery_v2.xlsm | Jobs!O68. No new commercial figures or exchange rates have been entered.</t>
        </r>
      </text>
    </comment>
    <comment ref="P68" authorId="0" shapeId="0" xr:uid="{00000000-0006-0000-0200-0000E5010000}">
      <text>
        <r>
          <rPr>
            <sz val="11"/>
            <color theme="1"/>
            <rFont val="Calibri"/>
            <family val="2"/>
            <scheme val="minor"/>
          </rPr>
          <t>Preserved from Kerry_Drydock_2027_Job_Workspace_Recovery_v2.xlsm | Jobs!P68. No new commercial figures or exchange rates have been entered.</t>
        </r>
      </text>
    </comment>
    <comment ref="A69" authorId="0" shapeId="0" xr:uid="{00000000-0006-0000-0200-0000E6010000}">
      <text>
        <r>
          <rPr>
            <sz val="11"/>
            <color theme="1"/>
            <rFont val="Calibri"/>
            <family val="2"/>
            <scheme val="minor"/>
          </rPr>
          <t>Preserved from Kerry_Drydock_2027_Job_Workspace_Recovery_v2.xlsm | Jobs!A69. No new commercial figures or exchange rates have been entered.</t>
        </r>
      </text>
    </comment>
    <comment ref="B69" authorId="0" shapeId="0" xr:uid="{00000000-0006-0000-0200-0000E7010000}">
      <text>
        <r>
          <rPr>
            <sz val="11"/>
            <color theme="1"/>
            <rFont val="Calibri"/>
            <family val="2"/>
            <scheme val="minor"/>
          </rPr>
          <t>Preserved from Kerry_Drydock_2027_Job_Workspace_Recovery_v2.xlsm | Jobs!B69. No new commercial figures or exchange rates have been entered.</t>
        </r>
      </text>
    </comment>
    <comment ref="C69" authorId="0" shapeId="0" xr:uid="{00000000-0006-0000-0200-0000E8010000}">
      <text>
        <r>
          <rPr>
            <sz val="11"/>
            <color theme="1"/>
            <rFont val="Calibri"/>
            <family val="2"/>
            <scheme val="minor"/>
          </rPr>
          <t>Preserved from Kerry_Drydock_2027_Job_Workspace_Recovery_v2.xlsm | Jobs!C69. No new commercial figures or exchange rates have been entered.</t>
        </r>
      </text>
    </comment>
    <comment ref="D69" authorId="0" shapeId="0" xr:uid="{00000000-0006-0000-0200-0000E9010000}">
      <text>
        <r>
          <rPr>
            <sz val="11"/>
            <color theme="1"/>
            <rFont val="Calibri"/>
            <family val="2"/>
            <scheme val="minor"/>
          </rPr>
          <t>Preserved from Kerry_Drydock_2027_Job_Workspace_Recovery_v2.xlsm | Jobs!D69. No new commercial figures or exchange rates have been entered.</t>
        </r>
      </text>
    </comment>
    <comment ref="I69" authorId="0" shapeId="0" xr:uid="{00000000-0006-0000-0200-0000EA010000}">
      <text>
        <r>
          <rPr>
            <sz val="11"/>
            <color theme="1"/>
            <rFont val="Calibri"/>
            <family val="2"/>
            <scheme val="minor"/>
          </rPr>
          <t>Preserved from Kerry_Drydock_2027_Job_Workspace_Recovery_v2.xlsm | Jobs!I69. No new commercial figures or exchange rates have been entered.</t>
        </r>
      </text>
    </comment>
    <comment ref="L69" authorId="0" shapeId="0" xr:uid="{00000000-0006-0000-0200-0000EB010000}">
      <text>
        <r>
          <rPr>
            <sz val="11"/>
            <color theme="1"/>
            <rFont val="Calibri"/>
            <family val="2"/>
            <scheme val="minor"/>
          </rPr>
          <t>Preserved from Kerry_Drydock_2027_Job_Workspace_Recovery_v2.xlsm | Jobs!L69. No new commercial figures or exchange rates have been entered.</t>
        </r>
      </text>
    </comment>
    <comment ref="M69" authorId="0" shapeId="0" xr:uid="{00000000-0006-0000-0200-0000EC010000}">
      <text>
        <r>
          <rPr>
            <sz val="11"/>
            <color theme="1"/>
            <rFont val="Calibri"/>
            <family val="2"/>
            <scheme val="minor"/>
          </rPr>
          <t>Preserved from Kerry_Drydock_2027_Job_Workspace_Recovery_v2.xlsm | Jobs!M69. No new commercial figures or exchange rates have been entered.</t>
        </r>
      </text>
    </comment>
    <comment ref="O69" authorId="0" shapeId="0" xr:uid="{00000000-0006-0000-0200-0000ED010000}">
      <text>
        <r>
          <rPr>
            <sz val="11"/>
            <color theme="1"/>
            <rFont val="Calibri"/>
            <family val="2"/>
            <scheme val="minor"/>
          </rPr>
          <t>Preserved from Kerry_Drydock_2027_Job_Workspace_Recovery_v2.xlsm | Jobs!O69. No new commercial figures or exchange rates have been entered.</t>
        </r>
      </text>
    </comment>
    <comment ref="P69" authorId="0" shapeId="0" xr:uid="{00000000-0006-0000-0200-0000EE010000}">
      <text>
        <r>
          <rPr>
            <sz val="11"/>
            <color theme="1"/>
            <rFont val="Calibri"/>
            <family val="2"/>
            <scheme val="minor"/>
          </rPr>
          <t>Preserved from Kerry_Drydock_2027_Job_Workspace_Recovery_v2.xlsm | Jobs!P69. No new commercial figures or exchange rates have been entered.</t>
        </r>
      </text>
    </comment>
    <comment ref="A70" authorId="0" shapeId="0" xr:uid="{00000000-0006-0000-0200-0000EF010000}">
      <text>
        <r>
          <rPr>
            <sz val="11"/>
            <color theme="1"/>
            <rFont val="Calibri"/>
            <family val="2"/>
            <scheme val="minor"/>
          </rPr>
          <t>Preserved from Kerry_Drydock_2027_Job_Workspace_Recovery_v2.xlsm | Jobs!A70. No new commercial figures or exchange rates have been entered.</t>
        </r>
      </text>
    </comment>
    <comment ref="B70" authorId="0" shapeId="0" xr:uid="{00000000-0006-0000-0200-0000F0010000}">
      <text>
        <r>
          <rPr>
            <sz val="11"/>
            <color theme="1"/>
            <rFont val="Calibri"/>
            <family val="2"/>
            <scheme val="minor"/>
          </rPr>
          <t>Preserved from Kerry_Drydock_2027_Job_Workspace_Recovery_v2.xlsm | Jobs!B70. No new commercial figures or exchange rates have been entered.</t>
        </r>
      </text>
    </comment>
    <comment ref="C70" authorId="0" shapeId="0" xr:uid="{00000000-0006-0000-0200-0000F1010000}">
      <text>
        <r>
          <rPr>
            <sz val="11"/>
            <color theme="1"/>
            <rFont val="Calibri"/>
            <family val="2"/>
            <scheme val="minor"/>
          </rPr>
          <t>Preserved from Kerry_Drydock_2027_Job_Workspace_Recovery_v2.xlsm | Jobs!C70. No new commercial figures or exchange rates have been entered.</t>
        </r>
      </text>
    </comment>
    <comment ref="D70" authorId="0" shapeId="0" xr:uid="{00000000-0006-0000-0200-0000F2010000}">
      <text>
        <r>
          <rPr>
            <sz val="11"/>
            <color theme="1"/>
            <rFont val="Calibri"/>
            <family val="2"/>
            <scheme val="minor"/>
          </rPr>
          <t>Preserved from Kerry_Drydock_2027_Job_Workspace_Recovery_v2.xlsm | Jobs!D70. No new commercial figures or exchange rates have been entered.</t>
        </r>
      </text>
    </comment>
    <comment ref="I70" authorId="0" shapeId="0" xr:uid="{00000000-0006-0000-0200-0000F3010000}">
      <text>
        <r>
          <rPr>
            <sz val="11"/>
            <color theme="1"/>
            <rFont val="Calibri"/>
            <family val="2"/>
            <scheme val="minor"/>
          </rPr>
          <t>Preserved from Kerry_Drydock_2027_Job_Workspace_Recovery_v2.xlsm | Jobs!I70. No new commercial figures or exchange rates have been entered.</t>
        </r>
      </text>
    </comment>
    <comment ref="L70" authorId="0" shapeId="0" xr:uid="{00000000-0006-0000-0200-0000F4010000}">
      <text>
        <r>
          <rPr>
            <sz val="11"/>
            <color theme="1"/>
            <rFont val="Calibri"/>
            <family val="2"/>
            <scheme val="minor"/>
          </rPr>
          <t>Preserved from Kerry_Drydock_2027_Job_Workspace_Recovery_v2.xlsm | Jobs!L70. No new commercial figures or exchange rates have been entered.</t>
        </r>
      </text>
    </comment>
    <comment ref="M70" authorId="0" shapeId="0" xr:uid="{00000000-0006-0000-0200-0000F5010000}">
      <text>
        <r>
          <rPr>
            <sz val="11"/>
            <color theme="1"/>
            <rFont val="Calibri"/>
            <family val="2"/>
            <scheme val="minor"/>
          </rPr>
          <t>Preserved from Kerry_Drydock_2027_Job_Workspace_Recovery_v2.xlsm | Jobs!M70. No new commercial figures or exchange rates have been entered.</t>
        </r>
      </text>
    </comment>
    <comment ref="O70" authorId="0" shapeId="0" xr:uid="{00000000-0006-0000-0200-0000F6010000}">
      <text>
        <r>
          <rPr>
            <sz val="11"/>
            <color theme="1"/>
            <rFont val="Calibri"/>
            <family val="2"/>
            <scheme val="minor"/>
          </rPr>
          <t>Preserved from Kerry_Drydock_2027_Job_Workspace_Recovery_v2.xlsm | Jobs!O70. No new commercial figures or exchange rates have been entered.</t>
        </r>
      </text>
    </comment>
    <comment ref="A71" authorId="0" shapeId="0" xr:uid="{00000000-0006-0000-0200-0000F7010000}">
      <text>
        <r>
          <rPr>
            <sz val="11"/>
            <color theme="1"/>
            <rFont val="Calibri"/>
            <family val="2"/>
            <scheme val="minor"/>
          </rPr>
          <t>Preserved from Kerry_Drydock_2027_Job_Workspace_Recovery_v2.xlsm | Jobs!A71. No new commercial figures or exchange rates have been entered.</t>
        </r>
      </text>
    </comment>
    <comment ref="B71" authorId="0" shapeId="0" xr:uid="{00000000-0006-0000-0200-0000F8010000}">
      <text>
        <r>
          <rPr>
            <sz val="11"/>
            <color theme="1"/>
            <rFont val="Calibri"/>
            <family val="2"/>
            <scheme val="minor"/>
          </rPr>
          <t>Preserved from Kerry_Drydock_2027_Job_Workspace_Recovery_v2.xlsm | Jobs!B71. No new commercial figures or exchange rates have been entered.</t>
        </r>
      </text>
    </comment>
    <comment ref="C71" authorId="0" shapeId="0" xr:uid="{00000000-0006-0000-0200-0000F9010000}">
      <text>
        <r>
          <rPr>
            <sz val="11"/>
            <color theme="1"/>
            <rFont val="Calibri"/>
            <family val="2"/>
            <scheme val="minor"/>
          </rPr>
          <t>Preserved from Kerry_Drydock_2027_Job_Workspace_Recovery_v2.xlsm | Jobs!C71. No new commercial figures or exchange rates have been entered.</t>
        </r>
      </text>
    </comment>
    <comment ref="D71" authorId="0" shapeId="0" xr:uid="{00000000-0006-0000-0200-0000FA010000}">
      <text>
        <r>
          <rPr>
            <sz val="11"/>
            <color theme="1"/>
            <rFont val="Calibri"/>
            <family val="2"/>
            <scheme val="minor"/>
          </rPr>
          <t>Preserved from Kerry_Drydock_2027_Job_Workspace_Recovery_v2.xlsm | Jobs!D71. No new commercial figures or exchange rates have been entered.</t>
        </r>
      </text>
    </comment>
    <comment ref="I71" authorId="0" shapeId="0" xr:uid="{00000000-0006-0000-0200-0000FB010000}">
      <text>
        <r>
          <rPr>
            <sz val="11"/>
            <color theme="1"/>
            <rFont val="Calibri"/>
            <family val="2"/>
            <scheme val="minor"/>
          </rPr>
          <t>Preserved from Kerry_Drydock_2027_Job_Workspace_Recovery_v2.xlsm | Jobs!I71. No new commercial figures or exchange rates have been entered.</t>
        </r>
      </text>
    </comment>
    <comment ref="L71" authorId="0" shapeId="0" xr:uid="{00000000-0006-0000-0200-0000FC010000}">
      <text>
        <r>
          <rPr>
            <sz val="11"/>
            <color theme="1"/>
            <rFont val="Calibri"/>
            <family val="2"/>
            <scheme val="minor"/>
          </rPr>
          <t>Preserved from Kerry_Drydock_2027_Job_Workspace_Recovery_v2.xlsm | Jobs!L71. No new commercial figures or exchange rates have been entered.</t>
        </r>
      </text>
    </comment>
    <comment ref="M71" authorId="0" shapeId="0" xr:uid="{00000000-0006-0000-0200-0000FD010000}">
      <text>
        <r>
          <rPr>
            <sz val="11"/>
            <color theme="1"/>
            <rFont val="Calibri"/>
            <family val="2"/>
            <scheme val="minor"/>
          </rPr>
          <t>Preserved from Kerry_Drydock_2027_Job_Workspace_Recovery_v2.xlsm | Jobs!M71. No new commercial figures or exchange rates have been entered.</t>
        </r>
      </text>
    </comment>
    <comment ref="O71" authorId="0" shapeId="0" xr:uid="{00000000-0006-0000-0200-0000FE010000}">
      <text>
        <r>
          <rPr>
            <sz val="11"/>
            <color theme="1"/>
            <rFont val="Calibri"/>
            <family val="2"/>
            <scheme val="minor"/>
          </rPr>
          <t>Preserved from Kerry_Drydock_2027_Job_Workspace_Recovery_v2.xlsm | Jobs!O71. No new commercial figures or exchange rates have been entered.</t>
        </r>
      </text>
    </comment>
    <comment ref="A72" authorId="0" shapeId="0" xr:uid="{00000000-0006-0000-0200-0000FF010000}">
      <text>
        <r>
          <rPr>
            <sz val="11"/>
            <color theme="1"/>
            <rFont val="Calibri"/>
            <family val="2"/>
            <scheme val="minor"/>
          </rPr>
          <t>Preserved from Kerry_Drydock_2027_Job_Workspace_Recovery_v2.xlsm | Jobs!A72. No new commercial figures or exchange rates have been entered.</t>
        </r>
      </text>
    </comment>
    <comment ref="B72" authorId="0" shapeId="0" xr:uid="{00000000-0006-0000-0200-000000020000}">
      <text>
        <r>
          <rPr>
            <sz val="11"/>
            <color theme="1"/>
            <rFont val="Calibri"/>
            <family val="2"/>
            <scheme val="minor"/>
          </rPr>
          <t>Preserved from Kerry_Drydock_2027_Job_Workspace_Recovery_v2.xlsm | Jobs!B72. No new commercial figures or exchange rates have been entered.</t>
        </r>
      </text>
    </comment>
    <comment ref="C72" authorId="0" shapeId="0" xr:uid="{00000000-0006-0000-0200-000001020000}">
      <text>
        <r>
          <rPr>
            <sz val="11"/>
            <color theme="1"/>
            <rFont val="Calibri"/>
            <family val="2"/>
            <scheme val="minor"/>
          </rPr>
          <t>Preserved from Kerry_Drydock_2027_Job_Workspace_Recovery_v2.xlsm | Jobs!C72. No new commercial figures or exchange rates have been entered.</t>
        </r>
      </text>
    </comment>
    <comment ref="D72" authorId="0" shapeId="0" xr:uid="{00000000-0006-0000-0200-000002020000}">
      <text>
        <r>
          <rPr>
            <sz val="11"/>
            <color theme="1"/>
            <rFont val="Calibri"/>
            <family val="2"/>
            <scheme val="minor"/>
          </rPr>
          <t>Preserved from Kerry_Drydock_2027_Job_Workspace_Recovery_v2.xlsm | Jobs!D72. No new commercial figures or exchange rates have been entered.</t>
        </r>
      </text>
    </comment>
    <comment ref="I72" authorId="0" shapeId="0" xr:uid="{00000000-0006-0000-0200-000003020000}">
      <text>
        <r>
          <rPr>
            <sz val="11"/>
            <color theme="1"/>
            <rFont val="Calibri"/>
            <family val="2"/>
            <scheme val="minor"/>
          </rPr>
          <t>Preserved from Kerry_Drydock_2027_Job_Workspace_Recovery_v2.xlsm | Jobs!I72. No new commercial figures or exchange rates have been entered.</t>
        </r>
      </text>
    </comment>
    <comment ref="L72" authorId="0" shapeId="0" xr:uid="{00000000-0006-0000-0200-000004020000}">
      <text>
        <r>
          <rPr>
            <sz val="11"/>
            <color theme="1"/>
            <rFont val="Calibri"/>
            <family val="2"/>
            <scheme val="minor"/>
          </rPr>
          <t>Preserved from Kerry_Drydock_2027_Job_Workspace_Recovery_v2.xlsm | Jobs!L72. No new commercial figures or exchange rates have been entered.</t>
        </r>
      </text>
    </comment>
    <comment ref="M72" authorId="0" shapeId="0" xr:uid="{00000000-0006-0000-0200-000005020000}">
      <text>
        <r>
          <rPr>
            <sz val="11"/>
            <color theme="1"/>
            <rFont val="Calibri"/>
            <family val="2"/>
            <scheme val="minor"/>
          </rPr>
          <t>Preserved from Kerry_Drydock_2027_Job_Workspace_Recovery_v2.xlsm | Jobs!M72. No new commercial figures or exchange rates have been entered.</t>
        </r>
      </text>
    </comment>
    <comment ref="O72" authorId="0" shapeId="0" xr:uid="{00000000-0006-0000-0200-000006020000}">
      <text>
        <r>
          <rPr>
            <sz val="11"/>
            <color theme="1"/>
            <rFont val="Calibri"/>
            <family val="2"/>
            <scheme val="minor"/>
          </rPr>
          <t>Preserved from Kerry_Drydock_2027_Job_Workspace_Recovery_v2.xlsm | Jobs!O72. No new commercial figures or exchange rates have been entered.</t>
        </r>
      </text>
    </comment>
    <comment ref="A73" authorId="0" shapeId="0" xr:uid="{00000000-0006-0000-0200-000007020000}">
      <text>
        <r>
          <rPr>
            <sz val="11"/>
            <color theme="1"/>
            <rFont val="Calibri"/>
            <family val="2"/>
            <scheme val="minor"/>
          </rPr>
          <t>Preserved from Kerry_Drydock_2027_Job_Workspace_Recovery_v2.xlsm | Jobs!A73. No new commercial figures or exchange rates have been entered.</t>
        </r>
      </text>
    </comment>
    <comment ref="B73" authorId="0" shapeId="0" xr:uid="{00000000-0006-0000-0200-000008020000}">
      <text>
        <r>
          <rPr>
            <sz val="11"/>
            <color theme="1"/>
            <rFont val="Calibri"/>
            <family val="2"/>
            <scheme val="minor"/>
          </rPr>
          <t>Preserved from Kerry_Drydock_2027_Job_Workspace_Recovery_v2.xlsm | Jobs!B73. No new commercial figures or exchange rates have been entered.</t>
        </r>
      </text>
    </comment>
    <comment ref="C73" authorId="0" shapeId="0" xr:uid="{00000000-0006-0000-0200-000009020000}">
      <text>
        <r>
          <rPr>
            <sz val="11"/>
            <color theme="1"/>
            <rFont val="Calibri"/>
            <family val="2"/>
            <scheme val="minor"/>
          </rPr>
          <t>Preserved from Kerry_Drydock_2027_Job_Workspace_Recovery_v2.xlsm | Jobs!C73. No new commercial figures or exchange rates have been entered.</t>
        </r>
      </text>
    </comment>
    <comment ref="D73" authorId="0" shapeId="0" xr:uid="{00000000-0006-0000-0200-00000A020000}">
      <text>
        <r>
          <rPr>
            <sz val="11"/>
            <color theme="1"/>
            <rFont val="Calibri"/>
            <family val="2"/>
            <scheme val="minor"/>
          </rPr>
          <t>Preserved from Kerry_Drydock_2027_Job_Workspace_Recovery_v2.xlsm | Jobs!D73. No new commercial figures or exchange rates have been entered.</t>
        </r>
      </text>
    </comment>
    <comment ref="I73" authorId="0" shapeId="0" xr:uid="{00000000-0006-0000-0200-00000B020000}">
      <text>
        <r>
          <rPr>
            <sz val="11"/>
            <color theme="1"/>
            <rFont val="Calibri"/>
            <family val="2"/>
            <scheme val="minor"/>
          </rPr>
          <t>Preserved from Kerry_Drydock_2027_Job_Workspace_Recovery_v2.xlsm | Jobs!I73. No new commercial figures or exchange rates have been entered.</t>
        </r>
      </text>
    </comment>
    <comment ref="L73" authorId="0" shapeId="0" xr:uid="{00000000-0006-0000-0200-00000C020000}">
      <text>
        <r>
          <rPr>
            <sz val="11"/>
            <color theme="1"/>
            <rFont val="Calibri"/>
            <family val="2"/>
            <scheme val="minor"/>
          </rPr>
          <t>Preserved from Kerry_Drydock_2027_Job_Workspace_Recovery_v2.xlsm | Jobs!L73. No new commercial figures or exchange rates have been entered.</t>
        </r>
      </text>
    </comment>
    <comment ref="M73" authorId="0" shapeId="0" xr:uid="{00000000-0006-0000-0200-00000D020000}">
      <text>
        <r>
          <rPr>
            <sz val="11"/>
            <color theme="1"/>
            <rFont val="Calibri"/>
            <family val="2"/>
            <scheme val="minor"/>
          </rPr>
          <t>Preserved from Kerry_Drydock_2027_Job_Workspace_Recovery_v2.xlsm | Jobs!M73. No new commercial figures or exchange rates have been entered.</t>
        </r>
      </text>
    </comment>
    <comment ref="O73" authorId="0" shapeId="0" xr:uid="{00000000-0006-0000-0200-00000E020000}">
      <text>
        <r>
          <rPr>
            <sz val="11"/>
            <color theme="1"/>
            <rFont val="Calibri"/>
            <family val="2"/>
            <scheme val="minor"/>
          </rPr>
          <t>Preserved from Kerry_Drydock_2027_Job_Workspace_Recovery_v2.xlsm | Jobs!O73. No new commercial figures or exchange rates have been entered.</t>
        </r>
      </text>
    </comment>
    <comment ref="A74" authorId="0" shapeId="0" xr:uid="{00000000-0006-0000-0200-00000F020000}">
      <text>
        <r>
          <rPr>
            <sz val="11"/>
            <color theme="1"/>
            <rFont val="Calibri"/>
            <family val="2"/>
            <scheme val="minor"/>
          </rPr>
          <t>Preserved from Kerry_Drydock_2027_Job_Workspace_Recovery_v2.xlsm | Jobs!A74. No new commercial figures or exchange rates have been entered.</t>
        </r>
      </text>
    </comment>
    <comment ref="B74" authorId="0" shapeId="0" xr:uid="{00000000-0006-0000-0200-000010020000}">
      <text>
        <r>
          <rPr>
            <sz val="11"/>
            <color theme="1"/>
            <rFont val="Calibri"/>
            <family val="2"/>
            <scheme val="minor"/>
          </rPr>
          <t>Preserved from Kerry_Drydock_2027_Job_Workspace_Recovery_v2.xlsm | Jobs!B74. No new commercial figures or exchange rates have been entered.</t>
        </r>
      </text>
    </comment>
    <comment ref="C74" authorId="0" shapeId="0" xr:uid="{00000000-0006-0000-0200-000011020000}">
      <text>
        <r>
          <rPr>
            <sz val="11"/>
            <color theme="1"/>
            <rFont val="Calibri"/>
            <family val="2"/>
            <scheme val="minor"/>
          </rPr>
          <t>Preserved from Kerry_Drydock_2027_Job_Workspace_Recovery_v2.xlsm | Jobs!C74. No new commercial figures or exchange rates have been entered.</t>
        </r>
      </text>
    </comment>
    <comment ref="D74" authorId="0" shapeId="0" xr:uid="{00000000-0006-0000-0200-000012020000}">
      <text>
        <r>
          <rPr>
            <sz val="11"/>
            <color theme="1"/>
            <rFont val="Calibri"/>
            <family val="2"/>
            <scheme val="minor"/>
          </rPr>
          <t>Preserved from Kerry_Drydock_2027_Job_Workspace_Recovery_v2.xlsm | Jobs!D74. No new commercial figures or exchange rates have been entered.</t>
        </r>
      </text>
    </comment>
    <comment ref="I74" authorId="0" shapeId="0" xr:uid="{00000000-0006-0000-0200-000013020000}">
      <text>
        <r>
          <rPr>
            <sz val="11"/>
            <color theme="1"/>
            <rFont val="Calibri"/>
            <family val="2"/>
            <scheme val="minor"/>
          </rPr>
          <t>Preserved from Kerry_Drydock_2027_Job_Workspace_Recovery_v2.xlsm | Jobs!I74. No new commercial figures or exchange rates have been entered.</t>
        </r>
      </text>
    </comment>
    <comment ref="L74" authorId="0" shapeId="0" xr:uid="{00000000-0006-0000-0200-000014020000}">
      <text>
        <r>
          <rPr>
            <sz val="11"/>
            <color theme="1"/>
            <rFont val="Calibri"/>
            <family val="2"/>
            <scheme val="minor"/>
          </rPr>
          <t>Preserved from Kerry_Drydock_2027_Job_Workspace_Recovery_v2.xlsm | Jobs!L74. No new commercial figures or exchange rates have been entered.</t>
        </r>
      </text>
    </comment>
    <comment ref="M74" authorId="0" shapeId="0" xr:uid="{00000000-0006-0000-0200-000015020000}">
      <text>
        <r>
          <rPr>
            <sz val="11"/>
            <color theme="1"/>
            <rFont val="Calibri"/>
            <family val="2"/>
            <scheme val="minor"/>
          </rPr>
          <t>Preserved from Kerry_Drydock_2027_Job_Workspace_Recovery_v2.xlsm | Jobs!M74. No new commercial figures or exchange rates have been entered.</t>
        </r>
      </text>
    </comment>
    <comment ref="O74" authorId="0" shapeId="0" xr:uid="{00000000-0006-0000-0200-000016020000}">
      <text>
        <r>
          <rPr>
            <sz val="11"/>
            <color theme="1"/>
            <rFont val="Calibri"/>
            <family val="2"/>
            <scheme val="minor"/>
          </rPr>
          <t>Preserved from Kerry_Drydock_2027_Job_Workspace_Recovery_v2.xlsm | Jobs!O74. No new commercial figures or exchange rates have been entered.</t>
        </r>
      </text>
    </comment>
    <comment ref="A75" authorId="0" shapeId="0" xr:uid="{00000000-0006-0000-0200-000017020000}">
      <text>
        <r>
          <rPr>
            <sz val="11"/>
            <color theme="1"/>
            <rFont val="Calibri"/>
            <family val="2"/>
            <scheme val="minor"/>
          </rPr>
          <t>Preserved from Kerry_Drydock_2027_Job_Workspace_Recovery_v2.xlsm | Jobs!A75. No new commercial figures or exchange rates have been entered.</t>
        </r>
      </text>
    </comment>
    <comment ref="B75" authorId="0" shapeId="0" xr:uid="{00000000-0006-0000-0200-000018020000}">
      <text>
        <r>
          <rPr>
            <sz val="11"/>
            <color theme="1"/>
            <rFont val="Calibri"/>
            <family val="2"/>
            <scheme val="minor"/>
          </rPr>
          <t>Preserved from Kerry_Drydock_2027_Job_Workspace_Recovery_v2.xlsm | Jobs!B75. No new commercial figures or exchange rates have been entered.</t>
        </r>
      </text>
    </comment>
    <comment ref="C75" authorId="0" shapeId="0" xr:uid="{00000000-0006-0000-0200-000019020000}">
      <text>
        <r>
          <rPr>
            <sz val="11"/>
            <color theme="1"/>
            <rFont val="Calibri"/>
            <family val="2"/>
            <scheme val="minor"/>
          </rPr>
          <t>Preserved from Kerry_Drydock_2027_Job_Workspace_Recovery_v2.xlsm | Jobs!C75. No new commercial figures or exchange rates have been entered.</t>
        </r>
      </text>
    </comment>
    <comment ref="D75" authorId="0" shapeId="0" xr:uid="{00000000-0006-0000-0200-00001A020000}">
      <text>
        <r>
          <rPr>
            <sz val="11"/>
            <color theme="1"/>
            <rFont val="Calibri"/>
            <family val="2"/>
            <scheme val="minor"/>
          </rPr>
          <t>Preserved from Kerry_Drydock_2027_Job_Workspace_Recovery_v2.xlsm | Jobs!D75. No new commercial figures or exchange rates have been entered.</t>
        </r>
      </text>
    </comment>
    <comment ref="I75" authorId="0" shapeId="0" xr:uid="{00000000-0006-0000-0200-00001B020000}">
      <text>
        <r>
          <rPr>
            <sz val="11"/>
            <color theme="1"/>
            <rFont val="Calibri"/>
            <family val="2"/>
            <scheme val="minor"/>
          </rPr>
          <t>Preserved from Kerry_Drydock_2027_Job_Workspace_Recovery_v2.xlsm | Jobs!I75. No new commercial figures or exchange rates have been entered.</t>
        </r>
      </text>
    </comment>
    <comment ref="L75" authorId="0" shapeId="0" xr:uid="{00000000-0006-0000-0200-00001C020000}">
      <text>
        <r>
          <rPr>
            <sz val="11"/>
            <color theme="1"/>
            <rFont val="Calibri"/>
            <family val="2"/>
            <scheme val="minor"/>
          </rPr>
          <t>Preserved from Kerry_Drydock_2027_Job_Workspace_Recovery_v2.xlsm | Jobs!L75. No new commercial figures or exchange rates have been entered.</t>
        </r>
      </text>
    </comment>
    <comment ref="M75" authorId="0" shapeId="0" xr:uid="{00000000-0006-0000-0200-00001D020000}">
      <text>
        <r>
          <rPr>
            <sz val="11"/>
            <color theme="1"/>
            <rFont val="Calibri"/>
            <family val="2"/>
            <scheme val="minor"/>
          </rPr>
          <t>Preserved from Kerry_Drydock_2027_Job_Workspace_Recovery_v2.xlsm | Jobs!M75. No new commercial figures or exchange rates have been entered.</t>
        </r>
      </text>
    </comment>
    <comment ref="O75" authorId="0" shapeId="0" xr:uid="{00000000-0006-0000-0200-00001E020000}">
      <text>
        <r>
          <rPr>
            <sz val="11"/>
            <color theme="1"/>
            <rFont val="Calibri"/>
            <family val="2"/>
            <scheme val="minor"/>
          </rPr>
          <t>Preserved from Kerry_Drydock_2027_Job_Workspace_Recovery_v2.xlsm | Jobs!O75. No new commercial figures or exchange rates have been entered.</t>
        </r>
      </text>
    </comment>
    <comment ref="A76" authorId="0" shapeId="0" xr:uid="{00000000-0006-0000-0200-00001F020000}">
      <text>
        <r>
          <rPr>
            <sz val="11"/>
            <color theme="1"/>
            <rFont val="Calibri"/>
            <family val="2"/>
            <scheme val="minor"/>
          </rPr>
          <t>Preserved from Kerry_Drydock_2027_Job_Workspace_Recovery_v2.xlsm | Jobs!A76. No new commercial figures or exchange rates have been entered.</t>
        </r>
      </text>
    </comment>
    <comment ref="B76" authorId="0" shapeId="0" xr:uid="{00000000-0006-0000-0200-000020020000}">
      <text>
        <r>
          <rPr>
            <sz val="11"/>
            <color theme="1"/>
            <rFont val="Calibri"/>
            <family val="2"/>
            <scheme val="minor"/>
          </rPr>
          <t>Preserved from Kerry_Drydock_2027_Job_Workspace_Recovery_v2.xlsm | Jobs!B76. No new commercial figures or exchange rates have been entered.</t>
        </r>
      </text>
    </comment>
    <comment ref="C76" authorId="0" shapeId="0" xr:uid="{00000000-0006-0000-0200-000021020000}">
      <text>
        <r>
          <rPr>
            <sz val="11"/>
            <color theme="1"/>
            <rFont val="Calibri"/>
            <family val="2"/>
            <scheme val="minor"/>
          </rPr>
          <t>Preserved from Kerry_Drydock_2027_Job_Workspace_Recovery_v2.xlsm | Jobs!C76. No new commercial figures or exchange rates have been entered.</t>
        </r>
      </text>
    </comment>
    <comment ref="D76" authorId="0" shapeId="0" xr:uid="{00000000-0006-0000-0200-000022020000}">
      <text>
        <r>
          <rPr>
            <sz val="11"/>
            <color theme="1"/>
            <rFont val="Calibri"/>
            <family val="2"/>
            <scheme val="minor"/>
          </rPr>
          <t>Preserved from Kerry_Drydock_2027_Job_Workspace_Recovery_v2.xlsm | Jobs!D76. No new commercial figures or exchange rates have been entered.</t>
        </r>
      </text>
    </comment>
    <comment ref="I76" authorId="0" shapeId="0" xr:uid="{00000000-0006-0000-0200-000023020000}">
      <text>
        <r>
          <rPr>
            <sz val="11"/>
            <color theme="1"/>
            <rFont val="Calibri"/>
            <family val="2"/>
            <scheme val="minor"/>
          </rPr>
          <t>Preserved from Kerry_Drydock_2027_Job_Workspace_Recovery_v2.xlsm | Jobs!I76. No new commercial figures or exchange rates have been entered.</t>
        </r>
      </text>
    </comment>
    <comment ref="L76" authorId="0" shapeId="0" xr:uid="{00000000-0006-0000-0200-000024020000}">
      <text>
        <r>
          <rPr>
            <sz val="11"/>
            <color theme="1"/>
            <rFont val="Calibri"/>
            <family val="2"/>
            <scheme val="minor"/>
          </rPr>
          <t>Preserved from Kerry_Drydock_2027_Job_Workspace_Recovery_v2.xlsm | Jobs!L76. No new commercial figures or exchange rates have been entered.</t>
        </r>
      </text>
    </comment>
    <comment ref="M76" authorId="0" shapeId="0" xr:uid="{00000000-0006-0000-0200-000025020000}">
      <text>
        <r>
          <rPr>
            <sz val="11"/>
            <color theme="1"/>
            <rFont val="Calibri"/>
            <family val="2"/>
            <scheme val="minor"/>
          </rPr>
          <t>Preserved from Kerry_Drydock_2027_Job_Workspace_Recovery_v2.xlsm | Jobs!M76. No new commercial figures or exchange rates have been entered.</t>
        </r>
      </text>
    </comment>
    <comment ref="O76" authorId="0" shapeId="0" xr:uid="{00000000-0006-0000-0200-000026020000}">
      <text>
        <r>
          <rPr>
            <sz val="11"/>
            <color theme="1"/>
            <rFont val="Calibri"/>
            <family val="2"/>
            <scheme val="minor"/>
          </rPr>
          <t>Preserved from Kerry_Drydock_2027_Job_Workspace_Recovery_v2.xlsm | Jobs!O76. No new commercial figures or exchange rates have been entered.</t>
        </r>
      </text>
    </comment>
    <comment ref="A77" authorId="0" shapeId="0" xr:uid="{00000000-0006-0000-0200-000027020000}">
      <text>
        <r>
          <rPr>
            <sz val="11"/>
            <color theme="1"/>
            <rFont val="Calibri"/>
            <family val="2"/>
            <scheme val="minor"/>
          </rPr>
          <t>Preserved from Kerry_Drydock_2027_Job_Workspace_Recovery_v2.xlsm | Jobs!A77. No new commercial figures or exchange rates have been entered.</t>
        </r>
      </text>
    </comment>
    <comment ref="B77" authorId="0" shapeId="0" xr:uid="{00000000-0006-0000-0200-000028020000}">
      <text>
        <r>
          <rPr>
            <sz val="11"/>
            <color theme="1"/>
            <rFont val="Calibri"/>
            <family val="2"/>
            <scheme val="minor"/>
          </rPr>
          <t>Preserved from Kerry_Drydock_2027_Job_Workspace_Recovery_v2.xlsm | Jobs!B77. No new commercial figures or exchange rates have been entered.</t>
        </r>
      </text>
    </comment>
    <comment ref="C77" authorId="0" shapeId="0" xr:uid="{00000000-0006-0000-0200-000029020000}">
      <text>
        <r>
          <rPr>
            <sz val="11"/>
            <color theme="1"/>
            <rFont val="Calibri"/>
            <family val="2"/>
            <scheme val="minor"/>
          </rPr>
          <t>Preserved from Kerry_Drydock_2027_Job_Workspace_Recovery_v2.xlsm | Jobs!C77. No new commercial figures or exchange rates have been entered.</t>
        </r>
      </text>
    </comment>
    <comment ref="D77" authorId="0" shapeId="0" xr:uid="{00000000-0006-0000-0200-00002A020000}">
      <text>
        <r>
          <rPr>
            <sz val="11"/>
            <color theme="1"/>
            <rFont val="Calibri"/>
            <family val="2"/>
            <scheme val="minor"/>
          </rPr>
          <t>Preserved from Kerry_Drydock_2027_Job_Workspace_Recovery_v2.xlsm | Jobs!D77. No new commercial figures or exchange rates have been entered.</t>
        </r>
      </text>
    </comment>
    <comment ref="I77" authorId="0" shapeId="0" xr:uid="{00000000-0006-0000-0200-00002B020000}">
      <text>
        <r>
          <rPr>
            <sz val="11"/>
            <color theme="1"/>
            <rFont val="Calibri"/>
            <family val="2"/>
            <scheme val="minor"/>
          </rPr>
          <t>Preserved from Kerry_Drydock_2027_Job_Workspace_Recovery_v2.xlsm | Jobs!I77. No new commercial figures or exchange rates have been entered.</t>
        </r>
      </text>
    </comment>
    <comment ref="L77" authorId="0" shapeId="0" xr:uid="{00000000-0006-0000-0200-00002C020000}">
      <text>
        <r>
          <rPr>
            <sz val="11"/>
            <color theme="1"/>
            <rFont val="Calibri"/>
            <family val="2"/>
            <scheme val="minor"/>
          </rPr>
          <t>Preserved from Kerry_Drydock_2027_Job_Workspace_Recovery_v2.xlsm | Jobs!L77. No new commercial figures or exchange rates have been entered.</t>
        </r>
      </text>
    </comment>
    <comment ref="M77" authorId="0" shapeId="0" xr:uid="{00000000-0006-0000-0200-00002D020000}">
      <text>
        <r>
          <rPr>
            <sz val="11"/>
            <color theme="1"/>
            <rFont val="Calibri"/>
            <family val="2"/>
            <scheme val="minor"/>
          </rPr>
          <t>Preserved from Kerry_Drydock_2027_Job_Workspace_Recovery_v2.xlsm | Jobs!M77. No new commercial figures or exchange rates have been entered.</t>
        </r>
      </text>
    </comment>
    <comment ref="O77" authorId="0" shapeId="0" xr:uid="{00000000-0006-0000-0200-00002E020000}">
      <text>
        <r>
          <rPr>
            <sz val="11"/>
            <color theme="1"/>
            <rFont val="Calibri"/>
            <family val="2"/>
            <scheme val="minor"/>
          </rPr>
          <t>Preserved from Kerry_Drydock_2027_Job_Workspace_Recovery_v2.xlsm | Jobs!O77. No new commercial figures or exchange rates have been entered.</t>
        </r>
      </text>
    </comment>
    <comment ref="A78" authorId="0" shapeId="0" xr:uid="{00000000-0006-0000-0200-00002F020000}">
      <text>
        <r>
          <rPr>
            <sz val="11"/>
            <color theme="1"/>
            <rFont val="Calibri"/>
            <family val="2"/>
            <scheme val="minor"/>
          </rPr>
          <t>Preserved from Kerry_Drydock_2027_Job_Workspace_Recovery_v2.xlsm | Jobs!A78. No new commercial figures or exchange rates have been entered.</t>
        </r>
      </text>
    </comment>
    <comment ref="B78" authorId="0" shapeId="0" xr:uid="{00000000-0006-0000-0200-000030020000}">
      <text>
        <r>
          <rPr>
            <sz val="11"/>
            <color theme="1"/>
            <rFont val="Calibri"/>
            <family val="2"/>
            <scheme val="minor"/>
          </rPr>
          <t>Preserved from Kerry_Drydock_2027_Job_Workspace_Recovery_v2.xlsm | Jobs!B78. No new commercial figures or exchange rates have been entered.</t>
        </r>
      </text>
    </comment>
    <comment ref="C78" authorId="0" shapeId="0" xr:uid="{00000000-0006-0000-0200-000031020000}">
      <text>
        <r>
          <rPr>
            <sz val="11"/>
            <color theme="1"/>
            <rFont val="Calibri"/>
            <family val="2"/>
            <scheme val="minor"/>
          </rPr>
          <t>Preserved from Kerry_Drydock_2027_Job_Workspace_Recovery_v2.xlsm | Jobs!C78. No new commercial figures or exchange rates have been entered.</t>
        </r>
      </text>
    </comment>
    <comment ref="D78" authorId="0" shapeId="0" xr:uid="{00000000-0006-0000-0200-000032020000}">
      <text>
        <r>
          <rPr>
            <sz val="11"/>
            <color theme="1"/>
            <rFont val="Calibri"/>
            <family val="2"/>
            <scheme val="minor"/>
          </rPr>
          <t>Preserved from Kerry_Drydock_2027_Job_Workspace_Recovery_v2.xlsm | Jobs!D78. No new commercial figures or exchange rates have been entered.</t>
        </r>
      </text>
    </comment>
    <comment ref="I78" authorId="0" shapeId="0" xr:uid="{00000000-0006-0000-0200-000033020000}">
      <text>
        <r>
          <rPr>
            <sz val="11"/>
            <color theme="1"/>
            <rFont val="Calibri"/>
            <family val="2"/>
            <scheme val="minor"/>
          </rPr>
          <t>Preserved from Kerry_Drydock_2027_Job_Workspace_Recovery_v2.xlsm | Jobs!I78. No new commercial figures or exchange rates have been entered.</t>
        </r>
      </text>
    </comment>
    <comment ref="L78" authorId="0" shapeId="0" xr:uid="{00000000-0006-0000-0200-000034020000}">
      <text>
        <r>
          <rPr>
            <sz val="11"/>
            <color theme="1"/>
            <rFont val="Calibri"/>
            <family val="2"/>
            <scheme val="minor"/>
          </rPr>
          <t>Preserved from Kerry_Drydock_2027_Job_Workspace_Recovery_v2.xlsm | Jobs!L78. No new commercial figures or exchange rates have been entered.</t>
        </r>
      </text>
    </comment>
    <comment ref="M78" authorId="0" shapeId="0" xr:uid="{00000000-0006-0000-0200-000035020000}">
      <text>
        <r>
          <rPr>
            <sz val="11"/>
            <color theme="1"/>
            <rFont val="Calibri"/>
            <family val="2"/>
            <scheme val="minor"/>
          </rPr>
          <t>Preserved from Kerry_Drydock_2027_Job_Workspace_Recovery_v2.xlsm | Jobs!M78. No new commercial figures or exchange rates have been entered.</t>
        </r>
      </text>
    </comment>
    <comment ref="O78" authorId="0" shapeId="0" xr:uid="{00000000-0006-0000-0200-000036020000}">
      <text>
        <r>
          <rPr>
            <sz val="11"/>
            <color theme="1"/>
            <rFont val="Calibri"/>
            <family val="2"/>
            <scheme val="minor"/>
          </rPr>
          <t>Preserved from Kerry_Drydock_2027_Job_Workspace_Recovery_v2.xlsm | Jobs!O78. No new commercial figures or exchange rates have been entered.</t>
        </r>
      </text>
    </comment>
    <comment ref="A79" authorId="0" shapeId="0" xr:uid="{00000000-0006-0000-0200-000037020000}">
      <text>
        <r>
          <rPr>
            <sz val="11"/>
            <color theme="1"/>
            <rFont val="Calibri"/>
            <family val="2"/>
            <scheme val="minor"/>
          </rPr>
          <t>Preserved from Kerry_Drydock_2027_Job_Workspace_Recovery_v2.xlsm | Jobs!A79. No new commercial figures or exchange rates have been entered.</t>
        </r>
      </text>
    </comment>
    <comment ref="B79" authorId="0" shapeId="0" xr:uid="{00000000-0006-0000-0200-000038020000}">
      <text>
        <r>
          <rPr>
            <sz val="11"/>
            <color theme="1"/>
            <rFont val="Calibri"/>
            <family val="2"/>
            <scheme val="minor"/>
          </rPr>
          <t>Preserved from Kerry_Drydock_2027_Job_Workspace_Recovery_v2.xlsm | Jobs!B79. No new commercial figures or exchange rates have been entered.</t>
        </r>
      </text>
    </comment>
    <comment ref="C79" authorId="0" shapeId="0" xr:uid="{00000000-0006-0000-0200-000039020000}">
      <text>
        <r>
          <rPr>
            <sz val="11"/>
            <color theme="1"/>
            <rFont val="Calibri"/>
            <family val="2"/>
            <scheme val="minor"/>
          </rPr>
          <t>Preserved from Kerry_Drydock_2027_Job_Workspace_Recovery_v2.xlsm | Jobs!C79. No new commercial figures or exchange rates have been entered.</t>
        </r>
      </text>
    </comment>
    <comment ref="D79" authorId="0" shapeId="0" xr:uid="{00000000-0006-0000-0200-00003A020000}">
      <text>
        <r>
          <rPr>
            <sz val="11"/>
            <color theme="1"/>
            <rFont val="Calibri"/>
            <family val="2"/>
            <scheme val="minor"/>
          </rPr>
          <t>Preserved from Kerry_Drydock_2027_Job_Workspace_Recovery_v2.xlsm | Jobs!D79. No new commercial figures or exchange rates have been entered.</t>
        </r>
      </text>
    </comment>
    <comment ref="I79" authorId="0" shapeId="0" xr:uid="{00000000-0006-0000-0200-00003B020000}">
      <text>
        <r>
          <rPr>
            <sz val="11"/>
            <color theme="1"/>
            <rFont val="Calibri"/>
            <family val="2"/>
            <scheme val="minor"/>
          </rPr>
          <t>Preserved from Kerry_Drydock_2027_Job_Workspace_Recovery_v2.xlsm | Jobs!I79. No new commercial figures or exchange rates have been entered.</t>
        </r>
      </text>
    </comment>
    <comment ref="L79" authorId="0" shapeId="0" xr:uid="{00000000-0006-0000-0200-00003C020000}">
      <text>
        <r>
          <rPr>
            <sz val="11"/>
            <color theme="1"/>
            <rFont val="Calibri"/>
            <family val="2"/>
            <scheme val="minor"/>
          </rPr>
          <t>Preserved from Kerry_Drydock_2027_Job_Workspace_Recovery_v2.xlsm | Jobs!L79. No new commercial figures or exchange rates have been entered.</t>
        </r>
      </text>
    </comment>
    <comment ref="M79" authorId="0" shapeId="0" xr:uid="{00000000-0006-0000-0200-00003D020000}">
      <text>
        <r>
          <rPr>
            <sz val="11"/>
            <color theme="1"/>
            <rFont val="Calibri"/>
            <family val="2"/>
            <scheme val="minor"/>
          </rPr>
          <t>Preserved from Kerry_Drydock_2027_Job_Workspace_Recovery_v2.xlsm | Jobs!M79. No new commercial figures or exchange rates have been entered.</t>
        </r>
      </text>
    </comment>
    <comment ref="O79" authorId="0" shapeId="0" xr:uid="{00000000-0006-0000-0200-00003E020000}">
      <text>
        <r>
          <rPr>
            <sz val="11"/>
            <color theme="1"/>
            <rFont val="Calibri"/>
            <family val="2"/>
            <scheme val="minor"/>
          </rPr>
          <t>Preserved from Kerry_Drydock_2027_Job_Workspace_Recovery_v2.xlsm | Jobs!O79. No new commercial figures or exchange rates have been entered.</t>
        </r>
      </text>
    </comment>
    <comment ref="A80" authorId="0" shapeId="0" xr:uid="{00000000-0006-0000-0200-00003F020000}">
      <text>
        <r>
          <rPr>
            <sz val="11"/>
            <color theme="1"/>
            <rFont val="Calibri"/>
            <family val="2"/>
            <scheme val="minor"/>
          </rPr>
          <t>Preserved from Kerry_Drydock_2027_Job_Workspace_Recovery_v2.xlsm | Jobs!A80. No new commercial figures or exchange rates have been entered.</t>
        </r>
      </text>
    </comment>
    <comment ref="B80" authorId="0" shapeId="0" xr:uid="{00000000-0006-0000-0200-000040020000}">
      <text>
        <r>
          <rPr>
            <sz val="11"/>
            <color theme="1"/>
            <rFont val="Calibri"/>
            <family val="2"/>
            <scheme val="minor"/>
          </rPr>
          <t>Preserved from Kerry_Drydock_2027_Job_Workspace_Recovery_v2.xlsm | Jobs!B80. No new commercial figures or exchange rates have been entered.</t>
        </r>
      </text>
    </comment>
    <comment ref="C80" authorId="0" shapeId="0" xr:uid="{00000000-0006-0000-0200-000041020000}">
      <text>
        <r>
          <rPr>
            <sz val="11"/>
            <color theme="1"/>
            <rFont val="Calibri"/>
            <family val="2"/>
            <scheme val="minor"/>
          </rPr>
          <t>Preserved from Kerry_Drydock_2027_Job_Workspace_Recovery_v2.xlsm | Jobs!C80. No new commercial figures or exchange rates have been entered.</t>
        </r>
      </text>
    </comment>
    <comment ref="D80" authorId="0" shapeId="0" xr:uid="{00000000-0006-0000-0200-000042020000}">
      <text>
        <r>
          <rPr>
            <sz val="11"/>
            <color theme="1"/>
            <rFont val="Calibri"/>
            <family val="2"/>
            <scheme val="minor"/>
          </rPr>
          <t>Preserved from Kerry_Drydock_2027_Job_Workspace_Recovery_v2.xlsm | Jobs!D80. No new commercial figures or exchange rates have been entered.</t>
        </r>
      </text>
    </comment>
    <comment ref="I80" authorId="0" shapeId="0" xr:uid="{00000000-0006-0000-0200-000043020000}">
      <text>
        <r>
          <rPr>
            <sz val="11"/>
            <color theme="1"/>
            <rFont val="Calibri"/>
            <family val="2"/>
            <scheme val="minor"/>
          </rPr>
          <t>Preserved from Kerry_Drydock_2027_Job_Workspace_Recovery_v2.xlsm | Jobs!I80. No new commercial figures or exchange rates have been entered.</t>
        </r>
      </text>
    </comment>
    <comment ref="L80" authorId="0" shapeId="0" xr:uid="{00000000-0006-0000-0200-000044020000}">
      <text>
        <r>
          <rPr>
            <sz val="11"/>
            <color theme="1"/>
            <rFont val="Calibri"/>
            <family val="2"/>
            <scheme val="minor"/>
          </rPr>
          <t>Preserved from Kerry_Drydock_2027_Job_Workspace_Recovery_v2.xlsm | Jobs!L80. No new commercial figures or exchange rates have been entered.</t>
        </r>
      </text>
    </comment>
    <comment ref="M80" authorId="0" shapeId="0" xr:uid="{00000000-0006-0000-0200-000045020000}">
      <text>
        <r>
          <rPr>
            <sz val="11"/>
            <color theme="1"/>
            <rFont val="Calibri"/>
            <family val="2"/>
            <scheme val="minor"/>
          </rPr>
          <t>Preserved from Kerry_Drydock_2027_Job_Workspace_Recovery_v2.xlsm | Jobs!M80. No new commercial figures or exchange rates have been entered.</t>
        </r>
      </text>
    </comment>
    <comment ref="O80" authorId="0" shapeId="0" xr:uid="{00000000-0006-0000-0200-000046020000}">
      <text>
        <r>
          <rPr>
            <sz val="11"/>
            <color theme="1"/>
            <rFont val="Calibri"/>
            <family val="2"/>
            <scheme val="minor"/>
          </rPr>
          <t>Preserved from Kerry_Drydock_2027_Job_Workspace_Recovery_v2.xlsm | Jobs!O80. No new commercial figures or exchange rates have been entered.</t>
        </r>
      </text>
    </comment>
    <comment ref="A81" authorId="0" shapeId="0" xr:uid="{00000000-0006-0000-0200-000047020000}">
      <text>
        <r>
          <rPr>
            <sz val="11"/>
            <color theme="1"/>
            <rFont val="Calibri"/>
            <family val="2"/>
            <scheme val="minor"/>
          </rPr>
          <t>Preserved from Kerry_Drydock_2027_Job_Workspace_Recovery_v2.xlsm | Jobs!A81. No new commercial figures or exchange rates have been entered.</t>
        </r>
      </text>
    </comment>
    <comment ref="B81" authorId="0" shapeId="0" xr:uid="{00000000-0006-0000-0200-000048020000}">
      <text>
        <r>
          <rPr>
            <sz val="11"/>
            <color theme="1"/>
            <rFont val="Calibri"/>
            <family val="2"/>
            <scheme val="minor"/>
          </rPr>
          <t>Preserved from Kerry_Drydock_2027_Job_Workspace_Recovery_v2.xlsm | Jobs!B81. No new commercial figures or exchange rates have been entered.</t>
        </r>
      </text>
    </comment>
    <comment ref="C81" authorId="0" shapeId="0" xr:uid="{00000000-0006-0000-0200-000049020000}">
      <text>
        <r>
          <rPr>
            <sz val="11"/>
            <color theme="1"/>
            <rFont val="Calibri"/>
            <family val="2"/>
            <scheme val="minor"/>
          </rPr>
          <t>Preserved from Kerry_Drydock_2027_Job_Workspace_Recovery_v2.xlsm | Jobs!C81. No new commercial figures or exchange rates have been entered.</t>
        </r>
      </text>
    </comment>
    <comment ref="D81" authorId="0" shapeId="0" xr:uid="{00000000-0006-0000-0200-00004A020000}">
      <text>
        <r>
          <rPr>
            <sz val="11"/>
            <color theme="1"/>
            <rFont val="Calibri"/>
            <family val="2"/>
            <scheme val="minor"/>
          </rPr>
          <t>Preserved from Kerry_Drydock_2027_Job_Workspace_Recovery_v2.xlsm | Jobs!D81. No new commercial figures or exchange rates have been entered.</t>
        </r>
      </text>
    </comment>
    <comment ref="I81" authorId="0" shapeId="0" xr:uid="{00000000-0006-0000-0200-00004B020000}">
      <text>
        <r>
          <rPr>
            <sz val="11"/>
            <color theme="1"/>
            <rFont val="Calibri"/>
            <family val="2"/>
            <scheme val="minor"/>
          </rPr>
          <t>Preserved from Kerry_Drydock_2027_Job_Workspace_Recovery_v2.xlsm | Jobs!I81. No new commercial figures or exchange rates have been entered.</t>
        </r>
      </text>
    </comment>
    <comment ref="L81" authorId="0" shapeId="0" xr:uid="{00000000-0006-0000-0200-00004C020000}">
      <text>
        <r>
          <rPr>
            <sz val="11"/>
            <color theme="1"/>
            <rFont val="Calibri"/>
            <family val="2"/>
            <scheme val="minor"/>
          </rPr>
          <t>Preserved from Kerry_Drydock_2027_Job_Workspace_Recovery_v2.xlsm | Jobs!L81. No new commercial figures or exchange rates have been entered.</t>
        </r>
      </text>
    </comment>
    <comment ref="M81" authorId="0" shapeId="0" xr:uid="{00000000-0006-0000-0200-00004D020000}">
      <text>
        <r>
          <rPr>
            <sz val="11"/>
            <color theme="1"/>
            <rFont val="Calibri"/>
            <family val="2"/>
            <scheme val="minor"/>
          </rPr>
          <t>Preserved from Kerry_Drydock_2027_Job_Workspace_Recovery_v2.xlsm | Jobs!M81. No new commercial figures or exchange rates have been entered.</t>
        </r>
      </text>
    </comment>
    <comment ref="O81" authorId="0" shapeId="0" xr:uid="{00000000-0006-0000-0200-00004E020000}">
      <text>
        <r>
          <rPr>
            <sz val="11"/>
            <color theme="1"/>
            <rFont val="Calibri"/>
            <family val="2"/>
            <scheme val="minor"/>
          </rPr>
          <t>Preserved from Kerry_Drydock_2027_Job_Workspace_Recovery_v2.xlsm | Jobs!O81. No new commercial figures or exchange rates have been entered.</t>
        </r>
      </text>
    </comment>
    <comment ref="A82" authorId="0" shapeId="0" xr:uid="{00000000-0006-0000-0200-00004F020000}">
      <text>
        <r>
          <rPr>
            <sz val="11"/>
            <color theme="1"/>
            <rFont val="Calibri"/>
            <family val="2"/>
            <scheme val="minor"/>
          </rPr>
          <t>Preserved from Kerry_Drydock_2027_Job_Workspace_Recovery_v2.xlsm | Jobs!A82. No new commercial figures or exchange rates have been entered.</t>
        </r>
      </text>
    </comment>
    <comment ref="B82" authorId="0" shapeId="0" xr:uid="{00000000-0006-0000-0200-000050020000}">
      <text>
        <r>
          <rPr>
            <sz val="11"/>
            <color theme="1"/>
            <rFont val="Calibri"/>
            <family val="2"/>
            <scheme val="minor"/>
          </rPr>
          <t>Preserved from Kerry_Drydock_2027_Job_Workspace_Recovery_v2.xlsm | Jobs!B82. No new commercial figures or exchange rates have been entered.</t>
        </r>
      </text>
    </comment>
    <comment ref="C82" authorId="0" shapeId="0" xr:uid="{00000000-0006-0000-0200-000051020000}">
      <text>
        <r>
          <rPr>
            <sz val="11"/>
            <color theme="1"/>
            <rFont val="Calibri"/>
            <family val="2"/>
            <scheme val="minor"/>
          </rPr>
          <t>Preserved from Kerry_Drydock_2027_Job_Workspace_Recovery_v2.xlsm | Jobs!C82. No new commercial figures or exchange rates have been entered.</t>
        </r>
      </text>
    </comment>
    <comment ref="D82" authorId="0" shapeId="0" xr:uid="{00000000-0006-0000-0200-000052020000}">
      <text>
        <r>
          <rPr>
            <sz val="11"/>
            <color theme="1"/>
            <rFont val="Calibri"/>
            <family val="2"/>
            <scheme val="minor"/>
          </rPr>
          <t>Preserved from Kerry_Drydock_2027_Job_Workspace_Recovery_v2.xlsm | Jobs!D82. No new commercial figures or exchange rates have been entered.</t>
        </r>
      </text>
    </comment>
    <comment ref="I82" authorId="0" shapeId="0" xr:uid="{00000000-0006-0000-0200-000053020000}">
      <text>
        <r>
          <rPr>
            <sz val="11"/>
            <color theme="1"/>
            <rFont val="Calibri"/>
            <family val="2"/>
            <scheme val="minor"/>
          </rPr>
          <t>Preserved from Kerry_Drydock_2027_Job_Workspace_Recovery_v2.xlsm | Jobs!I82. No new commercial figures or exchange rates have been entered.</t>
        </r>
      </text>
    </comment>
    <comment ref="L82" authorId="0" shapeId="0" xr:uid="{00000000-0006-0000-0200-000054020000}">
      <text>
        <r>
          <rPr>
            <sz val="11"/>
            <color theme="1"/>
            <rFont val="Calibri"/>
            <family val="2"/>
            <scheme val="minor"/>
          </rPr>
          <t>Preserved from Kerry_Drydock_2027_Job_Workspace_Recovery_v2.xlsm | Jobs!L82. No new commercial figures or exchange rates have been entered.</t>
        </r>
      </text>
    </comment>
    <comment ref="M82" authorId="0" shapeId="0" xr:uid="{00000000-0006-0000-0200-000055020000}">
      <text>
        <r>
          <rPr>
            <sz val="11"/>
            <color theme="1"/>
            <rFont val="Calibri"/>
            <family val="2"/>
            <scheme val="minor"/>
          </rPr>
          <t>Preserved from Kerry_Drydock_2027_Job_Workspace_Recovery_v2.xlsm | Jobs!M82. No new commercial figures or exchange rates have been entered.</t>
        </r>
      </text>
    </comment>
    <comment ref="O82" authorId="0" shapeId="0" xr:uid="{00000000-0006-0000-0200-000056020000}">
      <text>
        <r>
          <rPr>
            <sz val="11"/>
            <color theme="1"/>
            <rFont val="Calibri"/>
            <family val="2"/>
            <scheme val="minor"/>
          </rPr>
          <t>Preserved from Kerry_Drydock_2027_Job_Workspace_Recovery_v2.xlsm | Jobs!O82. No new commercial figures or exchange rates have been entered.</t>
        </r>
      </text>
    </comment>
    <comment ref="A83" authorId="0" shapeId="0" xr:uid="{00000000-0006-0000-0200-000057020000}">
      <text>
        <r>
          <rPr>
            <sz val="11"/>
            <color theme="1"/>
            <rFont val="Calibri"/>
            <family val="2"/>
            <scheme val="minor"/>
          </rPr>
          <t>Preserved from Kerry_Drydock_2027_Job_Workspace_Recovery_v2.xlsm | Jobs!A83. No new commercial figures or exchange rates have been entered.</t>
        </r>
      </text>
    </comment>
    <comment ref="B83" authorId="0" shapeId="0" xr:uid="{00000000-0006-0000-0200-000058020000}">
      <text>
        <r>
          <rPr>
            <sz val="11"/>
            <color theme="1"/>
            <rFont val="Calibri"/>
            <family val="2"/>
            <scheme val="minor"/>
          </rPr>
          <t>Preserved from Kerry_Drydock_2027_Job_Workspace_Recovery_v2.xlsm | Jobs!B83. No new commercial figures or exchange rates have been entered.</t>
        </r>
      </text>
    </comment>
    <comment ref="C83" authorId="0" shapeId="0" xr:uid="{00000000-0006-0000-0200-000059020000}">
      <text>
        <r>
          <rPr>
            <sz val="11"/>
            <color theme="1"/>
            <rFont val="Calibri"/>
            <family val="2"/>
            <scheme val="minor"/>
          </rPr>
          <t>Preserved from Kerry_Drydock_2027_Job_Workspace_Recovery_v2.xlsm | Jobs!C83. No new commercial figures or exchange rates have been entered.</t>
        </r>
      </text>
    </comment>
    <comment ref="D83" authorId="0" shapeId="0" xr:uid="{00000000-0006-0000-0200-00005A020000}">
      <text>
        <r>
          <rPr>
            <sz val="11"/>
            <color theme="1"/>
            <rFont val="Calibri"/>
            <family val="2"/>
            <scheme val="minor"/>
          </rPr>
          <t>Preserved from Kerry_Drydock_2027_Job_Workspace_Recovery_v2.xlsm | Jobs!D83. No new commercial figures or exchange rates have been entered.</t>
        </r>
      </text>
    </comment>
    <comment ref="I83" authorId="0" shapeId="0" xr:uid="{00000000-0006-0000-0200-00005B020000}">
      <text>
        <r>
          <rPr>
            <sz val="11"/>
            <color theme="1"/>
            <rFont val="Calibri"/>
            <family val="2"/>
            <scheme val="minor"/>
          </rPr>
          <t>Preserved from Kerry_Drydock_2027_Job_Workspace_Recovery_v2.xlsm | Jobs!I83. No new commercial figures or exchange rates have been entered.</t>
        </r>
      </text>
    </comment>
    <comment ref="L83" authorId="0" shapeId="0" xr:uid="{00000000-0006-0000-0200-00005C020000}">
      <text>
        <r>
          <rPr>
            <sz val="11"/>
            <color theme="1"/>
            <rFont val="Calibri"/>
            <family val="2"/>
            <scheme val="minor"/>
          </rPr>
          <t>Preserved from Kerry_Drydock_2027_Job_Workspace_Recovery_v2.xlsm | Jobs!L83. No new commercial figures or exchange rates have been entered.</t>
        </r>
      </text>
    </comment>
    <comment ref="M83" authorId="0" shapeId="0" xr:uid="{00000000-0006-0000-0200-00005D020000}">
      <text>
        <r>
          <rPr>
            <sz val="11"/>
            <color theme="1"/>
            <rFont val="Calibri"/>
            <family val="2"/>
            <scheme val="minor"/>
          </rPr>
          <t>Preserved from Kerry_Drydock_2027_Job_Workspace_Recovery_v2.xlsm | Jobs!M83. No new commercial figures or exchange rates have been entered.</t>
        </r>
      </text>
    </comment>
    <comment ref="O83" authorId="0" shapeId="0" xr:uid="{00000000-0006-0000-0200-00005E020000}">
      <text>
        <r>
          <rPr>
            <sz val="11"/>
            <color theme="1"/>
            <rFont val="Calibri"/>
            <family val="2"/>
            <scheme val="minor"/>
          </rPr>
          <t>Preserved from Kerry_Drydock_2027_Job_Workspace_Recovery_v2.xlsm | Jobs!O83. No new commercial figures or exchange rates have been entered.</t>
        </r>
      </text>
    </comment>
    <comment ref="P83" authorId="0" shapeId="0" xr:uid="{00000000-0006-0000-0200-00005F020000}">
      <text>
        <r>
          <rPr>
            <sz val="11"/>
            <color theme="1"/>
            <rFont val="Calibri"/>
            <family val="2"/>
            <scheme val="minor"/>
          </rPr>
          <t>Preserved from Kerry_Drydock_2027_Job_Workspace_Recovery_v2.xlsm | Jobs!P83. No new commercial figures or exchange rates have been entered.</t>
        </r>
      </text>
    </comment>
    <comment ref="A84" authorId="0" shapeId="0" xr:uid="{00000000-0006-0000-0200-000060020000}">
      <text>
        <r>
          <rPr>
            <sz val="11"/>
            <color theme="1"/>
            <rFont val="Calibri"/>
            <family val="2"/>
            <scheme val="minor"/>
          </rPr>
          <t>Preserved from Kerry_Drydock_2027_Job_Workspace_Recovery_v2.xlsm | Jobs!A84. No new commercial figures or exchange rates have been entered.</t>
        </r>
      </text>
    </comment>
    <comment ref="B84" authorId="0" shapeId="0" xr:uid="{00000000-0006-0000-0200-000061020000}">
      <text>
        <r>
          <rPr>
            <sz val="11"/>
            <color theme="1"/>
            <rFont val="Calibri"/>
            <family val="2"/>
            <scheme val="minor"/>
          </rPr>
          <t>Preserved from Kerry_Drydock_2027_Job_Workspace_Recovery_v2.xlsm | Jobs!B84. No new commercial figures or exchange rates have been entered.</t>
        </r>
      </text>
    </comment>
    <comment ref="C84" authorId="0" shapeId="0" xr:uid="{00000000-0006-0000-0200-000062020000}">
      <text>
        <r>
          <rPr>
            <sz val="11"/>
            <color theme="1"/>
            <rFont val="Calibri"/>
            <family val="2"/>
            <scheme val="minor"/>
          </rPr>
          <t>Preserved from Kerry_Drydock_2027_Job_Workspace_Recovery_v2.xlsm | Jobs!C84. No new commercial figures or exchange rates have been entered.</t>
        </r>
      </text>
    </comment>
    <comment ref="D84" authorId="0" shapeId="0" xr:uid="{00000000-0006-0000-0200-000063020000}">
      <text>
        <r>
          <rPr>
            <sz val="11"/>
            <color theme="1"/>
            <rFont val="Calibri"/>
            <family val="2"/>
            <scheme val="minor"/>
          </rPr>
          <t>Preserved from Kerry_Drydock_2027_Job_Workspace_Recovery_v2.xlsm | Jobs!D84. No new commercial figures or exchange rates have been entered.</t>
        </r>
      </text>
    </comment>
    <comment ref="I84" authorId="0" shapeId="0" xr:uid="{00000000-0006-0000-0200-000064020000}">
      <text>
        <r>
          <rPr>
            <sz val="11"/>
            <color theme="1"/>
            <rFont val="Calibri"/>
            <family val="2"/>
            <scheme val="minor"/>
          </rPr>
          <t>Preserved from Kerry_Drydock_2027_Job_Workspace_Recovery_v2.xlsm | Jobs!I84. No new commercial figures or exchange rates have been entered.</t>
        </r>
      </text>
    </comment>
    <comment ref="L84" authorId="0" shapeId="0" xr:uid="{00000000-0006-0000-0200-000065020000}">
      <text>
        <r>
          <rPr>
            <sz val="11"/>
            <color theme="1"/>
            <rFont val="Calibri"/>
            <family val="2"/>
            <scheme val="minor"/>
          </rPr>
          <t>Preserved from Kerry_Drydock_2027_Job_Workspace_Recovery_v2.xlsm | Jobs!L84. No new commercial figures or exchange rates have been entered.</t>
        </r>
      </text>
    </comment>
    <comment ref="M84" authorId="0" shapeId="0" xr:uid="{00000000-0006-0000-0200-000066020000}">
      <text>
        <r>
          <rPr>
            <sz val="11"/>
            <color theme="1"/>
            <rFont val="Calibri"/>
            <family val="2"/>
            <scheme val="minor"/>
          </rPr>
          <t>Preserved from Kerry_Drydock_2027_Job_Workspace_Recovery_v2.xlsm | Jobs!M84. No new commercial figures or exchange rates have been entered.</t>
        </r>
      </text>
    </comment>
    <comment ref="O84" authorId="0" shapeId="0" xr:uid="{00000000-0006-0000-0200-000067020000}">
      <text>
        <r>
          <rPr>
            <sz val="11"/>
            <color theme="1"/>
            <rFont val="Calibri"/>
            <family val="2"/>
            <scheme val="minor"/>
          </rPr>
          <t>Preserved from Kerry_Drydock_2027_Job_Workspace_Recovery_v2.xlsm | Jobs!O84. No new commercial figures or exchange rates have been entered.</t>
        </r>
      </text>
    </comment>
    <comment ref="P84" authorId="0" shapeId="0" xr:uid="{00000000-0006-0000-0200-000068020000}">
      <text>
        <r>
          <rPr>
            <sz val="11"/>
            <color theme="1"/>
            <rFont val="Calibri"/>
            <family val="2"/>
            <scheme val="minor"/>
          </rPr>
          <t>Preserved from Kerry_Drydock_2027_Job_Workspace_Recovery_v2.xlsm | Jobs!P84. No new commercial figures or exchange rates have been entered.</t>
        </r>
      </text>
    </comment>
    <comment ref="A85" authorId="0" shapeId="0" xr:uid="{00000000-0006-0000-0200-000069020000}">
      <text>
        <r>
          <rPr>
            <sz val="11"/>
            <color theme="1"/>
            <rFont val="Calibri"/>
            <family val="2"/>
            <scheme val="minor"/>
          </rPr>
          <t>Preserved from Kerry_Drydock_2027_Job_Workspace_Recovery_v2.xlsm | Jobs!A85. No new commercial figures or exchange rates have been entered.</t>
        </r>
      </text>
    </comment>
    <comment ref="B85" authorId="0" shapeId="0" xr:uid="{00000000-0006-0000-0200-00006A020000}">
      <text>
        <r>
          <rPr>
            <sz val="11"/>
            <color theme="1"/>
            <rFont val="Calibri"/>
            <family val="2"/>
            <scheme val="minor"/>
          </rPr>
          <t>Preserved from Kerry_Drydock_2027_Job_Workspace_Recovery_v2.xlsm | Jobs!B85. No new commercial figures or exchange rates have been entered.</t>
        </r>
      </text>
    </comment>
    <comment ref="C85" authorId="0" shapeId="0" xr:uid="{00000000-0006-0000-0200-00006B020000}">
      <text>
        <r>
          <rPr>
            <sz val="11"/>
            <color theme="1"/>
            <rFont val="Calibri"/>
            <family val="2"/>
            <scheme val="minor"/>
          </rPr>
          <t>Preserved from Kerry_Drydock_2027_Job_Workspace_Recovery_v2.xlsm | Jobs!C85. No new commercial figures or exchange rates have been entered.</t>
        </r>
      </text>
    </comment>
    <comment ref="D85" authorId="0" shapeId="0" xr:uid="{00000000-0006-0000-0200-00006C020000}">
      <text>
        <r>
          <rPr>
            <sz val="11"/>
            <color theme="1"/>
            <rFont val="Calibri"/>
            <family val="2"/>
            <scheme val="minor"/>
          </rPr>
          <t>Preserved from Kerry_Drydock_2027_Job_Workspace_Recovery_v2.xlsm | Jobs!D85. No new commercial figures or exchange rates have been entered.</t>
        </r>
      </text>
    </comment>
    <comment ref="I85" authorId="0" shapeId="0" xr:uid="{00000000-0006-0000-0200-00006D020000}">
      <text>
        <r>
          <rPr>
            <sz val="11"/>
            <color theme="1"/>
            <rFont val="Calibri"/>
            <family val="2"/>
            <scheme val="minor"/>
          </rPr>
          <t>Preserved from Kerry_Drydock_2027_Job_Workspace_Recovery_v2.xlsm | Jobs!I85. No new commercial figures or exchange rates have been entered.</t>
        </r>
      </text>
    </comment>
    <comment ref="L85" authorId="0" shapeId="0" xr:uid="{00000000-0006-0000-0200-00006E020000}">
      <text>
        <r>
          <rPr>
            <sz val="11"/>
            <color theme="1"/>
            <rFont val="Calibri"/>
            <family val="2"/>
            <scheme val="minor"/>
          </rPr>
          <t>Preserved from Kerry_Drydock_2027_Job_Workspace_Recovery_v2.xlsm | Jobs!L85. No new commercial figures or exchange rates have been entered.</t>
        </r>
      </text>
    </comment>
    <comment ref="M85" authorId="0" shapeId="0" xr:uid="{00000000-0006-0000-0200-00006F020000}">
      <text>
        <r>
          <rPr>
            <sz val="11"/>
            <color theme="1"/>
            <rFont val="Calibri"/>
            <family val="2"/>
            <scheme val="minor"/>
          </rPr>
          <t>Preserved from Kerry_Drydock_2027_Job_Workspace_Recovery_v2.xlsm | Jobs!M85. No new commercial figures or exchange rates have been entered.</t>
        </r>
      </text>
    </comment>
    <comment ref="O85" authorId="0" shapeId="0" xr:uid="{00000000-0006-0000-0200-000070020000}">
      <text>
        <r>
          <rPr>
            <sz val="11"/>
            <color theme="1"/>
            <rFont val="Calibri"/>
            <family val="2"/>
            <scheme val="minor"/>
          </rPr>
          <t>Preserved from Kerry_Drydock_2027_Job_Workspace_Recovery_v2.xlsm | Jobs!O85. No new commercial figures or exchange rates have been entered.</t>
        </r>
      </text>
    </comment>
    <comment ref="A86" authorId="0" shapeId="0" xr:uid="{00000000-0006-0000-0200-000071020000}">
      <text>
        <r>
          <rPr>
            <sz val="11"/>
            <color theme="1"/>
            <rFont val="Calibri"/>
            <family val="2"/>
            <scheme val="minor"/>
          </rPr>
          <t>Preserved from Kerry_Drydock_2027_Job_Workspace_Recovery_v2.xlsm | Jobs!A86. No new commercial figures or exchange rates have been entered.</t>
        </r>
      </text>
    </comment>
    <comment ref="B86" authorId="0" shapeId="0" xr:uid="{00000000-0006-0000-0200-000072020000}">
      <text>
        <r>
          <rPr>
            <sz val="11"/>
            <color theme="1"/>
            <rFont val="Calibri"/>
            <family val="2"/>
            <scheme val="minor"/>
          </rPr>
          <t>Preserved from Kerry_Drydock_2027_Job_Workspace_Recovery_v2.xlsm | Jobs!B86. No new commercial figures or exchange rates have been entered.</t>
        </r>
      </text>
    </comment>
    <comment ref="C86" authorId="0" shapeId="0" xr:uid="{00000000-0006-0000-0200-000073020000}">
      <text>
        <r>
          <rPr>
            <sz val="11"/>
            <color theme="1"/>
            <rFont val="Calibri"/>
            <family val="2"/>
            <scheme val="minor"/>
          </rPr>
          <t>Preserved from Kerry_Drydock_2027_Job_Workspace_Recovery_v2.xlsm | Jobs!C86. No new commercial figures or exchange rates have been entered.</t>
        </r>
      </text>
    </comment>
    <comment ref="D86" authorId="0" shapeId="0" xr:uid="{00000000-0006-0000-0200-000074020000}">
      <text>
        <r>
          <rPr>
            <sz val="11"/>
            <color theme="1"/>
            <rFont val="Calibri"/>
            <family val="2"/>
            <scheme val="minor"/>
          </rPr>
          <t>Preserved from Kerry_Drydock_2027_Job_Workspace_Recovery_v2.xlsm | Jobs!D86. No new commercial figures or exchange rates have been entered.</t>
        </r>
      </text>
    </comment>
    <comment ref="I86" authorId="0" shapeId="0" xr:uid="{00000000-0006-0000-0200-000075020000}">
      <text>
        <r>
          <rPr>
            <sz val="11"/>
            <color theme="1"/>
            <rFont val="Calibri"/>
            <family val="2"/>
            <scheme val="minor"/>
          </rPr>
          <t>Preserved from Kerry_Drydock_2027_Job_Workspace_Recovery_v2.xlsm | Jobs!I86. No new commercial figures or exchange rates have been entered.</t>
        </r>
      </text>
    </comment>
    <comment ref="L86" authorId="0" shapeId="0" xr:uid="{00000000-0006-0000-0200-000076020000}">
      <text>
        <r>
          <rPr>
            <sz val="11"/>
            <color theme="1"/>
            <rFont val="Calibri"/>
            <family val="2"/>
            <scheme val="minor"/>
          </rPr>
          <t>Preserved from Kerry_Drydock_2027_Job_Workspace_Recovery_v2.xlsm | Jobs!L86. No new commercial figures or exchange rates have been entered.</t>
        </r>
      </text>
    </comment>
    <comment ref="M86" authorId="0" shapeId="0" xr:uid="{00000000-0006-0000-0200-000077020000}">
      <text>
        <r>
          <rPr>
            <sz val="11"/>
            <color theme="1"/>
            <rFont val="Calibri"/>
            <family val="2"/>
            <scheme val="minor"/>
          </rPr>
          <t>Preserved from Kerry_Drydock_2027_Job_Workspace_Recovery_v2.xlsm | Jobs!M86. No new commercial figures or exchange rates have been entered.</t>
        </r>
      </text>
    </comment>
    <comment ref="O86" authorId="0" shapeId="0" xr:uid="{00000000-0006-0000-0200-000078020000}">
      <text>
        <r>
          <rPr>
            <sz val="11"/>
            <color theme="1"/>
            <rFont val="Calibri"/>
            <family val="2"/>
            <scheme val="minor"/>
          </rPr>
          <t>Preserved from Kerry_Drydock_2027_Job_Workspace_Recovery_v2.xlsm | Jobs!O86. No new commercial figures or exchange rates have been entered.</t>
        </r>
      </text>
    </comment>
    <comment ref="P86" authorId="0" shapeId="0" xr:uid="{00000000-0006-0000-0200-000079020000}">
      <text>
        <r>
          <rPr>
            <sz val="11"/>
            <color theme="1"/>
            <rFont val="Calibri"/>
            <family val="2"/>
            <scheme val="minor"/>
          </rPr>
          <t>Preserved from Kerry_Drydock_2027_Job_Workspace_Recovery_v2.xlsm | Jobs!P86. No new commercial figures or exchange rates have been entered.</t>
        </r>
      </text>
    </comment>
    <comment ref="A87" authorId="0" shapeId="0" xr:uid="{00000000-0006-0000-0200-00007A020000}">
      <text>
        <r>
          <rPr>
            <sz val="11"/>
            <color theme="1"/>
            <rFont val="Calibri"/>
            <family val="2"/>
            <scheme val="minor"/>
          </rPr>
          <t>Preserved from Kerry_Drydock_2027_Job_Workspace_Recovery_v2.xlsm | Jobs!A87. No new commercial figures or exchange rates have been entered.</t>
        </r>
      </text>
    </comment>
    <comment ref="B87" authorId="0" shapeId="0" xr:uid="{00000000-0006-0000-0200-00007B020000}">
      <text>
        <r>
          <rPr>
            <sz val="11"/>
            <color theme="1"/>
            <rFont val="Calibri"/>
            <family val="2"/>
            <scheme val="minor"/>
          </rPr>
          <t>Preserved from Kerry_Drydock_2027_Job_Workspace_Recovery_v2.xlsm | Jobs!B87. No new commercial figures or exchange rates have been entered.</t>
        </r>
      </text>
    </comment>
    <comment ref="C87" authorId="0" shapeId="0" xr:uid="{00000000-0006-0000-0200-00007C020000}">
      <text>
        <r>
          <rPr>
            <sz val="11"/>
            <color theme="1"/>
            <rFont val="Calibri"/>
            <family val="2"/>
            <scheme val="minor"/>
          </rPr>
          <t>Preserved from Kerry_Drydock_2027_Job_Workspace_Recovery_v2.xlsm | Jobs!C87. No new commercial figures or exchange rates have been entered.</t>
        </r>
      </text>
    </comment>
    <comment ref="D87" authorId="0" shapeId="0" xr:uid="{00000000-0006-0000-0200-00007D020000}">
      <text>
        <r>
          <rPr>
            <sz val="11"/>
            <color theme="1"/>
            <rFont val="Calibri"/>
            <family val="2"/>
            <scheme val="minor"/>
          </rPr>
          <t>Preserved from Kerry_Drydock_2027_Job_Workspace_Recovery_v2.xlsm | Jobs!D87. No new commercial figures or exchange rates have been entered.</t>
        </r>
      </text>
    </comment>
    <comment ref="I87" authorId="0" shapeId="0" xr:uid="{00000000-0006-0000-0200-00007E020000}">
      <text>
        <r>
          <rPr>
            <sz val="11"/>
            <color theme="1"/>
            <rFont val="Calibri"/>
            <family val="2"/>
            <scheme val="minor"/>
          </rPr>
          <t>Preserved from Kerry_Drydock_2027_Job_Workspace_Recovery_v2.xlsm | Jobs!I87. No new commercial figures or exchange rates have been entered.</t>
        </r>
      </text>
    </comment>
    <comment ref="L87" authorId="0" shapeId="0" xr:uid="{00000000-0006-0000-0200-00007F020000}">
      <text>
        <r>
          <rPr>
            <sz val="11"/>
            <color theme="1"/>
            <rFont val="Calibri"/>
            <family val="2"/>
            <scheme val="minor"/>
          </rPr>
          <t>Preserved from Kerry_Drydock_2027_Job_Workspace_Recovery_v2.xlsm | Jobs!L87. No new commercial figures or exchange rates have been entered.</t>
        </r>
      </text>
    </comment>
    <comment ref="M87" authorId="0" shapeId="0" xr:uid="{00000000-0006-0000-0200-000080020000}">
      <text>
        <r>
          <rPr>
            <sz val="11"/>
            <color theme="1"/>
            <rFont val="Calibri"/>
            <family val="2"/>
            <scheme val="minor"/>
          </rPr>
          <t>Preserved from Kerry_Drydock_2027_Job_Workspace_Recovery_v2.xlsm | Jobs!M87. No new commercial figures or exchange rates have been entered.</t>
        </r>
      </text>
    </comment>
    <comment ref="O87" authorId="0" shapeId="0" xr:uid="{00000000-0006-0000-0200-000081020000}">
      <text>
        <r>
          <rPr>
            <sz val="11"/>
            <color theme="1"/>
            <rFont val="Calibri"/>
            <family val="2"/>
            <scheme val="minor"/>
          </rPr>
          <t>Preserved from Kerry_Drydock_2027_Job_Workspace_Recovery_v2.xlsm | Jobs!O87. No new commercial figures or exchange rates have been entered.</t>
        </r>
      </text>
    </comment>
    <comment ref="P87" authorId="0" shapeId="0" xr:uid="{00000000-0006-0000-0200-000082020000}">
      <text>
        <r>
          <rPr>
            <sz val="11"/>
            <color theme="1"/>
            <rFont val="Calibri"/>
            <family val="2"/>
            <scheme val="minor"/>
          </rPr>
          <t>Preserved from Kerry_Drydock_2027_Job_Workspace_Recovery_v2.xlsm | Jobs!P87. No new commercial figures or exchange rates have been entered.</t>
        </r>
      </text>
    </comment>
    <comment ref="A88" authorId="0" shapeId="0" xr:uid="{00000000-0006-0000-0200-000083020000}">
      <text>
        <r>
          <rPr>
            <sz val="11"/>
            <color theme="1"/>
            <rFont val="Calibri"/>
            <family val="2"/>
            <scheme val="minor"/>
          </rPr>
          <t>Preserved from Kerry_Drydock_2027_Job_Workspace_Recovery_v2.xlsm | Jobs!A88. No new commercial figures or exchange rates have been entered.</t>
        </r>
      </text>
    </comment>
    <comment ref="B88" authorId="0" shapeId="0" xr:uid="{00000000-0006-0000-0200-000084020000}">
      <text>
        <r>
          <rPr>
            <sz val="11"/>
            <color theme="1"/>
            <rFont val="Calibri"/>
            <family val="2"/>
            <scheme val="minor"/>
          </rPr>
          <t>Preserved from Kerry_Drydock_2027_Job_Workspace_Recovery_v2.xlsm | Jobs!B88. No new commercial figures or exchange rates have been entered.</t>
        </r>
      </text>
    </comment>
    <comment ref="C88" authorId="0" shapeId="0" xr:uid="{00000000-0006-0000-0200-000085020000}">
      <text>
        <r>
          <rPr>
            <sz val="11"/>
            <color theme="1"/>
            <rFont val="Calibri"/>
            <family val="2"/>
            <scheme val="minor"/>
          </rPr>
          <t>Preserved from Kerry_Drydock_2027_Job_Workspace_Recovery_v2.xlsm | Jobs!C88. No new commercial figures or exchange rates have been entered.</t>
        </r>
      </text>
    </comment>
    <comment ref="D88" authorId="0" shapeId="0" xr:uid="{00000000-0006-0000-0200-000086020000}">
      <text>
        <r>
          <rPr>
            <sz val="11"/>
            <color theme="1"/>
            <rFont val="Calibri"/>
            <family val="2"/>
            <scheme val="minor"/>
          </rPr>
          <t>Preserved from Kerry_Drydock_2027_Job_Workspace_Recovery_v2.xlsm | Jobs!D88. No new commercial figures or exchange rates have been entered.</t>
        </r>
      </text>
    </comment>
    <comment ref="I88" authorId="0" shapeId="0" xr:uid="{00000000-0006-0000-0200-000087020000}">
      <text>
        <r>
          <rPr>
            <sz val="11"/>
            <color theme="1"/>
            <rFont val="Calibri"/>
            <family val="2"/>
            <scheme val="minor"/>
          </rPr>
          <t>Preserved from Kerry_Drydock_2027_Job_Workspace_Recovery_v2.xlsm | Jobs!I88. No new commercial figures or exchange rates have been entered.</t>
        </r>
      </text>
    </comment>
    <comment ref="L88" authorId="0" shapeId="0" xr:uid="{00000000-0006-0000-0200-000088020000}">
      <text>
        <r>
          <rPr>
            <sz val="11"/>
            <color theme="1"/>
            <rFont val="Calibri"/>
            <family val="2"/>
            <scheme val="minor"/>
          </rPr>
          <t>Preserved from Kerry_Drydock_2027_Job_Workspace_Recovery_v2.xlsm | Jobs!L88. No new commercial figures or exchange rates have been entered.</t>
        </r>
      </text>
    </comment>
    <comment ref="M88" authorId="0" shapeId="0" xr:uid="{00000000-0006-0000-0200-000089020000}">
      <text>
        <r>
          <rPr>
            <sz val="11"/>
            <color theme="1"/>
            <rFont val="Calibri"/>
            <family val="2"/>
            <scheme val="minor"/>
          </rPr>
          <t>Preserved from Kerry_Drydock_2027_Job_Workspace_Recovery_v2.xlsm | Jobs!M88. No new commercial figures or exchange rates have been entered.</t>
        </r>
      </text>
    </comment>
    <comment ref="O88" authorId="0" shapeId="0" xr:uid="{00000000-0006-0000-0200-00008A020000}">
      <text>
        <r>
          <rPr>
            <sz val="11"/>
            <color theme="1"/>
            <rFont val="Calibri"/>
            <family val="2"/>
            <scheme val="minor"/>
          </rPr>
          <t>Preserved from Kerry_Drydock_2027_Job_Workspace_Recovery_v2.xlsm | Jobs!O88. No new commercial figures or exchange rates have been entered.</t>
        </r>
      </text>
    </comment>
    <comment ref="P88" authorId="0" shapeId="0" xr:uid="{00000000-0006-0000-0200-00008B020000}">
      <text>
        <r>
          <rPr>
            <sz val="11"/>
            <color theme="1"/>
            <rFont val="Calibri"/>
            <family val="2"/>
            <scheme val="minor"/>
          </rPr>
          <t>Preserved from Kerry_Drydock_2027_Job_Workspace_Recovery_v2.xlsm | Jobs!P88. No new commercial figures or exchange rates have been entered.</t>
        </r>
      </text>
    </comment>
    <comment ref="A89" authorId="0" shapeId="0" xr:uid="{00000000-0006-0000-0200-00008C020000}">
      <text>
        <r>
          <rPr>
            <sz val="11"/>
            <color theme="1"/>
            <rFont val="Calibri"/>
            <family val="2"/>
            <scheme val="minor"/>
          </rPr>
          <t>Preserved from Kerry_Drydock_2027_Job_Workspace_Recovery_v2.xlsm | Jobs!A89. No new commercial figures or exchange rates have been entered.</t>
        </r>
      </text>
    </comment>
    <comment ref="B89" authorId="0" shapeId="0" xr:uid="{00000000-0006-0000-0200-00008D020000}">
      <text>
        <r>
          <rPr>
            <sz val="11"/>
            <color theme="1"/>
            <rFont val="Calibri"/>
            <family val="2"/>
            <scheme val="minor"/>
          </rPr>
          <t>Preserved from Kerry_Drydock_2027_Job_Workspace_Recovery_v2.xlsm | Jobs!B89. No new commercial figures or exchange rates have been entered.</t>
        </r>
      </text>
    </comment>
    <comment ref="C89" authorId="0" shapeId="0" xr:uid="{00000000-0006-0000-0200-00008E020000}">
      <text>
        <r>
          <rPr>
            <sz val="11"/>
            <color theme="1"/>
            <rFont val="Calibri"/>
            <family val="2"/>
            <scheme val="minor"/>
          </rPr>
          <t>Preserved from Kerry_Drydock_2027_Job_Workspace_Recovery_v2.xlsm | Jobs!C89. No new commercial figures or exchange rates have been entered.</t>
        </r>
      </text>
    </comment>
    <comment ref="D89" authorId="0" shapeId="0" xr:uid="{00000000-0006-0000-0200-00008F020000}">
      <text>
        <r>
          <rPr>
            <sz val="11"/>
            <color theme="1"/>
            <rFont val="Calibri"/>
            <family val="2"/>
            <scheme val="minor"/>
          </rPr>
          <t>Preserved from Kerry_Drydock_2027_Job_Workspace_Recovery_v2.xlsm | Jobs!D89. No new commercial figures or exchange rates have been entered.</t>
        </r>
      </text>
    </comment>
    <comment ref="I89" authorId="0" shapeId="0" xr:uid="{00000000-0006-0000-0200-000090020000}">
      <text>
        <r>
          <rPr>
            <sz val="11"/>
            <color theme="1"/>
            <rFont val="Calibri"/>
            <family val="2"/>
            <scheme val="minor"/>
          </rPr>
          <t>Preserved from Kerry_Drydock_2027_Job_Workspace_Recovery_v2.xlsm | Jobs!I89. No new commercial figures or exchange rates have been entered.</t>
        </r>
      </text>
    </comment>
    <comment ref="L89" authorId="0" shapeId="0" xr:uid="{00000000-0006-0000-0200-000091020000}">
      <text>
        <r>
          <rPr>
            <sz val="11"/>
            <color theme="1"/>
            <rFont val="Calibri"/>
            <family val="2"/>
            <scheme val="minor"/>
          </rPr>
          <t>Preserved from Kerry_Drydock_2027_Job_Workspace_Recovery_v2.xlsm | Jobs!L89. No new commercial figures or exchange rates have been entered.</t>
        </r>
      </text>
    </comment>
    <comment ref="M89" authorId="0" shapeId="0" xr:uid="{00000000-0006-0000-0200-000092020000}">
      <text>
        <r>
          <rPr>
            <sz val="11"/>
            <color theme="1"/>
            <rFont val="Calibri"/>
            <family val="2"/>
            <scheme val="minor"/>
          </rPr>
          <t>Preserved from Kerry_Drydock_2027_Job_Workspace_Recovery_v2.xlsm | Jobs!M89. No new commercial figures or exchange rates have been entered.</t>
        </r>
      </text>
    </comment>
    <comment ref="O89" authorId="0" shapeId="0" xr:uid="{00000000-0006-0000-0200-000093020000}">
      <text>
        <r>
          <rPr>
            <sz val="11"/>
            <color theme="1"/>
            <rFont val="Calibri"/>
            <family val="2"/>
            <scheme val="minor"/>
          </rPr>
          <t>Preserved from Kerry_Drydock_2027_Job_Workspace_Recovery_v2.xlsm | Jobs!O89. No new commercial figures or exchange rates have been entered.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Source</author>
  </authors>
  <commentList>
    <comment ref="A9" authorId="0" shapeId="0" xr:uid="{00000000-0006-0000-0300-000001000000}">
      <text>
        <r>
          <rPr>
            <sz val="11"/>
            <color theme="1"/>
            <rFont val="Calibri"/>
            <family val="2"/>
            <scheme val="minor"/>
          </rPr>
          <t>Preserved from Kerry_Drydock_2027_Job_Workspace_Recovery_v2.xlsm | Suppliers!A9. No new commercial figures or exchange rates have been entered.</t>
        </r>
      </text>
    </comment>
    <comment ref="B9" authorId="0" shapeId="0" xr:uid="{00000000-0006-0000-0300-000002000000}">
      <text>
        <r>
          <rPr>
            <sz val="11"/>
            <color theme="1"/>
            <rFont val="Calibri"/>
            <family val="2"/>
            <scheme val="minor"/>
          </rPr>
          <t>Preserved from Kerry_Drydock_2027_Job_Workspace_Recovery_v2.xlsm | Suppliers!B9. No new commercial figures or exchange rates have been entered.</t>
        </r>
      </text>
    </comment>
    <comment ref="C9" authorId="0" shapeId="0" xr:uid="{00000000-0006-0000-0300-000003000000}">
      <text>
        <r>
          <rPr>
            <sz val="11"/>
            <color theme="1"/>
            <rFont val="Calibri"/>
            <family val="2"/>
            <scheme val="minor"/>
          </rPr>
          <t>Preserved from Kerry_Drydock_2027_Job_Workspace_Recovery_v2.xlsm | Suppliers!C9. No new commercial figures or exchange rates have been entered.</t>
        </r>
      </text>
    </comment>
    <comment ref="D9" authorId="0" shapeId="0" xr:uid="{00000000-0006-0000-0300-000004000000}">
      <text>
        <r>
          <rPr>
            <sz val="11"/>
            <color theme="1"/>
            <rFont val="Calibri"/>
            <family val="2"/>
            <scheme val="minor"/>
          </rPr>
          <t>Preserved from Kerry_Drydock_2027_Job_Workspace_Recovery_v2.xlsm | Suppliers!D9. No new commercial figures or exchange rates have been entered.</t>
        </r>
      </text>
    </comment>
    <comment ref="E9" authorId="0" shapeId="0" xr:uid="{00000000-0006-0000-0300-000005000000}">
      <text>
        <r>
          <rPr>
            <sz val="11"/>
            <color theme="1"/>
            <rFont val="Calibri"/>
            <family val="2"/>
            <scheme val="minor"/>
          </rPr>
          <t>Preserved from Kerry_Drydock_2027_Job_Workspace_Recovery_v2.xlsm | Suppliers!E9. No new commercial figures or exchange rates have been entered.</t>
        </r>
      </text>
    </comment>
    <comment ref="F9" authorId="0" shapeId="0" xr:uid="{00000000-0006-0000-0300-000006000000}">
      <text>
        <r>
          <rPr>
            <sz val="11"/>
            <color theme="1"/>
            <rFont val="Calibri"/>
            <family val="2"/>
            <scheme val="minor"/>
          </rPr>
          <t>Preserved from Kerry_Drydock_2027_Job_Workspace_Recovery_v2.xlsm | Suppliers!F9. No new commercial figures or exchange rates have been entered.</t>
        </r>
      </text>
    </comment>
    <comment ref="I9" authorId="0" shapeId="0" xr:uid="{00000000-0006-0000-0300-000007000000}">
      <text>
        <r>
          <rPr>
            <sz val="11"/>
            <color theme="1"/>
            <rFont val="Calibri"/>
            <family val="2"/>
            <scheme val="minor"/>
          </rPr>
          <t>Preserved from Kerry_Drydock_2027_Job_Workspace_Recovery_v2.xlsm | Suppliers!I9. No new commercial figures or exchange rates have been entered.</t>
        </r>
      </text>
    </comment>
    <comment ref="N9" authorId="0" shapeId="0" xr:uid="{00000000-0006-0000-0300-000008000000}">
      <text>
        <r>
          <rPr>
            <sz val="11"/>
            <color theme="1"/>
            <rFont val="Calibri"/>
            <family val="2"/>
            <scheme val="minor"/>
          </rPr>
          <t>Preserved from Kerry_Drydock_2027_Job_Workspace_Recovery_v2.xlsm | Suppliers!N9. No new commercial figures or exchange rates have been entered.</t>
        </r>
      </text>
    </comment>
    <comment ref="A10" authorId="0" shapeId="0" xr:uid="{00000000-0006-0000-0300-000009000000}">
      <text>
        <r>
          <rPr>
            <sz val="11"/>
            <color theme="1"/>
            <rFont val="Calibri"/>
            <family val="2"/>
            <scheme val="minor"/>
          </rPr>
          <t>Preserved from Kerry_Drydock_2027_Job_Workspace_Recovery_v2.xlsm | Suppliers!A10. No new commercial figures or exchange rates have been entered.</t>
        </r>
      </text>
    </comment>
    <comment ref="B10" authorId="0" shapeId="0" xr:uid="{00000000-0006-0000-0300-00000A000000}">
      <text>
        <r>
          <rPr>
            <sz val="11"/>
            <color theme="1"/>
            <rFont val="Calibri"/>
            <family val="2"/>
            <scheme val="minor"/>
          </rPr>
          <t>Preserved from Kerry_Drydock_2027_Job_Workspace_Recovery_v2.xlsm | Suppliers!B10. No new commercial figures or exchange rates have been entered.</t>
        </r>
      </text>
    </comment>
    <comment ref="C10" authorId="0" shapeId="0" xr:uid="{00000000-0006-0000-0300-00000B000000}">
      <text>
        <r>
          <rPr>
            <sz val="11"/>
            <color theme="1"/>
            <rFont val="Calibri"/>
            <family val="2"/>
            <scheme val="minor"/>
          </rPr>
          <t>Preserved from Kerry_Drydock_2027_Job_Workspace_Recovery_v2.xlsm | Suppliers!C10. No new commercial figures or exchange rates have been entered.</t>
        </r>
      </text>
    </comment>
    <comment ref="D10" authorId="0" shapeId="0" xr:uid="{00000000-0006-0000-0300-00000C000000}">
      <text>
        <r>
          <rPr>
            <sz val="11"/>
            <color theme="1"/>
            <rFont val="Calibri"/>
            <family val="2"/>
            <scheme val="minor"/>
          </rPr>
          <t>Preserved from Kerry_Drydock_2027_Job_Workspace_Recovery_v2.xlsm | Suppliers!D10. No new commercial figures or exchange rates have been entered.</t>
        </r>
      </text>
    </comment>
    <comment ref="E10" authorId="0" shapeId="0" xr:uid="{00000000-0006-0000-0300-00000D000000}">
      <text>
        <r>
          <rPr>
            <sz val="11"/>
            <color theme="1"/>
            <rFont val="Calibri"/>
            <family val="2"/>
            <scheme val="minor"/>
          </rPr>
          <t>Preserved from Kerry_Drydock_2027_Job_Workspace_Recovery_v2.xlsm | Suppliers!E10. No new commercial figures or exchange rates have been entered.</t>
        </r>
      </text>
    </comment>
    <comment ref="F10" authorId="0" shapeId="0" xr:uid="{00000000-0006-0000-0300-00000E000000}">
      <text>
        <r>
          <rPr>
            <sz val="11"/>
            <color theme="1"/>
            <rFont val="Calibri"/>
            <family val="2"/>
            <scheme val="minor"/>
          </rPr>
          <t>Preserved from Kerry_Drydock_2027_Job_Workspace_Recovery_v2.xlsm | Suppliers!F10. No new commercial figures or exchange rates have been entered.</t>
        </r>
      </text>
    </comment>
    <comment ref="G10" authorId="0" shapeId="0" xr:uid="{00000000-0006-0000-0300-00000F000000}">
      <text>
        <r>
          <rPr>
            <sz val="11"/>
            <color theme="1"/>
            <rFont val="Calibri"/>
            <family val="2"/>
            <scheme val="minor"/>
          </rPr>
          <t>Preserved from Kerry_Drydock_2027_Job_Workspace_Recovery_v2.xlsm | Suppliers!G10. No new commercial figures or exchange rates have been entered.</t>
        </r>
      </text>
    </comment>
    <comment ref="H10" authorId="0" shapeId="0" xr:uid="{00000000-0006-0000-0300-000010000000}">
      <text>
        <r>
          <rPr>
            <sz val="11"/>
            <color theme="1"/>
            <rFont val="Calibri"/>
            <family val="2"/>
            <scheme val="minor"/>
          </rPr>
          <t>Preserved from Kerry_Drydock_2027_Job_Workspace_Recovery_v2.xlsm | Suppliers!H10. No new commercial figures or exchange rates have been entered.</t>
        </r>
      </text>
    </comment>
    <comment ref="I10" authorId="0" shapeId="0" xr:uid="{00000000-0006-0000-0300-000011000000}">
      <text>
        <r>
          <rPr>
            <sz val="11"/>
            <color theme="1"/>
            <rFont val="Calibri"/>
            <family val="2"/>
            <scheme val="minor"/>
          </rPr>
          <t>Preserved from Kerry_Drydock_2027_Job_Workspace_Recovery_v2.xlsm | Suppliers!I10. No new commercial figures or exchange rates have been entered.</t>
        </r>
      </text>
    </comment>
    <comment ref="N10" authorId="0" shapeId="0" xr:uid="{00000000-0006-0000-0300-000012000000}">
      <text>
        <r>
          <rPr>
            <sz val="11"/>
            <color theme="1"/>
            <rFont val="Calibri"/>
            <family val="2"/>
            <scheme val="minor"/>
          </rPr>
          <t>Preserved from Kerry_Drydock_2027_Job_Workspace_Recovery_v2.xlsm | Suppliers!N10. No new commercial figures or exchange rates have been entered.</t>
        </r>
      </text>
    </comment>
    <comment ref="A11" authorId="0" shapeId="0" xr:uid="{00000000-0006-0000-0300-000013000000}">
      <text>
        <r>
          <rPr>
            <sz val="11"/>
            <color theme="1"/>
            <rFont val="Calibri"/>
            <family val="2"/>
            <scheme val="minor"/>
          </rPr>
          <t>Preserved from Kerry_Drydock_2027_Job_Workspace_Recovery_v2.xlsm | Suppliers!A11. No new commercial figures or exchange rates have been entered.</t>
        </r>
      </text>
    </comment>
    <comment ref="B11" authorId="0" shapeId="0" xr:uid="{00000000-0006-0000-0300-000014000000}">
      <text>
        <r>
          <rPr>
            <sz val="11"/>
            <color theme="1"/>
            <rFont val="Calibri"/>
            <family val="2"/>
            <scheme val="minor"/>
          </rPr>
          <t>Preserved from Kerry_Drydock_2027_Job_Workspace_Recovery_v2.xlsm | Suppliers!B11. No new commercial figures or exchange rates have been entered.</t>
        </r>
      </text>
    </comment>
    <comment ref="C11" authorId="0" shapeId="0" xr:uid="{00000000-0006-0000-0300-000015000000}">
      <text>
        <r>
          <rPr>
            <sz val="11"/>
            <color theme="1"/>
            <rFont val="Calibri"/>
            <family val="2"/>
            <scheme val="minor"/>
          </rPr>
          <t>Preserved from Kerry_Drydock_2027_Job_Workspace_Recovery_v2.xlsm | Suppliers!C11. No new commercial figures or exchange rates have been entered.</t>
        </r>
      </text>
    </comment>
    <comment ref="D11" authorId="0" shapeId="0" xr:uid="{00000000-0006-0000-0300-000016000000}">
      <text>
        <r>
          <rPr>
            <sz val="11"/>
            <color theme="1"/>
            <rFont val="Calibri"/>
            <family val="2"/>
            <scheme val="minor"/>
          </rPr>
          <t>Preserved from Kerry_Drydock_2027_Job_Workspace_Recovery_v2.xlsm | Suppliers!D11. No new commercial figures or exchange rates have been entered.</t>
        </r>
      </text>
    </comment>
    <comment ref="E11" authorId="0" shapeId="0" xr:uid="{00000000-0006-0000-0300-000017000000}">
      <text>
        <r>
          <rPr>
            <sz val="11"/>
            <color theme="1"/>
            <rFont val="Calibri"/>
            <family val="2"/>
            <scheme val="minor"/>
          </rPr>
          <t>Preserved from Kerry_Drydock_2027_Job_Workspace_Recovery_v2.xlsm | Suppliers!E11. No new commercial figures or exchange rates have been entered.</t>
        </r>
      </text>
    </comment>
    <comment ref="F11" authorId="0" shapeId="0" xr:uid="{00000000-0006-0000-0300-000018000000}">
      <text>
        <r>
          <rPr>
            <sz val="11"/>
            <color theme="1"/>
            <rFont val="Calibri"/>
            <family val="2"/>
            <scheme val="minor"/>
          </rPr>
          <t>Preserved from Kerry_Drydock_2027_Job_Workspace_Recovery_v2.xlsm | Suppliers!F11. No new commercial figures or exchange rates have been entered.</t>
        </r>
      </text>
    </comment>
    <comment ref="G11" authorId="0" shapeId="0" xr:uid="{00000000-0006-0000-0300-000019000000}">
      <text>
        <r>
          <rPr>
            <sz val="11"/>
            <color theme="1"/>
            <rFont val="Calibri"/>
            <family val="2"/>
            <scheme val="minor"/>
          </rPr>
          <t>Preserved from Kerry_Drydock_2027_Job_Workspace_Recovery_v2.xlsm | Suppliers!G11. No new commercial figures or exchange rates have been entered.</t>
        </r>
      </text>
    </comment>
    <comment ref="H11" authorId="0" shapeId="0" xr:uid="{00000000-0006-0000-0300-00001A000000}">
      <text>
        <r>
          <rPr>
            <sz val="11"/>
            <color theme="1"/>
            <rFont val="Calibri"/>
            <family val="2"/>
            <scheme val="minor"/>
          </rPr>
          <t>Preserved from Kerry_Drydock_2027_Job_Workspace_Recovery_v2.xlsm | Suppliers!H11. No new commercial figures or exchange rates have been entered.</t>
        </r>
      </text>
    </comment>
    <comment ref="I11" authorId="0" shapeId="0" xr:uid="{00000000-0006-0000-0300-00001B000000}">
      <text>
        <r>
          <rPr>
            <sz val="11"/>
            <color theme="1"/>
            <rFont val="Calibri"/>
            <family val="2"/>
            <scheme val="minor"/>
          </rPr>
          <t>Preserved from Kerry_Drydock_2027_Job_Workspace_Recovery_v2.xlsm | Suppliers!I11. No new commercial figures or exchange rates have been entered.</t>
        </r>
      </text>
    </comment>
    <comment ref="N11" authorId="0" shapeId="0" xr:uid="{00000000-0006-0000-0300-00001C000000}">
      <text>
        <r>
          <rPr>
            <sz val="11"/>
            <color theme="1"/>
            <rFont val="Calibri"/>
            <family val="2"/>
            <scheme val="minor"/>
          </rPr>
          <t>Preserved from Kerry_Drydock_2027_Job_Workspace_Recovery_v2.xlsm | Suppliers!N11. No new commercial figures or exchange rates have been entered.</t>
        </r>
      </text>
    </comment>
    <comment ref="A12" authorId="0" shapeId="0" xr:uid="{00000000-0006-0000-0300-00001D000000}">
      <text>
        <r>
          <rPr>
            <sz val="11"/>
            <color theme="1"/>
            <rFont val="Calibri"/>
            <family val="2"/>
            <scheme val="minor"/>
          </rPr>
          <t>Preserved from Kerry_Drydock_2027_Job_Workspace_Recovery_v2.xlsm | Suppliers!A12. No new commercial figures or exchange rates have been entered.</t>
        </r>
      </text>
    </comment>
    <comment ref="B12" authorId="0" shapeId="0" xr:uid="{00000000-0006-0000-0300-00001E000000}">
      <text>
        <r>
          <rPr>
            <sz val="11"/>
            <color theme="1"/>
            <rFont val="Calibri"/>
            <family val="2"/>
            <scheme val="minor"/>
          </rPr>
          <t>Preserved from Kerry_Drydock_2027_Job_Workspace_Recovery_v2.xlsm | Suppliers!B12. No new commercial figures or exchange rates have been entered.</t>
        </r>
      </text>
    </comment>
    <comment ref="C12" authorId="0" shapeId="0" xr:uid="{00000000-0006-0000-0300-00001F000000}">
      <text>
        <r>
          <rPr>
            <sz val="11"/>
            <color theme="1"/>
            <rFont val="Calibri"/>
            <family val="2"/>
            <scheme val="minor"/>
          </rPr>
          <t>Preserved from Kerry_Drydock_2027_Job_Workspace_Recovery_v2.xlsm | Suppliers!C12. No new commercial figures or exchange rates have been entered.</t>
        </r>
      </text>
    </comment>
    <comment ref="D12" authorId="0" shapeId="0" xr:uid="{00000000-0006-0000-0300-000020000000}">
      <text>
        <r>
          <rPr>
            <sz val="11"/>
            <color theme="1"/>
            <rFont val="Calibri"/>
            <family val="2"/>
            <scheme val="minor"/>
          </rPr>
          <t>Preserved from Kerry_Drydock_2027_Job_Workspace_Recovery_v2.xlsm | Suppliers!D12. No new commercial figures or exchange rates have been entered.</t>
        </r>
      </text>
    </comment>
    <comment ref="E12" authorId="0" shapeId="0" xr:uid="{00000000-0006-0000-0300-000021000000}">
      <text>
        <r>
          <rPr>
            <sz val="11"/>
            <color theme="1"/>
            <rFont val="Calibri"/>
            <family val="2"/>
            <scheme val="minor"/>
          </rPr>
          <t>Preserved from Kerry_Drydock_2027_Job_Workspace_Recovery_v2.xlsm | Suppliers!E12. No new commercial figures or exchange rates have been entered.</t>
        </r>
      </text>
    </comment>
    <comment ref="F12" authorId="0" shapeId="0" xr:uid="{00000000-0006-0000-0300-000022000000}">
      <text>
        <r>
          <rPr>
            <sz val="11"/>
            <color theme="1"/>
            <rFont val="Calibri"/>
            <family val="2"/>
            <scheme val="minor"/>
          </rPr>
          <t>Preserved from Kerry_Drydock_2027_Job_Workspace_Recovery_v2.xlsm | Suppliers!F12. No new commercial figures or exchange rates have been entered.</t>
        </r>
      </text>
    </comment>
    <comment ref="G12" authorId="0" shapeId="0" xr:uid="{00000000-0006-0000-0300-000023000000}">
      <text>
        <r>
          <rPr>
            <sz val="11"/>
            <color theme="1"/>
            <rFont val="Calibri"/>
            <family val="2"/>
            <scheme val="minor"/>
          </rPr>
          <t>Preserved from Kerry_Drydock_2027_Job_Workspace_Recovery_v2.xlsm | Suppliers!G12. No new commercial figures or exchange rates have been entered.</t>
        </r>
      </text>
    </comment>
    <comment ref="H12" authorId="0" shapeId="0" xr:uid="{00000000-0006-0000-0300-000024000000}">
      <text>
        <r>
          <rPr>
            <sz val="11"/>
            <color theme="1"/>
            <rFont val="Calibri"/>
            <family val="2"/>
            <scheme val="minor"/>
          </rPr>
          <t>Preserved from Kerry_Drydock_2027_Job_Workspace_Recovery_v2.xlsm | Suppliers!H12. No new commercial figures or exchange rates have been entered.</t>
        </r>
      </text>
    </comment>
    <comment ref="I12" authorId="0" shapeId="0" xr:uid="{00000000-0006-0000-0300-000025000000}">
      <text>
        <r>
          <rPr>
            <sz val="11"/>
            <color theme="1"/>
            <rFont val="Calibri"/>
            <family val="2"/>
            <scheme val="minor"/>
          </rPr>
          <t>Preserved from Kerry_Drydock_2027_Job_Workspace_Recovery_v2.xlsm | Suppliers!I12. No new commercial figures or exchange rates have been entered.</t>
        </r>
      </text>
    </comment>
    <comment ref="N12" authorId="0" shapeId="0" xr:uid="{00000000-0006-0000-0300-000026000000}">
      <text>
        <r>
          <rPr>
            <sz val="11"/>
            <color theme="1"/>
            <rFont val="Calibri"/>
            <family val="2"/>
            <scheme val="minor"/>
          </rPr>
          <t>Preserved from Kerry_Drydock_2027_Job_Workspace_Recovery_v2.xlsm | Suppliers!N12. No new commercial figures or exchange rates have been entered.</t>
        </r>
      </text>
    </comment>
    <comment ref="A13" authorId="0" shapeId="0" xr:uid="{00000000-0006-0000-0300-000027000000}">
      <text>
        <r>
          <rPr>
            <sz val="11"/>
            <color theme="1"/>
            <rFont val="Calibri"/>
            <family val="2"/>
            <scheme val="minor"/>
          </rPr>
          <t>Preserved from Kerry_Drydock_2027_Job_Workspace_Recovery_v2.xlsm | Suppliers!A13. No new commercial figures or exchange rates have been entered.</t>
        </r>
      </text>
    </comment>
    <comment ref="B13" authorId="0" shapeId="0" xr:uid="{00000000-0006-0000-0300-000028000000}">
      <text>
        <r>
          <rPr>
            <sz val="11"/>
            <color theme="1"/>
            <rFont val="Calibri"/>
            <family val="2"/>
            <scheme val="minor"/>
          </rPr>
          <t>Preserved from Kerry_Drydock_2027_Job_Workspace_Recovery_v2.xlsm | Suppliers!B13. No new commercial figures or exchange rates have been entered.</t>
        </r>
      </text>
    </comment>
    <comment ref="C13" authorId="0" shapeId="0" xr:uid="{00000000-0006-0000-0300-000029000000}">
      <text>
        <r>
          <rPr>
            <sz val="11"/>
            <color theme="1"/>
            <rFont val="Calibri"/>
            <family val="2"/>
            <scheme val="minor"/>
          </rPr>
          <t>Preserved from Kerry_Drydock_2027_Job_Workspace_Recovery_v2.xlsm | Suppliers!C13. No new commercial figures or exchange rates have been entered.</t>
        </r>
      </text>
    </comment>
    <comment ref="D13" authorId="0" shapeId="0" xr:uid="{00000000-0006-0000-0300-00002A000000}">
      <text>
        <r>
          <rPr>
            <sz val="11"/>
            <color theme="1"/>
            <rFont val="Calibri"/>
            <family val="2"/>
            <scheme val="minor"/>
          </rPr>
          <t>Preserved from Kerry_Drydock_2027_Job_Workspace_Recovery_v2.xlsm | Suppliers!D13. No new commercial figures or exchange rates have been entered.</t>
        </r>
      </text>
    </comment>
    <comment ref="E13" authorId="0" shapeId="0" xr:uid="{00000000-0006-0000-0300-00002B000000}">
      <text>
        <r>
          <rPr>
            <sz val="11"/>
            <color theme="1"/>
            <rFont val="Calibri"/>
            <family val="2"/>
            <scheme val="minor"/>
          </rPr>
          <t>Preserved from Kerry_Drydock_2027_Job_Workspace_Recovery_v2.xlsm | Suppliers!E13. No new commercial figures or exchange rates have been entered.</t>
        </r>
      </text>
    </comment>
    <comment ref="F13" authorId="0" shapeId="0" xr:uid="{00000000-0006-0000-0300-00002C000000}">
      <text>
        <r>
          <rPr>
            <sz val="11"/>
            <color theme="1"/>
            <rFont val="Calibri"/>
            <family val="2"/>
            <scheme val="minor"/>
          </rPr>
          <t>Preserved from Kerry_Drydock_2027_Job_Workspace_Recovery_v2.xlsm | Suppliers!F13. No new commercial figures or exchange rates have been entered.</t>
        </r>
      </text>
    </comment>
    <comment ref="G13" authorId="0" shapeId="0" xr:uid="{00000000-0006-0000-0300-00002D000000}">
      <text>
        <r>
          <rPr>
            <sz val="11"/>
            <color theme="1"/>
            <rFont val="Calibri"/>
            <family val="2"/>
            <scheme val="minor"/>
          </rPr>
          <t>Preserved from Kerry_Drydock_2027_Job_Workspace_Recovery_v2.xlsm | Suppliers!G13. No new commercial figures or exchange rates have been entered.</t>
        </r>
      </text>
    </comment>
    <comment ref="H13" authorId="0" shapeId="0" xr:uid="{00000000-0006-0000-0300-00002E000000}">
      <text>
        <r>
          <rPr>
            <sz val="11"/>
            <color theme="1"/>
            <rFont val="Calibri"/>
            <family val="2"/>
            <scheme val="minor"/>
          </rPr>
          <t>Preserved from Kerry_Drydock_2027_Job_Workspace_Recovery_v2.xlsm | Suppliers!H13. No new commercial figures or exchange rates have been entered.</t>
        </r>
      </text>
    </comment>
    <comment ref="I13" authorId="0" shapeId="0" xr:uid="{00000000-0006-0000-0300-00002F000000}">
      <text>
        <r>
          <rPr>
            <sz val="11"/>
            <color theme="1"/>
            <rFont val="Calibri"/>
            <family val="2"/>
            <scheme val="minor"/>
          </rPr>
          <t>Preserved from Kerry_Drydock_2027_Job_Workspace_Recovery_v2.xlsm | Suppliers!I13. No new commercial figures or exchange rates have been entered.</t>
        </r>
      </text>
    </comment>
    <comment ref="N13" authorId="0" shapeId="0" xr:uid="{00000000-0006-0000-0300-000030000000}">
      <text>
        <r>
          <rPr>
            <sz val="11"/>
            <color theme="1"/>
            <rFont val="Calibri"/>
            <family val="2"/>
            <scheme val="minor"/>
          </rPr>
          <t>Preserved from Kerry_Drydock_2027_Job_Workspace_Recovery_v2.xlsm | Suppliers!N13. No new commercial figures or exchange rates have been entered.</t>
        </r>
      </text>
    </comment>
    <comment ref="A14" authorId="0" shapeId="0" xr:uid="{00000000-0006-0000-0300-000031000000}">
      <text>
        <r>
          <rPr>
            <sz val="11"/>
            <color theme="1"/>
            <rFont val="Calibri"/>
            <family val="2"/>
            <scheme val="minor"/>
          </rPr>
          <t>Preserved from Kerry_Drydock_2027_Job_Workspace_Recovery_v2.xlsm | Suppliers!A14. No new commercial figures or exchange rates have been entered.</t>
        </r>
      </text>
    </comment>
    <comment ref="B14" authorId="0" shapeId="0" xr:uid="{00000000-0006-0000-0300-000032000000}">
      <text>
        <r>
          <rPr>
            <sz val="11"/>
            <color theme="1"/>
            <rFont val="Calibri"/>
            <family val="2"/>
            <scheme val="minor"/>
          </rPr>
          <t>Preserved from Kerry_Drydock_2027_Job_Workspace_Recovery_v2.xlsm | Suppliers!B14. No new commercial figures or exchange rates have been entered.</t>
        </r>
      </text>
    </comment>
    <comment ref="C14" authorId="0" shapeId="0" xr:uid="{00000000-0006-0000-0300-000033000000}">
      <text>
        <r>
          <rPr>
            <sz val="11"/>
            <color theme="1"/>
            <rFont val="Calibri"/>
            <family val="2"/>
            <scheme val="minor"/>
          </rPr>
          <t>Preserved from Kerry_Drydock_2027_Job_Workspace_Recovery_v2.xlsm | Suppliers!C14. No new commercial figures or exchange rates have been entered.</t>
        </r>
      </text>
    </comment>
    <comment ref="D14" authorId="0" shapeId="0" xr:uid="{00000000-0006-0000-0300-000034000000}">
      <text>
        <r>
          <rPr>
            <sz val="11"/>
            <color theme="1"/>
            <rFont val="Calibri"/>
            <family val="2"/>
            <scheme val="minor"/>
          </rPr>
          <t>Preserved from Kerry_Drydock_2027_Job_Workspace_Recovery_v2.xlsm | Suppliers!D14. No new commercial figures or exchange rates have been entered.</t>
        </r>
      </text>
    </comment>
    <comment ref="E14" authorId="0" shapeId="0" xr:uid="{00000000-0006-0000-0300-000035000000}">
      <text>
        <r>
          <rPr>
            <sz val="11"/>
            <color theme="1"/>
            <rFont val="Calibri"/>
            <family val="2"/>
            <scheme val="minor"/>
          </rPr>
          <t>Preserved from Kerry_Drydock_2027_Job_Workspace_Recovery_v2.xlsm | Suppliers!E14. No new commercial figures or exchange rates have been entered.</t>
        </r>
      </text>
    </comment>
    <comment ref="F14" authorId="0" shapeId="0" xr:uid="{00000000-0006-0000-0300-000036000000}">
      <text>
        <r>
          <rPr>
            <sz val="11"/>
            <color theme="1"/>
            <rFont val="Calibri"/>
            <family val="2"/>
            <scheme val="minor"/>
          </rPr>
          <t>Preserved from Kerry_Drydock_2027_Job_Workspace_Recovery_v2.xlsm | Suppliers!F14. No new commercial figures or exchange rates have been entered.</t>
        </r>
      </text>
    </comment>
    <comment ref="G14" authorId="0" shapeId="0" xr:uid="{00000000-0006-0000-0300-000037000000}">
      <text>
        <r>
          <rPr>
            <sz val="11"/>
            <color theme="1"/>
            <rFont val="Calibri"/>
            <family val="2"/>
            <scheme val="minor"/>
          </rPr>
          <t>Preserved from Kerry_Drydock_2027_Job_Workspace_Recovery_v2.xlsm | Suppliers!G14. No new commercial figures or exchange rates have been entered.</t>
        </r>
      </text>
    </comment>
    <comment ref="H14" authorId="0" shapeId="0" xr:uid="{00000000-0006-0000-0300-000038000000}">
      <text>
        <r>
          <rPr>
            <sz val="11"/>
            <color theme="1"/>
            <rFont val="Calibri"/>
            <family val="2"/>
            <scheme val="minor"/>
          </rPr>
          <t>Preserved from Kerry_Drydock_2027_Job_Workspace_Recovery_v2.xlsm | Suppliers!H14. No new commercial figures or exchange rates have been entered.</t>
        </r>
      </text>
    </comment>
    <comment ref="I14" authorId="0" shapeId="0" xr:uid="{00000000-0006-0000-0300-000039000000}">
      <text>
        <r>
          <rPr>
            <sz val="11"/>
            <color theme="1"/>
            <rFont val="Calibri"/>
            <family val="2"/>
            <scheme val="minor"/>
          </rPr>
          <t>Preserved from Kerry_Drydock_2027_Job_Workspace_Recovery_v2.xlsm | Suppliers!I14. No new commercial figures or exchange rates have been entered.</t>
        </r>
      </text>
    </comment>
    <comment ref="N14" authorId="0" shapeId="0" xr:uid="{00000000-0006-0000-0300-00003A000000}">
      <text>
        <r>
          <rPr>
            <sz val="11"/>
            <color theme="1"/>
            <rFont val="Calibri"/>
            <family val="2"/>
            <scheme val="minor"/>
          </rPr>
          <t>Preserved from Kerry_Drydock_2027_Job_Workspace_Recovery_v2.xlsm | Suppliers!N14. No new commercial figures or exchange rates have been entered.</t>
        </r>
      </text>
    </comment>
    <comment ref="A15" authorId="0" shapeId="0" xr:uid="{00000000-0006-0000-0300-00003B000000}">
      <text>
        <r>
          <rPr>
            <sz val="11"/>
            <color theme="1"/>
            <rFont val="Calibri"/>
            <family val="2"/>
            <scheme val="minor"/>
          </rPr>
          <t>Preserved from Kerry_Drydock_2027_Job_Workspace_Recovery_v2.xlsm | Suppliers!A15. No new commercial figures or exchange rates have been entered.</t>
        </r>
      </text>
    </comment>
    <comment ref="B15" authorId="0" shapeId="0" xr:uid="{00000000-0006-0000-0300-00003C000000}">
      <text>
        <r>
          <rPr>
            <sz val="11"/>
            <color theme="1"/>
            <rFont val="Calibri"/>
            <family val="2"/>
            <scheme val="minor"/>
          </rPr>
          <t>Preserved from Kerry_Drydock_2027_Job_Workspace_Recovery_v2.xlsm | Suppliers!B15. No new commercial figures or exchange rates have been entered.</t>
        </r>
      </text>
    </comment>
    <comment ref="C15" authorId="0" shapeId="0" xr:uid="{00000000-0006-0000-0300-00003D000000}">
      <text>
        <r>
          <rPr>
            <sz val="11"/>
            <color theme="1"/>
            <rFont val="Calibri"/>
            <family val="2"/>
            <scheme val="minor"/>
          </rPr>
          <t>Preserved from Kerry_Drydock_2027_Job_Workspace_Recovery_v2.xlsm | Suppliers!C15. No new commercial figures or exchange rates have been entered.</t>
        </r>
      </text>
    </comment>
    <comment ref="D15" authorId="0" shapeId="0" xr:uid="{00000000-0006-0000-0300-00003E000000}">
      <text>
        <r>
          <rPr>
            <sz val="11"/>
            <color theme="1"/>
            <rFont val="Calibri"/>
            <family val="2"/>
            <scheme val="minor"/>
          </rPr>
          <t>Preserved from Kerry_Drydock_2027_Job_Workspace_Recovery_v2.xlsm | Suppliers!D15. No new commercial figures or exchange rates have been entered.</t>
        </r>
      </text>
    </comment>
    <comment ref="E15" authorId="0" shapeId="0" xr:uid="{00000000-0006-0000-0300-00003F000000}">
      <text>
        <r>
          <rPr>
            <sz val="11"/>
            <color theme="1"/>
            <rFont val="Calibri"/>
            <family val="2"/>
            <scheme val="minor"/>
          </rPr>
          <t>Preserved from Kerry_Drydock_2027_Job_Workspace_Recovery_v2.xlsm | Suppliers!E15. No new commercial figures or exchange rates have been entered.</t>
        </r>
      </text>
    </comment>
    <comment ref="F15" authorId="0" shapeId="0" xr:uid="{00000000-0006-0000-0300-000040000000}">
      <text>
        <r>
          <rPr>
            <sz val="11"/>
            <color theme="1"/>
            <rFont val="Calibri"/>
            <family val="2"/>
            <scheme val="minor"/>
          </rPr>
          <t>Preserved from Kerry_Drydock_2027_Job_Workspace_Recovery_v2.xlsm | Suppliers!F15. No new commercial figures or exchange rates have been entered.</t>
        </r>
      </text>
    </comment>
    <comment ref="G15" authorId="0" shapeId="0" xr:uid="{00000000-0006-0000-0300-000041000000}">
      <text>
        <r>
          <rPr>
            <sz val="11"/>
            <color theme="1"/>
            <rFont val="Calibri"/>
            <family val="2"/>
            <scheme val="minor"/>
          </rPr>
          <t>Preserved from Kerry_Drydock_2027_Job_Workspace_Recovery_v2.xlsm | Suppliers!G15. No new commercial figures or exchange rates have been entered.</t>
        </r>
      </text>
    </comment>
    <comment ref="H15" authorId="0" shapeId="0" xr:uid="{00000000-0006-0000-0300-000042000000}">
      <text>
        <r>
          <rPr>
            <sz val="11"/>
            <color theme="1"/>
            <rFont val="Calibri"/>
            <family val="2"/>
            <scheme val="minor"/>
          </rPr>
          <t>Preserved from Kerry_Drydock_2027_Job_Workspace_Recovery_v2.xlsm | Suppliers!H15. No new commercial figures or exchange rates have been entered.</t>
        </r>
      </text>
    </comment>
    <comment ref="I15" authorId="0" shapeId="0" xr:uid="{00000000-0006-0000-0300-000043000000}">
      <text>
        <r>
          <rPr>
            <sz val="11"/>
            <color theme="1"/>
            <rFont val="Calibri"/>
            <family val="2"/>
            <scheme val="minor"/>
          </rPr>
          <t>Preserved from Kerry_Drydock_2027_Job_Workspace_Recovery_v2.xlsm | Suppliers!I15. No new commercial figures or exchange rates have been entered.</t>
        </r>
      </text>
    </comment>
    <comment ref="N15" authorId="0" shapeId="0" xr:uid="{00000000-0006-0000-0300-000044000000}">
      <text>
        <r>
          <rPr>
            <sz val="11"/>
            <color theme="1"/>
            <rFont val="Calibri"/>
            <family val="2"/>
            <scheme val="minor"/>
          </rPr>
          <t>Preserved from Kerry_Drydock_2027_Job_Workspace_Recovery_v2.xlsm | Suppliers!N15. No new commercial figures or exchange rates have been entered.</t>
        </r>
      </text>
    </comment>
    <comment ref="A16" authorId="0" shapeId="0" xr:uid="{00000000-0006-0000-0300-000045000000}">
      <text>
        <r>
          <rPr>
            <sz val="11"/>
            <color theme="1"/>
            <rFont val="Calibri"/>
            <family val="2"/>
            <scheme val="minor"/>
          </rPr>
          <t>Preserved from Kerry_Drydock_2027_Job_Workspace_Recovery_v2.xlsm | Suppliers!A16. No new commercial figures or exchange rates have been entered.</t>
        </r>
      </text>
    </comment>
    <comment ref="B16" authorId="0" shapeId="0" xr:uid="{00000000-0006-0000-0300-000046000000}">
      <text>
        <r>
          <rPr>
            <sz val="11"/>
            <color theme="1"/>
            <rFont val="Calibri"/>
            <family val="2"/>
            <scheme val="minor"/>
          </rPr>
          <t>Preserved from Kerry_Drydock_2027_Job_Workspace_Recovery_v2.xlsm | Suppliers!B16. No new commercial figures or exchange rates have been entered.</t>
        </r>
      </text>
    </comment>
    <comment ref="C16" authorId="0" shapeId="0" xr:uid="{00000000-0006-0000-0300-000047000000}">
      <text>
        <r>
          <rPr>
            <sz val="11"/>
            <color theme="1"/>
            <rFont val="Calibri"/>
            <family val="2"/>
            <scheme val="minor"/>
          </rPr>
          <t>Preserved from Kerry_Drydock_2027_Job_Workspace_Recovery_v2.xlsm | Suppliers!C16. No new commercial figures or exchange rates have been entered.</t>
        </r>
      </text>
    </comment>
    <comment ref="D16" authorId="0" shapeId="0" xr:uid="{00000000-0006-0000-0300-000048000000}">
      <text>
        <r>
          <rPr>
            <sz val="11"/>
            <color theme="1"/>
            <rFont val="Calibri"/>
            <family val="2"/>
            <scheme val="minor"/>
          </rPr>
          <t>Preserved from Kerry_Drydock_2027_Job_Workspace_Recovery_v2.xlsm | Suppliers!D16. No new commercial figures or exchange rates have been entered.</t>
        </r>
      </text>
    </comment>
    <comment ref="E16" authorId="0" shapeId="0" xr:uid="{00000000-0006-0000-0300-000049000000}">
      <text>
        <r>
          <rPr>
            <sz val="11"/>
            <color theme="1"/>
            <rFont val="Calibri"/>
            <family val="2"/>
            <scheme val="minor"/>
          </rPr>
          <t>Preserved from Kerry_Drydock_2027_Job_Workspace_Recovery_v2.xlsm | Suppliers!E16. No new commercial figures or exchange rates have been entered.</t>
        </r>
      </text>
    </comment>
    <comment ref="F16" authorId="0" shapeId="0" xr:uid="{00000000-0006-0000-0300-00004A000000}">
      <text>
        <r>
          <rPr>
            <sz val="11"/>
            <color theme="1"/>
            <rFont val="Calibri"/>
            <family val="2"/>
            <scheme val="minor"/>
          </rPr>
          <t>Preserved from Kerry_Drydock_2027_Job_Workspace_Recovery_v2.xlsm | Suppliers!F16. No new commercial figures or exchange rates have been entered.</t>
        </r>
      </text>
    </comment>
    <comment ref="G16" authorId="0" shapeId="0" xr:uid="{00000000-0006-0000-0300-00004B000000}">
      <text>
        <r>
          <rPr>
            <sz val="11"/>
            <color theme="1"/>
            <rFont val="Calibri"/>
            <family val="2"/>
            <scheme val="minor"/>
          </rPr>
          <t>Preserved from Kerry_Drydock_2027_Job_Workspace_Recovery_v2.xlsm | Suppliers!G16. No new commercial figures or exchange rates have been entered.</t>
        </r>
      </text>
    </comment>
    <comment ref="H16" authorId="0" shapeId="0" xr:uid="{00000000-0006-0000-0300-00004C000000}">
      <text>
        <r>
          <rPr>
            <sz val="11"/>
            <color theme="1"/>
            <rFont val="Calibri"/>
            <family val="2"/>
            <scheme val="minor"/>
          </rPr>
          <t>Preserved from Kerry_Drydock_2027_Job_Workspace_Recovery_v2.xlsm | Suppliers!H16. No new commercial figures or exchange rates have been entered.</t>
        </r>
      </text>
    </comment>
    <comment ref="I16" authorId="0" shapeId="0" xr:uid="{00000000-0006-0000-0300-00004D000000}">
      <text>
        <r>
          <rPr>
            <sz val="11"/>
            <color theme="1"/>
            <rFont val="Calibri"/>
            <family val="2"/>
            <scheme val="minor"/>
          </rPr>
          <t>Preserved from Kerry_Drydock_2027_Job_Workspace_Recovery_v2.xlsm | Suppliers!I16. No new commercial figures or exchange rates have been entered.</t>
        </r>
      </text>
    </comment>
    <comment ref="N16" authorId="0" shapeId="0" xr:uid="{00000000-0006-0000-0300-00004E000000}">
      <text>
        <r>
          <rPr>
            <sz val="11"/>
            <color theme="1"/>
            <rFont val="Calibri"/>
            <family val="2"/>
            <scheme val="minor"/>
          </rPr>
          <t>Preserved from Kerry_Drydock_2027_Job_Workspace_Recovery_v2.xlsm | Suppliers!N16. No new commercial figures or exchange rates have been entered.</t>
        </r>
      </text>
    </comment>
    <comment ref="A17" authorId="0" shapeId="0" xr:uid="{00000000-0006-0000-0300-00004F000000}">
      <text>
        <r>
          <rPr>
            <sz val="11"/>
            <color theme="1"/>
            <rFont val="Calibri"/>
            <family val="2"/>
            <scheme val="minor"/>
          </rPr>
          <t>Preserved from Kerry_Drydock_2027_Job_Workspace_Recovery_v2.xlsm | Suppliers!A17. No new commercial figures or exchange rates have been entered.</t>
        </r>
      </text>
    </comment>
    <comment ref="B17" authorId="0" shapeId="0" xr:uid="{00000000-0006-0000-0300-000050000000}">
      <text>
        <r>
          <rPr>
            <sz val="11"/>
            <color theme="1"/>
            <rFont val="Calibri"/>
            <family val="2"/>
            <scheme val="minor"/>
          </rPr>
          <t>Preserved from Kerry_Drydock_2027_Job_Workspace_Recovery_v2.xlsm | Suppliers!B17. No new commercial figures or exchange rates have been entered.</t>
        </r>
      </text>
    </comment>
    <comment ref="C17" authorId="0" shapeId="0" xr:uid="{00000000-0006-0000-0300-000051000000}">
      <text>
        <r>
          <rPr>
            <sz val="11"/>
            <color theme="1"/>
            <rFont val="Calibri"/>
            <family val="2"/>
            <scheme val="minor"/>
          </rPr>
          <t>Preserved from Kerry_Drydock_2027_Job_Workspace_Recovery_v2.xlsm | Suppliers!C17. No new commercial figures or exchange rates have been entered.</t>
        </r>
      </text>
    </comment>
    <comment ref="D17" authorId="0" shapeId="0" xr:uid="{00000000-0006-0000-0300-000052000000}">
      <text>
        <r>
          <rPr>
            <sz val="11"/>
            <color theme="1"/>
            <rFont val="Calibri"/>
            <family val="2"/>
            <scheme val="minor"/>
          </rPr>
          <t>Preserved from Kerry_Drydock_2027_Job_Workspace_Recovery_v2.xlsm | Suppliers!D17. No new commercial figures or exchange rates have been entered.</t>
        </r>
      </text>
    </comment>
    <comment ref="F17" authorId="0" shapeId="0" xr:uid="{00000000-0006-0000-0300-000053000000}">
      <text>
        <r>
          <rPr>
            <sz val="11"/>
            <color theme="1"/>
            <rFont val="Calibri"/>
            <family val="2"/>
            <scheme val="minor"/>
          </rPr>
          <t>Preserved from Kerry_Drydock_2027_Job_Workspace_Recovery_v2.xlsm | Suppliers!F17. No new commercial figures or exchange rates have been entered.</t>
        </r>
      </text>
    </comment>
    <comment ref="G17" authorId="0" shapeId="0" xr:uid="{00000000-0006-0000-0300-000054000000}">
      <text>
        <r>
          <rPr>
            <sz val="11"/>
            <color theme="1"/>
            <rFont val="Calibri"/>
            <family val="2"/>
            <scheme val="minor"/>
          </rPr>
          <t>Preserved from Kerry_Drydock_2027_Job_Workspace_Recovery_v2.xlsm | Suppliers!G17. No new commercial figures or exchange rates have been entered.</t>
        </r>
      </text>
    </comment>
    <comment ref="H17" authorId="0" shapeId="0" xr:uid="{00000000-0006-0000-0300-000055000000}">
      <text>
        <r>
          <rPr>
            <sz val="11"/>
            <color theme="1"/>
            <rFont val="Calibri"/>
            <family val="2"/>
            <scheme val="minor"/>
          </rPr>
          <t>Preserved from Kerry_Drydock_2027_Job_Workspace_Recovery_v2.xlsm | Suppliers!H17. No new commercial figures or exchange rates have been entered.</t>
        </r>
      </text>
    </comment>
    <comment ref="I17" authorId="0" shapeId="0" xr:uid="{00000000-0006-0000-0300-000056000000}">
      <text>
        <r>
          <rPr>
            <sz val="11"/>
            <color theme="1"/>
            <rFont val="Calibri"/>
            <family val="2"/>
            <scheme val="minor"/>
          </rPr>
          <t>Preserved from Kerry_Drydock_2027_Job_Workspace_Recovery_v2.xlsm | Suppliers!I17. No new commercial figures or exchange rates have been entered.</t>
        </r>
      </text>
    </comment>
    <comment ref="N17" authorId="0" shapeId="0" xr:uid="{00000000-0006-0000-0300-000057000000}">
      <text>
        <r>
          <rPr>
            <sz val="11"/>
            <color theme="1"/>
            <rFont val="Calibri"/>
            <family val="2"/>
            <scheme val="minor"/>
          </rPr>
          <t>Preserved from Kerry_Drydock_2027_Job_Workspace_Recovery_v2.xlsm | Suppliers!N17. No new commercial figures or exchange rates have been entered.</t>
        </r>
      </text>
    </comment>
    <comment ref="A18" authorId="0" shapeId="0" xr:uid="{00000000-0006-0000-0300-000058000000}">
      <text>
        <r>
          <rPr>
            <sz val="11"/>
            <color theme="1"/>
            <rFont val="Calibri"/>
            <family val="2"/>
            <scheme val="minor"/>
          </rPr>
          <t>Preserved from Kerry_Drydock_2027_Job_Workspace_Recovery_v2.xlsm | Suppliers!A18. No new commercial figures or exchange rates have been entered.</t>
        </r>
      </text>
    </comment>
    <comment ref="B18" authorId="0" shapeId="0" xr:uid="{00000000-0006-0000-0300-000059000000}">
      <text>
        <r>
          <rPr>
            <sz val="11"/>
            <color theme="1"/>
            <rFont val="Calibri"/>
            <family val="2"/>
            <scheme val="minor"/>
          </rPr>
          <t>Preserved from Kerry_Drydock_2027_Job_Workspace_Recovery_v2.xlsm | Suppliers!B18. No new commercial figures or exchange rates have been entered.</t>
        </r>
      </text>
    </comment>
    <comment ref="C18" authorId="0" shapeId="0" xr:uid="{00000000-0006-0000-0300-00005A000000}">
      <text>
        <r>
          <rPr>
            <sz val="11"/>
            <color theme="1"/>
            <rFont val="Calibri"/>
            <family val="2"/>
            <scheme val="minor"/>
          </rPr>
          <t>Preserved from Kerry_Drydock_2027_Job_Workspace_Recovery_v2.xlsm | Suppliers!C18. No new commercial figures or exchange rates have been entered.</t>
        </r>
      </text>
    </comment>
    <comment ref="D18" authorId="0" shapeId="0" xr:uid="{00000000-0006-0000-0300-00005B000000}">
      <text>
        <r>
          <rPr>
            <sz val="11"/>
            <color theme="1"/>
            <rFont val="Calibri"/>
            <family val="2"/>
            <scheme val="minor"/>
          </rPr>
          <t>Preserved from Kerry_Drydock_2027_Job_Workspace_Recovery_v2.xlsm | Suppliers!D18. No new commercial figures or exchange rates have been entered.</t>
        </r>
      </text>
    </comment>
    <comment ref="E18" authorId="0" shapeId="0" xr:uid="{00000000-0006-0000-0300-00005C000000}">
      <text>
        <r>
          <rPr>
            <sz val="11"/>
            <color theme="1"/>
            <rFont val="Calibri"/>
            <family val="2"/>
            <scheme val="minor"/>
          </rPr>
          <t>Preserved from Kerry_Drydock_2027_Job_Workspace_Recovery_v2.xlsm | Suppliers!E18. No new commercial figures or exchange rates have been entered.</t>
        </r>
      </text>
    </comment>
    <comment ref="F18" authorId="0" shapeId="0" xr:uid="{00000000-0006-0000-0300-00005D000000}">
      <text>
        <r>
          <rPr>
            <sz val="11"/>
            <color theme="1"/>
            <rFont val="Calibri"/>
            <family val="2"/>
            <scheme val="minor"/>
          </rPr>
          <t>Preserved from Kerry_Drydock_2027_Job_Workspace_Recovery_v2.xlsm | Suppliers!F18. No new commercial figures or exchange rates have been entered.</t>
        </r>
      </text>
    </comment>
    <comment ref="G18" authorId="0" shapeId="0" xr:uid="{00000000-0006-0000-0300-00005E000000}">
      <text>
        <r>
          <rPr>
            <sz val="11"/>
            <color theme="1"/>
            <rFont val="Calibri"/>
            <family val="2"/>
            <scheme val="minor"/>
          </rPr>
          <t>Preserved from Kerry_Drydock_2027_Job_Workspace_Recovery_v2.xlsm | Suppliers!G18. No new commercial figures or exchange rates have been entered.</t>
        </r>
      </text>
    </comment>
    <comment ref="H18" authorId="0" shapeId="0" xr:uid="{00000000-0006-0000-0300-00005F000000}">
      <text>
        <r>
          <rPr>
            <sz val="11"/>
            <color theme="1"/>
            <rFont val="Calibri"/>
            <family val="2"/>
            <scheme val="minor"/>
          </rPr>
          <t>Preserved from Kerry_Drydock_2027_Job_Workspace_Recovery_v2.xlsm | Suppliers!H18. No new commercial figures or exchange rates have been entered.</t>
        </r>
      </text>
    </comment>
    <comment ref="I18" authorId="0" shapeId="0" xr:uid="{00000000-0006-0000-0300-000060000000}">
      <text>
        <r>
          <rPr>
            <sz val="11"/>
            <color theme="1"/>
            <rFont val="Calibri"/>
            <family val="2"/>
            <scheme val="minor"/>
          </rPr>
          <t>Preserved from Kerry_Drydock_2027_Job_Workspace_Recovery_v2.xlsm | Suppliers!I18. No new commercial figures or exchange rates have been entered.</t>
        </r>
      </text>
    </comment>
    <comment ref="N18" authorId="0" shapeId="0" xr:uid="{00000000-0006-0000-0300-000061000000}">
      <text>
        <r>
          <rPr>
            <sz val="11"/>
            <color theme="1"/>
            <rFont val="Calibri"/>
            <family val="2"/>
            <scheme val="minor"/>
          </rPr>
          <t>Preserved from Kerry_Drydock_2027_Job_Workspace_Recovery_v2.xlsm | Suppliers!N18. No new commercial figures or exchange rates have been entered.</t>
        </r>
      </text>
    </comment>
    <comment ref="A19" authorId="0" shapeId="0" xr:uid="{00000000-0006-0000-0300-000062000000}">
      <text>
        <r>
          <rPr>
            <sz val="11"/>
            <color theme="1"/>
            <rFont val="Calibri"/>
            <family val="2"/>
            <scheme val="minor"/>
          </rPr>
          <t>Preserved from Kerry_Drydock_2027_Job_Workspace_Recovery_v2.xlsm | Suppliers!A19. No new commercial figures or exchange rates have been entered.</t>
        </r>
      </text>
    </comment>
    <comment ref="B19" authorId="0" shapeId="0" xr:uid="{00000000-0006-0000-0300-000063000000}">
      <text>
        <r>
          <rPr>
            <sz val="11"/>
            <color theme="1"/>
            <rFont val="Calibri"/>
            <family val="2"/>
            <scheme val="minor"/>
          </rPr>
          <t>Preserved from Kerry_Drydock_2027_Job_Workspace_Recovery_v2.xlsm | Suppliers!B19. No new commercial figures or exchange rates have been entered.</t>
        </r>
      </text>
    </comment>
    <comment ref="C19" authorId="0" shapeId="0" xr:uid="{00000000-0006-0000-0300-000064000000}">
      <text>
        <r>
          <rPr>
            <sz val="11"/>
            <color theme="1"/>
            <rFont val="Calibri"/>
            <family val="2"/>
            <scheme val="minor"/>
          </rPr>
          <t>Preserved from Kerry_Drydock_2027_Job_Workspace_Recovery_v2.xlsm | Suppliers!C19. No new commercial figures or exchange rates have been entered.</t>
        </r>
      </text>
    </comment>
    <comment ref="D19" authorId="0" shapeId="0" xr:uid="{00000000-0006-0000-0300-000065000000}">
      <text>
        <r>
          <rPr>
            <sz val="11"/>
            <color theme="1"/>
            <rFont val="Calibri"/>
            <family val="2"/>
            <scheme val="minor"/>
          </rPr>
          <t>Preserved from Kerry_Drydock_2027_Job_Workspace_Recovery_v2.xlsm | Suppliers!D19. No new commercial figures or exchange rates have been entered.</t>
        </r>
      </text>
    </comment>
    <comment ref="E19" authorId="0" shapeId="0" xr:uid="{00000000-0006-0000-0300-000066000000}">
      <text>
        <r>
          <rPr>
            <sz val="11"/>
            <color theme="1"/>
            <rFont val="Calibri"/>
            <family val="2"/>
            <scheme val="minor"/>
          </rPr>
          <t>Preserved from Kerry_Drydock_2027_Job_Workspace_Recovery_v2.xlsm | Suppliers!E19. No new commercial figures or exchange rates have been entered.</t>
        </r>
      </text>
    </comment>
    <comment ref="F19" authorId="0" shapeId="0" xr:uid="{00000000-0006-0000-0300-000067000000}">
      <text>
        <r>
          <rPr>
            <sz val="11"/>
            <color theme="1"/>
            <rFont val="Calibri"/>
            <family val="2"/>
            <scheme val="minor"/>
          </rPr>
          <t>Preserved from Kerry_Drydock_2027_Job_Workspace_Recovery_v2.xlsm | Suppliers!F19. No new commercial figures or exchange rates have been entered.</t>
        </r>
      </text>
    </comment>
    <comment ref="G19" authorId="0" shapeId="0" xr:uid="{00000000-0006-0000-0300-000068000000}">
      <text>
        <r>
          <rPr>
            <sz val="11"/>
            <color theme="1"/>
            <rFont val="Calibri"/>
            <family val="2"/>
            <scheme val="minor"/>
          </rPr>
          <t>Preserved from Kerry_Drydock_2027_Job_Workspace_Recovery_v2.xlsm | Suppliers!G19. No new commercial figures or exchange rates have been entered.</t>
        </r>
      </text>
    </comment>
    <comment ref="H19" authorId="0" shapeId="0" xr:uid="{00000000-0006-0000-0300-000069000000}">
      <text>
        <r>
          <rPr>
            <sz val="11"/>
            <color theme="1"/>
            <rFont val="Calibri"/>
            <family val="2"/>
            <scheme val="minor"/>
          </rPr>
          <t>Preserved from Kerry_Drydock_2027_Job_Workspace_Recovery_v2.xlsm | Suppliers!H19. No new commercial figures or exchange rates have been entered.</t>
        </r>
      </text>
    </comment>
    <comment ref="I19" authorId="0" shapeId="0" xr:uid="{00000000-0006-0000-0300-00006A000000}">
      <text>
        <r>
          <rPr>
            <sz val="11"/>
            <color theme="1"/>
            <rFont val="Calibri"/>
            <family val="2"/>
            <scheme val="minor"/>
          </rPr>
          <t>Preserved from Kerry_Drydock_2027_Job_Workspace_Recovery_v2.xlsm | Suppliers!I19. No new commercial figures or exchange rates have been entered.</t>
        </r>
      </text>
    </comment>
    <comment ref="N19" authorId="0" shapeId="0" xr:uid="{00000000-0006-0000-0300-00006B000000}">
      <text>
        <r>
          <rPr>
            <sz val="11"/>
            <color theme="1"/>
            <rFont val="Calibri"/>
            <family val="2"/>
            <scheme val="minor"/>
          </rPr>
          <t>Preserved from Kerry_Drydock_2027_Job_Workspace_Recovery_v2.xlsm | Suppliers!N19. No new commercial figures or exchange rates have been entered.</t>
        </r>
      </text>
    </comment>
    <comment ref="A20" authorId="0" shapeId="0" xr:uid="{00000000-0006-0000-0300-00006C000000}">
      <text>
        <r>
          <rPr>
            <sz val="11"/>
            <color theme="1"/>
            <rFont val="Calibri"/>
            <family val="2"/>
            <scheme val="minor"/>
          </rPr>
          <t>Preserved from Kerry_Drydock_2027_Job_Workspace_Recovery_v2.xlsm | Suppliers!A20. No new commercial figures or exchange rates have been entered.</t>
        </r>
      </text>
    </comment>
    <comment ref="B20" authorId="0" shapeId="0" xr:uid="{00000000-0006-0000-0300-00006D000000}">
      <text>
        <r>
          <rPr>
            <sz val="11"/>
            <color theme="1"/>
            <rFont val="Calibri"/>
            <family val="2"/>
            <scheme val="minor"/>
          </rPr>
          <t>Preserved from Kerry_Drydock_2027_Job_Workspace_Recovery_v2.xlsm | Suppliers!B20. No new commercial figures or exchange rates have been entered.</t>
        </r>
      </text>
    </comment>
    <comment ref="C20" authorId="0" shapeId="0" xr:uid="{00000000-0006-0000-0300-00006E000000}">
      <text>
        <r>
          <rPr>
            <sz val="11"/>
            <color theme="1"/>
            <rFont val="Calibri"/>
            <family val="2"/>
            <scheme val="minor"/>
          </rPr>
          <t>Preserved from Kerry_Drydock_2027_Job_Workspace_Recovery_v2.xlsm | Suppliers!C20. No new commercial figures or exchange rates have been entered.</t>
        </r>
      </text>
    </comment>
    <comment ref="D20" authorId="0" shapeId="0" xr:uid="{00000000-0006-0000-0300-00006F000000}">
      <text>
        <r>
          <rPr>
            <sz val="11"/>
            <color theme="1"/>
            <rFont val="Calibri"/>
            <family val="2"/>
            <scheme val="minor"/>
          </rPr>
          <t>Preserved from Kerry_Drydock_2027_Job_Workspace_Recovery_v2.xlsm | Suppliers!D20. No new commercial figures or exchange rates have been entered.</t>
        </r>
      </text>
    </comment>
    <comment ref="E20" authorId="0" shapeId="0" xr:uid="{00000000-0006-0000-0300-000070000000}">
      <text>
        <r>
          <rPr>
            <sz val="11"/>
            <color theme="1"/>
            <rFont val="Calibri"/>
            <family val="2"/>
            <scheme val="minor"/>
          </rPr>
          <t>Preserved from Kerry_Drydock_2027_Job_Workspace_Recovery_v2.xlsm | Suppliers!E20. No new commercial figures or exchange rates have been entered.</t>
        </r>
      </text>
    </comment>
    <comment ref="F20" authorId="0" shapeId="0" xr:uid="{00000000-0006-0000-0300-000071000000}">
      <text>
        <r>
          <rPr>
            <sz val="11"/>
            <color theme="1"/>
            <rFont val="Calibri"/>
            <family val="2"/>
            <scheme val="minor"/>
          </rPr>
          <t>Preserved from Kerry_Drydock_2027_Job_Workspace_Recovery_v2.xlsm | Suppliers!F20. No new commercial figures or exchange rates have been entered.</t>
        </r>
      </text>
    </comment>
    <comment ref="G20" authorId="0" shapeId="0" xr:uid="{00000000-0006-0000-0300-000072000000}">
      <text>
        <r>
          <rPr>
            <sz val="11"/>
            <color theme="1"/>
            <rFont val="Calibri"/>
            <family val="2"/>
            <scheme val="minor"/>
          </rPr>
          <t>Preserved from Kerry_Drydock_2027_Job_Workspace_Recovery_v2.xlsm | Suppliers!G20. No new commercial figures or exchange rates have been entered.</t>
        </r>
      </text>
    </comment>
    <comment ref="H20" authorId="0" shapeId="0" xr:uid="{00000000-0006-0000-0300-000073000000}">
      <text>
        <r>
          <rPr>
            <sz val="11"/>
            <color theme="1"/>
            <rFont val="Calibri"/>
            <family val="2"/>
            <scheme val="minor"/>
          </rPr>
          <t>Preserved from Kerry_Drydock_2027_Job_Workspace_Recovery_v2.xlsm | Suppliers!H20. No new commercial figures or exchange rates have been entered.</t>
        </r>
      </text>
    </comment>
    <comment ref="I20" authorId="0" shapeId="0" xr:uid="{00000000-0006-0000-0300-000074000000}">
      <text>
        <r>
          <rPr>
            <sz val="11"/>
            <color theme="1"/>
            <rFont val="Calibri"/>
            <family val="2"/>
            <scheme val="minor"/>
          </rPr>
          <t>Preserved from Kerry_Drydock_2027_Job_Workspace_Recovery_v2.xlsm | Suppliers!I20. No new commercial figures or exchange rates have been entered.</t>
        </r>
      </text>
    </comment>
    <comment ref="N20" authorId="0" shapeId="0" xr:uid="{00000000-0006-0000-0300-000075000000}">
      <text>
        <r>
          <rPr>
            <sz val="11"/>
            <color theme="1"/>
            <rFont val="Calibri"/>
            <family val="2"/>
            <scheme val="minor"/>
          </rPr>
          <t>Preserved from Kerry_Drydock_2027_Job_Workspace_Recovery_v2.xlsm | Suppliers!N20. No new commercial figures or exchange rates have been entered.</t>
        </r>
      </text>
    </comment>
    <comment ref="A21" authorId="0" shapeId="0" xr:uid="{00000000-0006-0000-0300-000076000000}">
      <text>
        <r>
          <rPr>
            <sz val="11"/>
            <color theme="1"/>
            <rFont val="Calibri"/>
            <family val="2"/>
            <scheme val="minor"/>
          </rPr>
          <t>Preserved from Kerry_Drydock_2027_Job_Workspace_Recovery_v2.xlsm | Suppliers!A21. No new commercial figures or exchange rates have been entered.</t>
        </r>
      </text>
    </comment>
    <comment ref="B21" authorId="0" shapeId="0" xr:uid="{00000000-0006-0000-0300-000077000000}">
      <text>
        <r>
          <rPr>
            <sz val="11"/>
            <color theme="1"/>
            <rFont val="Calibri"/>
            <family val="2"/>
            <scheme val="minor"/>
          </rPr>
          <t>Preserved from Kerry_Drydock_2027_Job_Workspace_Recovery_v2.xlsm | Suppliers!B21. No new commercial figures or exchange rates have been entered.</t>
        </r>
      </text>
    </comment>
    <comment ref="C21" authorId="0" shapeId="0" xr:uid="{00000000-0006-0000-0300-000078000000}">
      <text>
        <r>
          <rPr>
            <sz val="11"/>
            <color theme="1"/>
            <rFont val="Calibri"/>
            <family val="2"/>
            <scheme val="minor"/>
          </rPr>
          <t>Preserved from Kerry_Drydock_2027_Job_Workspace_Recovery_v2.xlsm | Suppliers!C21. No new commercial figures or exchange rates have been entered.</t>
        </r>
      </text>
    </comment>
    <comment ref="D21" authorId="0" shapeId="0" xr:uid="{00000000-0006-0000-0300-000079000000}">
      <text>
        <r>
          <rPr>
            <sz val="11"/>
            <color theme="1"/>
            <rFont val="Calibri"/>
            <family val="2"/>
            <scheme val="minor"/>
          </rPr>
          <t>Preserved from Kerry_Drydock_2027_Job_Workspace_Recovery_v2.xlsm | Suppliers!D21. No new commercial figures or exchange rates have been entered.</t>
        </r>
      </text>
    </comment>
    <comment ref="F21" authorId="0" shapeId="0" xr:uid="{00000000-0006-0000-0300-00007A000000}">
      <text>
        <r>
          <rPr>
            <sz val="11"/>
            <color theme="1"/>
            <rFont val="Calibri"/>
            <family val="2"/>
            <scheme val="minor"/>
          </rPr>
          <t>Preserved from Kerry_Drydock_2027_Job_Workspace_Recovery_v2.xlsm | Suppliers!F21. No new commercial figures or exchange rates have been entered.</t>
        </r>
      </text>
    </comment>
    <comment ref="G21" authorId="0" shapeId="0" xr:uid="{00000000-0006-0000-0300-00007B000000}">
      <text>
        <r>
          <rPr>
            <sz val="11"/>
            <color theme="1"/>
            <rFont val="Calibri"/>
            <family val="2"/>
            <scheme val="minor"/>
          </rPr>
          <t>Preserved from Kerry_Drydock_2027_Job_Workspace_Recovery_v2.xlsm | Suppliers!G21. No new commercial figures or exchange rates have been entered.</t>
        </r>
      </text>
    </comment>
    <comment ref="H21" authorId="0" shapeId="0" xr:uid="{00000000-0006-0000-0300-00007C000000}">
      <text>
        <r>
          <rPr>
            <sz val="11"/>
            <color theme="1"/>
            <rFont val="Calibri"/>
            <family val="2"/>
            <scheme val="minor"/>
          </rPr>
          <t>Preserved from Kerry_Drydock_2027_Job_Workspace_Recovery_v2.xlsm | Suppliers!H21. No new commercial figures or exchange rates have been entered.</t>
        </r>
      </text>
    </comment>
    <comment ref="I21" authorId="0" shapeId="0" xr:uid="{00000000-0006-0000-0300-00007D000000}">
      <text>
        <r>
          <rPr>
            <sz val="11"/>
            <color theme="1"/>
            <rFont val="Calibri"/>
            <family val="2"/>
            <scheme val="minor"/>
          </rPr>
          <t>Preserved from Kerry_Drydock_2027_Job_Workspace_Recovery_v2.xlsm | Suppliers!I21. No new commercial figures or exchange rates have been entered.</t>
        </r>
      </text>
    </comment>
    <comment ref="N21" authorId="0" shapeId="0" xr:uid="{00000000-0006-0000-0300-00007E000000}">
      <text>
        <r>
          <rPr>
            <sz val="11"/>
            <color theme="1"/>
            <rFont val="Calibri"/>
            <family val="2"/>
            <scheme val="minor"/>
          </rPr>
          <t>Preserved from Kerry_Drydock_2027_Job_Workspace_Recovery_v2.xlsm | Suppliers!N21. No new commercial figures or exchange rates have been entered.</t>
        </r>
      </text>
    </comment>
    <comment ref="A22" authorId="0" shapeId="0" xr:uid="{00000000-0006-0000-0300-00007F000000}">
      <text>
        <r>
          <rPr>
            <sz val="11"/>
            <color theme="1"/>
            <rFont val="Calibri"/>
            <family val="2"/>
            <scheme val="minor"/>
          </rPr>
          <t>Preserved from Kerry_Drydock_2027_Job_Workspace_Recovery_v2.xlsm | Suppliers!A22. No new commercial figures or exchange rates have been entered.</t>
        </r>
      </text>
    </comment>
    <comment ref="B22" authorId="0" shapeId="0" xr:uid="{00000000-0006-0000-0300-000080000000}">
      <text>
        <r>
          <rPr>
            <sz val="11"/>
            <color theme="1"/>
            <rFont val="Calibri"/>
            <family val="2"/>
            <scheme val="minor"/>
          </rPr>
          <t>Preserved from Kerry_Drydock_2027_Job_Workspace_Recovery_v2.xlsm | Suppliers!B22. No new commercial figures or exchange rates have been entered.</t>
        </r>
      </text>
    </comment>
    <comment ref="C22" authorId="0" shapeId="0" xr:uid="{00000000-0006-0000-0300-000081000000}">
      <text>
        <r>
          <rPr>
            <sz val="11"/>
            <color theme="1"/>
            <rFont val="Calibri"/>
            <family val="2"/>
            <scheme val="minor"/>
          </rPr>
          <t>Preserved from Kerry_Drydock_2027_Job_Workspace_Recovery_v2.xlsm | Suppliers!C22. No new commercial figures or exchange rates have been entered.</t>
        </r>
      </text>
    </comment>
    <comment ref="D22" authorId="0" shapeId="0" xr:uid="{00000000-0006-0000-0300-000082000000}">
      <text>
        <r>
          <rPr>
            <sz val="11"/>
            <color theme="1"/>
            <rFont val="Calibri"/>
            <family val="2"/>
            <scheme val="minor"/>
          </rPr>
          <t>Preserved from Kerry_Drydock_2027_Job_Workspace_Recovery_v2.xlsm | Suppliers!D22. No new commercial figures or exchange rates have been entered.</t>
        </r>
      </text>
    </comment>
    <comment ref="E22" authorId="0" shapeId="0" xr:uid="{00000000-0006-0000-0300-000083000000}">
      <text>
        <r>
          <rPr>
            <sz val="11"/>
            <color theme="1"/>
            <rFont val="Calibri"/>
            <family val="2"/>
            <scheme val="minor"/>
          </rPr>
          <t>Preserved from Kerry_Drydock_2027_Job_Workspace_Recovery_v2.xlsm | Suppliers!E22. No new commercial figures or exchange rates have been entered.</t>
        </r>
      </text>
    </comment>
    <comment ref="F22" authorId="0" shapeId="0" xr:uid="{00000000-0006-0000-0300-000084000000}">
      <text>
        <r>
          <rPr>
            <sz val="11"/>
            <color theme="1"/>
            <rFont val="Calibri"/>
            <family val="2"/>
            <scheme val="minor"/>
          </rPr>
          <t>Preserved from Kerry_Drydock_2027_Job_Workspace_Recovery_v2.xlsm | Suppliers!F22. No new commercial figures or exchange rates have been entered.</t>
        </r>
      </text>
    </comment>
    <comment ref="G22" authorId="0" shapeId="0" xr:uid="{00000000-0006-0000-0300-000085000000}">
      <text>
        <r>
          <rPr>
            <sz val="11"/>
            <color theme="1"/>
            <rFont val="Calibri"/>
            <family val="2"/>
            <scheme val="minor"/>
          </rPr>
          <t>Preserved from Kerry_Drydock_2027_Job_Workspace_Recovery_v2.xlsm | Suppliers!G22. No new commercial figures or exchange rates have been entered.</t>
        </r>
      </text>
    </comment>
    <comment ref="H22" authorId="0" shapeId="0" xr:uid="{00000000-0006-0000-0300-000086000000}">
      <text>
        <r>
          <rPr>
            <sz val="11"/>
            <color theme="1"/>
            <rFont val="Calibri"/>
            <family val="2"/>
            <scheme val="minor"/>
          </rPr>
          <t>Preserved from Kerry_Drydock_2027_Job_Workspace_Recovery_v2.xlsm | Suppliers!H22. No new commercial figures or exchange rates have been entered.</t>
        </r>
      </text>
    </comment>
    <comment ref="I22" authorId="0" shapeId="0" xr:uid="{00000000-0006-0000-0300-000087000000}">
      <text>
        <r>
          <rPr>
            <sz val="11"/>
            <color theme="1"/>
            <rFont val="Calibri"/>
            <family val="2"/>
            <scheme val="minor"/>
          </rPr>
          <t>Preserved from Kerry_Drydock_2027_Job_Workspace_Recovery_v2.xlsm | Suppliers!I22. No new commercial figures or exchange rates have been entered.</t>
        </r>
      </text>
    </comment>
    <comment ref="N22" authorId="0" shapeId="0" xr:uid="{00000000-0006-0000-0300-000088000000}">
      <text>
        <r>
          <rPr>
            <sz val="11"/>
            <color theme="1"/>
            <rFont val="Calibri"/>
            <family val="2"/>
            <scheme val="minor"/>
          </rPr>
          <t>Preserved from Kerry_Drydock_2027_Job_Workspace_Recovery_v2.xlsm | Suppliers!N22. No new commercial figures or exchange rates have been entered.</t>
        </r>
      </text>
    </comment>
    <comment ref="A23" authorId="0" shapeId="0" xr:uid="{00000000-0006-0000-0300-000089000000}">
      <text>
        <r>
          <rPr>
            <sz val="11"/>
            <color theme="1"/>
            <rFont val="Calibri"/>
            <family val="2"/>
            <scheme val="minor"/>
          </rPr>
          <t>Preserved from Kerry_Drydock_2027_Job_Workspace_Recovery_v2.xlsm | Suppliers!A23. No new commercial figures or exchange rates have been entered.</t>
        </r>
      </text>
    </comment>
    <comment ref="B23" authorId="0" shapeId="0" xr:uid="{00000000-0006-0000-0300-00008A000000}">
      <text>
        <r>
          <rPr>
            <sz val="11"/>
            <color theme="1"/>
            <rFont val="Calibri"/>
            <family val="2"/>
            <scheme val="minor"/>
          </rPr>
          <t>Preserved from Kerry_Drydock_2027_Job_Workspace_Recovery_v2.xlsm | Suppliers!B23. No new commercial figures or exchange rates have been entered.</t>
        </r>
      </text>
    </comment>
    <comment ref="C23" authorId="0" shapeId="0" xr:uid="{00000000-0006-0000-0300-00008B000000}">
      <text>
        <r>
          <rPr>
            <sz val="11"/>
            <color theme="1"/>
            <rFont val="Calibri"/>
            <family val="2"/>
            <scheme val="minor"/>
          </rPr>
          <t>Preserved from Kerry_Drydock_2027_Job_Workspace_Recovery_v2.xlsm | Suppliers!C23. No new commercial figures or exchange rates have been entered.</t>
        </r>
      </text>
    </comment>
    <comment ref="D23" authorId="0" shapeId="0" xr:uid="{00000000-0006-0000-0300-00008C000000}">
      <text>
        <r>
          <rPr>
            <sz val="11"/>
            <color theme="1"/>
            <rFont val="Calibri"/>
            <family val="2"/>
            <scheme val="minor"/>
          </rPr>
          <t>Preserved from Kerry_Drydock_2027_Job_Workspace_Recovery_v2.xlsm | Suppliers!D23. No new commercial figures or exchange rates have been entered.</t>
        </r>
      </text>
    </comment>
    <comment ref="E23" authorId="0" shapeId="0" xr:uid="{00000000-0006-0000-0300-00008D000000}">
      <text>
        <r>
          <rPr>
            <sz val="11"/>
            <color theme="1"/>
            <rFont val="Calibri"/>
            <family val="2"/>
            <scheme val="minor"/>
          </rPr>
          <t>Preserved from Kerry_Drydock_2027_Job_Workspace_Recovery_v2.xlsm | Suppliers!E23. No new commercial figures or exchange rates have been entered.</t>
        </r>
      </text>
    </comment>
    <comment ref="F23" authorId="0" shapeId="0" xr:uid="{00000000-0006-0000-0300-00008E000000}">
      <text>
        <r>
          <rPr>
            <sz val="11"/>
            <color theme="1"/>
            <rFont val="Calibri"/>
            <family val="2"/>
            <scheme val="minor"/>
          </rPr>
          <t>Preserved from Kerry_Drydock_2027_Job_Workspace_Recovery_v2.xlsm | Suppliers!F23. No new commercial figures or exchange rates have been entered.</t>
        </r>
      </text>
    </comment>
    <comment ref="G23" authorId="0" shapeId="0" xr:uid="{00000000-0006-0000-0300-00008F000000}">
      <text>
        <r>
          <rPr>
            <sz val="11"/>
            <color theme="1"/>
            <rFont val="Calibri"/>
            <family val="2"/>
            <scheme val="minor"/>
          </rPr>
          <t>Preserved from Kerry_Drydock_2027_Job_Workspace_Recovery_v2.xlsm | Suppliers!G23. No new commercial figures or exchange rates have been entered.</t>
        </r>
      </text>
    </comment>
    <comment ref="H23" authorId="0" shapeId="0" xr:uid="{00000000-0006-0000-0300-000090000000}">
      <text>
        <r>
          <rPr>
            <sz val="11"/>
            <color theme="1"/>
            <rFont val="Calibri"/>
            <family val="2"/>
            <scheme val="minor"/>
          </rPr>
          <t>Preserved from Kerry_Drydock_2027_Job_Workspace_Recovery_v2.xlsm | Suppliers!H23. No new commercial figures or exchange rates have been entered.</t>
        </r>
      </text>
    </comment>
    <comment ref="I23" authorId="0" shapeId="0" xr:uid="{00000000-0006-0000-0300-000091000000}">
      <text>
        <r>
          <rPr>
            <sz val="11"/>
            <color theme="1"/>
            <rFont val="Calibri"/>
            <family val="2"/>
            <scheme val="minor"/>
          </rPr>
          <t>Preserved from Kerry_Drydock_2027_Job_Workspace_Recovery_v2.xlsm | Suppliers!I23. No new commercial figures or exchange rates have been entered.</t>
        </r>
      </text>
    </comment>
    <comment ref="N23" authorId="0" shapeId="0" xr:uid="{00000000-0006-0000-0300-000092000000}">
      <text>
        <r>
          <rPr>
            <sz val="11"/>
            <color theme="1"/>
            <rFont val="Calibri"/>
            <family val="2"/>
            <scheme val="minor"/>
          </rPr>
          <t>Preserved from Kerry_Drydock_2027_Job_Workspace_Recovery_v2.xlsm | Suppliers!N23. No new commercial figures or exchange rates have been entered.</t>
        </r>
      </text>
    </comment>
    <comment ref="A24" authorId="0" shapeId="0" xr:uid="{00000000-0006-0000-0300-000093000000}">
      <text>
        <r>
          <rPr>
            <sz val="11"/>
            <color theme="1"/>
            <rFont val="Calibri"/>
            <family val="2"/>
            <scheme val="minor"/>
          </rPr>
          <t>Preserved from Kerry_Drydock_2027_Job_Workspace_Recovery_v2.xlsm | Suppliers!A24. No new commercial figures or exchange rates have been entered.</t>
        </r>
      </text>
    </comment>
    <comment ref="B24" authorId="0" shapeId="0" xr:uid="{00000000-0006-0000-0300-000094000000}">
      <text>
        <r>
          <rPr>
            <sz val="11"/>
            <color theme="1"/>
            <rFont val="Calibri"/>
            <family val="2"/>
            <scheme val="minor"/>
          </rPr>
          <t>Preserved from Kerry_Drydock_2027_Job_Workspace_Recovery_v2.xlsm | Suppliers!B24. No new commercial figures or exchange rates have been entered.</t>
        </r>
      </text>
    </comment>
    <comment ref="C24" authorId="0" shapeId="0" xr:uid="{00000000-0006-0000-0300-000095000000}">
      <text>
        <r>
          <rPr>
            <sz val="11"/>
            <color theme="1"/>
            <rFont val="Calibri"/>
            <family val="2"/>
            <scheme val="minor"/>
          </rPr>
          <t>Preserved from Kerry_Drydock_2027_Job_Workspace_Recovery_v2.xlsm | Suppliers!C24. No new commercial figures or exchange rates have been entered.</t>
        </r>
      </text>
    </comment>
    <comment ref="D24" authorId="0" shapeId="0" xr:uid="{00000000-0006-0000-0300-000096000000}">
      <text>
        <r>
          <rPr>
            <sz val="11"/>
            <color theme="1"/>
            <rFont val="Calibri"/>
            <family val="2"/>
            <scheme val="minor"/>
          </rPr>
          <t>Preserved from Kerry_Drydock_2027_Job_Workspace_Recovery_v2.xlsm | Suppliers!D24. No new commercial figures or exchange rates have been entered.</t>
        </r>
      </text>
    </comment>
    <comment ref="E24" authorId="0" shapeId="0" xr:uid="{00000000-0006-0000-0300-000097000000}">
      <text>
        <r>
          <rPr>
            <sz val="11"/>
            <color theme="1"/>
            <rFont val="Calibri"/>
            <family val="2"/>
            <scheme val="minor"/>
          </rPr>
          <t>Preserved from Kerry_Drydock_2027_Job_Workspace_Recovery_v2.xlsm | Suppliers!E24. No new commercial figures or exchange rates have been entered.</t>
        </r>
      </text>
    </comment>
    <comment ref="F24" authorId="0" shapeId="0" xr:uid="{00000000-0006-0000-0300-000098000000}">
      <text>
        <r>
          <rPr>
            <sz val="11"/>
            <color theme="1"/>
            <rFont val="Calibri"/>
            <family val="2"/>
            <scheme val="minor"/>
          </rPr>
          <t>Preserved from Kerry_Drydock_2027_Job_Workspace_Recovery_v2.xlsm | Suppliers!F24. No new commercial figures or exchange rates have been entered.</t>
        </r>
      </text>
    </comment>
    <comment ref="G24" authorId="0" shapeId="0" xr:uid="{00000000-0006-0000-0300-000099000000}">
      <text>
        <r>
          <rPr>
            <sz val="11"/>
            <color theme="1"/>
            <rFont val="Calibri"/>
            <family val="2"/>
            <scheme val="minor"/>
          </rPr>
          <t>Preserved from Kerry_Drydock_2027_Job_Workspace_Recovery_v2.xlsm | Suppliers!G24. No new commercial figures or exchange rates have been entered.</t>
        </r>
      </text>
    </comment>
    <comment ref="H24" authorId="0" shapeId="0" xr:uid="{00000000-0006-0000-0300-00009A000000}">
      <text>
        <r>
          <rPr>
            <sz val="11"/>
            <color theme="1"/>
            <rFont val="Calibri"/>
            <family val="2"/>
            <scheme val="minor"/>
          </rPr>
          <t>Preserved from Kerry_Drydock_2027_Job_Workspace_Recovery_v2.xlsm | Suppliers!H24. No new commercial figures or exchange rates have been entered.</t>
        </r>
      </text>
    </comment>
    <comment ref="I24" authorId="0" shapeId="0" xr:uid="{00000000-0006-0000-0300-00009B000000}">
      <text>
        <r>
          <rPr>
            <sz val="11"/>
            <color theme="1"/>
            <rFont val="Calibri"/>
            <family val="2"/>
            <scheme val="minor"/>
          </rPr>
          <t>Preserved from Kerry_Drydock_2027_Job_Workspace_Recovery_v2.xlsm | Suppliers!I24. No new commercial figures or exchange rates have been entered.</t>
        </r>
      </text>
    </comment>
    <comment ref="N24" authorId="0" shapeId="0" xr:uid="{00000000-0006-0000-0300-00009C000000}">
      <text>
        <r>
          <rPr>
            <sz val="11"/>
            <color theme="1"/>
            <rFont val="Calibri"/>
            <family val="2"/>
            <scheme val="minor"/>
          </rPr>
          <t>Preserved from Kerry_Drydock_2027_Job_Workspace_Recovery_v2.xlsm | Suppliers!N24. No new commercial figures or exchange rates have been entered.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B6" authorId="0" shapeId="0" xr:uid="{00000000-0006-0000-0400-000001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Source</author>
  </authors>
  <commentList>
    <comment ref="A9" authorId="0" shapeId="0" xr:uid="{00000000-0006-0000-0500-000001000000}">
      <text>
        <r>
          <rPr>
            <sz val="11"/>
            <color theme="1"/>
            <rFont val="Calibri"/>
            <family val="2"/>
            <scheme val="minor"/>
          </rPr>
          <t>Preserved from Kerry_Drydock_2027_Job_Workspace_Recovery_v2.xlsm | Quotes!A9. No new commercial figures or exchange rates have been entered.</t>
        </r>
      </text>
    </comment>
    <comment ref="B9" authorId="0" shapeId="0" xr:uid="{00000000-0006-0000-0500-000002000000}">
      <text>
        <r>
          <rPr>
            <sz val="11"/>
            <color theme="1"/>
            <rFont val="Calibri"/>
            <family val="2"/>
            <scheme val="minor"/>
          </rPr>
          <t>Preserved from Kerry_Drydock_2027_Job_Workspace_Recovery_v2.xlsm | Quotes!B9. No new commercial figures or exchange rates have been entered.</t>
        </r>
      </text>
    </comment>
    <comment ref="C9" authorId="0" shapeId="0" xr:uid="{00000000-0006-0000-0500-000003000000}">
      <text>
        <r>
          <rPr>
            <sz val="11"/>
            <color theme="1"/>
            <rFont val="Calibri"/>
            <family val="2"/>
            <scheme val="minor"/>
          </rPr>
          <t>Preserved from Kerry_Drydock_2027_Job_Workspace_Recovery_v2.xlsm | Quotes!C9. No new commercial figures or exchange rates have been entered.</t>
        </r>
      </text>
    </comment>
    <comment ref="D9" authorId="0" shapeId="0" xr:uid="{00000000-0006-0000-0500-000004000000}">
      <text>
        <r>
          <rPr>
            <sz val="11"/>
            <color theme="1"/>
            <rFont val="Calibri"/>
            <family val="2"/>
            <scheme val="minor"/>
          </rPr>
          <t>Preserved from Kerry_Drydock_2027_Job_Workspace_Recovery_v2.xlsm | Quotes!D9. No new commercial figures or exchange rates have been entered.</t>
        </r>
      </text>
    </comment>
    <comment ref="E9" authorId="0" shapeId="0" xr:uid="{00000000-0006-0000-0500-000005000000}">
      <text>
        <r>
          <rPr>
            <sz val="11"/>
            <color theme="1"/>
            <rFont val="Calibri"/>
            <family val="2"/>
            <scheme val="minor"/>
          </rPr>
          <t>Preserved from Kerry_Drydock_2027_Job_Workspace_Recovery_v2.xlsm | Quotes!E9. No new commercial figures or exchange rates have been entered.</t>
        </r>
      </text>
    </comment>
    <comment ref="F9" authorId="0" shapeId="0" xr:uid="{00000000-0006-0000-0500-000006000000}">
      <text>
        <r>
          <rPr>
            <sz val="11"/>
            <color theme="1"/>
            <rFont val="Calibri"/>
            <family val="2"/>
            <scheme val="minor"/>
          </rPr>
          <t>Preserved from Kerry_Drydock_2027_Job_Workspace_Recovery_v2.xlsm | Quotes!F9. No new commercial figures or exchange rates have been entered.</t>
        </r>
      </text>
    </comment>
    <comment ref="G9" authorId="0" shapeId="0" xr:uid="{00000000-0006-0000-0500-000007000000}">
      <text>
        <r>
          <rPr>
            <sz val="11"/>
            <color theme="1"/>
            <rFont val="Calibri"/>
            <family val="2"/>
            <scheme val="minor"/>
          </rPr>
          <t>Preserved from Kerry_Drydock_2027_Job_Workspace_Recovery_v2.xlsm | Quotes!G9. No new commercial figures or exchange rates have been entered.</t>
        </r>
      </text>
    </comment>
    <comment ref="I9" authorId="0" shapeId="0" xr:uid="{00000000-0006-0000-0500-000008000000}">
      <text>
        <r>
          <rPr>
            <sz val="11"/>
            <color theme="1"/>
            <rFont val="Calibri"/>
            <family val="2"/>
            <scheme val="minor"/>
          </rPr>
          <t>Preserved from Kerry_Drydock_2027_Job_Workspace_Recovery_v2.xlsm | Quotes!I9. No new commercial figures or exchange rates have been entered.</t>
        </r>
      </text>
    </comment>
    <comment ref="N9" authorId="0" shapeId="0" xr:uid="{00000000-0006-0000-0500-000009000000}">
      <text>
        <r>
          <rPr>
            <sz val="11"/>
            <color theme="1"/>
            <rFont val="Calibri"/>
            <family val="2"/>
            <scheme val="minor"/>
          </rPr>
          <t>Preserved from Kerry_Drydock_2027_Job_Workspace_Recovery_v2.xlsm | Quotes!N9. No new commercial figures or exchange rates have been entered.</t>
        </r>
      </text>
    </comment>
    <comment ref="P9" authorId="0" shapeId="0" xr:uid="{00000000-0006-0000-0500-00000A000000}">
      <text>
        <r>
          <rPr>
            <sz val="11"/>
            <color theme="1"/>
            <rFont val="Calibri"/>
            <family val="2"/>
            <scheme val="minor"/>
          </rPr>
          <t>Preserved from Kerry_Drydock_2027_Job_Workspace_Recovery_v2.xlsm | Quotes!P9. No new commercial figures or exchange rates have been entered.</t>
        </r>
      </text>
    </comment>
    <comment ref="R9" authorId="0" shapeId="0" xr:uid="{00000000-0006-0000-0500-00000B000000}">
      <text>
        <r>
          <rPr>
            <sz val="11"/>
            <color theme="1"/>
            <rFont val="Calibri"/>
            <family val="2"/>
            <scheme val="minor"/>
          </rPr>
          <t>Preserved from Kerry_Drydock_2027_Job_Workspace_Recovery_v2.xlsm | Quotes!R9. No new commercial figures or exchange rates have been entered.</t>
        </r>
      </text>
    </comment>
    <comment ref="S9" authorId="0" shapeId="0" xr:uid="{00000000-0006-0000-0500-00000C000000}">
      <text>
        <r>
          <rPr>
            <sz val="11"/>
            <color theme="1"/>
            <rFont val="Calibri"/>
            <family val="2"/>
            <scheme val="minor"/>
          </rPr>
          <t>Preserved from Kerry_Drydock_2027_Job_Workspace_Recovery_v2.xlsm | Quotes!S9. No new commercial figures or exchange rates have been entered.</t>
        </r>
      </text>
    </comment>
    <comment ref="T9" authorId="0" shapeId="0" xr:uid="{00000000-0006-0000-0500-00000D000000}">
      <text>
        <r>
          <rPr>
            <sz val="11"/>
            <color theme="1"/>
            <rFont val="Calibri"/>
            <family val="2"/>
            <scheme val="minor"/>
          </rPr>
          <t>Preserved from Kerry_Drydock_2027_Job_Workspace_Recovery_v2.xlsm | Quotes!T9. No new commercial figures or exchange rates have been entered.</t>
        </r>
      </text>
    </comment>
    <comment ref="A10" authorId="0" shapeId="0" xr:uid="{00000000-0006-0000-0500-00000E000000}">
      <text>
        <r>
          <rPr>
            <sz val="11"/>
            <color theme="1"/>
            <rFont val="Calibri"/>
            <family val="2"/>
            <scheme val="minor"/>
          </rPr>
          <t>Preserved from Kerry_Drydock_2027_Job_Workspace_Recovery_v2.xlsm | Quotes!A10. No new commercial figures or exchange rates have been entered.</t>
        </r>
      </text>
    </comment>
    <comment ref="B10" authorId="0" shapeId="0" xr:uid="{00000000-0006-0000-0500-00000F000000}">
      <text>
        <r>
          <rPr>
            <sz val="11"/>
            <color theme="1"/>
            <rFont val="Calibri"/>
            <family val="2"/>
            <scheme val="minor"/>
          </rPr>
          <t>Preserved from Kerry_Drydock_2027_Job_Workspace_Recovery_v2.xlsm | Quotes!B10. No new commercial figures or exchange rates have been entered.</t>
        </r>
      </text>
    </comment>
    <comment ref="C10" authorId="0" shapeId="0" xr:uid="{00000000-0006-0000-0500-000010000000}">
      <text>
        <r>
          <rPr>
            <sz val="11"/>
            <color theme="1"/>
            <rFont val="Calibri"/>
            <family val="2"/>
            <scheme val="minor"/>
          </rPr>
          <t>Preserved from Kerry_Drydock_2027_Job_Workspace_Recovery_v2.xlsm | Quotes!C10. No new commercial figures or exchange rates have been entered.</t>
        </r>
      </text>
    </comment>
    <comment ref="D10" authorId="0" shapeId="0" xr:uid="{00000000-0006-0000-0500-000011000000}">
      <text>
        <r>
          <rPr>
            <sz val="11"/>
            <color theme="1"/>
            <rFont val="Calibri"/>
            <family val="2"/>
            <scheme val="minor"/>
          </rPr>
          <t>Preserved from Kerry_Drydock_2027_Job_Workspace_Recovery_v2.xlsm | Quotes!D10. No new commercial figures or exchange rates have been entered.</t>
        </r>
      </text>
    </comment>
    <comment ref="E10" authorId="0" shapeId="0" xr:uid="{00000000-0006-0000-0500-000012000000}">
      <text>
        <r>
          <rPr>
            <sz val="11"/>
            <color theme="1"/>
            <rFont val="Calibri"/>
            <family val="2"/>
            <scheme val="minor"/>
          </rPr>
          <t>Preserved from Kerry_Drydock_2027_Job_Workspace_Recovery_v2.xlsm | Quotes!E10. No new commercial figures or exchange rates have been entered.</t>
        </r>
      </text>
    </comment>
    <comment ref="F10" authorId="0" shapeId="0" xr:uid="{00000000-0006-0000-0500-000013000000}">
      <text>
        <r>
          <rPr>
            <sz val="11"/>
            <color theme="1"/>
            <rFont val="Calibri"/>
            <family val="2"/>
            <scheme val="minor"/>
          </rPr>
          <t>Preserved from Kerry_Drydock_2027_Job_Workspace_Recovery_v2.xlsm | Quotes!F10. No new commercial figures or exchange rates have been entered.</t>
        </r>
      </text>
    </comment>
    <comment ref="G10" authorId="0" shapeId="0" xr:uid="{00000000-0006-0000-0500-000014000000}">
      <text>
        <r>
          <rPr>
            <sz val="11"/>
            <color theme="1"/>
            <rFont val="Calibri"/>
            <family val="2"/>
            <scheme val="minor"/>
          </rPr>
          <t>Preserved from Kerry_Drydock_2027_Job_Workspace_Recovery_v2.xlsm | Quotes!G10. No new commercial figures or exchange rates have been entered.</t>
        </r>
      </text>
    </comment>
    <comment ref="I10" authorId="0" shapeId="0" xr:uid="{00000000-0006-0000-0500-000015000000}">
      <text>
        <r>
          <rPr>
            <sz val="11"/>
            <color theme="1"/>
            <rFont val="Calibri"/>
            <family val="2"/>
            <scheme val="minor"/>
          </rPr>
          <t>Preserved from Kerry_Drydock_2027_Job_Workspace_Recovery_v2.xlsm | Quotes!I10. No new commercial figures or exchange rates have been entered.</t>
        </r>
      </text>
    </comment>
    <comment ref="N10" authorId="0" shapeId="0" xr:uid="{00000000-0006-0000-0500-000016000000}">
      <text>
        <r>
          <rPr>
            <sz val="11"/>
            <color theme="1"/>
            <rFont val="Calibri"/>
            <family val="2"/>
            <scheme val="minor"/>
          </rPr>
          <t>Preserved from Kerry_Drydock_2027_Job_Workspace_Recovery_v2.xlsm | Quotes!N10. No new commercial figures or exchange rates have been entered.</t>
        </r>
      </text>
    </comment>
    <comment ref="R10" authorId="0" shapeId="0" xr:uid="{00000000-0006-0000-0500-000017000000}">
      <text>
        <r>
          <rPr>
            <sz val="11"/>
            <color theme="1"/>
            <rFont val="Calibri"/>
            <family val="2"/>
            <scheme val="minor"/>
          </rPr>
          <t>Preserved from Kerry_Drydock_2027_Job_Workspace_Recovery_v2.xlsm | Quotes!R10. No new commercial figures or exchange rates have been entered.</t>
        </r>
      </text>
    </comment>
    <comment ref="S10" authorId="0" shapeId="0" xr:uid="{00000000-0006-0000-0500-000018000000}">
      <text>
        <r>
          <rPr>
            <sz val="11"/>
            <color theme="1"/>
            <rFont val="Calibri"/>
            <family val="2"/>
            <scheme val="minor"/>
          </rPr>
          <t>Preserved from Kerry_Drydock_2027_Job_Workspace_Recovery_v2.xlsm | Quotes!S10. No new commercial figures or exchange rates have been entered.</t>
        </r>
      </text>
    </comment>
    <comment ref="T10" authorId="0" shapeId="0" xr:uid="{00000000-0006-0000-0500-000019000000}">
      <text>
        <r>
          <rPr>
            <sz val="11"/>
            <color theme="1"/>
            <rFont val="Calibri"/>
            <family val="2"/>
            <scheme val="minor"/>
          </rPr>
          <t>Preserved from Kerry_Drydock_2027_Job_Workspace_Recovery_v2.xlsm | Quotes!T10. No new commercial figures or exchange rates have been entered.</t>
        </r>
      </text>
    </comment>
    <comment ref="A11" authorId="0" shapeId="0" xr:uid="{00000000-0006-0000-0500-00001A000000}">
      <text>
        <r>
          <rPr>
            <sz val="11"/>
            <color theme="1"/>
            <rFont val="Calibri"/>
            <family val="2"/>
            <scheme val="minor"/>
          </rPr>
          <t>Preserved from Kerry_Drydock_2027_Job_Workspace_Recovery_v2.xlsm | Quotes!A11. No new commercial figures or exchange rates have been entered.</t>
        </r>
      </text>
    </comment>
    <comment ref="B11" authorId="0" shapeId="0" xr:uid="{00000000-0006-0000-0500-00001B000000}">
      <text>
        <r>
          <rPr>
            <sz val="11"/>
            <color theme="1"/>
            <rFont val="Calibri"/>
            <family val="2"/>
            <scheme val="minor"/>
          </rPr>
          <t>Preserved from Kerry_Drydock_2027_Job_Workspace_Recovery_v2.xlsm | Quotes!B11. No new commercial figures or exchange rates have been entered.</t>
        </r>
      </text>
    </comment>
    <comment ref="C11" authorId="0" shapeId="0" xr:uid="{00000000-0006-0000-0500-00001C000000}">
      <text>
        <r>
          <rPr>
            <sz val="11"/>
            <color theme="1"/>
            <rFont val="Calibri"/>
            <family val="2"/>
            <scheme val="minor"/>
          </rPr>
          <t>Preserved from Kerry_Drydock_2027_Job_Workspace_Recovery_v2.xlsm | Quotes!C11. No new commercial figures or exchange rates have been entered.</t>
        </r>
      </text>
    </comment>
    <comment ref="D11" authorId="0" shapeId="0" xr:uid="{00000000-0006-0000-0500-00001D000000}">
      <text>
        <r>
          <rPr>
            <sz val="11"/>
            <color theme="1"/>
            <rFont val="Calibri"/>
            <family val="2"/>
            <scheme val="minor"/>
          </rPr>
          <t>Preserved from Kerry_Drydock_2027_Job_Workspace_Recovery_v2.xlsm | Quotes!D11. No new commercial figures or exchange rates have been entered.</t>
        </r>
      </text>
    </comment>
    <comment ref="E11" authorId="0" shapeId="0" xr:uid="{00000000-0006-0000-0500-00001E000000}">
      <text>
        <r>
          <rPr>
            <sz val="11"/>
            <color theme="1"/>
            <rFont val="Calibri"/>
            <family val="2"/>
            <scheme val="minor"/>
          </rPr>
          <t>Preserved from Kerry_Drydock_2027_Job_Workspace_Recovery_v2.xlsm | Quotes!E11. No new commercial figures or exchange rates have been entered.</t>
        </r>
      </text>
    </comment>
    <comment ref="F11" authorId="0" shapeId="0" xr:uid="{00000000-0006-0000-0500-00001F000000}">
      <text>
        <r>
          <rPr>
            <sz val="11"/>
            <color theme="1"/>
            <rFont val="Calibri"/>
            <family val="2"/>
            <scheme val="minor"/>
          </rPr>
          <t>Preserved from Kerry_Drydock_2027_Job_Workspace_Recovery_v2.xlsm | Quotes!F11. No new commercial figures or exchange rates have been entered.</t>
        </r>
      </text>
    </comment>
    <comment ref="G11" authorId="0" shapeId="0" xr:uid="{00000000-0006-0000-0500-000020000000}">
      <text>
        <r>
          <rPr>
            <sz val="11"/>
            <color theme="1"/>
            <rFont val="Calibri"/>
            <family val="2"/>
            <scheme val="minor"/>
          </rPr>
          <t>Preserved from Kerry_Drydock_2027_Job_Workspace_Recovery_v2.xlsm | Quotes!G11. No new commercial figures or exchange rates have been entered.</t>
        </r>
      </text>
    </comment>
    <comment ref="I11" authorId="0" shapeId="0" xr:uid="{00000000-0006-0000-0500-000021000000}">
      <text>
        <r>
          <rPr>
            <sz val="11"/>
            <color theme="1"/>
            <rFont val="Calibri"/>
            <family val="2"/>
            <scheme val="minor"/>
          </rPr>
          <t>Preserved from Kerry_Drydock_2027_Job_Workspace_Recovery_v2.xlsm | Quotes!I11. No new commercial figures or exchange rates have been entered.</t>
        </r>
      </text>
    </comment>
    <comment ref="N11" authorId="0" shapeId="0" xr:uid="{00000000-0006-0000-0500-000022000000}">
      <text>
        <r>
          <rPr>
            <sz val="11"/>
            <color theme="1"/>
            <rFont val="Calibri"/>
            <family val="2"/>
            <scheme val="minor"/>
          </rPr>
          <t>Preserved from Kerry_Drydock_2027_Job_Workspace_Recovery_v2.xlsm | Quotes!N11. No new commercial figures or exchange rates have been entered.</t>
        </r>
      </text>
    </comment>
    <comment ref="R11" authorId="0" shapeId="0" xr:uid="{00000000-0006-0000-0500-000023000000}">
      <text>
        <r>
          <rPr>
            <sz val="11"/>
            <color theme="1"/>
            <rFont val="Calibri"/>
            <family val="2"/>
            <scheme val="minor"/>
          </rPr>
          <t>Preserved from Kerry_Drydock_2027_Job_Workspace_Recovery_v2.xlsm | Quotes!R11. No new commercial figures or exchange rates have been entered.</t>
        </r>
      </text>
    </comment>
    <comment ref="S11" authorId="0" shapeId="0" xr:uid="{00000000-0006-0000-0500-000024000000}">
      <text>
        <r>
          <rPr>
            <sz val="11"/>
            <color theme="1"/>
            <rFont val="Calibri"/>
            <family val="2"/>
            <scheme val="minor"/>
          </rPr>
          <t>Preserved from Kerry_Drydock_2027_Job_Workspace_Recovery_v2.xlsm | Quotes!S11. No new commercial figures or exchange rates have been entered.</t>
        </r>
      </text>
    </comment>
    <comment ref="T11" authorId="0" shapeId="0" xr:uid="{00000000-0006-0000-0500-000025000000}">
      <text>
        <r>
          <rPr>
            <sz val="11"/>
            <color theme="1"/>
            <rFont val="Calibri"/>
            <family val="2"/>
            <scheme val="minor"/>
          </rPr>
          <t>Preserved from Kerry_Drydock_2027_Job_Workspace_Recovery_v2.xlsm | Quotes!T11. No new commercial figures or exchange rates have been entered.</t>
        </r>
      </text>
    </comment>
    <comment ref="A12" authorId="0" shapeId="0" xr:uid="{00000000-0006-0000-0500-000026000000}">
      <text>
        <r>
          <rPr>
            <sz val="11"/>
            <color theme="1"/>
            <rFont val="Calibri"/>
            <family val="2"/>
            <scheme val="minor"/>
          </rPr>
          <t>Preserved from Kerry_Drydock_2027_Job_Workspace_Recovery_v2.xlsm | Quotes!A12. No new commercial figures or exchange rates have been entered.</t>
        </r>
      </text>
    </comment>
    <comment ref="B12" authorId="0" shapeId="0" xr:uid="{00000000-0006-0000-0500-000027000000}">
      <text>
        <r>
          <rPr>
            <sz val="11"/>
            <color theme="1"/>
            <rFont val="Calibri"/>
            <family val="2"/>
            <scheme val="minor"/>
          </rPr>
          <t>Preserved from Kerry_Drydock_2027_Job_Workspace_Recovery_v2.xlsm | Quotes!B12. No new commercial figures or exchange rates have been entered.</t>
        </r>
      </text>
    </comment>
    <comment ref="C12" authorId="0" shapeId="0" xr:uid="{00000000-0006-0000-0500-000028000000}">
      <text>
        <r>
          <rPr>
            <sz val="11"/>
            <color theme="1"/>
            <rFont val="Calibri"/>
            <family val="2"/>
            <scheme val="minor"/>
          </rPr>
          <t>Preserved from Kerry_Drydock_2027_Job_Workspace_Recovery_v2.xlsm | Quotes!C12. No new commercial figures or exchange rates have been entered.</t>
        </r>
      </text>
    </comment>
    <comment ref="D12" authorId="0" shapeId="0" xr:uid="{00000000-0006-0000-0500-000029000000}">
      <text>
        <r>
          <rPr>
            <sz val="11"/>
            <color theme="1"/>
            <rFont val="Calibri"/>
            <family val="2"/>
            <scheme val="minor"/>
          </rPr>
          <t>Preserved from Kerry_Drydock_2027_Job_Workspace_Recovery_v2.xlsm | Quotes!D12. No new commercial figures or exchange rates have been entered.</t>
        </r>
      </text>
    </comment>
    <comment ref="E12" authorId="0" shapeId="0" xr:uid="{00000000-0006-0000-0500-00002A000000}">
      <text>
        <r>
          <rPr>
            <sz val="11"/>
            <color theme="1"/>
            <rFont val="Calibri"/>
            <family val="2"/>
            <scheme val="minor"/>
          </rPr>
          <t>Preserved from Kerry_Drydock_2027_Job_Workspace_Recovery_v2.xlsm | Quotes!E12. No new commercial figures or exchange rates have been entered.</t>
        </r>
      </text>
    </comment>
    <comment ref="F12" authorId="0" shapeId="0" xr:uid="{00000000-0006-0000-0500-00002B000000}">
      <text>
        <r>
          <rPr>
            <sz val="11"/>
            <color theme="1"/>
            <rFont val="Calibri"/>
            <family val="2"/>
            <scheme val="minor"/>
          </rPr>
          <t>Preserved from Kerry_Drydock_2027_Job_Workspace_Recovery_v2.xlsm | Quotes!F12. No new commercial figures or exchange rates have been entered.</t>
        </r>
      </text>
    </comment>
    <comment ref="G12" authorId="0" shapeId="0" xr:uid="{00000000-0006-0000-0500-00002C000000}">
      <text>
        <r>
          <rPr>
            <sz val="11"/>
            <color theme="1"/>
            <rFont val="Calibri"/>
            <family val="2"/>
            <scheme val="minor"/>
          </rPr>
          <t>Preserved from Kerry_Drydock_2027_Job_Workspace_Recovery_v2.xlsm | Quotes!G12. No new commercial figures or exchange rates have been entered.</t>
        </r>
      </text>
    </comment>
    <comment ref="I12" authorId="0" shapeId="0" xr:uid="{00000000-0006-0000-0500-00002D000000}">
      <text>
        <r>
          <rPr>
            <sz val="11"/>
            <color theme="1"/>
            <rFont val="Calibri"/>
            <family val="2"/>
            <scheme val="minor"/>
          </rPr>
          <t>Preserved from Kerry_Drydock_2027_Job_Workspace_Recovery_v2.xlsm | Quotes!I12. No new commercial figures or exchange rates have been entered.</t>
        </r>
      </text>
    </comment>
    <comment ref="N12" authorId="0" shapeId="0" xr:uid="{00000000-0006-0000-0500-00002E000000}">
      <text>
        <r>
          <rPr>
            <sz val="11"/>
            <color theme="1"/>
            <rFont val="Calibri"/>
            <family val="2"/>
            <scheme val="minor"/>
          </rPr>
          <t>Preserved from Kerry_Drydock_2027_Job_Workspace_Recovery_v2.xlsm | Quotes!N12. No new commercial figures or exchange rates have been entered.</t>
        </r>
      </text>
    </comment>
    <comment ref="P12" authorId="0" shapeId="0" xr:uid="{00000000-0006-0000-0500-00002F000000}">
      <text>
        <r>
          <rPr>
            <sz val="11"/>
            <color theme="1"/>
            <rFont val="Calibri"/>
            <family val="2"/>
            <scheme val="minor"/>
          </rPr>
          <t>Preserved from Kerry_Drydock_2027_Job_Workspace_Recovery_v2.xlsm | Quotes!P12. No new commercial figures or exchange rates have been entered.</t>
        </r>
      </text>
    </comment>
    <comment ref="R12" authorId="0" shapeId="0" xr:uid="{00000000-0006-0000-0500-000030000000}">
      <text>
        <r>
          <rPr>
            <sz val="11"/>
            <color theme="1"/>
            <rFont val="Calibri"/>
            <family val="2"/>
            <scheme val="minor"/>
          </rPr>
          <t>Preserved from Kerry_Drydock_2027_Job_Workspace_Recovery_v2.xlsm | Quotes!R12. No new commercial figures or exchange rates have been entered.</t>
        </r>
      </text>
    </comment>
    <comment ref="S12" authorId="0" shapeId="0" xr:uid="{00000000-0006-0000-0500-000031000000}">
      <text>
        <r>
          <rPr>
            <sz val="11"/>
            <color theme="1"/>
            <rFont val="Calibri"/>
            <family val="2"/>
            <scheme val="minor"/>
          </rPr>
          <t>Preserved from Kerry_Drydock_2027_Job_Workspace_Recovery_v2.xlsm | Quotes!S12. No new commercial figures or exchange rates have been entered.</t>
        </r>
      </text>
    </comment>
    <comment ref="T12" authorId="0" shapeId="0" xr:uid="{00000000-0006-0000-0500-000032000000}">
      <text>
        <r>
          <rPr>
            <sz val="11"/>
            <color theme="1"/>
            <rFont val="Calibri"/>
            <family val="2"/>
            <scheme val="minor"/>
          </rPr>
          <t>Preserved from Kerry_Drydock_2027_Job_Workspace_Recovery_v2.xlsm | Quotes!T12. No new commercial figures or exchange rates have been entered.</t>
        </r>
      </text>
    </comment>
    <comment ref="A13" authorId="0" shapeId="0" xr:uid="{00000000-0006-0000-0500-000033000000}">
      <text>
        <r>
          <rPr>
            <sz val="11"/>
            <color theme="1"/>
            <rFont val="Calibri"/>
            <family val="2"/>
            <scheme val="minor"/>
          </rPr>
          <t>Preserved from Kerry_Drydock_2027_Job_Workspace_Recovery_v2.xlsm | Quotes!A13. No new commercial figures or exchange rates have been entered.</t>
        </r>
      </text>
    </comment>
    <comment ref="B13" authorId="0" shapeId="0" xr:uid="{00000000-0006-0000-0500-000034000000}">
      <text>
        <r>
          <rPr>
            <sz val="11"/>
            <color theme="1"/>
            <rFont val="Calibri"/>
            <family val="2"/>
            <scheme val="minor"/>
          </rPr>
          <t>Preserved from Kerry_Drydock_2027_Job_Workspace_Recovery_v2.xlsm | Quotes!B13. No new commercial figures or exchange rates have been entered.</t>
        </r>
      </text>
    </comment>
    <comment ref="C13" authorId="0" shapeId="0" xr:uid="{00000000-0006-0000-0500-000035000000}">
      <text>
        <r>
          <rPr>
            <sz val="11"/>
            <color theme="1"/>
            <rFont val="Calibri"/>
            <family val="2"/>
            <scheme val="minor"/>
          </rPr>
          <t>Preserved from Kerry_Drydock_2027_Job_Workspace_Recovery_v2.xlsm | Quotes!C13. No new commercial figures or exchange rates have been entered.</t>
        </r>
      </text>
    </comment>
    <comment ref="D13" authorId="0" shapeId="0" xr:uid="{00000000-0006-0000-0500-000036000000}">
      <text>
        <r>
          <rPr>
            <sz val="11"/>
            <color theme="1"/>
            <rFont val="Calibri"/>
            <family val="2"/>
            <scheme val="minor"/>
          </rPr>
          <t>Preserved from Kerry_Drydock_2027_Job_Workspace_Recovery_v2.xlsm | Quotes!D13. No new commercial figures or exchange rates have been entered.</t>
        </r>
      </text>
    </comment>
    <comment ref="E13" authorId="0" shapeId="0" xr:uid="{00000000-0006-0000-0500-000037000000}">
      <text>
        <r>
          <rPr>
            <sz val="11"/>
            <color theme="1"/>
            <rFont val="Calibri"/>
            <family val="2"/>
            <scheme val="minor"/>
          </rPr>
          <t>Preserved from Kerry_Drydock_2027_Job_Workspace_Recovery_v2.xlsm | Quotes!E13. No new commercial figures or exchange rates have been entered.</t>
        </r>
      </text>
    </comment>
    <comment ref="F13" authorId="0" shapeId="0" xr:uid="{00000000-0006-0000-0500-000038000000}">
      <text>
        <r>
          <rPr>
            <sz val="11"/>
            <color theme="1"/>
            <rFont val="Calibri"/>
            <family val="2"/>
            <scheme val="minor"/>
          </rPr>
          <t>Preserved from Kerry_Drydock_2027_Job_Workspace_Recovery_v2.xlsm | Quotes!F13. No new commercial figures or exchange rates have been entered.</t>
        </r>
      </text>
    </comment>
    <comment ref="R13" authorId="0" shapeId="0" xr:uid="{00000000-0006-0000-0500-000039000000}">
      <text>
        <r>
          <rPr>
            <sz val="11"/>
            <color theme="1"/>
            <rFont val="Calibri"/>
            <family val="2"/>
            <scheme val="minor"/>
          </rPr>
          <t>Preserved from Kerry_Drydock_2027_Job_Workspace_Recovery_v2.xlsm | Quotes!R13. No new commercial figures or exchange rates have been entered.</t>
        </r>
      </text>
    </comment>
    <comment ref="T13" authorId="0" shapeId="0" xr:uid="{00000000-0006-0000-0500-00003A000000}">
      <text>
        <r>
          <rPr>
            <sz val="11"/>
            <color theme="1"/>
            <rFont val="Calibri"/>
            <family val="2"/>
            <scheme val="minor"/>
          </rPr>
          <t>Preserved from Kerry_Drydock_2027_Job_Workspace_Recovery_v2.xlsm | Quotes!T13. No new commercial figures or exchange rates have been entered.</t>
        </r>
      </text>
    </comment>
    <comment ref="A14" authorId="0" shapeId="0" xr:uid="{00000000-0006-0000-0500-00003B000000}">
      <text>
        <r>
          <rPr>
            <sz val="11"/>
            <color theme="1"/>
            <rFont val="Calibri"/>
            <family val="2"/>
            <scheme val="minor"/>
          </rPr>
          <t>Preserved from Kerry_Drydock_2027_Job_Workspace_Recovery_v2.xlsm | Quotes!A14. No new commercial figures or exchange rates have been entered.</t>
        </r>
      </text>
    </comment>
    <comment ref="B14" authorId="0" shapeId="0" xr:uid="{00000000-0006-0000-0500-00003C000000}">
      <text>
        <r>
          <rPr>
            <sz val="11"/>
            <color theme="1"/>
            <rFont val="Calibri"/>
            <family val="2"/>
            <scheme val="minor"/>
          </rPr>
          <t>Preserved from Kerry_Drydock_2027_Job_Workspace_Recovery_v2.xlsm | Quotes!B14. No new commercial figures or exchange rates have been entered.</t>
        </r>
      </text>
    </comment>
    <comment ref="C14" authorId="0" shapeId="0" xr:uid="{00000000-0006-0000-0500-00003D000000}">
      <text>
        <r>
          <rPr>
            <sz val="11"/>
            <color theme="1"/>
            <rFont val="Calibri"/>
            <family val="2"/>
            <scheme val="minor"/>
          </rPr>
          <t>Preserved from Kerry_Drydock_2027_Job_Workspace_Recovery_v2.xlsm | Quotes!C14. No new commercial figures or exchange rates have been entered.</t>
        </r>
      </text>
    </comment>
    <comment ref="D14" authorId="0" shapeId="0" xr:uid="{00000000-0006-0000-0500-00003E000000}">
      <text>
        <r>
          <rPr>
            <sz val="11"/>
            <color theme="1"/>
            <rFont val="Calibri"/>
            <family val="2"/>
            <scheme val="minor"/>
          </rPr>
          <t>Preserved from Kerry_Drydock_2027_Job_Workspace_Recovery_v2.xlsm | Quotes!D14. No new commercial figures or exchange rates have been entered.</t>
        </r>
      </text>
    </comment>
    <comment ref="E14" authorId="0" shapeId="0" xr:uid="{00000000-0006-0000-0500-00003F000000}">
      <text>
        <r>
          <rPr>
            <sz val="11"/>
            <color theme="1"/>
            <rFont val="Calibri"/>
            <family val="2"/>
            <scheme val="minor"/>
          </rPr>
          <t>Preserved from Kerry_Drydock_2027_Job_Workspace_Recovery_v2.xlsm | Quotes!E14. No new commercial figures or exchange rates have been entered.</t>
        </r>
      </text>
    </comment>
    <comment ref="F14" authorId="0" shapeId="0" xr:uid="{00000000-0006-0000-0500-000040000000}">
      <text>
        <r>
          <rPr>
            <sz val="11"/>
            <color theme="1"/>
            <rFont val="Calibri"/>
            <family val="2"/>
            <scheme val="minor"/>
          </rPr>
          <t>Preserved from Kerry_Drydock_2027_Job_Workspace_Recovery_v2.xlsm | Quotes!F14. No new commercial figures or exchange rates have been entered.</t>
        </r>
      </text>
    </comment>
    <comment ref="G14" authorId="0" shapeId="0" xr:uid="{00000000-0006-0000-0500-000041000000}">
      <text>
        <r>
          <rPr>
            <sz val="11"/>
            <color theme="1"/>
            <rFont val="Calibri"/>
            <family val="2"/>
            <scheme val="minor"/>
          </rPr>
          <t>Preserved from Kerry_Drydock_2027_Job_Workspace_Recovery_v2.xlsm | Quotes!G14. No new commercial figures or exchange rates have been entered.</t>
        </r>
      </text>
    </comment>
    <comment ref="I14" authorId="0" shapeId="0" xr:uid="{00000000-0006-0000-0500-000042000000}">
      <text>
        <r>
          <rPr>
            <sz val="11"/>
            <color theme="1"/>
            <rFont val="Calibri"/>
            <family val="2"/>
            <scheme val="minor"/>
          </rPr>
          <t>Preserved from Kerry_Drydock_2027_Job_Workspace_Recovery_v2.xlsm | Quotes!I14. No new commercial figures or exchange rates have been entered.</t>
        </r>
      </text>
    </comment>
    <comment ref="N14" authorId="0" shapeId="0" xr:uid="{00000000-0006-0000-0500-000043000000}">
      <text>
        <r>
          <rPr>
            <sz val="11"/>
            <color theme="1"/>
            <rFont val="Calibri"/>
            <family val="2"/>
            <scheme val="minor"/>
          </rPr>
          <t>Preserved from Kerry_Drydock_2027_Job_Workspace_Recovery_v2.xlsm | Quotes!N14. No new commercial figures or exchange rates have been entered.</t>
        </r>
      </text>
    </comment>
    <comment ref="P14" authorId="0" shapeId="0" xr:uid="{00000000-0006-0000-0500-000044000000}">
      <text>
        <r>
          <rPr>
            <sz val="11"/>
            <color theme="1"/>
            <rFont val="Calibri"/>
            <family val="2"/>
            <scheme val="minor"/>
          </rPr>
          <t>Preserved from Kerry_Drydock_2027_Job_Workspace_Recovery_v2.xlsm | Quotes!P14. No new commercial figures or exchange rates have been entered.</t>
        </r>
      </text>
    </comment>
    <comment ref="R14" authorId="0" shapeId="0" xr:uid="{00000000-0006-0000-0500-000045000000}">
      <text>
        <r>
          <rPr>
            <sz val="11"/>
            <color theme="1"/>
            <rFont val="Calibri"/>
            <family val="2"/>
            <scheme val="minor"/>
          </rPr>
          <t>Preserved from Kerry_Drydock_2027_Job_Workspace_Recovery_v2.xlsm | Quotes!R14. No new commercial figures or exchange rates have been entered.</t>
        </r>
      </text>
    </comment>
    <comment ref="S14" authorId="0" shapeId="0" xr:uid="{00000000-0006-0000-0500-000046000000}">
      <text>
        <r>
          <rPr>
            <sz val="11"/>
            <color theme="1"/>
            <rFont val="Calibri"/>
            <family val="2"/>
            <scheme val="minor"/>
          </rPr>
          <t>Preserved from Kerry_Drydock_2027_Job_Workspace_Recovery_v2.xlsm | Quotes!S14. No new commercial figures or exchange rates have been entered.</t>
        </r>
      </text>
    </comment>
    <comment ref="T14" authorId="0" shapeId="0" xr:uid="{00000000-0006-0000-0500-000047000000}">
      <text>
        <r>
          <rPr>
            <sz val="11"/>
            <color theme="1"/>
            <rFont val="Calibri"/>
            <family val="2"/>
            <scheme val="minor"/>
          </rPr>
          <t>Preserved from Kerry_Drydock_2027_Job_Workspace_Recovery_v2.xlsm | Quotes!T14. No new commercial figures or exchange rates have been entered.</t>
        </r>
      </text>
    </comment>
    <comment ref="A15" authorId="0" shapeId="0" xr:uid="{00000000-0006-0000-0500-000048000000}">
      <text>
        <r>
          <rPr>
            <sz val="11"/>
            <color theme="1"/>
            <rFont val="Calibri"/>
            <family val="2"/>
            <scheme val="minor"/>
          </rPr>
          <t>Preserved from Kerry_Drydock_2027_Job_Workspace_Recovery_v2.xlsm | Quotes!A15. No new commercial figures or exchange rates have been entered.</t>
        </r>
      </text>
    </comment>
    <comment ref="B15" authorId="0" shapeId="0" xr:uid="{00000000-0006-0000-0500-000049000000}">
      <text>
        <r>
          <rPr>
            <sz val="11"/>
            <color theme="1"/>
            <rFont val="Calibri"/>
            <family val="2"/>
            <scheme val="minor"/>
          </rPr>
          <t>Preserved from Kerry_Drydock_2027_Job_Workspace_Recovery_v2.xlsm | Quotes!B15. No new commercial figures or exchange rates have been entered.</t>
        </r>
      </text>
    </comment>
    <comment ref="C15" authorId="0" shapeId="0" xr:uid="{00000000-0006-0000-0500-00004A000000}">
      <text>
        <r>
          <rPr>
            <sz val="11"/>
            <color theme="1"/>
            <rFont val="Calibri"/>
            <family val="2"/>
            <scheme val="minor"/>
          </rPr>
          <t>Preserved from Kerry_Drydock_2027_Job_Workspace_Recovery_v2.xlsm | Quotes!C15. No new commercial figures or exchange rates have been entered.</t>
        </r>
      </text>
    </comment>
    <comment ref="D15" authorId="0" shapeId="0" xr:uid="{00000000-0006-0000-0500-00004B000000}">
      <text>
        <r>
          <rPr>
            <sz val="11"/>
            <color theme="1"/>
            <rFont val="Calibri"/>
            <family val="2"/>
            <scheme val="minor"/>
          </rPr>
          <t>Preserved from Kerry_Drydock_2027_Job_Workspace_Recovery_v2.xlsm | Quotes!D15. No new commercial figures or exchange rates have been entered.</t>
        </r>
      </text>
    </comment>
    <comment ref="E15" authorId="0" shapeId="0" xr:uid="{00000000-0006-0000-0500-00004C000000}">
      <text>
        <r>
          <rPr>
            <sz val="11"/>
            <color theme="1"/>
            <rFont val="Calibri"/>
            <family val="2"/>
            <scheme val="minor"/>
          </rPr>
          <t>Preserved from Kerry_Drydock_2027_Job_Workspace_Recovery_v2.xlsm | Quotes!E15. No new commercial figures or exchange rates have been entered.</t>
        </r>
      </text>
    </comment>
    <comment ref="F15" authorId="0" shapeId="0" xr:uid="{00000000-0006-0000-0500-00004D000000}">
      <text>
        <r>
          <rPr>
            <sz val="11"/>
            <color theme="1"/>
            <rFont val="Calibri"/>
            <family val="2"/>
            <scheme val="minor"/>
          </rPr>
          <t>Preserved from Kerry_Drydock_2027_Job_Workspace_Recovery_v2.xlsm | Quotes!F15. No new commercial figures or exchange rates have been entered.</t>
        </r>
      </text>
    </comment>
    <comment ref="G15" authorId="0" shapeId="0" xr:uid="{00000000-0006-0000-0500-00004E000000}">
      <text>
        <r>
          <rPr>
            <sz val="11"/>
            <color theme="1"/>
            <rFont val="Calibri"/>
            <family val="2"/>
            <scheme val="minor"/>
          </rPr>
          <t>Preserved from Kerry_Drydock_2027_Job_Workspace_Recovery_v2.xlsm | Quotes!G15. No new commercial figures or exchange rates have been entered.</t>
        </r>
      </text>
    </comment>
    <comment ref="I15" authorId="0" shapeId="0" xr:uid="{00000000-0006-0000-0500-00004F000000}">
      <text>
        <r>
          <rPr>
            <sz val="11"/>
            <color theme="1"/>
            <rFont val="Calibri"/>
            <family val="2"/>
            <scheme val="minor"/>
          </rPr>
          <t>Preserved from Kerry_Drydock_2027_Job_Workspace_Recovery_v2.xlsm | Quotes!I15. No new commercial figures or exchange rates have been entered.</t>
        </r>
      </text>
    </comment>
    <comment ref="N15" authorId="0" shapeId="0" xr:uid="{00000000-0006-0000-0500-000050000000}">
      <text>
        <r>
          <rPr>
            <sz val="11"/>
            <color theme="1"/>
            <rFont val="Calibri"/>
            <family val="2"/>
            <scheme val="minor"/>
          </rPr>
          <t>Preserved from Kerry_Drydock_2027_Job_Workspace_Recovery_v2.xlsm | Quotes!N15. No new commercial figures or exchange rates have been entered.</t>
        </r>
      </text>
    </comment>
    <comment ref="P15" authorId="0" shapeId="0" xr:uid="{00000000-0006-0000-0500-000051000000}">
      <text>
        <r>
          <rPr>
            <sz val="11"/>
            <color theme="1"/>
            <rFont val="Calibri"/>
            <family val="2"/>
            <scheme val="minor"/>
          </rPr>
          <t>Preserved from Kerry_Drydock_2027_Job_Workspace_Recovery_v2.xlsm | Quotes!P15. No new commercial figures or exchange rates have been entered.</t>
        </r>
      </text>
    </comment>
    <comment ref="R15" authorId="0" shapeId="0" xr:uid="{00000000-0006-0000-0500-000052000000}">
      <text>
        <r>
          <rPr>
            <sz val="11"/>
            <color theme="1"/>
            <rFont val="Calibri"/>
            <family val="2"/>
            <scheme val="minor"/>
          </rPr>
          <t>Preserved from Kerry_Drydock_2027_Job_Workspace_Recovery_v2.xlsm | Quotes!R15. No new commercial figures or exchange rates have been entered.</t>
        </r>
      </text>
    </comment>
    <comment ref="S15" authorId="0" shapeId="0" xr:uid="{00000000-0006-0000-0500-000053000000}">
      <text>
        <r>
          <rPr>
            <sz val="11"/>
            <color theme="1"/>
            <rFont val="Calibri"/>
            <family val="2"/>
            <scheme val="minor"/>
          </rPr>
          <t>Preserved from Kerry_Drydock_2027_Job_Workspace_Recovery_v2.xlsm | Quotes!S15. No new commercial figures or exchange rates have been entered.</t>
        </r>
      </text>
    </comment>
    <comment ref="T15" authorId="0" shapeId="0" xr:uid="{00000000-0006-0000-0500-000054000000}">
      <text>
        <r>
          <rPr>
            <sz val="11"/>
            <color theme="1"/>
            <rFont val="Calibri"/>
            <family val="2"/>
            <scheme val="minor"/>
          </rPr>
          <t>Preserved from Kerry_Drydock_2027_Job_Workspace_Recovery_v2.xlsm | Quotes!T15. No new commercial figures or exchange rates have been entered.</t>
        </r>
      </text>
    </comment>
    <comment ref="A16" authorId="0" shapeId="0" xr:uid="{00000000-0006-0000-0500-000055000000}">
      <text>
        <r>
          <rPr>
            <sz val="11"/>
            <color theme="1"/>
            <rFont val="Calibri"/>
            <family val="2"/>
            <scheme val="minor"/>
          </rPr>
          <t>Preserved from Kerry_Drydock_2027_Job_Workspace_Recovery_v2.xlsm | Quotes!A16. No new commercial figures or exchange rates have been entered.</t>
        </r>
      </text>
    </comment>
    <comment ref="B16" authorId="0" shapeId="0" xr:uid="{00000000-0006-0000-0500-000056000000}">
      <text>
        <r>
          <rPr>
            <sz val="11"/>
            <color theme="1"/>
            <rFont val="Calibri"/>
            <family val="2"/>
            <scheme val="minor"/>
          </rPr>
          <t>Preserved from Kerry_Drydock_2027_Job_Workspace_Recovery_v2.xlsm | Quotes!B16. No new commercial figures or exchange rates have been entered.</t>
        </r>
      </text>
    </comment>
    <comment ref="C16" authorId="0" shapeId="0" xr:uid="{00000000-0006-0000-0500-000057000000}">
      <text>
        <r>
          <rPr>
            <sz val="11"/>
            <color theme="1"/>
            <rFont val="Calibri"/>
            <family val="2"/>
            <scheme val="minor"/>
          </rPr>
          <t>Preserved from Kerry_Drydock_2027_Job_Workspace_Recovery_v2.xlsm | Quotes!C16. No new commercial figures or exchange rates have been entered.</t>
        </r>
      </text>
    </comment>
    <comment ref="D16" authorId="0" shapeId="0" xr:uid="{00000000-0006-0000-0500-000058000000}">
      <text>
        <r>
          <rPr>
            <sz val="11"/>
            <color theme="1"/>
            <rFont val="Calibri"/>
            <family val="2"/>
            <scheme val="minor"/>
          </rPr>
          <t>Preserved from Kerry_Drydock_2027_Job_Workspace_Recovery_v2.xlsm | Quotes!D16. No new commercial figures or exchange rates have been entered.</t>
        </r>
      </text>
    </comment>
    <comment ref="E16" authorId="0" shapeId="0" xr:uid="{00000000-0006-0000-0500-000059000000}">
      <text>
        <r>
          <rPr>
            <sz val="11"/>
            <color theme="1"/>
            <rFont val="Calibri"/>
            <family val="2"/>
            <scheme val="minor"/>
          </rPr>
          <t>Preserved from Kerry_Drydock_2027_Job_Workspace_Recovery_v2.xlsm | Quotes!E16. No new commercial figures or exchange rates have been entered.</t>
        </r>
      </text>
    </comment>
    <comment ref="F16" authorId="0" shapeId="0" xr:uid="{00000000-0006-0000-0500-00005A000000}">
      <text>
        <r>
          <rPr>
            <sz val="11"/>
            <color theme="1"/>
            <rFont val="Calibri"/>
            <family val="2"/>
            <scheme val="minor"/>
          </rPr>
          <t>Preserved from Kerry_Drydock_2027_Job_Workspace_Recovery_v2.xlsm | Quotes!F16. No new commercial figures or exchange rates have been entered.</t>
        </r>
      </text>
    </comment>
    <comment ref="G16" authorId="0" shapeId="0" xr:uid="{00000000-0006-0000-0500-00005B000000}">
      <text>
        <r>
          <rPr>
            <sz val="11"/>
            <color theme="1"/>
            <rFont val="Calibri"/>
            <family val="2"/>
            <scheme val="minor"/>
          </rPr>
          <t>Preserved from Kerry_Drydock_2027_Job_Workspace_Recovery_v2.xlsm | Quotes!G16. No new commercial figures or exchange rates have been entered.</t>
        </r>
      </text>
    </comment>
    <comment ref="I16" authorId="0" shapeId="0" xr:uid="{00000000-0006-0000-0500-00005C000000}">
      <text>
        <r>
          <rPr>
            <sz val="11"/>
            <color theme="1"/>
            <rFont val="Calibri"/>
            <family val="2"/>
            <scheme val="minor"/>
          </rPr>
          <t>Preserved from Kerry_Drydock_2027_Job_Workspace_Recovery_v2.xlsm | Quotes!I16. No new commercial figures or exchange rates have been entered.</t>
        </r>
      </text>
    </comment>
    <comment ref="N16" authorId="0" shapeId="0" xr:uid="{00000000-0006-0000-0500-00005D000000}">
      <text>
        <r>
          <rPr>
            <sz val="11"/>
            <color theme="1"/>
            <rFont val="Calibri"/>
            <family val="2"/>
            <scheme val="minor"/>
          </rPr>
          <t>Preserved from Kerry_Drydock_2027_Job_Workspace_Recovery_v2.xlsm | Quotes!N16. No new commercial figures or exchange rates have been entered.</t>
        </r>
      </text>
    </comment>
    <comment ref="P16" authorId="0" shapeId="0" xr:uid="{00000000-0006-0000-0500-00005E000000}">
      <text>
        <r>
          <rPr>
            <sz val="11"/>
            <color theme="1"/>
            <rFont val="Calibri"/>
            <family val="2"/>
            <scheme val="minor"/>
          </rPr>
          <t>Preserved from Kerry_Drydock_2027_Job_Workspace_Recovery_v2.xlsm | Quotes!P16. No new commercial figures or exchange rates have been entered.</t>
        </r>
      </text>
    </comment>
    <comment ref="R16" authorId="0" shapeId="0" xr:uid="{00000000-0006-0000-0500-00005F000000}">
      <text>
        <r>
          <rPr>
            <sz val="11"/>
            <color theme="1"/>
            <rFont val="Calibri"/>
            <family val="2"/>
            <scheme val="minor"/>
          </rPr>
          <t>Preserved from Kerry_Drydock_2027_Job_Workspace_Recovery_v2.xlsm | Quotes!R16. No new commercial figures or exchange rates have been entered.</t>
        </r>
      </text>
    </comment>
    <comment ref="S16" authorId="0" shapeId="0" xr:uid="{00000000-0006-0000-0500-000060000000}">
      <text>
        <r>
          <rPr>
            <sz val="11"/>
            <color theme="1"/>
            <rFont val="Calibri"/>
            <family val="2"/>
            <scheme val="minor"/>
          </rPr>
          <t>Preserved from Kerry_Drydock_2027_Job_Workspace_Recovery_v2.xlsm | Quotes!S16. No new commercial figures or exchange rates have been entered.</t>
        </r>
      </text>
    </comment>
    <comment ref="T16" authorId="0" shapeId="0" xr:uid="{00000000-0006-0000-0500-000061000000}">
      <text>
        <r>
          <rPr>
            <sz val="11"/>
            <color theme="1"/>
            <rFont val="Calibri"/>
            <family val="2"/>
            <scheme val="minor"/>
          </rPr>
          <t>Preserved from Kerry_Drydock_2027_Job_Workspace_Recovery_v2.xlsm | Quotes!T16. No new commercial figures or exchange rates have been entered.</t>
        </r>
      </text>
    </comment>
    <comment ref="A17" authorId="0" shapeId="0" xr:uid="{00000000-0006-0000-0500-000062000000}">
      <text>
        <r>
          <rPr>
            <sz val="11"/>
            <color theme="1"/>
            <rFont val="Calibri"/>
            <family val="2"/>
            <scheme val="minor"/>
          </rPr>
          <t>Preserved from Kerry_Drydock_2027_Job_Workspace_Recovery_v2.xlsm | Quotes!A17. No new commercial figures or exchange rates have been entered.</t>
        </r>
      </text>
    </comment>
    <comment ref="B17" authorId="0" shapeId="0" xr:uid="{00000000-0006-0000-0500-000063000000}">
      <text>
        <r>
          <rPr>
            <sz val="11"/>
            <color theme="1"/>
            <rFont val="Calibri"/>
            <family val="2"/>
            <scheme val="minor"/>
          </rPr>
          <t>Preserved from Kerry_Drydock_2027_Job_Workspace_Recovery_v2.xlsm | Quotes!B17. No new commercial figures or exchange rates have been entered.</t>
        </r>
      </text>
    </comment>
    <comment ref="C17" authorId="0" shapeId="0" xr:uid="{00000000-0006-0000-0500-000064000000}">
      <text>
        <r>
          <rPr>
            <sz val="11"/>
            <color theme="1"/>
            <rFont val="Calibri"/>
            <family val="2"/>
            <scheme val="minor"/>
          </rPr>
          <t>Preserved from Kerry_Drydock_2027_Job_Workspace_Recovery_v2.xlsm | Quotes!C17. No new commercial figures or exchange rates have been entered.</t>
        </r>
      </text>
    </comment>
    <comment ref="D17" authorId="0" shapeId="0" xr:uid="{00000000-0006-0000-0500-000065000000}">
      <text>
        <r>
          <rPr>
            <sz val="11"/>
            <color theme="1"/>
            <rFont val="Calibri"/>
            <family val="2"/>
            <scheme val="minor"/>
          </rPr>
          <t>Preserved from Kerry_Drydock_2027_Job_Workspace_Recovery_v2.xlsm | Quotes!D17. No new commercial figures or exchange rates have been entered.</t>
        </r>
      </text>
    </comment>
    <comment ref="E17" authorId="0" shapeId="0" xr:uid="{00000000-0006-0000-0500-000066000000}">
      <text>
        <r>
          <rPr>
            <sz val="11"/>
            <color theme="1"/>
            <rFont val="Calibri"/>
            <family val="2"/>
            <scheme val="minor"/>
          </rPr>
          <t>Preserved from Kerry_Drydock_2027_Job_Workspace_Recovery_v2.xlsm | Quotes!E17. No new commercial figures or exchange rates have been entered.</t>
        </r>
      </text>
    </comment>
    <comment ref="F17" authorId="0" shapeId="0" xr:uid="{00000000-0006-0000-0500-000067000000}">
      <text>
        <r>
          <rPr>
            <sz val="11"/>
            <color theme="1"/>
            <rFont val="Calibri"/>
            <family val="2"/>
            <scheme val="minor"/>
          </rPr>
          <t>Preserved from Kerry_Drydock_2027_Job_Workspace_Recovery_v2.xlsm | Quotes!F17. No new commercial figures or exchange rates have been entered.</t>
        </r>
      </text>
    </comment>
    <comment ref="G17" authorId="0" shapeId="0" xr:uid="{00000000-0006-0000-0500-000068000000}">
      <text>
        <r>
          <rPr>
            <sz val="11"/>
            <color theme="1"/>
            <rFont val="Calibri"/>
            <family val="2"/>
            <scheme val="minor"/>
          </rPr>
          <t>Preserved from Kerry_Drydock_2027_Job_Workspace_Recovery_v2.xlsm | Quotes!G17. No new commercial figures or exchange rates have been entered.</t>
        </r>
      </text>
    </comment>
    <comment ref="I17" authorId="0" shapeId="0" xr:uid="{00000000-0006-0000-0500-000069000000}">
      <text>
        <r>
          <rPr>
            <sz val="11"/>
            <color theme="1"/>
            <rFont val="Calibri"/>
            <family val="2"/>
            <scheme val="minor"/>
          </rPr>
          <t>Preserved from Kerry_Drydock_2027_Job_Workspace_Recovery_v2.xlsm | Quotes!I17. No new commercial figures or exchange rates have been entered.</t>
        </r>
      </text>
    </comment>
    <comment ref="M17" authorId="0" shapeId="0" xr:uid="{00000000-0006-0000-0500-00006A000000}">
      <text>
        <r>
          <rPr>
            <sz val="11"/>
            <color theme="1"/>
            <rFont val="Calibri"/>
            <family val="2"/>
            <scheme val="minor"/>
          </rPr>
          <t>Preserved from Kerry_Drydock_2027_Job_Workspace_Recovery_v2.xlsm | Quotes!M17. No new commercial figures or exchange rates have been entered.</t>
        </r>
      </text>
    </comment>
    <comment ref="N17" authorId="0" shapeId="0" xr:uid="{00000000-0006-0000-0500-00006B000000}">
      <text>
        <r>
          <rPr>
            <sz val="11"/>
            <color theme="1"/>
            <rFont val="Calibri"/>
            <family val="2"/>
            <scheme val="minor"/>
          </rPr>
          <t>Preserved from Kerry_Drydock_2027_Job_Workspace_Recovery_v2.xlsm | Quotes!N17. No new commercial figures or exchange rates have been entered.</t>
        </r>
      </text>
    </comment>
    <comment ref="R17" authorId="0" shapeId="0" xr:uid="{00000000-0006-0000-0500-00006C000000}">
      <text>
        <r>
          <rPr>
            <sz val="11"/>
            <color theme="1"/>
            <rFont val="Calibri"/>
            <family val="2"/>
            <scheme val="minor"/>
          </rPr>
          <t>Preserved from Kerry_Drydock_2027_Job_Workspace_Recovery_v2.xlsm | Quotes!R17. No new commercial figures or exchange rates have been entered.</t>
        </r>
      </text>
    </comment>
    <comment ref="S17" authorId="0" shapeId="0" xr:uid="{00000000-0006-0000-0500-00006D000000}">
      <text>
        <r>
          <rPr>
            <sz val="11"/>
            <color theme="1"/>
            <rFont val="Calibri"/>
            <family val="2"/>
            <scheme val="minor"/>
          </rPr>
          <t>Preserved from Kerry_Drydock_2027_Job_Workspace_Recovery_v2.xlsm | Quotes!S17. No new commercial figures or exchange rates have been entered.</t>
        </r>
      </text>
    </comment>
    <comment ref="T17" authorId="0" shapeId="0" xr:uid="{00000000-0006-0000-0500-00006E000000}">
      <text>
        <r>
          <rPr>
            <sz val="11"/>
            <color theme="1"/>
            <rFont val="Calibri"/>
            <family val="2"/>
            <scheme val="minor"/>
          </rPr>
          <t>Preserved from Kerry_Drydock_2027_Job_Workspace_Recovery_v2.xlsm | Quotes!T17. No new commercial figures or exchange rates have been entered.</t>
        </r>
      </text>
    </comment>
    <comment ref="A18" authorId="0" shapeId="0" xr:uid="{00000000-0006-0000-0500-00006F000000}">
      <text>
        <r>
          <rPr>
            <sz val="11"/>
            <color theme="1"/>
            <rFont val="Calibri"/>
            <family val="2"/>
            <scheme val="minor"/>
          </rPr>
          <t>Preserved from Kerry_Drydock_2027_Job_Workspace_Recovery_v2.xlsm | Quotes!A18. No new commercial figures or exchange rates have been entered.</t>
        </r>
      </text>
    </comment>
    <comment ref="B18" authorId="0" shapeId="0" xr:uid="{00000000-0006-0000-0500-000070000000}">
      <text>
        <r>
          <rPr>
            <sz val="11"/>
            <color theme="1"/>
            <rFont val="Calibri"/>
            <family val="2"/>
            <scheme val="minor"/>
          </rPr>
          <t>Preserved from Kerry_Drydock_2027_Job_Workspace_Recovery_v2.xlsm | Quotes!B18. No new commercial figures or exchange rates have been entered.</t>
        </r>
      </text>
    </comment>
    <comment ref="C18" authorId="0" shapeId="0" xr:uid="{00000000-0006-0000-0500-000071000000}">
      <text>
        <r>
          <rPr>
            <sz val="11"/>
            <color theme="1"/>
            <rFont val="Calibri"/>
            <family val="2"/>
            <scheme val="minor"/>
          </rPr>
          <t>Preserved from Kerry_Drydock_2027_Job_Workspace_Recovery_v2.xlsm | Quotes!C18. No new commercial figures or exchange rates have been entered.</t>
        </r>
      </text>
    </comment>
    <comment ref="D18" authorId="0" shapeId="0" xr:uid="{00000000-0006-0000-0500-000072000000}">
      <text>
        <r>
          <rPr>
            <sz val="11"/>
            <color theme="1"/>
            <rFont val="Calibri"/>
            <family val="2"/>
            <scheme val="minor"/>
          </rPr>
          <t>Preserved from Kerry_Drydock_2027_Job_Workspace_Recovery_v2.xlsm | Quotes!D18. No new commercial figures or exchange rates have been entered.</t>
        </r>
      </text>
    </comment>
    <comment ref="E18" authorId="0" shapeId="0" xr:uid="{00000000-0006-0000-0500-000073000000}">
      <text>
        <r>
          <rPr>
            <sz val="11"/>
            <color theme="1"/>
            <rFont val="Calibri"/>
            <family val="2"/>
            <scheme val="minor"/>
          </rPr>
          <t>Preserved from Kerry_Drydock_2027_Job_Workspace_Recovery_v2.xlsm | Quotes!E18. No new commercial figures or exchange rates have been entered.</t>
        </r>
      </text>
    </comment>
    <comment ref="F18" authorId="0" shapeId="0" xr:uid="{00000000-0006-0000-0500-000074000000}">
      <text>
        <r>
          <rPr>
            <sz val="11"/>
            <color theme="1"/>
            <rFont val="Calibri"/>
            <family val="2"/>
            <scheme val="minor"/>
          </rPr>
          <t>Preserved from Kerry_Drydock_2027_Job_Workspace_Recovery_v2.xlsm | Quotes!F18. No new commercial figures or exchange rates have been entered.</t>
        </r>
      </text>
    </comment>
    <comment ref="M18" authorId="0" shapeId="0" xr:uid="{00000000-0006-0000-0500-000075000000}">
      <text>
        <r>
          <rPr>
            <sz val="11"/>
            <color theme="1"/>
            <rFont val="Calibri"/>
            <family val="2"/>
            <scheme val="minor"/>
          </rPr>
          <t>Preserved from Kerry_Drydock_2027_Job_Workspace_Recovery_v2.xlsm | Quotes!M18. No new commercial figures or exchange rates have been entered.</t>
        </r>
      </text>
    </comment>
    <comment ref="R18" authorId="0" shapeId="0" xr:uid="{00000000-0006-0000-0500-000076000000}">
      <text>
        <r>
          <rPr>
            <sz val="11"/>
            <color theme="1"/>
            <rFont val="Calibri"/>
            <family val="2"/>
            <scheme val="minor"/>
          </rPr>
          <t>Preserved from Kerry_Drydock_2027_Job_Workspace_Recovery_v2.xlsm | Quotes!R18. No new commercial figures or exchange rates have been entered.</t>
        </r>
      </text>
    </comment>
    <comment ref="T18" authorId="0" shapeId="0" xr:uid="{00000000-0006-0000-0500-000077000000}">
      <text>
        <r>
          <rPr>
            <sz val="11"/>
            <color theme="1"/>
            <rFont val="Calibri"/>
            <family val="2"/>
            <scheme val="minor"/>
          </rPr>
          <t>Preserved from Kerry_Drydock_2027_Job_Workspace_Recovery_v2.xlsm | Quotes!T18. No new commercial figures or exchange rates have been entered.</t>
        </r>
      </text>
    </comment>
    <comment ref="A19" authorId="0" shapeId="0" xr:uid="{00000000-0006-0000-0500-000078000000}">
      <text>
        <r>
          <rPr>
            <sz val="11"/>
            <color theme="1"/>
            <rFont val="Calibri"/>
            <family val="2"/>
            <scheme val="minor"/>
          </rPr>
          <t>Preserved from Kerry_Drydock_2027_Job_Workspace_Recovery_v2.xlsm | Quotes!A19. No new commercial figures or exchange rates have been entered.</t>
        </r>
      </text>
    </comment>
    <comment ref="B19" authorId="0" shapeId="0" xr:uid="{00000000-0006-0000-0500-000079000000}">
      <text>
        <r>
          <rPr>
            <sz val="11"/>
            <color theme="1"/>
            <rFont val="Calibri"/>
            <family val="2"/>
            <scheme val="minor"/>
          </rPr>
          <t>Preserved from Kerry_Drydock_2027_Job_Workspace_Recovery_v2.xlsm | Quotes!B19. No new commercial figures or exchange rates have been entered.</t>
        </r>
      </text>
    </comment>
    <comment ref="C19" authorId="0" shapeId="0" xr:uid="{00000000-0006-0000-0500-00007A000000}">
      <text>
        <r>
          <rPr>
            <sz val="11"/>
            <color theme="1"/>
            <rFont val="Calibri"/>
            <family val="2"/>
            <scheme val="minor"/>
          </rPr>
          <t>Preserved from Kerry_Drydock_2027_Job_Workspace_Recovery_v2.xlsm | Quotes!C19. No new commercial figures or exchange rates have been entered.</t>
        </r>
      </text>
    </comment>
    <comment ref="D19" authorId="0" shapeId="0" xr:uid="{00000000-0006-0000-0500-00007B000000}">
      <text>
        <r>
          <rPr>
            <sz val="11"/>
            <color theme="1"/>
            <rFont val="Calibri"/>
            <family val="2"/>
            <scheme val="minor"/>
          </rPr>
          <t>Preserved from Kerry_Drydock_2027_Job_Workspace_Recovery_v2.xlsm | Quotes!D19. No new commercial figures or exchange rates have been entered.</t>
        </r>
      </text>
    </comment>
    <comment ref="E19" authorId="0" shapeId="0" xr:uid="{00000000-0006-0000-0500-00007C000000}">
      <text>
        <r>
          <rPr>
            <sz val="11"/>
            <color theme="1"/>
            <rFont val="Calibri"/>
            <family val="2"/>
            <scheme val="minor"/>
          </rPr>
          <t>Preserved from Kerry_Drydock_2027_Job_Workspace_Recovery_v2.xlsm | Quotes!E19. No new commercial figures or exchange rates have been entered.</t>
        </r>
      </text>
    </comment>
    <comment ref="F19" authorId="0" shapeId="0" xr:uid="{00000000-0006-0000-0500-00007D000000}">
      <text>
        <r>
          <rPr>
            <sz val="11"/>
            <color theme="1"/>
            <rFont val="Calibri"/>
            <family val="2"/>
            <scheme val="minor"/>
          </rPr>
          <t>Preserved from Kerry_Drydock_2027_Job_Workspace_Recovery_v2.xlsm | Quotes!F19. No new commercial figures or exchange rates have been entered.</t>
        </r>
      </text>
    </comment>
    <comment ref="G19" authorId="0" shapeId="0" xr:uid="{00000000-0006-0000-0500-00007E000000}">
      <text>
        <r>
          <rPr>
            <sz val="11"/>
            <color theme="1"/>
            <rFont val="Calibri"/>
            <family val="2"/>
            <scheme val="minor"/>
          </rPr>
          <t>Preserved from Kerry_Drydock_2027_Job_Workspace_Recovery_v2.xlsm | Quotes!G19. No new commercial figures or exchange rates have been entered.</t>
        </r>
      </text>
    </comment>
    <comment ref="I19" authorId="0" shapeId="0" xr:uid="{00000000-0006-0000-0500-00007F000000}">
      <text>
        <r>
          <rPr>
            <sz val="11"/>
            <color theme="1"/>
            <rFont val="Calibri"/>
            <family val="2"/>
            <scheme val="minor"/>
          </rPr>
          <t>Preserved from Kerry_Drydock_2027_Job_Workspace_Recovery_v2.xlsm | Quotes!I19. No new commercial figures or exchange rates have been entered.</t>
        </r>
      </text>
    </comment>
    <comment ref="M19" authorId="0" shapeId="0" xr:uid="{00000000-0006-0000-0500-000080000000}">
      <text>
        <r>
          <rPr>
            <sz val="11"/>
            <color theme="1"/>
            <rFont val="Calibri"/>
            <family val="2"/>
            <scheme val="minor"/>
          </rPr>
          <t>Preserved from Kerry_Drydock_2027_Job_Workspace_Recovery_v2.xlsm | Quotes!M19. No new commercial figures or exchange rates have been entered.</t>
        </r>
      </text>
    </comment>
    <comment ref="N19" authorId="0" shapeId="0" xr:uid="{00000000-0006-0000-0500-000081000000}">
      <text>
        <r>
          <rPr>
            <sz val="11"/>
            <color theme="1"/>
            <rFont val="Calibri"/>
            <family val="2"/>
            <scheme val="minor"/>
          </rPr>
          <t>Preserved from Kerry_Drydock_2027_Job_Workspace_Recovery_v2.xlsm | Quotes!N19. No new commercial figures or exchange rates have been entered.</t>
        </r>
      </text>
    </comment>
    <comment ref="P19" authorId="0" shapeId="0" xr:uid="{00000000-0006-0000-0500-000082000000}">
      <text>
        <r>
          <rPr>
            <sz val="11"/>
            <color theme="1"/>
            <rFont val="Calibri"/>
            <family val="2"/>
            <scheme val="minor"/>
          </rPr>
          <t>Preserved from Kerry_Drydock_2027_Job_Workspace_Recovery_v2.xlsm | Quotes!P19. No new commercial figures or exchange rates have been entered.</t>
        </r>
      </text>
    </comment>
    <comment ref="R19" authorId="0" shapeId="0" xr:uid="{00000000-0006-0000-0500-000083000000}">
      <text>
        <r>
          <rPr>
            <sz val="11"/>
            <color theme="1"/>
            <rFont val="Calibri"/>
            <family val="2"/>
            <scheme val="minor"/>
          </rPr>
          <t>Preserved from Kerry_Drydock_2027_Job_Workspace_Recovery_v2.xlsm | Quotes!R19. No new commercial figures or exchange rates have been entered.</t>
        </r>
      </text>
    </comment>
    <comment ref="S19" authorId="0" shapeId="0" xr:uid="{00000000-0006-0000-0500-000084000000}">
      <text>
        <r>
          <rPr>
            <sz val="11"/>
            <color theme="1"/>
            <rFont val="Calibri"/>
            <family val="2"/>
            <scheme val="minor"/>
          </rPr>
          <t>Preserved from Kerry_Drydock_2027_Job_Workspace_Recovery_v2.xlsm | Quotes!S19. No new commercial figures or exchange rates have been entered.</t>
        </r>
      </text>
    </comment>
    <comment ref="T19" authorId="0" shapeId="0" xr:uid="{00000000-0006-0000-0500-000085000000}">
      <text>
        <r>
          <rPr>
            <sz val="11"/>
            <color theme="1"/>
            <rFont val="Calibri"/>
            <family val="2"/>
            <scheme val="minor"/>
          </rPr>
          <t>Preserved from Kerry_Drydock_2027_Job_Workspace_Recovery_v2.xlsm | Quotes!T19. No new commercial figures or exchange rates have been entered.</t>
        </r>
      </text>
    </comment>
    <comment ref="A20" authorId="0" shapeId="0" xr:uid="{00000000-0006-0000-0500-000086000000}">
      <text>
        <r>
          <rPr>
            <sz val="11"/>
            <color theme="1"/>
            <rFont val="Calibri"/>
            <family val="2"/>
            <scheme val="minor"/>
          </rPr>
          <t>Preserved from Kerry_Drydock_2027_Job_Workspace_Recovery_v2.xlsm | Quotes!A20. No new commercial figures or exchange rates have been entered.</t>
        </r>
      </text>
    </comment>
    <comment ref="B20" authorId="0" shapeId="0" xr:uid="{00000000-0006-0000-0500-000087000000}">
      <text>
        <r>
          <rPr>
            <sz val="11"/>
            <color theme="1"/>
            <rFont val="Calibri"/>
            <family val="2"/>
            <scheme val="minor"/>
          </rPr>
          <t>Preserved from Kerry_Drydock_2027_Job_Workspace_Recovery_v2.xlsm | Quotes!B20. No new commercial figures or exchange rates have been entered.</t>
        </r>
      </text>
    </comment>
    <comment ref="C20" authorId="0" shapeId="0" xr:uid="{00000000-0006-0000-0500-000088000000}">
      <text>
        <r>
          <rPr>
            <sz val="11"/>
            <color theme="1"/>
            <rFont val="Calibri"/>
            <family val="2"/>
            <scheme val="minor"/>
          </rPr>
          <t>Preserved from Kerry_Drydock_2027_Job_Workspace_Recovery_v2.xlsm | Quotes!C20. No new commercial figures or exchange rates have been entered.</t>
        </r>
      </text>
    </comment>
    <comment ref="D20" authorId="0" shapeId="0" xr:uid="{00000000-0006-0000-0500-000089000000}">
      <text>
        <r>
          <rPr>
            <sz val="11"/>
            <color theme="1"/>
            <rFont val="Calibri"/>
            <family val="2"/>
            <scheme val="minor"/>
          </rPr>
          <t>Preserved from Kerry_Drydock_2027_Job_Workspace_Recovery_v2.xlsm | Quotes!D20. No new commercial figures or exchange rates have been entered.</t>
        </r>
      </text>
    </comment>
    <comment ref="E20" authorId="0" shapeId="0" xr:uid="{00000000-0006-0000-0500-00008A000000}">
      <text>
        <r>
          <rPr>
            <sz val="11"/>
            <color theme="1"/>
            <rFont val="Calibri"/>
            <family val="2"/>
            <scheme val="minor"/>
          </rPr>
          <t>Preserved from Kerry_Drydock_2027_Job_Workspace_Recovery_v2.xlsm | Quotes!E20. No new commercial figures or exchange rates have been entered.</t>
        </r>
      </text>
    </comment>
    <comment ref="F20" authorId="0" shapeId="0" xr:uid="{00000000-0006-0000-0500-00008B000000}">
      <text>
        <r>
          <rPr>
            <sz val="11"/>
            <color theme="1"/>
            <rFont val="Calibri"/>
            <family val="2"/>
            <scheme val="minor"/>
          </rPr>
          <t>Preserved from Kerry_Drydock_2027_Job_Workspace_Recovery_v2.xlsm | Quotes!F20. No new commercial figures or exchange rates have been entered.</t>
        </r>
      </text>
    </comment>
    <comment ref="G20" authorId="0" shapeId="0" xr:uid="{00000000-0006-0000-0500-00008C000000}">
      <text>
        <r>
          <rPr>
            <sz val="11"/>
            <color theme="1"/>
            <rFont val="Calibri"/>
            <family val="2"/>
            <scheme val="minor"/>
          </rPr>
          <t>Preserved from Kerry_Drydock_2027_Job_Workspace_Recovery_v2.xlsm | Quotes!G20. No new commercial figures or exchange rates have been entered.</t>
        </r>
      </text>
    </comment>
    <comment ref="I20" authorId="0" shapeId="0" xr:uid="{00000000-0006-0000-0500-00008D000000}">
      <text>
        <r>
          <rPr>
            <sz val="11"/>
            <color theme="1"/>
            <rFont val="Calibri"/>
            <family val="2"/>
            <scheme val="minor"/>
          </rPr>
          <t>Preserved from Kerry_Drydock_2027_Job_Workspace_Recovery_v2.xlsm | Quotes!I20. No new commercial figures or exchange rates have been entered.</t>
        </r>
      </text>
    </comment>
    <comment ref="M20" authorId="0" shapeId="0" xr:uid="{00000000-0006-0000-0500-00008E000000}">
      <text>
        <r>
          <rPr>
            <sz val="11"/>
            <color theme="1"/>
            <rFont val="Calibri"/>
            <family val="2"/>
            <scheme val="minor"/>
          </rPr>
          <t>Preserved from Kerry_Drydock_2027_Job_Workspace_Recovery_v2.xlsm | Quotes!M20. No new commercial figures or exchange rates have been entered.</t>
        </r>
      </text>
    </comment>
    <comment ref="N20" authorId="0" shapeId="0" xr:uid="{00000000-0006-0000-0500-00008F000000}">
      <text>
        <r>
          <rPr>
            <sz val="11"/>
            <color theme="1"/>
            <rFont val="Calibri"/>
            <family val="2"/>
            <scheme val="minor"/>
          </rPr>
          <t>Preserved from Kerry_Drydock_2027_Job_Workspace_Recovery_v2.xlsm | Quotes!N20. No new commercial figures or exchange rates have been entered.</t>
        </r>
      </text>
    </comment>
    <comment ref="P20" authorId="0" shapeId="0" xr:uid="{00000000-0006-0000-0500-000090000000}">
      <text>
        <r>
          <rPr>
            <sz val="11"/>
            <color theme="1"/>
            <rFont val="Calibri"/>
            <family val="2"/>
            <scheme val="minor"/>
          </rPr>
          <t>Preserved from Kerry_Drydock_2027_Job_Workspace_Recovery_v2.xlsm | Quotes!P20. No new commercial figures or exchange rates have been entered.</t>
        </r>
      </text>
    </comment>
    <comment ref="R20" authorId="0" shapeId="0" xr:uid="{00000000-0006-0000-0500-000091000000}">
      <text>
        <r>
          <rPr>
            <sz val="11"/>
            <color theme="1"/>
            <rFont val="Calibri"/>
            <family val="2"/>
            <scheme val="minor"/>
          </rPr>
          <t>Preserved from Kerry_Drydock_2027_Job_Workspace_Recovery_v2.xlsm | Quotes!R20. No new commercial figures or exchange rates have been entered.</t>
        </r>
      </text>
    </comment>
    <comment ref="S20" authorId="0" shapeId="0" xr:uid="{00000000-0006-0000-0500-000092000000}">
      <text>
        <r>
          <rPr>
            <sz val="11"/>
            <color theme="1"/>
            <rFont val="Calibri"/>
            <family val="2"/>
            <scheme val="minor"/>
          </rPr>
          <t>Preserved from Kerry_Drydock_2027_Job_Workspace_Recovery_v2.xlsm | Quotes!S20. No new commercial figures or exchange rates have been entered.</t>
        </r>
      </text>
    </comment>
    <comment ref="T20" authorId="0" shapeId="0" xr:uid="{00000000-0006-0000-0500-000093000000}">
      <text>
        <r>
          <rPr>
            <sz val="11"/>
            <color theme="1"/>
            <rFont val="Calibri"/>
            <family val="2"/>
            <scheme val="minor"/>
          </rPr>
          <t>Preserved from Kerry_Drydock_2027_Job_Workspace_Recovery_v2.xlsm | Quotes!T20. No new commercial figures or exchange rates have been entered.</t>
        </r>
      </text>
    </comment>
    <comment ref="A21" authorId="0" shapeId="0" xr:uid="{00000000-0006-0000-0500-000094000000}">
      <text>
        <r>
          <rPr>
            <sz val="11"/>
            <color theme="1"/>
            <rFont val="Calibri"/>
            <family val="2"/>
            <scheme val="minor"/>
          </rPr>
          <t>Preserved from Kerry_Drydock_2027_Job_Workspace_Recovery_v2.xlsm | Quotes!A21. No new commercial figures or exchange rates have been entered.</t>
        </r>
      </text>
    </comment>
    <comment ref="B21" authorId="0" shapeId="0" xr:uid="{00000000-0006-0000-0500-000095000000}">
      <text>
        <r>
          <rPr>
            <sz val="11"/>
            <color theme="1"/>
            <rFont val="Calibri"/>
            <family val="2"/>
            <scheme val="minor"/>
          </rPr>
          <t>Preserved from Kerry_Drydock_2027_Job_Workspace_Recovery_v2.xlsm | Quotes!B21. No new commercial figures or exchange rates have been entered.</t>
        </r>
      </text>
    </comment>
    <comment ref="C21" authorId="0" shapeId="0" xr:uid="{00000000-0006-0000-0500-000096000000}">
      <text>
        <r>
          <rPr>
            <sz val="11"/>
            <color theme="1"/>
            <rFont val="Calibri"/>
            <family val="2"/>
            <scheme val="minor"/>
          </rPr>
          <t>Preserved from Kerry_Drydock_2027_Job_Workspace_Recovery_v2.xlsm | Quotes!C21. No new commercial figures or exchange rates have been entered.</t>
        </r>
      </text>
    </comment>
    <comment ref="D21" authorId="0" shapeId="0" xr:uid="{00000000-0006-0000-0500-000097000000}">
      <text>
        <r>
          <rPr>
            <sz val="11"/>
            <color theme="1"/>
            <rFont val="Calibri"/>
            <family val="2"/>
            <scheme val="minor"/>
          </rPr>
          <t>Preserved from Kerry_Drydock_2027_Job_Workspace_Recovery_v2.xlsm | Quotes!D21. No new commercial figures or exchange rates have been entered.</t>
        </r>
      </text>
    </comment>
    <comment ref="E21" authorId="0" shapeId="0" xr:uid="{00000000-0006-0000-0500-000098000000}">
      <text>
        <r>
          <rPr>
            <sz val="11"/>
            <color theme="1"/>
            <rFont val="Calibri"/>
            <family val="2"/>
            <scheme val="minor"/>
          </rPr>
          <t>Preserved from Kerry_Drydock_2027_Job_Workspace_Recovery_v2.xlsm | Quotes!E21. No new commercial figures or exchange rates have been entered.</t>
        </r>
      </text>
    </comment>
    <comment ref="F21" authorId="0" shapeId="0" xr:uid="{00000000-0006-0000-0500-000099000000}">
      <text>
        <r>
          <rPr>
            <sz val="11"/>
            <color theme="1"/>
            <rFont val="Calibri"/>
            <family val="2"/>
            <scheme val="minor"/>
          </rPr>
          <t>Preserved from Kerry_Drydock_2027_Job_Workspace_Recovery_v2.xlsm | Quotes!F21. No new commercial figures or exchange rates have been entered.</t>
        </r>
      </text>
    </comment>
    <comment ref="G21" authorId="0" shapeId="0" xr:uid="{00000000-0006-0000-0500-00009A000000}">
      <text>
        <r>
          <rPr>
            <sz val="11"/>
            <color theme="1"/>
            <rFont val="Calibri"/>
            <family val="2"/>
            <scheme val="minor"/>
          </rPr>
          <t>Preserved from Kerry_Drydock_2027_Job_Workspace_Recovery_v2.xlsm | Quotes!G21. No new commercial figures or exchange rates have been entered.</t>
        </r>
      </text>
    </comment>
    <comment ref="I21" authorId="0" shapeId="0" xr:uid="{00000000-0006-0000-0500-00009B000000}">
      <text>
        <r>
          <rPr>
            <sz val="11"/>
            <color theme="1"/>
            <rFont val="Calibri"/>
            <family val="2"/>
            <scheme val="minor"/>
          </rPr>
          <t>Preserved from Kerry_Drydock_2027_Job_Workspace_Recovery_v2.xlsm | Quotes!I21. No new commercial figures or exchange rates have been entered.</t>
        </r>
      </text>
    </comment>
    <comment ref="M21" authorId="0" shapeId="0" xr:uid="{00000000-0006-0000-0500-00009C000000}">
      <text>
        <r>
          <rPr>
            <sz val="11"/>
            <color theme="1"/>
            <rFont val="Calibri"/>
            <family val="2"/>
            <scheme val="minor"/>
          </rPr>
          <t>Preserved from Kerry_Drydock_2027_Job_Workspace_Recovery_v2.xlsm | Quotes!M21. No new commercial figures or exchange rates have been entered.</t>
        </r>
      </text>
    </comment>
    <comment ref="N21" authorId="0" shapeId="0" xr:uid="{00000000-0006-0000-0500-00009D000000}">
      <text>
        <r>
          <rPr>
            <sz val="11"/>
            <color theme="1"/>
            <rFont val="Calibri"/>
            <family val="2"/>
            <scheme val="minor"/>
          </rPr>
          <t>Preserved from Kerry_Drydock_2027_Job_Workspace_Recovery_v2.xlsm | Quotes!N21. No new commercial figures or exchange rates have been entered.</t>
        </r>
      </text>
    </comment>
    <comment ref="P21" authorId="0" shapeId="0" xr:uid="{00000000-0006-0000-0500-00009E000000}">
      <text>
        <r>
          <rPr>
            <sz val="11"/>
            <color theme="1"/>
            <rFont val="Calibri"/>
            <family val="2"/>
            <scheme val="minor"/>
          </rPr>
          <t>Preserved from Kerry_Drydock_2027_Job_Workspace_Recovery_v2.xlsm | Quotes!P21. No new commercial figures or exchange rates have been entered.</t>
        </r>
      </text>
    </comment>
    <comment ref="S21" authorId="0" shapeId="0" xr:uid="{00000000-0006-0000-0500-00009F000000}">
      <text>
        <r>
          <rPr>
            <sz val="11"/>
            <color theme="1"/>
            <rFont val="Calibri"/>
            <family val="2"/>
            <scheme val="minor"/>
          </rPr>
          <t>Preserved from Kerry_Drydock_2027_Job_Workspace_Recovery_v2.xlsm | Quotes!S21. No new commercial figures or exchange rates have been entered.</t>
        </r>
      </text>
    </comment>
    <comment ref="T21" authorId="0" shapeId="0" xr:uid="{00000000-0006-0000-0500-0000A0000000}">
      <text>
        <r>
          <rPr>
            <sz val="11"/>
            <color theme="1"/>
            <rFont val="Calibri"/>
            <family val="2"/>
            <scheme val="minor"/>
          </rPr>
          <t>Preserved from Kerry_Drydock_2027_Job_Workspace_Recovery_v2.xlsm | Quotes!T21. No new commercial figures or exchange rates have been entered.</t>
        </r>
      </text>
    </comment>
    <comment ref="A22" authorId="0" shapeId="0" xr:uid="{00000000-0006-0000-0500-0000A1000000}">
      <text>
        <r>
          <rPr>
            <sz val="11"/>
            <color theme="1"/>
            <rFont val="Calibri"/>
            <family val="2"/>
            <scheme val="minor"/>
          </rPr>
          <t>Preserved from Kerry_Drydock_2027_Job_Workspace_Recovery_v2.xlsm | Quotes!A22. No new commercial figures or exchange rates have been entered.</t>
        </r>
      </text>
    </comment>
    <comment ref="B22" authorId="0" shapeId="0" xr:uid="{00000000-0006-0000-0500-0000A2000000}">
      <text>
        <r>
          <rPr>
            <sz val="11"/>
            <color theme="1"/>
            <rFont val="Calibri"/>
            <family val="2"/>
            <scheme val="minor"/>
          </rPr>
          <t>Preserved from Kerry_Drydock_2027_Job_Workspace_Recovery_v2.xlsm | Quotes!B22. No new commercial figures or exchange rates have been entered.</t>
        </r>
      </text>
    </comment>
    <comment ref="C22" authorId="0" shapeId="0" xr:uid="{00000000-0006-0000-0500-0000A3000000}">
      <text>
        <r>
          <rPr>
            <sz val="11"/>
            <color theme="1"/>
            <rFont val="Calibri"/>
            <family val="2"/>
            <scheme val="minor"/>
          </rPr>
          <t>Preserved from Kerry_Drydock_2027_Job_Workspace_Recovery_v2.xlsm | Quotes!C22. No new commercial figures or exchange rates have been entered.</t>
        </r>
      </text>
    </comment>
    <comment ref="D22" authorId="0" shapeId="0" xr:uid="{00000000-0006-0000-0500-0000A4000000}">
      <text>
        <r>
          <rPr>
            <sz val="11"/>
            <color theme="1"/>
            <rFont val="Calibri"/>
            <family val="2"/>
            <scheme val="minor"/>
          </rPr>
          <t>Preserved from Kerry_Drydock_2027_Job_Workspace_Recovery_v2.xlsm | Quotes!D22. No new commercial figures or exchange rates have been entered.</t>
        </r>
      </text>
    </comment>
    <comment ref="E22" authorId="0" shapeId="0" xr:uid="{00000000-0006-0000-0500-0000A5000000}">
      <text>
        <r>
          <rPr>
            <sz val="11"/>
            <color theme="1"/>
            <rFont val="Calibri"/>
            <family val="2"/>
            <scheme val="minor"/>
          </rPr>
          <t>Preserved from Kerry_Drydock_2027_Job_Workspace_Recovery_v2.xlsm | Quotes!E22. No new commercial figures or exchange rates have been entered.</t>
        </r>
      </text>
    </comment>
    <comment ref="F22" authorId="0" shapeId="0" xr:uid="{00000000-0006-0000-0500-0000A6000000}">
      <text>
        <r>
          <rPr>
            <sz val="11"/>
            <color theme="1"/>
            <rFont val="Calibri"/>
            <family val="2"/>
            <scheme val="minor"/>
          </rPr>
          <t>Preserved from Kerry_Drydock_2027_Job_Workspace_Recovery_v2.xlsm | Quotes!F22. No new commercial figures or exchange rates have been entered.</t>
        </r>
      </text>
    </comment>
    <comment ref="G22" authorId="0" shapeId="0" xr:uid="{00000000-0006-0000-0500-0000A7000000}">
      <text>
        <r>
          <rPr>
            <sz val="11"/>
            <color theme="1"/>
            <rFont val="Calibri"/>
            <family val="2"/>
            <scheme val="minor"/>
          </rPr>
          <t>Preserved from Kerry_Drydock_2027_Job_Workspace_Recovery_v2.xlsm | Quotes!G22. No new commercial figures or exchange rates have been entered.</t>
        </r>
      </text>
    </comment>
    <comment ref="I22" authorId="0" shapeId="0" xr:uid="{00000000-0006-0000-0500-0000A8000000}">
      <text>
        <r>
          <rPr>
            <sz val="11"/>
            <color theme="1"/>
            <rFont val="Calibri"/>
            <family val="2"/>
            <scheme val="minor"/>
          </rPr>
          <t>Preserved from Kerry_Drydock_2027_Job_Workspace_Recovery_v2.xlsm | Quotes!I22. No new commercial figures or exchange rates have been entered.</t>
        </r>
      </text>
    </comment>
    <comment ref="M22" authorId="0" shapeId="0" xr:uid="{00000000-0006-0000-0500-0000A9000000}">
      <text>
        <r>
          <rPr>
            <sz val="11"/>
            <color theme="1"/>
            <rFont val="Calibri"/>
            <family val="2"/>
            <scheme val="minor"/>
          </rPr>
          <t>Preserved from Kerry_Drydock_2027_Job_Workspace_Recovery_v2.xlsm | Quotes!M22. No new commercial figures or exchange rates have been entered.</t>
        </r>
      </text>
    </comment>
    <comment ref="N22" authorId="0" shapeId="0" xr:uid="{00000000-0006-0000-0500-0000AA000000}">
      <text>
        <r>
          <rPr>
            <sz val="11"/>
            <color theme="1"/>
            <rFont val="Calibri"/>
            <family val="2"/>
            <scheme val="minor"/>
          </rPr>
          <t>Preserved from Kerry_Drydock_2027_Job_Workspace_Recovery_v2.xlsm | Quotes!N22. No new commercial figures or exchange rates have been entered.</t>
        </r>
      </text>
    </comment>
    <comment ref="P22" authorId="0" shapeId="0" xr:uid="{00000000-0006-0000-0500-0000AB000000}">
      <text>
        <r>
          <rPr>
            <sz val="11"/>
            <color theme="1"/>
            <rFont val="Calibri"/>
            <family val="2"/>
            <scheme val="minor"/>
          </rPr>
          <t>Preserved from Kerry_Drydock_2027_Job_Workspace_Recovery_v2.xlsm | Quotes!P22. No new commercial figures or exchange rates have been entered.</t>
        </r>
      </text>
    </comment>
    <comment ref="S22" authorId="0" shapeId="0" xr:uid="{00000000-0006-0000-0500-0000AC000000}">
      <text>
        <r>
          <rPr>
            <sz val="11"/>
            <color theme="1"/>
            <rFont val="Calibri"/>
            <family val="2"/>
            <scheme val="minor"/>
          </rPr>
          <t>Preserved from Kerry_Drydock_2027_Job_Workspace_Recovery_v2.xlsm | Quotes!S22. No new commercial figures or exchange rates have been entered.</t>
        </r>
      </text>
    </comment>
    <comment ref="T22" authorId="0" shapeId="0" xr:uid="{00000000-0006-0000-0500-0000AD000000}">
      <text>
        <r>
          <rPr>
            <sz val="11"/>
            <color theme="1"/>
            <rFont val="Calibri"/>
            <family val="2"/>
            <scheme val="minor"/>
          </rPr>
          <t>Preserved from Kerry_Drydock_2027_Job_Workspace_Recovery_v2.xlsm | Quotes!T22. No new commercial figures or exchange rates have been entered.</t>
        </r>
      </text>
    </comment>
    <comment ref="A23" authorId="0" shapeId="0" xr:uid="{00000000-0006-0000-0500-0000AE000000}">
      <text>
        <r>
          <rPr>
            <sz val="11"/>
            <color theme="1"/>
            <rFont val="Calibri"/>
            <family val="2"/>
            <scheme val="minor"/>
          </rPr>
          <t>Preserved from Kerry_Drydock_2027_Job_Workspace_Recovery_v2.xlsm | Quotes!A23. No new commercial figures or exchange rates have been entered.</t>
        </r>
      </text>
    </comment>
    <comment ref="B23" authorId="0" shapeId="0" xr:uid="{00000000-0006-0000-0500-0000AF000000}">
      <text>
        <r>
          <rPr>
            <sz val="11"/>
            <color theme="1"/>
            <rFont val="Calibri"/>
            <family val="2"/>
            <scheme val="minor"/>
          </rPr>
          <t>Preserved from Kerry_Drydock_2027_Job_Workspace_Recovery_v2.xlsm | Quotes!B23. No new commercial figures or exchange rates have been entered.</t>
        </r>
      </text>
    </comment>
    <comment ref="C23" authorId="0" shapeId="0" xr:uid="{00000000-0006-0000-0500-0000B0000000}">
      <text>
        <r>
          <rPr>
            <sz val="11"/>
            <color theme="1"/>
            <rFont val="Calibri"/>
            <family val="2"/>
            <scheme val="minor"/>
          </rPr>
          <t>Preserved from Kerry_Drydock_2027_Job_Workspace_Recovery_v2.xlsm | Quotes!C23. No new commercial figures or exchange rates have been entered.</t>
        </r>
      </text>
    </comment>
    <comment ref="D23" authorId="0" shapeId="0" xr:uid="{00000000-0006-0000-0500-0000B1000000}">
      <text>
        <r>
          <rPr>
            <sz val="11"/>
            <color theme="1"/>
            <rFont val="Calibri"/>
            <family val="2"/>
            <scheme val="minor"/>
          </rPr>
          <t>Preserved from Kerry_Drydock_2027_Job_Workspace_Recovery_v2.xlsm | Quotes!D23. No new commercial figures or exchange rates have been entered.</t>
        </r>
      </text>
    </comment>
    <comment ref="E23" authorId="0" shapeId="0" xr:uid="{00000000-0006-0000-0500-0000B2000000}">
      <text>
        <r>
          <rPr>
            <sz val="11"/>
            <color theme="1"/>
            <rFont val="Calibri"/>
            <family val="2"/>
            <scheme val="minor"/>
          </rPr>
          <t>Preserved from Kerry_Drydock_2027_Job_Workspace_Recovery_v2.xlsm | Quotes!E23. No new commercial figures or exchange rates have been entered.</t>
        </r>
      </text>
    </comment>
    <comment ref="F23" authorId="0" shapeId="0" xr:uid="{00000000-0006-0000-0500-0000B3000000}">
      <text>
        <r>
          <rPr>
            <sz val="11"/>
            <color theme="1"/>
            <rFont val="Calibri"/>
            <family val="2"/>
            <scheme val="minor"/>
          </rPr>
          <t>Preserved from Kerry_Drydock_2027_Job_Workspace_Recovery_v2.xlsm | Quotes!F23. No new commercial figures or exchange rates have been entered.</t>
        </r>
      </text>
    </comment>
    <comment ref="G23" authorId="0" shapeId="0" xr:uid="{00000000-0006-0000-0500-0000B4000000}">
      <text>
        <r>
          <rPr>
            <sz val="11"/>
            <color theme="1"/>
            <rFont val="Calibri"/>
            <family val="2"/>
            <scheme val="minor"/>
          </rPr>
          <t>Preserved from Kerry_Drydock_2027_Job_Workspace_Recovery_v2.xlsm | Quotes!G23. No new commercial figures or exchange rates have been entered.</t>
        </r>
      </text>
    </comment>
    <comment ref="I23" authorId="0" shapeId="0" xr:uid="{00000000-0006-0000-0500-0000B5000000}">
      <text>
        <r>
          <rPr>
            <sz val="11"/>
            <color theme="1"/>
            <rFont val="Calibri"/>
            <family val="2"/>
            <scheme val="minor"/>
          </rPr>
          <t>Preserved from Kerry_Drydock_2027_Job_Workspace_Recovery_v2.xlsm | Quotes!I23. No new commercial figures or exchange rates have been entered.</t>
        </r>
      </text>
    </comment>
    <comment ref="N23" authorId="0" shapeId="0" xr:uid="{00000000-0006-0000-0500-0000B6000000}">
      <text>
        <r>
          <rPr>
            <sz val="11"/>
            <color theme="1"/>
            <rFont val="Calibri"/>
            <family val="2"/>
            <scheme val="minor"/>
          </rPr>
          <t>Preserved from Kerry_Drydock_2027_Job_Workspace_Recovery_v2.xlsm | Quotes!N23. No new commercial figures or exchange rates have been entered.</t>
        </r>
      </text>
    </comment>
    <comment ref="P23" authorId="0" shapeId="0" xr:uid="{00000000-0006-0000-0500-0000B7000000}">
      <text>
        <r>
          <rPr>
            <sz val="11"/>
            <color theme="1"/>
            <rFont val="Calibri"/>
            <family val="2"/>
            <scheme val="minor"/>
          </rPr>
          <t>Preserved from Kerry_Drydock_2027_Job_Workspace_Recovery_v2.xlsm | Quotes!P23. No new commercial figures or exchange rates have been entered.</t>
        </r>
      </text>
    </comment>
    <comment ref="S23" authorId="0" shapeId="0" xr:uid="{00000000-0006-0000-0500-0000B8000000}">
      <text>
        <r>
          <rPr>
            <sz val="11"/>
            <color theme="1"/>
            <rFont val="Calibri"/>
            <family val="2"/>
            <scheme val="minor"/>
          </rPr>
          <t>Preserved from Kerry_Drydock_2027_Job_Workspace_Recovery_v2.xlsm | Quotes!S23. No new commercial figures or exchange rates have been entered.</t>
        </r>
      </text>
    </comment>
    <comment ref="T23" authorId="0" shapeId="0" xr:uid="{00000000-0006-0000-0500-0000B9000000}">
      <text>
        <r>
          <rPr>
            <sz val="11"/>
            <color theme="1"/>
            <rFont val="Calibri"/>
            <family val="2"/>
            <scheme val="minor"/>
          </rPr>
          <t>Preserved from Kerry_Drydock_2027_Job_Workspace_Recovery_v2.xlsm | Quotes!T23. No new commercial figures or exchange rates have been entered.</t>
        </r>
      </text>
    </comment>
    <comment ref="A24" authorId="0" shapeId="0" xr:uid="{00000000-0006-0000-0500-0000BA000000}">
      <text>
        <r>
          <rPr>
            <sz val="11"/>
            <color theme="1"/>
            <rFont val="Calibri"/>
            <family val="2"/>
            <scheme val="minor"/>
          </rPr>
          <t>Preserved from Kerry_Drydock_2027_Job_Workspace_Recovery_v2.xlsm | Quotes!A24. No new commercial figures or exchange rates have been entered.</t>
        </r>
      </text>
    </comment>
    <comment ref="B24" authorId="0" shapeId="0" xr:uid="{00000000-0006-0000-0500-0000BB000000}">
      <text>
        <r>
          <rPr>
            <sz val="11"/>
            <color theme="1"/>
            <rFont val="Calibri"/>
            <family val="2"/>
            <scheme val="minor"/>
          </rPr>
          <t>Preserved from Kerry_Drydock_2027_Job_Workspace_Recovery_v2.xlsm | Quotes!B24. No new commercial figures or exchange rates have been entered.</t>
        </r>
      </text>
    </comment>
    <comment ref="C24" authorId="0" shapeId="0" xr:uid="{00000000-0006-0000-0500-0000BC000000}">
      <text>
        <r>
          <rPr>
            <sz val="11"/>
            <color theme="1"/>
            <rFont val="Calibri"/>
            <family val="2"/>
            <scheme val="minor"/>
          </rPr>
          <t>Preserved from Kerry_Drydock_2027_Job_Workspace_Recovery_v2.xlsm | Quotes!C24. No new commercial figures or exchange rates have been entered.</t>
        </r>
      </text>
    </comment>
    <comment ref="D24" authorId="0" shapeId="0" xr:uid="{00000000-0006-0000-0500-0000BD000000}">
      <text>
        <r>
          <rPr>
            <sz val="11"/>
            <color theme="1"/>
            <rFont val="Calibri"/>
            <family val="2"/>
            <scheme val="minor"/>
          </rPr>
          <t>Preserved from Kerry_Drydock_2027_Job_Workspace_Recovery_v2.xlsm | Quotes!D24. No new commercial figures or exchange rates have been entered.</t>
        </r>
      </text>
    </comment>
    <comment ref="E24" authorId="0" shapeId="0" xr:uid="{00000000-0006-0000-0500-0000BE000000}">
      <text>
        <r>
          <rPr>
            <sz val="11"/>
            <color theme="1"/>
            <rFont val="Calibri"/>
            <family val="2"/>
            <scheme val="minor"/>
          </rPr>
          <t>Preserved from Kerry_Drydock_2027_Job_Workspace_Recovery_v2.xlsm | Quotes!E24. No new commercial figures or exchange rates have been entered.</t>
        </r>
      </text>
    </comment>
    <comment ref="F24" authorId="0" shapeId="0" xr:uid="{00000000-0006-0000-0500-0000BF000000}">
      <text>
        <r>
          <rPr>
            <sz val="11"/>
            <color theme="1"/>
            <rFont val="Calibri"/>
            <family val="2"/>
            <scheme val="minor"/>
          </rPr>
          <t>Preserved from Kerry_Drydock_2027_Job_Workspace_Recovery_v2.xlsm | Quotes!F24. No new commercial figures or exchange rates have been entered.</t>
        </r>
      </text>
    </comment>
    <comment ref="G24" authorId="0" shapeId="0" xr:uid="{00000000-0006-0000-0500-0000C0000000}">
      <text>
        <r>
          <rPr>
            <sz val="11"/>
            <color theme="1"/>
            <rFont val="Calibri"/>
            <family val="2"/>
            <scheme val="minor"/>
          </rPr>
          <t>Preserved from Kerry_Drydock_2027_Job_Workspace_Recovery_v2.xlsm | Quotes!G24. No new commercial figures or exchange rates have been entered.</t>
        </r>
      </text>
    </comment>
    <comment ref="I24" authorId="0" shapeId="0" xr:uid="{00000000-0006-0000-0500-0000C1000000}">
      <text>
        <r>
          <rPr>
            <sz val="11"/>
            <color theme="1"/>
            <rFont val="Calibri"/>
            <family val="2"/>
            <scheme val="minor"/>
          </rPr>
          <t>Preserved from Kerry_Drydock_2027_Job_Workspace_Recovery_v2.xlsm | Quotes!I24. No new commercial figures or exchange rates have been entered.</t>
        </r>
      </text>
    </comment>
    <comment ref="M24" authorId="0" shapeId="0" xr:uid="{00000000-0006-0000-0500-0000C2000000}">
      <text>
        <r>
          <rPr>
            <sz val="11"/>
            <color theme="1"/>
            <rFont val="Calibri"/>
            <family val="2"/>
            <scheme val="minor"/>
          </rPr>
          <t>Preserved from Kerry_Drydock_2027_Job_Workspace_Recovery_v2.xlsm | Quotes!M24. No new commercial figures or exchange rates have been entered.</t>
        </r>
      </text>
    </comment>
    <comment ref="N24" authorId="0" shapeId="0" xr:uid="{00000000-0006-0000-0500-0000C3000000}">
      <text>
        <r>
          <rPr>
            <sz val="11"/>
            <color theme="1"/>
            <rFont val="Calibri"/>
            <family val="2"/>
            <scheme val="minor"/>
          </rPr>
          <t>Preserved from Kerry_Drydock_2027_Job_Workspace_Recovery_v2.xlsm | Quotes!N24. No new commercial figures or exchange rates have been entered.</t>
        </r>
      </text>
    </comment>
    <comment ref="P24" authorId="0" shapeId="0" xr:uid="{00000000-0006-0000-0500-0000C4000000}">
      <text>
        <r>
          <rPr>
            <sz val="11"/>
            <color theme="1"/>
            <rFont val="Calibri"/>
            <family val="2"/>
            <scheme val="minor"/>
          </rPr>
          <t>Preserved from Kerry_Drydock_2027_Job_Workspace_Recovery_v2.xlsm | Quotes!P24. No new commercial figures or exchange rates have been entered.</t>
        </r>
      </text>
    </comment>
    <comment ref="S24" authorId="0" shapeId="0" xr:uid="{00000000-0006-0000-0500-0000C5000000}">
      <text>
        <r>
          <rPr>
            <sz val="11"/>
            <color theme="1"/>
            <rFont val="Calibri"/>
            <family val="2"/>
            <scheme val="minor"/>
          </rPr>
          <t>Preserved from Kerry_Drydock_2027_Job_Workspace_Recovery_v2.xlsm | Quotes!S24. No new commercial figures or exchange rates have been entered.</t>
        </r>
      </text>
    </comment>
    <comment ref="T24" authorId="0" shapeId="0" xr:uid="{00000000-0006-0000-0500-0000C6000000}">
      <text>
        <r>
          <rPr>
            <sz val="11"/>
            <color theme="1"/>
            <rFont val="Calibri"/>
            <family val="2"/>
            <scheme val="minor"/>
          </rPr>
          <t>Preserved from Kerry_Drydock_2027_Job_Workspace_Recovery_v2.xlsm | Quotes!T24. No new commercial figures or exchange rates have been entered.</t>
        </r>
      </text>
    </comment>
    <comment ref="A25" authorId="0" shapeId="0" xr:uid="{00000000-0006-0000-0500-0000C7000000}">
      <text>
        <r>
          <rPr>
            <sz val="11"/>
            <color theme="1"/>
            <rFont val="Calibri"/>
            <family val="2"/>
            <scheme val="minor"/>
          </rPr>
          <t>Preserved from Kerry_Drydock_2027_Job_Workspace_Recovery_v2.xlsm | Quotes!A25. No new commercial figures or exchange rates have been entered.</t>
        </r>
      </text>
    </comment>
    <comment ref="B25" authorId="0" shapeId="0" xr:uid="{00000000-0006-0000-0500-0000C8000000}">
      <text>
        <r>
          <rPr>
            <sz val="11"/>
            <color theme="1"/>
            <rFont val="Calibri"/>
            <family val="2"/>
            <scheme val="minor"/>
          </rPr>
          <t>Preserved from Kerry_Drydock_2027_Job_Workspace_Recovery_v2.xlsm | Quotes!B25. No new commercial figures or exchange rates have been entered.</t>
        </r>
      </text>
    </comment>
    <comment ref="C25" authorId="0" shapeId="0" xr:uid="{00000000-0006-0000-0500-0000C9000000}">
      <text>
        <r>
          <rPr>
            <sz val="11"/>
            <color theme="1"/>
            <rFont val="Calibri"/>
            <family val="2"/>
            <scheme val="minor"/>
          </rPr>
          <t>Preserved from Kerry_Drydock_2027_Job_Workspace_Recovery_v2.xlsm | Quotes!C25. No new commercial figures or exchange rates have been entered.</t>
        </r>
      </text>
    </comment>
    <comment ref="D25" authorId="0" shapeId="0" xr:uid="{00000000-0006-0000-0500-0000CA000000}">
      <text>
        <r>
          <rPr>
            <sz val="11"/>
            <color theme="1"/>
            <rFont val="Calibri"/>
            <family val="2"/>
            <scheme val="minor"/>
          </rPr>
          <t>Preserved from Kerry_Drydock_2027_Job_Workspace_Recovery_v2.xlsm | Quotes!D25. No new commercial figures or exchange rates have been entered.</t>
        </r>
      </text>
    </comment>
    <comment ref="E25" authorId="0" shapeId="0" xr:uid="{00000000-0006-0000-0500-0000CB000000}">
      <text>
        <r>
          <rPr>
            <sz val="11"/>
            <color theme="1"/>
            <rFont val="Calibri"/>
            <family val="2"/>
            <scheme val="minor"/>
          </rPr>
          <t>Preserved from Kerry_Drydock_2027_Job_Workspace_Recovery_v2.xlsm | Quotes!E25. No new commercial figures or exchange rates have been entered.</t>
        </r>
      </text>
    </comment>
    <comment ref="F25" authorId="0" shapeId="0" xr:uid="{00000000-0006-0000-0500-0000CC000000}">
      <text>
        <r>
          <rPr>
            <sz val="11"/>
            <color theme="1"/>
            <rFont val="Calibri"/>
            <family val="2"/>
            <scheme val="minor"/>
          </rPr>
          <t>Preserved from Kerry_Drydock_2027_Job_Workspace_Recovery_v2.xlsm | Quotes!F25. No new commercial figures or exchange rates have been entered.</t>
        </r>
      </text>
    </comment>
    <comment ref="G25" authorId="0" shapeId="0" xr:uid="{00000000-0006-0000-0500-0000CD000000}">
      <text>
        <r>
          <rPr>
            <sz val="11"/>
            <color theme="1"/>
            <rFont val="Calibri"/>
            <family val="2"/>
            <scheme val="minor"/>
          </rPr>
          <t>Preserved from Kerry_Drydock_2027_Job_Workspace_Recovery_v2.xlsm | Quotes!G25. No new commercial figures or exchange rates have been entered.</t>
        </r>
      </text>
    </comment>
    <comment ref="I25" authorId="0" shapeId="0" xr:uid="{00000000-0006-0000-0500-0000CE000000}">
      <text>
        <r>
          <rPr>
            <sz val="11"/>
            <color theme="1"/>
            <rFont val="Calibri"/>
            <family val="2"/>
            <scheme val="minor"/>
          </rPr>
          <t>Preserved from Kerry_Drydock_2027_Job_Workspace_Recovery_v2.xlsm | Quotes!I25. No new commercial figures or exchange rates have been entered.</t>
        </r>
      </text>
    </comment>
    <comment ref="N25" authorId="0" shapeId="0" xr:uid="{00000000-0006-0000-0500-0000CF000000}">
      <text>
        <r>
          <rPr>
            <sz val="11"/>
            <color theme="1"/>
            <rFont val="Calibri"/>
            <family val="2"/>
            <scheme val="minor"/>
          </rPr>
          <t>Preserved from Kerry_Drydock_2027_Job_Workspace_Recovery_v2.xlsm | Quotes!N25. No new commercial figures or exchange rates have been entered.</t>
        </r>
      </text>
    </comment>
    <comment ref="P25" authorId="0" shapeId="0" xr:uid="{00000000-0006-0000-0500-0000D0000000}">
      <text>
        <r>
          <rPr>
            <sz val="11"/>
            <color theme="1"/>
            <rFont val="Calibri"/>
            <family val="2"/>
            <scheme val="minor"/>
          </rPr>
          <t>Preserved from Kerry_Drydock_2027_Job_Workspace_Recovery_v2.xlsm | Quotes!P25. No new commercial figures or exchange rates have been entered.</t>
        </r>
      </text>
    </comment>
    <comment ref="S25" authorId="0" shapeId="0" xr:uid="{00000000-0006-0000-0500-0000D1000000}">
      <text>
        <r>
          <rPr>
            <sz val="11"/>
            <color theme="1"/>
            <rFont val="Calibri"/>
            <family val="2"/>
            <scheme val="minor"/>
          </rPr>
          <t>Preserved from Kerry_Drydock_2027_Job_Workspace_Recovery_v2.xlsm | Quotes!S25. No new commercial figures or exchange rates have been entered.</t>
        </r>
      </text>
    </comment>
    <comment ref="T25" authorId="0" shapeId="0" xr:uid="{00000000-0006-0000-0500-0000D2000000}">
      <text>
        <r>
          <rPr>
            <sz val="11"/>
            <color theme="1"/>
            <rFont val="Calibri"/>
            <family val="2"/>
            <scheme val="minor"/>
          </rPr>
          <t>Preserved from Kerry_Drydock_2027_Job_Workspace_Recovery_v2.xlsm | Quotes!T25. No new commercial figures or exchange rates have been entered.</t>
        </r>
      </text>
    </comment>
    <comment ref="A26" authorId="0" shapeId="0" xr:uid="{00000000-0006-0000-0500-0000D3000000}">
      <text>
        <r>
          <rPr>
            <sz val="11"/>
            <color theme="1"/>
            <rFont val="Calibri"/>
            <family val="2"/>
            <scheme val="minor"/>
          </rPr>
          <t>Preserved from Kerry_Drydock_2027_Job_Workspace_Recovery_v2.xlsm | Quotes!A26. No new commercial figures or exchange rates have been entered.</t>
        </r>
      </text>
    </comment>
    <comment ref="B26" authorId="0" shapeId="0" xr:uid="{00000000-0006-0000-0500-0000D4000000}">
      <text>
        <r>
          <rPr>
            <sz val="11"/>
            <color theme="1"/>
            <rFont val="Calibri"/>
            <family val="2"/>
            <scheme val="minor"/>
          </rPr>
          <t>Preserved from Kerry_Drydock_2027_Job_Workspace_Recovery_v2.xlsm | Quotes!B26. No new commercial figures or exchange rates have been entered.</t>
        </r>
      </text>
    </comment>
    <comment ref="C26" authorId="0" shapeId="0" xr:uid="{00000000-0006-0000-0500-0000D5000000}">
      <text>
        <r>
          <rPr>
            <sz val="11"/>
            <color theme="1"/>
            <rFont val="Calibri"/>
            <family val="2"/>
            <scheme val="minor"/>
          </rPr>
          <t>Preserved from Kerry_Drydock_2027_Job_Workspace_Recovery_v2.xlsm | Quotes!C26. No new commercial figures or exchange rates have been entered.</t>
        </r>
      </text>
    </comment>
    <comment ref="D26" authorId="0" shapeId="0" xr:uid="{00000000-0006-0000-0500-0000D6000000}">
      <text>
        <r>
          <rPr>
            <sz val="11"/>
            <color theme="1"/>
            <rFont val="Calibri"/>
            <family val="2"/>
            <scheme val="minor"/>
          </rPr>
          <t>Preserved from Kerry_Drydock_2027_Job_Workspace_Recovery_v2.xlsm | Quotes!D26. No new commercial figures or exchange rates have been entered.</t>
        </r>
      </text>
    </comment>
    <comment ref="E26" authorId="0" shapeId="0" xr:uid="{00000000-0006-0000-0500-0000D7000000}">
      <text>
        <r>
          <rPr>
            <sz val="11"/>
            <color theme="1"/>
            <rFont val="Calibri"/>
            <family val="2"/>
            <scheme val="minor"/>
          </rPr>
          <t>Preserved from Kerry_Drydock_2027_Job_Workspace_Recovery_v2.xlsm | Quotes!E26. No new commercial figures or exchange rates have been entered.</t>
        </r>
      </text>
    </comment>
    <comment ref="F26" authorId="0" shapeId="0" xr:uid="{00000000-0006-0000-0500-0000D8000000}">
      <text>
        <r>
          <rPr>
            <sz val="11"/>
            <color theme="1"/>
            <rFont val="Calibri"/>
            <family val="2"/>
            <scheme val="minor"/>
          </rPr>
          <t>Preserved from Kerry_Drydock_2027_Job_Workspace_Recovery_v2.xlsm | Quotes!F26. No new commercial figures or exchange rates have been entered.</t>
        </r>
      </text>
    </comment>
    <comment ref="G26" authorId="0" shapeId="0" xr:uid="{00000000-0006-0000-0500-0000D9000000}">
      <text>
        <r>
          <rPr>
            <sz val="11"/>
            <color theme="1"/>
            <rFont val="Calibri"/>
            <family val="2"/>
            <scheme val="minor"/>
          </rPr>
          <t>Preserved from Kerry_Drydock_2027_Job_Workspace_Recovery_v2.xlsm | Quotes!G26. No new commercial figures or exchange rates have been entered.</t>
        </r>
      </text>
    </comment>
    <comment ref="I26" authorId="0" shapeId="0" xr:uid="{00000000-0006-0000-0500-0000DA000000}">
      <text>
        <r>
          <rPr>
            <sz val="11"/>
            <color theme="1"/>
            <rFont val="Calibri"/>
            <family val="2"/>
            <scheme val="minor"/>
          </rPr>
          <t>Preserved from Kerry_Drydock_2027_Job_Workspace_Recovery_v2.xlsm | Quotes!I26. No new commercial figures or exchange rates have been entered.</t>
        </r>
      </text>
    </comment>
    <comment ref="N26" authorId="0" shapeId="0" xr:uid="{00000000-0006-0000-0500-0000DB000000}">
      <text>
        <r>
          <rPr>
            <sz val="11"/>
            <color theme="1"/>
            <rFont val="Calibri"/>
            <family val="2"/>
            <scheme val="minor"/>
          </rPr>
          <t>Preserved from Kerry_Drydock_2027_Job_Workspace_Recovery_v2.xlsm | Quotes!N26. No new commercial figures or exchange rates have been entered.</t>
        </r>
      </text>
    </comment>
    <comment ref="P26" authorId="0" shapeId="0" xr:uid="{00000000-0006-0000-0500-0000DC000000}">
      <text>
        <r>
          <rPr>
            <sz val="11"/>
            <color theme="1"/>
            <rFont val="Calibri"/>
            <family val="2"/>
            <scheme val="minor"/>
          </rPr>
          <t>Preserved from Kerry_Drydock_2027_Job_Workspace_Recovery_v2.xlsm | Quotes!P26. No new commercial figures or exchange rates have been entered.</t>
        </r>
      </text>
    </comment>
    <comment ref="S26" authorId="0" shapeId="0" xr:uid="{00000000-0006-0000-0500-0000DD000000}">
      <text>
        <r>
          <rPr>
            <sz val="11"/>
            <color theme="1"/>
            <rFont val="Calibri"/>
            <family val="2"/>
            <scheme val="minor"/>
          </rPr>
          <t>Preserved from Kerry_Drydock_2027_Job_Workspace_Recovery_v2.xlsm | Quotes!S26. No new commercial figures or exchange rates have been entered.</t>
        </r>
      </text>
    </comment>
    <comment ref="T26" authorId="0" shapeId="0" xr:uid="{00000000-0006-0000-0500-0000DE000000}">
      <text>
        <r>
          <rPr>
            <sz val="11"/>
            <color theme="1"/>
            <rFont val="Calibri"/>
            <family val="2"/>
            <scheme val="minor"/>
          </rPr>
          <t>Preserved from Kerry_Drydock_2027_Job_Workspace_Recovery_v2.xlsm | Quotes!T26. No new commercial figures or exchange rates have been entered.</t>
        </r>
      </text>
    </comment>
    <comment ref="A27" authorId="0" shapeId="0" xr:uid="{00000000-0006-0000-0500-0000DF000000}">
      <text>
        <r>
          <rPr>
            <sz val="11"/>
            <color theme="1"/>
            <rFont val="Calibri"/>
            <family val="2"/>
            <scheme val="minor"/>
          </rPr>
          <t>Preserved from Kerry_Drydock_2027_Job_Workspace_Recovery_v2.xlsm | Quotes!A27. No new commercial figures or exchange rates have been entered.</t>
        </r>
      </text>
    </comment>
    <comment ref="B27" authorId="0" shapeId="0" xr:uid="{00000000-0006-0000-0500-0000E0000000}">
      <text>
        <r>
          <rPr>
            <sz val="11"/>
            <color theme="1"/>
            <rFont val="Calibri"/>
            <family val="2"/>
            <scheme val="minor"/>
          </rPr>
          <t>Preserved from Kerry_Drydock_2027_Job_Workspace_Recovery_v2.xlsm | Quotes!B27. No new commercial figures or exchange rates have been entered.</t>
        </r>
      </text>
    </comment>
    <comment ref="C27" authorId="0" shapeId="0" xr:uid="{00000000-0006-0000-0500-0000E1000000}">
      <text>
        <r>
          <rPr>
            <sz val="11"/>
            <color theme="1"/>
            <rFont val="Calibri"/>
            <family val="2"/>
            <scheme val="minor"/>
          </rPr>
          <t>Preserved from Kerry_Drydock_2027_Job_Workspace_Recovery_v2.xlsm | Quotes!C27. No new commercial figures or exchange rates have been entered.</t>
        </r>
      </text>
    </comment>
    <comment ref="D27" authorId="0" shapeId="0" xr:uid="{00000000-0006-0000-0500-0000E2000000}">
      <text>
        <r>
          <rPr>
            <sz val="11"/>
            <color theme="1"/>
            <rFont val="Calibri"/>
            <family val="2"/>
            <scheme val="minor"/>
          </rPr>
          <t>Preserved from Kerry_Drydock_2027_Job_Workspace_Recovery_v2.xlsm | Quotes!D27. No new commercial figures or exchange rates have been entered.</t>
        </r>
      </text>
    </comment>
    <comment ref="E27" authorId="0" shapeId="0" xr:uid="{00000000-0006-0000-0500-0000E3000000}">
      <text>
        <r>
          <rPr>
            <sz val="11"/>
            <color theme="1"/>
            <rFont val="Calibri"/>
            <family val="2"/>
            <scheme val="minor"/>
          </rPr>
          <t>Preserved from Kerry_Drydock_2027_Job_Workspace_Recovery_v2.xlsm | Quotes!E27. No new commercial figures or exchange rates have been entered.</t>
        </r>
      </text>
    </comment>
    <comment ref="F27" authorId="0" shapeId="0" xr:uid="{00000000-0006-0000-0500-0000E4000000}">
      <text>
        <r>
          <rPr>
            <sz val="11"/>
            <color theme="1"/>
            <rFont val="Calibri"/>
            <family val="2"/>
            <scheme val="minor"/>
          </rPr>
          <t>Preserved from Kerry_Drydock_2027_Job_Workspace_Recovery_v2.xlsm | Quotes!F27. No new commercial figures or exchange rates have been entered.</t>
        </r>
      </text>
    </comment>
    <comment ref="G27" authorId="0" shapeId="0" xr:uid="{00000000-0006-0000-0500-0000E5000000}">
      <text>
        <r>
          <rPr>
            <sz val="11"/>
            <color theme="1"/>
            <rFont val="Calibri"/>
            <family val="2"/>
            <scheme val="minor"/>
          </rPr>
          <t>Preserved from Kerry_Drydock_2027_Job_Workspace_Recovery_v2.xlsm | Quotes!G27. No new commercial figures or exchange rates have been entered.</t>
        </r>
      </text>
    </comment>
    <comment ref="I27" authorId="0" shapeId="0" xr:uid="{00000000-0006-0000-0500-0000E6000000}">
      <text>
        <r>
          <rPr>
            <sz val="11"/>
            <color theme="1"/>
            <rFont val="Calibri"/>
            <family val="2"/>
            <scheme val="minor"/>
          </rPr>
          <t>Preserved from Kerry_Drydock_2027_Job_Workspace_Recovery_v2.xlsm | Quotes!I27. No new commercial figures or exchange rates have been entered.</t>
        </r>
      </text>
    </comment>
    <comment ref="N27" authorId="0" shapeId="0" xr:uid="{00000000-0006-0000-0500-0000E7000000}">
      <text>
        <r>
          <rPr>
            <sz val="11"/>
            <color theme="1"/>
            <rFont val="Calibri"/>
            <family val="2"/>
            <scheme val="minor"/>
          </rPr>
          <t>Preserved from Kerry_Drydock_2027_Job_Workspace_Recovery_v2.xlsm | Quotes!N27. No new commercial figures or exchange rates have been entered.</t>
        </r>
      </text>
    </comment>
    <comment ref="P27" authorId="0" shapeId="0" xr:uid="{00000000-0006-0000-0500-0000E8000000}">
      <text>
        <r>
          <rPr>
            <sz val="11"/>
            <color theme="1"/>
            <rFont val="Calibri"/>
            <family val="2"/>
            <scheme val="minor"/>
          </rPr>
          <t>Preserved from Kerry_Drydock_2027_Job_Workspace_Recovery_v2.xlsm | Quotes!P27. No new commercial figures or exchange rates have been entered.</t>
        </r>
      </text>
    </comment>
    <comment ref="S27" authorId="0" shapeId="0" xr:uid="{00000000-0006-0000-0500-0000E9000000}">
      <text>
        <r>
          <rPr>
            <sz val="11"/>
            <color theme="1"/>
            <rFont val="Calibri"/>
            <family val="2"/>
            <scheme val="minor"/>
          </rPr>
          <t>Preserved from Kerry_Drydock_2027_Job_Workspace_Recovery_v2.xlsm | Quotes!S27. No new commercial figures or exchange rates have been entered.</t>
        </r>
      </text>
    </comment>
    <comment ref="T27" authorId="0" shapeId="0" xr:uid="{00000000-0006-0000-0500-0000EA000000}">
      <text>
        <r>
          <rPr>
            <sz val="11"/>
            <color theme="1"/>
            <rFont val="Calibri"/>
            <family val="2"/>
            <scheme val="minor"/>
          </rPr>
          <t>Preserved from Kerry_Drydock_2027_Job_Workspace_Recovery_v2.xlsm | Quotes!T27. No new commercial figures or exchange rates have been entered.</t>
        </r>
      </text>
    </comment>
    <comment ref="A28" authorId="0" shapeId="0" xr:uid="{00000000-0006-0000-0500-0000EB000000}">
      <text>
        <r>
          <rPr>
            <sz val="11"/>
            <color theme="1"/>
            <rFont val="Calibri"/>
            <family val="2"/>
            <scheme val="minor"/>
          </rPr>
          <t>Preserved from Kerry_Drydock_2027_Job_Workspace_Recovery_v2.xlsm | Quotes!A28. No new commercial figures or exchange rates have been entered.</t>
        </r>
      </text>
    </comment>
    <comment ref="B28" authorId="0" shapeId="0" xr:uid="{00000000-0006-0000-0500-0000EC000000}">
      <text>
        <r>
          <rPr>
            <sz val="11"/>
            <color theme="1"/>
            <rFont val="Calibri"/>
            <family val="2"/>
            <scheme val="minor"/>
          </rPr>
          <t>Preserved from Kerry_Drydock_2027_Job_Workspace_Recovery_v2.xlsm | Quotes!B28. No new commercial figures or exchange rates have been entered.</t>
        </r>
      </text>
    </comment>
    <comment ref="C28" authorId="0" shapeId="0" xr:uid="{00000000-0006-0000-0500-0000ED000000}">
      <text>
        <r>
          <rPr>
            <sz val="11"/>
            <color theme="1"/>
            <rFont val="Calibri"/>
            <family val="2"/>
            <scheme val="minor"/>
          </rPr>
          <t>Preserved from Kerry_Drydock_2027_Job_Workspace_Recovery_v2.xlsm | Quotes!C28. No new commercial figures or exchange rates have been entered.</t>
        </r>
      </text>
    </comment>
    <comment ref="D28" authorId="0" shapeId="0" xr:uid="{00000000-0006-0000-0500-0000EE000000}">
      <text>
        <r>
          <rPr>
            <sz val="11"/>
            <color theme="1"/>
            <rFont val="Calibri"/>
            <family val="2"/>
            <scheme val="minor"/>
          </rPr>
          <t>Preserved from Kerry_Drydock_2027_Job_Workspace_Recovery_v2.xlsm | Quotes!D28. No new commercial figures or exchange rates have been entered.</t>
        </r>
      </text>
    </comment>
    <comment ref="E28" authorId="0" shapeId="0" xr:uid="{00000000-0006-0000-0500-0000EF000000}">
      <text>
        <r>
          <rPr>
            <sz val="11"/>
            <color theme="1"/>
            <rFont val="Calibri"/>
            <family val="2"/>
            <scheme val="minor"/>
          </rPr>
          <t>Preserved from Kerry_Drydock_2027_Job_Workspace_Recovery_v2.xlsm | Quotes!E28. No new commercial figures or exchange rates have been entered.</t>
        </r>
      </text>
    </comment>
    <comment ref="F28" authorId="0" shapeId="0" xr:uid="{00000000-0006-0000-0500-0000F0000000}">
      <text>
        <r>
          <rPr>
            <sz val="11"/>
            <color theme="1"/>
            <rFont val="Calibri"/>
            <family val="2"/>
            <scheme val="minor"/>
          </rPr>
          <t>Preserved from Kerry_Drydock_2027_Job_Workspace_Recovery_v2.xlsm | Quotes!F28. No new commercial figures or exchange rates have been entered.</t>
        </r>
      </text>
    </comment>
    <comment ref="G28" authorId="0" shapeId="0" xr:uid="{00000000-0006-0000-0500-0000F1000000}">
      <text>
        <r>
          <rPr>
            <sz val="11"/>
            <color theme="1"/>
            <rFont val="Calibri"/>
            <family val="2"/>
            <scheme val="minor"/>
          </rPr>
          <t>Preserved from Kerry_Drydock_2027_Job_Workspace_Recovery_v2.xlsm | Quotes!G28. No new commercial figures or exchange rates have been entered.</t>
        </r>
      </text>
    </comment>
    <comment ref="I28" authorId="0" shapeId="0" xr:uid="{00000000-0006-0000-0500-0000F2000000}">
      <text>
        <r>
          <rPr>
            <sz val="11"/>
            <color theme="1"/>
            <rFont val="Calibri"/>
            <family val="2"/>
            <scheme val="minor"/>
          </rPr>
          <t>Preserved from Kerry_Drydock_2027_Job_Workspace_Recovery_v2.xlsm | Quotes!I28. No new commercial figures or exchange rates have been entered.</t>
        </r>
      </text>
    </comment>
    <comment ref="N28" authorId="0" shapeId="0" xr:uid="{00000000-0006-0000-0500-0000F3000000}">
      <text>
        <r>
          <rPr>
            <sz val="11"/>
            <color theme="1"/>
            <rFont val="Calibri"/>
            <family val="2"/>
            <scheme val="minor"/>
          </rPr>
          <t>Preserved from Kerry_Drydock_2027_Job_Workspace_Recovery_v2.xlsm | Quotes!N28. No new commercial figures or exchange rates have been entered.</t>
        </r>
      </text>
    </comment>
    <comment ref="P28" authorId="0" shapeId="0" xr:uid="{00000000-0006-0000-0500-0000F4000000}">
      <text>
        <r>
          <rPr>
            <sz val="11"/>
            <color theme="1"/>
            <rFont val="Calibri"/>
            <family val="2"/>
            <scheme val="minor"/>
          </rPr>
          <t>Preserved from Kerry_Drydock_2027_Job_Workspace_Recovery_v2.xlsm | Quotes!P28. No new commercial figures or exchange rates have been entered.</t>
        </r>
      </text>
    </comment>
    <comment ref="S28" authorId="0" shapeId="0" xr:uid="{00000000-0006-0000-0500-0000F5000000}">
      <text>
        <r>
          <rPr>
            <sz val="11"/>
            <color theme="1"/>
            <rFont val="Calibri"/>
            <family val="2"/>
            <scheme val="minor"/>
          </rPr>
          <t>Preserved from Kerry_Drydock_2027_Job_Workspace_Recovery_v2.xlsm | Quotes!S28. No new commercial figures or exchange rates have been entered.</t>
        </r>
      </text>
    </comment>
    <comment ref="T28" authorId="0" shapeId="0" xr:uid="{00000000-0006-0000-0500-0000F6000000}">
      <text>
        <r>
          <rPr>
            <sz val="11"/>
            <color theme="1"/>
            <rFont val="Calibri"/>
            <family val="2"/>
            <scheme val="minor"/>
          </rPr>
          <t>Preserved from Kerry_Drydock_2027_Job_Workspace_Recovery_v2.xlsm | Quotes!T28. No new commercial figures or exchange rates have been entered.</t>
        </r>
      </text>
    </comment>
    <comment ref="A29" authorId="0" shapeId="0" xr:uid="{00000000-0006-0000-0500-0000F7000000}">
      <text>
        <r>
          <rPr>
            <sz val="11"/>
            <color theme="1"/>
            <rFont val="Calibri"/>
            <family val="2"/>
            <scheme val="minor"/>
          </rPr>
          <t>Preserved from Kerry_Drydock_2027_Job_Workspace_Recovery_v2.xlsm | Quotes!A29. No new commercial figures or exchange rates have been entered.</t>
        </r>
      </text>
    </comment>
    <comment ref="B29" authorId="0" shapeId="0" xr:uid="{00000000-0006-0000-0500-0000F8000000}">
      <text>
        <r>
          <rPr>
            <sz val="11"/>
            <color theme="1"/>
            <rFont val="Calibri"/>
            <family val="2"/>
            <scheme val="minor"/>
          </rPr>
          <t>Preserved from Kerry_Drydock_2027_Job_Workspace_Recovery_v2.xlsm | Quotes!B29. No new commercial figures or exchange rates have been entered.</t>
        </r>
      </text>
    </comment>
    <comment ref="C29" authorId="0" shapeId="0" xr:uid="{00000000-0006-0000-0500-0000F9000000}">
      <text>
        <r>
          <rPr>
            <sz val="11"/>
            <color theme="1"/>
            <rFont val="Calibri"/>
            <family val="2"/>
            <scheme val="minor"/>
          </rPr>
          <t>Preserved from Kerry_Drydock_2027_Job_Workspace_Recovery_v2.xlsm | Quotes!C29. No new commercial figures or exchange rates have been entered.</t>
        </r>
      </text>
    </comment>
    <comment ref="D29" authorId="0" shapeId="0" xr:uid="{00000000-0006-0000-0500-0000FA000000}">
      <text>
        <r>
          <rPr>
            <sz val="11"/>
            <color theme="1"/>
            <rFont val="Calibri"/>
            <family val="2"/>
            <scheme val="minor"/>
          </rPr>
          <t>Preserved from Kerry_Drydock_2027_Job_Workspace_Recovery_v2.xlsm | Quotes!D29. No new commercial figures or exchange rates have been entered.</t>
        </r>
      </text>
    </comment>
    <comment ref="E29" authorId="0" shapeId="0" xr:uid="{00000000-0006-0000-0500-0000FB000000}">
      <text>
        <r>
          <rPr>
            <sz val="11"/>
            <color theme="1"/>
            <rFont val="Calibri"/>
            <family val="2"/>
            <scheme val="minor"/>
          </rPr>
          <t>Preserved from Kerry_Drydock_2027_Job_Workspace_Recovery_v2.xlsm | Quotes!E29. No new commercial figures or exchange rates have been entered.</t>
        </r>
      </text>
    </comment>
    <comment ref="F29" authorId="0" shapeId="0" xr:uid="{00000000-0006-0000-0500-0000FC000000}">
      <text>
        <r>
          <rPr>
            <sz val="11"/>
            <color theme="1"/>
            <rFont val="Calibri"/>
            <family val="2"/>
            <scheme val="minor"/>
          </rPr>
          <t>Preserved from Kerry_Drydock_2027_Job_Workspace_Recovery_v2.xlsm | Quotes!F29. No new commercial figures or exchange rates have been entered.</t>
        </r>
      </text>
    </comment>
    <comment ref="G29" authorId="0" shapeId="0" xr:uid="{00000000-0006-0000-0500-0000FD000000}">
      <text>
        <r>
          <rPr>
            <sz val="11"/>
            <color theme="1"/>
            <rFont val="Calibri"/>
            <family val="2"/>
            <scheme val="minor"/>
          </rPr>
          <t>Preserved from Kerry_Drydock_2027_Job_Workspace_Recovery_v2.xlsm | Quotes!G29. No new commercial figures or exchange rates have been entered.</t>
        </r>
      </text>
    </comment>
    <comment ref="I29" authorId="0" shapeId="0" xr:uid="{00000000-0006-0000-0500-0000FE000000}">
      <text>
        <r>
          <rPr>
            <sz val="11"/>
            <color theme="1"/>
            <rFont val="Calibri"/>
            <family val="2"/>
            <scheme val="minor"/>
          </rPr>
          <t>Preserved from Kerry_Drydock_2027_Job_Workspace_Recovery_v2.xlsm | Quotes!I29. No new commercial figures or exchange rates have been entered.</t>
        </r>
      </text>
    </comment>
    <comment ref="N29" authorId="0" shapeId="0" xr:uid="{00000000-0006-0000-0500-0000FF000000}">
      <text>
        <r>
          <rPr>
            <sz val="11"/>
            <color theme="1"/>
            <rFont val="Calibri"/>
            <family val="2"/>
            <scheme val="minor"/>
          </rPr>
          <t>Preserved from Kerry_Drydock_2027_Job_Workspace_Recovery_v2.xlsm | Quotes!N29. No new commercial figures or exchange rates have been entered.</t>
        </r>
      </text>
    </comment>
    <comment ref="P29" authorId="0" shapeId="0" xr:uid="{00000000-0006-0000-0500-000000010000}">
      <text>
        <r>
          <rPr>
            <sz val="11"/>
            <color theme="1"/>
            <rFont val="Calibri"/>
            <family val="2"/>
            <scheme val="minor"/>
          </rPr>
          <t>Preserved from Kerry_Drydock_2027_Job_Workspace_Recovery_v2.xlsm | Quotes!P29. No new commercial figures or exchange rates have been entered.</t>
        </r>
      </text>
    </comment>
    <comment ref="R29" authorId="0" shapeId="0" xr:uid="{00000000-0006-0000-0500-000001010000}">
      <text>
        <r>
          <rPr>
            <sz val="11"/>
            <color theme="1"/>
            <rFont val="Calibri"/>
            <family val="2"/>
            <scheme val="minor"/>
          </rPr>
          <t>Preserved from Kerry_Drydock_2027_Job_Workspace_Recovery_v2.xlsm | Quotes!R29. No new commercial figures or exchange rates have been entered.</t>
        </r>
      </text>
    </comment>
    <comment ref="S29" authorId="0" shapeId="0" xr:uid="{00000000-0006-0000-0500-000002010000}">
      <text>
        <r>
          <rPr>
            <sz val="11"/>
            <color theme="1"/>
            <rFont val="Calibri"/>
            <family val="2"/>
            <scheme val="minor"/>
          </rPr>
          <t>Preserved from Kerry_Drydock_2027_Job_Workspace_Recovery_v2.xlsm | Quotes!S29. No new commercial figures or exchange rates have been entered.</t>
        </r>
      </text>
    </comment>
    <comment ref="T29" authorId="0" shapeId="0" xr:uid="{00000000-0006-0000-0500-000003010000}">
      <text>
        <r>
          <rPr>
            <sz val="11"/>
            <color theme="1"/>
            <rFont val="Calibri"/>
            <family val="2"/>
            <scheme val="minor"/>
          </rPr>
          <t>Preserved from Kerry_Drydock_2027_Job_Workspace_Recovery_v2.xlsm | Quotes!T29. No new commercial figures or exchange rates have been entered.</t>
        </r>
      </text>
    </comment>
    <comment ref="A30" authorId="0" shapeId="0" xr:uid="{00000000-0006-0000-0500-000004010000}">
      <text>
        <r>
          <rPr>
            <sz val="11"/>
            <color theme="1"/>
            <rFont val="Calibri"/>
            <family val="2"/>
            <scheme val="minor"/>
          </rPr>
          <t>Preserved from Kerry_Drydock_2027_Job_Workspace_Recovery_v2.xlsm | Quotes!A30. No new commercial figures or exchange rates have been entered.</t>
        </r>
      </text>
    </comment>
    <comment ref="B30" authorId="0" shapeId="0" xr:uid="{00000000-0006-0000-0500-000005010000}">
      <text>
        <r>
          <rPr>
            <sz val="11"/>
            <color theme="1"/>
            <rFont val="Calibri"/>
            <family val="2"/>
            <scheme val="minor"/>
          </rPr>
          <t>Preserved from Kerry_Drydock_2027_Job_Workspace_Recovery_v2.xlsm | Quotes!B30. No new commercial figures or exchange rates have been entered.</t>
        </r>
      </text>
    </comment>
    <comment ref="C30" authorId="0" shapeId="0" xr:uid="{00000000-0006-0000-0500-000006010000}">
      <text>
        <r>
          <rPr>
            <sz val="11"/>
            <color theme="1"/>
            <rFont val="Calibri"/>
            <family val="2"/>
            <scheme val="minor"/>
          </rPr>
          <t>Preserved from Kerry_Drydock_2027_Job_Workspace_Recovery_v2.xlsm | Quotes!C30. No new commercial figures or exchange rates have been entered.</t>
        </r>
      </text>
    </comment>
    <comment ref="D30" authorId="0" shapeId="0" xr:uid="{00000000-0006-0000-0500-000007010000}">
      <text>
        <r>
          <rPr>
            <sz val="11"/>
            <color theme="1"/>
            <rFont val="Calibri"/>
            <family val="2"/>
            <scheme val="minor"/>
          </rPr>
          <t>Preserved from Kerry_Drydock_2027_Job_Workspace_Recovery_v2.xlsm | Quotes!D30. No new commercial figures or exchange rates have been entered.</t>
        </r>
      </text>
    </comment>
    <comment ref="E30" authorId="0" shapeId="0" xr:uid="{00000000-0006-0000-0500-000008010000}">
      <text>
        <r>
          <rPr>
            <sz val="11"/>
            <color theme="1"/>
            <rFont val="Calibri"/>
            <family val="2"/>
            <scheme val="minor"/>
          </rPr>
          <t>Preserved from Kerry_Drydock_2027_Job_Workspace_Recovery_v2.xlsm | Quotes!E30. No new commercial figures or exchange rates have been entered.</t>
        </r>
      </text>
    </comment>
    <comment ref="T30" authorId="0" shapeId="0" xr:uid="{00000000-0006-0000-0500-000009010000}">
      <text>
        <r>
          <rPr>
            <sz val="11"/>
            <color theme="1"/>
            <rFont val="Calibri"/>
            <family val="2"/>
            <scheme val="minor"/>
          </rPr>
          <t>Preserved from Kerry_Drydock_2027_Job_Workspace_Recovery_v2.xlsm | Quotes!T30. No new commercial figures or exchange rates have been entered.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E11" authorId="0" shapeId="0" xr:uid="{00000000-0006-0000-0800-000001000000}">
      <text>
        <r>
          <rPr>
            <sz val="11"/>
            <color theme="1"/>
            <rFont val="Calibri"/>
            <family val="2"/>
            <scheme val="minor"/>
          </rPr>
          <t>Shared input. The pilot writes this value to the relevant central record.
Source: user-supplied Kerry_2027_Clean.xlsx; no external values substituted.</t>
        </r>
      </text>
    </comment>
    <comment ref="A23" authorId="0" shapeId="0" xr:uid="{00000000-0006-0000-0800-000002000000}">
      <text>
        <r>
          <rPr>
            <sz val="11"/>
            <color theme="1"/>
            <rFont val="Calibri"/>
            <family val="2"/>
            <scheme val="minor"/>
          </rPr>
          <t>Action button is created by Excel when StartPilot is run. Before VBA setup this is a label, not an executable button.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D11" authorId="0" shapeId="0" xr:uid="{00000000-0006-0000-0900-000001000000}">
      <text>
        <r>
          <rPr>
            <sz val="11"/>
            <color theme="1"/>
            <rFont val="Calibri"/>
            <family val="2"/>
            <scheme val="minor"/>
          </rPr>
          <t>Shared input. The pilot writes this value to the relevant central record.
Source: user-supplied Kerry_2027_Clean.xlsx; no external values substituted.</t>
        </r>
      </text>
    </comment>
    <comment ref="P11" authorId="0" shapeId="0" xr:uid="{00000000-0006-0000-0900-000002000000}">
      <text>
        <r>
          <rPr>
            <sz val="11"/>
            <color theme="1"/>
            <rFont val="Calibri"/>
            <family val="2"/>
            <scheme val="minor"/>
          </rPr>
          <t>Shared input. The pilot writes this value to the relevant central record.
Source: user-supplied Kerry_2027_Clean.xlsx; no external values substituted.</t>
        </r>
      </text>
    </comment>
    <comment ref="D13" authorId="0" shapeId="0" xr:uid="{00000000-0006-0000-0900-000003000000}">
      <text>
        <r>
          <rPr>
            <sz val="11"/>
            <color theme="1"/>
            <rFont val="Calibri"/>
            <family val="2"/>
            <scheme val="minor"/>
          </rPr>
          <t>Shared input. The pilot writes this value to the relevant central record.
Source: user-supplied Kerry_2027_Clean.xlsx; no external values substituted.</t>
        </r>
      </text>
    </comment>
    <comment ref="P14" authorId="0" shapeId="0" xr:uid="{00000000-0006-0000-0900-000004000000}">
      <text>
        <r>
          <rPr>
            <sz val="11"/>
            <color theme="1"/>
            <rFont val="Calibri"/>
            <family val="2"/>
            <scheme val="minor"/>
          </rPr>
          <t>Shared input. The pilot writes this value to the relevant central record.
Source: user-supplied Kerry_2027_Clean.xlsx; no external values substituted.</t>
        </r>
      </text>
    </comment>
    <comment ref="D16" authorId="0" shapeId="0" xr:uid="{00000000-0006-0000-0900-000005000000}">
      <text>
        <r>
          <rPr>
            <sz val="11"/>
            <color theme="1"/>
            <rFont val="Calibri"/>
            <family val="2"/>
            <scheme val="minor"/>
          </rPr>
          <t>Shared input. The pilot writes this value to the relevant central record.
Source: user-supplied Kerry_2027_Clean.xlsx; no external values substituted.</t>
        </r>
      </text>
    </comment>
    <comment ref="P16" authorId="0" shapeId="0" xr:uid="{00000000-0006-0000-0900-000006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0900-000007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0900-000008000000}">
      <text>
        <r>
          <rPr>
            <sz val="11"/>
            <color theme="1"/>
            <rFont val="Calibri"/>
            <family val="2"/>
            <scheme val="minor"/>
          </rPr>
          <t>Shared input. The pilot writes this value to the relevant central record.
Source: user-supplied Kerry_2027_Clean.xlsx; no external values substituted.</t>
        </r>
      </text>
    </comment>
    <comment ref="P20" authorId="0" shapeId="0" xr:uid="{00000000-0006-0000-0900-000009000000}">
      <text>
        <r>
          <rPr>
            <sz val="11"/>
            <color theme="1"/>
            <rFont val="Calibri"/>
            <family val="2"/>
            <scheme val="minor"/>
          </rPr>
          <t>Shared input. The pilot writes this value to the relevant central record.
Source: user-supplied Kerry_2027_Clean.xlsx; no external values substituted.</t>
        </r>
      </text>
    </comment>
    <comment ref="D23" authorId="0" shapeId="0" xr:uid="{00000000-0006-0000-0900-00000A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0900-00000B000000}">
      <text>
        <r>
          <rPr>
            <sz val="11"/>
            <color theme="1"/>
            <rFont val="Calibri"/>
            <family val="2"/>
            <scheme val="minor"/>
          </rPr>
          <t>Shared input. The pilot writes this value to the relevant central record.
Source: user-supplied Kerry_2027_Clean.xlsx; no external values substituted.</t>
        </r>
      </text>
    </comment>
    <comment ref="D26" authorId="0" shapeId="0" xr:uid="{00000000-0006-0000-0900-00000C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0900-00000D000000}">
      <text>
        <r>
          <rPr>
            <sz val="11"/>
            <color theme="1"/>
            <rFont val="Calibri"/>
            <family val="2"/>
            <scheme val="minor"/>
          </rPr>
          <t>Shared input. The pilot writes this value to the relevant central record.
Source: user-supplied Kerry_2027_Clean.xlsx; no external values substituted.</t>
        </r>
      </text>
    </comment>
    <comment ref="D28" authorId="0" shapeId="0" xr:uid="{00000000-0006-0000-0900-00000E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0900-00000F000000}">
      <text>
        <r>
          <rPr>
            <sz val="11"/>
            <color theme="1"/>
            <rFont val="Calibri"/>
            <family val="2"/>
            <scheme val="minor"/>
          </rPr>
          <t>Shared input. The pilot writes this value to the relevant central record.
Source: user-supplied Kerry_2027_Clean.xlsx; no external values substituted.</t>
        </r>
      </text>
    </comment>
    <comment ref="D31" authorId="0" shapeId="0" xr:uid="{00000000-0006-0000-0900-000010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0900-000011000000}">
      <text>
        <r>
          <rPr>
            <sz val="11"/>
            <color theme="1"/>
            <rFont val="Calibri"/>
            <family val="2"/>
            <scheme val="minor"/>
          </rPr>
          <t>Shared input. The pilot writes this value to the relevant central record.
Source: user-supplied Kerry_2027_Clean.xlsx; no external values substituted.</t>
        </r>
      </text>
    </comment>
    <comment ref="D33" authorId="0" shapeId="0" xr:uid="{00000000-0006-0000-0900-000012000000}">
      <text>
        <r>
          <rPr>
            <sz val="11"/>
            <color theme="1"/>
            <rFont val="Calibri"/>
            <family val="2"/>
            <scheme val="minor"/>
          </rPr>
          <t>Shared input. The pilot writes this value to the relevant central record.
Source: user-supplied Kerry_2027_Clean.xlsx; no external values substituted.</t>
        </r>
      </text>
    </comment>
    <comment ref="M35" authorId="0" shapeId="0" xr:uid="{00000000-0006-0000-0900-000013000000}">
      <text>
        <r>
          <rPr>
            <sz val="11"/>
            <color theme="1"/>
            <rFont val="Calibri"/>
            <family val="2"/>
            <scheme val="minor"/>
          </rPr>
          <t>Shared input. The pilot writes this value to the relevant central record.
Source: user-supplied Kerry_2027_Clean.xlsx; no external values substituted.</t>
        </r>
      </text>
    </comment>
    <comment ref="A37" authorId="0" shapeId="0" xr:uid="{00000000-0006-0000-0900-000014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0900-000015000000}">
      <text>
        <r>
          <rPr>
            <sz val="11"/>
            <color theme="1"/>
            <rFont val="Calibri"/>
            <family val="2"/>
            <scheme val="minor"/>
          </rPr>
          <t>Shared input. The pilot writes this value to the relevant central record.
Source: user-supplied Kerry_2027_Clean.xlsx; no external values substituted.</t>
        </r>
      </text>
    </comment>
    <comment ref="A45" authorId="0" shapeId="0" xr:uid="{00000000-0006-0000-0900-000016000000}">
      <text>
        <r>
          <rPr>
            <sz val="11"/>
            <color theme="1"/>
            <rFont val="Calibri"/>
            <family val="2"/>
            <scheme val="minor"/>
          </rPr>
          <t>Shared input. The pilot writes this value to the relevant central record.
Source: user-supplied Kerry_2027_Clean.xlsx; no external values substituted.</t>
        </r>
      </text>
    </comment>
    <comment ref="M45" authorId="0" shapeId="0" xr:uid="{00000000-0006-0000-0900-000017000000}">
      <text>
        <r>
          <rPr>
            <sz val="11"/>
            <color theme="1"/>
            <rFont val="Calibri"/>
            <family val="2"/>
            <scheme val="minor"/>
          </rPr>
          <t>Shared input. The pilot writes this value to the relevant central record.
Source: user-supplied Kerry_2027_Clean.xlsx; no external values substituted.</t>
        </r>
      </text>
    </comment>
    <comment ref="A52" authorId="0" shapeId="0" xr:uid="{00000000-0006-0000-0900-000018000000}">
      <text>
        <r>
          <rPr>
            <sz val="11"/>
            <color theme="1"/>
            <rFont val="Calibri"/>
            <family val="2"/>
            <scheme val="minor"/>
          </rPr>
          <t>Action button is created by Excel when StartPilot is run. Before VBA setup this is a label, not an executable button.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H6" authorId="0" shapeId="0" xr:uid="{00000000-0006-0000-0B00-000001000000}">
      <text>
        <r>
          <rPr>
            <sz val="11"/>
            <color theme="1"/>
            <rFont val="Calibri"/>
            <family val="2"/>
            <scheme val="minor"/>
          </rPr>
          <t>Action button is created by Excel when StartPilot is run. Before VBA setup this is a label, not an executable button.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G8" authorId="0" shapeId="0" xr:uid="{00000000-0006-0000-0C00-000001000000}">
      <text>
        <r>
          <rPr>
            <sz val="11"/>
            <color theme="1"/>
            <rFont val="Calibri"/>
            <family val="2"/>
            <scheme val="minor"/>
          </rPr>
          <t>Shared input. The pilot writes this value to the relevant central record.
Source: user-supplied Kerry_2027_Clean.xlsx; no external values substituted.</t>
        </r>
      </text>
    </comment>
    <comment ref="G9" authorId="0" shapeId="0" xr:uid="{00000000-0006-0000-0C00-000002000000}">
      <text>
        <r>
          <rPr>
            <sz val="11"/>
            <color theme="1"/>
            <rFont val="Calibri"/>
            <family val="2"/>
            <scheme val="minor"/>
          </rPr>
          <t>Shared input. The pilot writes this value to the relevant central record.
Source: user-supplied Kerry_2027_Clean.xlsx; no external values substituted.</t>
        </r>
      </text>
    </comment>
    <comment ref="G10" authorId="0" shapeId="0" xr:uid="{00000000-0006-0000-0C00-000003000000}">
      <text>
        <r>
          <rPr>
            <sz val="11"/>
            <color theme="1"/>
            <rFont val="Calibri"/>
            <family val="2"/>
            <scheme val="minor"/>
          </rPr>
          <t>Shared input. The pilot writes this value to the relevant central record.
Source: user-supplied Kerry_2027_Clean.xlsx; no external values substituted.</t>
        </r>
      </text>
    </comment>
    <comment ref="G11" authorId="0" shapeId="0" xr:uid="{00000000-0006-0000-0C00-000004000000}">
      <text>
        <r>
          <rPr>
            <sz val="11"/>
            <color theme="1"/>
            <rFont val="Calibri"/>
            <family val="2"/>
            <scheme val="minor"/>
          </rPr>
          <t>Shared input. The pilot writes this value to the relevant central record.
Source: user-supplied Kerry_2027_Clean.xlsx; no external values substituted.</t>
        </r>
      </text>
    </comment>
    <comment ref="G12" authorId="0" shapeId="0" xr:uid="{00000000-0006-0000-0C00-000005000000}">
      <text>
        <r>
          <rPr>
            <sz val="11"/>
            <color theme="1"/>
            <rFont val="Calibri"/>
            <family val="2"/>
            <scheme val="minor"/>
          </rPr>
          <t>Shared input. The pilot writes this value to the relevant central record.
Source: user-supplied Kerry_2027_Clean.xlsx; no external values substituted.</t>
        </r>
      </text>
    </comment>
    <comment ref="G13" authorId="0" shapeId="0" xr:uid="{00000000-0006-0000-0C00-000006000000}">
      <text>
        <r>
          <rPr>
            <sz val="11"/>
            <color theme="1"/>
            <rFont val="Calibri"/>
            <family val="2"/>
            <scheme val="minor"/>
          </rPr>
          <t>Shared input. The pilot writes this value to the relevant central record.
Source: user-supplied Kerry_2027_Clean.xlsx; no external values substituted.</t>
        </r>
      </text>
    </comment>
    <comment ref="G14" authorId="0" shapeId="0" xr:uid="{00000000-0006-0000-0C00-000007000000}">
      <text>
        <r>
          <rPr>
            <sz val="11"/>
            <color theme="1"/>
            <rFont val="Calibri"/>
            <family val="2"/>
            <scheme val="minor"/>
          </rPr>
          <t>Shared input. The pilot writes this value to the relevant central record.
Source: user-supplied Kerry_2027_Clean.xlsx; no external values substituted.</t>
        </r>
      </text>
    </comment>
    <comment ref="G15" authorId="0" shapeId="0" xr:uid="{00000000-0006-0000-0C00-000008000000}">
      <text>
        <r>
          <rPr>
            <sz val="11"/>
            <color theme="1"/>
            <rFont val="Calibri"/>
            <family val="2"/>
            <scheme val="minor"/>
          </rPr>
          <t>Shared input. The pilot writes this value to the relevant central record.
Source: user-supplied Kerry_2027_Clean.xlsx; no external values substituted.</t>
        </r>
      </text>
    </comment>
    <comment ref="G16" authorId="0" shapeId="0" xr:uid="{00000000-0006-0000-0C00-000009000000}">
      <text>
        <r>
          <rPr>
            <sz val="11"/>
            <color theme="1"/>
            <rFont val="Calibri"/>
            <family val="2"/>
            <scheme val="minor"/>
          </rPr>
          <t>Shared input. The pilot writes this value to the relevant central record.
Source: user-supplied Kerry_2027_Clean.xlsx; no external values substituted.</t>
        </r>
      </text>
    </comment>
    <comment ref="G17" authorId="0" shapeId="0" xr:uid="{00000000-0006-0000-0C00-00000A000000}">
      <text>
        <r>
          <rPr>
            <sz val="11"/>
            <color theme="1"/>
            <rFont val="Calibri"/>
            <family val="2"/>
            <scheme val="minor"/>
          </rPr>
          <t>Shared input. The pilot writes this value to the relevant central record.
Source: user-supplied Kerry_2027_Clean.xlsx; no external values substituted.</t>
        </r>
      </text>
    </comment>
    <comment ref="G18" authorId="0" shapeId="0" xr:uid="{00000000-0006-0000-0C00-00000B000000}">
      <text>
        <r>
          <rPr>
            <sz val="11"/>
            <color theme="1"/>
            <rFont val="Calibri"/>
            <family val="2"/>
            <scheme val="minor"/>
          </rPr>
          <t>Shared input. The pilot writes this value to the relevant central record.
Source: user-supplied Kerry_2027_Clean.xlsx; no external values substituted.</t>
        </r>
      </text>
    </comment>
    <comment ref="G19" authorId="0" shapeId="0" xr:uid="{00000000-0006-0000-0C00-00000C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F9" authorId="0" shapeId="0" xr:uid="{00000000-0006-0000-0D00-000001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 ref="F10" authorId="0" shapeId="0" xr:uid="{00000000-0006-0000-0D00-000002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 ref="F11" authorId="0" shapeId="0" xr:uid="{00000000-0006-0000-0D00-000003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 ref="F12" authorId="0" shapeId="0" xr:uid="{00000000-0006-0000-0D00-000004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 ref="F13" authorId="0" shapeId="0" xr:uid="{00000000-0006-0000-0D00-000005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 ref="F14" authorId="0" shapeId="0" xr:uid="{00000000-0006-0000-0D00-000006000000}">
      <text>
        <r>
          <rPr>
            <sz val="11"/>
            <color theme="1"/>
            <rFont val="Calibri"/>
            <family val="2"/>
            <scheme val="minor"/>
          </rPr>
          <t>Saved exchange-rate assumption, in currency units per EUR. Update intentionally; not fetched from the internet.
Source: user-supplied Kerry_2027_Clean.xlsx; no external values substituted.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0E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0E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0E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0E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0E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0E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0E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0E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0E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0E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0E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0E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0E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0E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0E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0E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0E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0E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0E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0E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0E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0E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0E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0E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0E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0E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0E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0E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0E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0E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0E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0F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0F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0F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0F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0F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0F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0F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0F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0F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0F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0F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0F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0F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0F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0F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0F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0F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0F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0F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0F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0F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0F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0F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0F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0F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0F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0F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0F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0F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0F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0F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0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0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0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0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0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0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0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0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0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0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0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0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0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0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0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0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0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0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0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0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0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0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0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0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0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0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0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0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0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0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0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1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1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1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1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1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1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1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1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1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1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1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1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1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1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1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1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1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1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1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1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1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1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1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1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1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1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1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1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1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1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1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A6" authorId="0" shapeId="0" xr:uid="{00000000-0006-0000-1200-000001000000}">
      <text>
        <r>
          <rPr>
            <sz val="11"/>
            <color theme="1"/>
            <rFont val="Calibri"/>
            <family val="2"/>
            <scheme val="minor"/>
          </rPr>
          <t>Action button is created by Excel when StartPilot is run. Before VBA setup this is a label, not an executable button.</t>
        </r>
      </text>
    </comment>
    <comment ref="P14" authorId="0" shapeId="0" xr:uid="{00000000-0006-0000-1200-000002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200-000003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200-000004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200-000005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200-000006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200-000007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200-000008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200-000009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200-00000A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200-00000B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200-00000C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200-00000D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200-00000E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200-00000F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200-000010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200-000011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200-000012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200-000013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200-000014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200-000015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200-000016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200-000017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200-000018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200-000019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200-00001A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200-00001B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200-00001C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200-00001D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200-00001E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200-00001F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200-000020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3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3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3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3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3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3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3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3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3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3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3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3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3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3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3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3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3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3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3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3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3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3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3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3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3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3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3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3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3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3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3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4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4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4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4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4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4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4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4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4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4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4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4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4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4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4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4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4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4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4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4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4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4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4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4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4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4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4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4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4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4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4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5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5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5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5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5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5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5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5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5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5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5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5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5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5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5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5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5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5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5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5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5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5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5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5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5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5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5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5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5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5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5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6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6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6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6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6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6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6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6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6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6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6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6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6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6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6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6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6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6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6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6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6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6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6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6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6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6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6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6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6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6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6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7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7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7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7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7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7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7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7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7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7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7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7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7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7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7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7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7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7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7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7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7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7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7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7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7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7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7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7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7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7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7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8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8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8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8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8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8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8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8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8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8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8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8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8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8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8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8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8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8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8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8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8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8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8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8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8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8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8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8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8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8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8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P14" authorId="0" shapeId="0" xr:uid="{00000000-0006-0000-1900-000001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1900-000002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1900-000003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1900-000004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1900-000005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1900-000006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1900-000007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1900-000008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1900-000009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1900-00000A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1900-00000B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1900-00000C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1900-00000D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1900-00000E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1900-00000F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1900-000010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1900-000011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1900-000012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1900-000013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1900-000014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1900-000015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1900-000016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1900-000017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1900-000018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1900-000019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1900-00001A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1900-00001B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1900-00001C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1900-00001D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1900-00001E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1900-00001F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KERRY tracker</author>
  </authors>
  <commentList>
    <comment ref="A6" authorId="0" shapeId="0" xr:uid="{00000000-0006-0000-2300-000001000000}">
      <text>
        <r>
          <rPr>
            <sz val="11"/>
            <color theme="1"/>
            <rFont val="Calibri"/>
            <family val="2"/>
            <scheme val="minor"/>
          </rPr>
          <t>Action button is created by Excel when StartPilot is run. Before VBA setup this is a label, not an executable button.</t>
        </r>
      </text>
    </comment>
    <comment ref="P14" authorId="0" shapeId="0" xr:uid="{00000000-0006-0000-2300-000002000000}">
      <text>
        <r>
          <rPr>
            <sz val="11"/>
            <color theme="1"/>
            <rFont val="Calibri"/>
            <family val="2"/>
            <scheme val="minor"/>
          </rPr>
          <t>Shared input. The pilot writes this value to the relevant central record.
Source: user-supplied Kerry_2027_Clean.xlsx; no external values substituted.</t>
        </r>
      </text>
    </comment>
    <comment ref="D15" authorId="0" shapeId="0" xr:uid="{00000000-0006-0000-2300-000003000000}">
      <text>
        <r>
          <rPr>
            <sz val="11"/>
            <color theme="1"/>
            <rFont val="Calibri"/>
            <family val="2"/>
            <scheme val="minor"/>
          </rPr>
          <t>Shared input. The pilot writes this value to the relevant central record.
Source: user-supplied Kerry_2027_Clean.xlsx; no external values substituted.</t>
        </r>
      </text>
    </comment>
    <comment ref="D18" authorId="0" shapeId="0" xr:uid="{00000000-0006-0000-2300-000004000000}">
      <text>
        <r>
          <rPr>
            <sz val="11"/>
            <color theme="1"/>
            <rFont val="Calibri"/>
            <family val="2"/>
            <scheme val="minor"/>
          </rPr>
          <t>Shared input. The pilot writes this value to the relevant central record.
Source: user-supplied Kerry_2027_Clean.xlsx; no external values substituted.</t>
        </r>
      </text>
    </comment>
    <comment ref="P18" authorId="0" shapeId="0" xr:uid="{00000000-0006-0000-2300-000005000000}">
      <text>
        <r>
          <rPr>
            <sz val="11"/>
            <color theme="1"/>
            <rFont val="Calibri"/>
            <family val="2"/>
            <scheme val="minor"/>
          </rPr>
          <t>Shared input. The pilot writes this value to the relevant central record.
Source: user-supplied Kerry_2027_Clean.xlsx; no external values substituted.</t>
        </r>
      </text>
    </comment>
    <comment ref="D19" authorId="0" shapeId="0" xr:uid="{00000000-0006-0000-2300-000006000000}">
      <text>
        <r>
          <rPr>
            <sz val="11"/>
            <color theme="1"/>
            <rFont val="Calibri"/>
            <family val="2"/>
            <scheme val="minor"/>
          </rPr>
          <t>Shared input. The pilot writes this value to the relevant central record.
Source: user-supplied Kerry_2027_Clean.xlsx; no external values substituted.</t>
        </r>
      </text>
    </comment>
    <comment ref="P19" authorId="0" shapeId="0" xr:uid="{00000000-0006-0000-2300-000007000000}">
      <text>
        <r>
          <rPr>
            <sz val="11"/>
            <color theme="1"/>
            <rFont val="Calibri"/>
            <family val="2"/>
            <scheme val="minor"/>
          </rPr>
          <t>Shared input. The pilot writes this value to the relevant central record.
Source: user-supplied Kerry_2027_Clean.xlsx; no external values substituted.</t>
        </r>
      </text>
    </comment>
    <comment ref="D20" authorId="0" shapeId="0" xr:uid="{00000000-0006-0000-2300-000008000000}">
      <text>
        <r>
          <rPr>
            <sz val="11"/>
            <color theme="1"/>
            <rFont val="Calibri"/>
            <family val="2"/>
            <scheme val="minor"/>
          </rPr>
          <t>Shared input. The pilot writes this value to the relevant central record.
Source: user-supplied Kerry_2027_Clean.xlsx; no external values substituted.</t>
        </r>
      </text>
    </comment>
    <comment ref="D21" authorId="0" shapeId="0" xr:uid="{00000000-0006-0000-2300-000009000000}">
      <text>
        <r>
          <rPr>
            <sz val="11"/>
            <color theme="1"/>
            <rFont val="Calibri"/>
            <family val="2"/>
            <scheme val="minor"/>
          </rPr>
          <t>Shared input. The pilot writes this value to the relevant central record.
Source: user-supplied Kerry_2027_Clean.xlsx; no external values substituted.</t>
        </r>
      </text>
    </comment>
    <comment ref="J21" authorId="0" shapeId="0" xr:uid="{00000000-0006-0000-2300-00000A000000}">
      <text>
        <r>
          <rPr>
            <sz val="11"/>
            <color theme="1"/>
            <rFont val="Calibri"/>
            <family val="2"/>
            <scheme val="minor"/>
          </rPr>
          <t>Shared input. The pilot writes this value to the relevant central record.
Source: user-supplied Kerry_2027_Clean.xlsx; no external values substituted.</t>
        </r>
      </text>
    </comment>
    <comment ref="P21" authorId="0" shapeId="0" xr:uid="{00000000-0006-0000-2300-00000B000000}">
      <text>
        <r>
          <rPr>
            <sz val="11"/>
            <color theme="1"/>
            <rFont val="Calibri"/>
            <family val="2"/>
            <scheme val="minor"/>
          </rPr>
          <t>Shared input. The pilot writes this value to the relevant central record.
Source: user-supplied Kerry_2027_Clean.xlsx; no external values substituted.</t>
        </r>
      </text>
    </comment>
    <comment ref="P22" authorId="0" shapeId="0" xr:uid="{00000000-0006-0000-2300-00000C000000}">
      <text>
        <r>
          <rPr>
            <sz val="11"/>
            <color theme="1"/>
            <rFont val="Calibri"/>
            <family val="2"/>
            <scheme val="minor"/>
          </rPr>
          <t>Shared input. The pilot writes this value to the relevant central record.
Source: user-supplied Kerry_2027_Clean.xlsx; no external values substituted.</t>
        </r>
      </text>
    </comment>
    <comment ref="P23" authorId="0" shapeId="0" xr:uid="{00000000-0006-0000-2300-00000D000000}">
      <text>
        <r>
          <rPr>
            <sz val="11"/>
            <color theme="1"/>
            <rFont val="Calibri"/>
            <family val="2"/>
            <scheme val="minor"/>
          </rPr>
          <t>Shared input. The pilot writes this value to the relevant central record.
Source: user-supplied Kerry_2027_Clean.xlsx; no external values substituted.</t>
        </r>
      </text>
    </comment>
    <comment ref="A24" authorId="0" shapeId="0" xr:uid="{00000000-0006-0000-2300-00000E000000}">
      <text>
        <r>
          <rPr>
            <sz val="11"/>
            <color theme="1"/>
            <rFont val="Calibri"/>
            <family val="2"/>
            <scheme val="minor"/>
          </rPr>
          <t>Dock specification, stored in Jobs column M under this JobID. The full text is retained, up to Excel cell limits.
Source: user-supplied Kerry_2027_Clean.xlsx; no external values substituted.</t>
        </r>
      </text>
    </comment>
    <comment ref="P24" authorId="0" shapeId="0" xr:uid="{00000000-0006-0000-2300-00000F000000}">
      <text>
        <r>
          <rPr>
            <sz val="11"/>
            <color theme="1"/>
            <rFont val="Calibri"/>
            <family val="2"/>
            <scheme val="minor"/>
          </rPr>
          <t>Shared input. The pilot writes this value to the relevant central record.
Source: user-supplied Kerry_2027_Clean.xlsx; no external values substituted.</t>
        </r>
      </text>
    </comment>
    <comment ref="P27" authorId="0" shapeId="0" xr:uid="{00000000-0006-0000-2300-000010000000}">
      <text>
        <r>
          <rPr>
            <sz val="11"/>
            <color theme="1"/>
            <rFont val="Calibri"/>
            <family val="2"/>
            <scheme val="minor"/>
          </rPr>
          <t>Shared input. The pilot writes this value to the relevant central record.
Source: user-supplied Kerry_2027_Clean.xlsx; no external values substituted.</t>
        </r>
      </text>
    </comment>
    <comment ref="P28" authorId="0" shapeId="0" xr:uid="{00000000-0006-0000-2300-000011000000}">
      <text>
        <r>
          <rPr>
            <sz val="11"/>
            <color theme="1"/>
            <rFont val="Calibri"/>
            <family val="2"/>
            <scheme val="minor"/>
          </rPr>
          <t>Shared input. The pilot writes this value to the relevant central record.
Source: user-supplied Kerry_2027_Clean.xlsx; no external values substituted.</t>
        </r>
      </text>
    </comment>
    <comment ref="P29" authorId="0" shapeId="0" xr:uid="{00000000-0006-0000-2300-000012000000}">
      <text>
        <r>
          <rPr>
            <sz val="11"/>
            <color theme="1"/>
            <rFont val="Calibri"/>
            <family val="2"/>
            <scheme val="minor"/>
          </rPr>
          <t>Shared input. The pilot writes this value to the relevant central record.
Source: user-supplied Kerry_2027_Clean.xlsx; no external values substituted.</t>
        </r>
      </text>
    </comment>
    <comment ref="P30" authorId="0" shapeId="0" xr:uid="{00000000-0006-0000-2300-000013000000}">
      <text>
        <r>
          <rPr>
            <sz val="11"/>
            <color theme="1"/>
            <rFont val="Calibri"/>
            <family val="2"/>
            <scheme val="minor"/>
          </rPr>
          <t>Shared input. The pilot writes this value to the relevant central record.
Source: user-supplied Kerry_2027_Clean.xlsx; no external values substituted.</t>
        </r>
      </text>
    </comment>
    <comment ref="P31" authorId="0" shapeId="0" xr:uid="{00000000-0006-0000-2300-000014000000}">
      <text>
        <r>
          <rPr>
            <sz val="11"/>
            <color theme="1"/>
            <rFont val="Calibri"/>
            <family val="2"/>
            <scheme val="minor"/>
          </rPr>
          <t>Shared input. The pilot writes this value to the relevant central record.
Source: user-supplied Kerry_2027_Clean.xlsx; no external values substituted.</t>
        </r>
      </text>
    </comment>
    <comment ref="P33" authorId="0" shapeId="0" xr:uid="{00000000-0006-0000-2300-000015000000}">
      <text>
        <r>
          <rPr>
            <sz val="11"/>
            <color theme="1"/>
            <rFont val="Calibri"/>
            <family val="2"/>
            <scheme val="minor"/>
          </rPr>
          <t>Shared input. The pilot writes this value to the relevant central record.
Source: user-supplied Kerry_2027_Clean.xlsx; no external values substituted.</t>
        </r>
      </text>
    </comment>
    <comment ref="P34" authorId="0" shapeId="0" xr:uid="{00000000-0006-0000-2300-000016000000}">
      <text>
        <r>
          <rPr>
            <sz val="11"/>
            <color theme="1"/>
            <rFont val="Calibri"/>
            <family val="2"/>
            <scheme val="minor"/>
          </rPr>
          <t>Shared input. The pilot writes this value to the relevant central record.
Source: user-supplied Kerry_2027_Clean.xlsx; no external values substituted.</t>
        </r>
      </text>
    </comment>
    <comment ref="P35" authorId="0" shapeId="0" xr:uid="{00000000-0006-0000-2300-000017000000}">
      <text>
        <r>
          <rPr>
            <sz val="11"/>
            <color theme="1"/>
            <rFont val="Calibri"/>
            <family val="2"/>
            <scheme val="minor"/>
          </rPr>
          <t>Shared input. The pilot writes this value to the relevant central record.
Source: user-supplied Kerry_2027_Clean.xlsx; no external values substituted.</t>
        </r>
      </text>
    </comment>
    <comment ref="P36" authorId="0" shapeId="0" xr:uid="{00000000-0006-0000-2300-000018000000}">
      <text>
        <r>
          <rPr>
            <sz val="11"/>
            <color theme="1"/>
            <rFont val="Calibri"/>
            <family val="2"/>
            <scheme val="minor"/>
          </rPr>
          <t>Shared input. The pilot writes this value to the relevant central record.
Source: user-supplied Kerry_2027_Clean.xlsx; no external values substituted.</t>
        </r>
      </text>
    </comment>
    <comment ref="P37" authorId="0" shapeId="0" xr:uid="{00000000-0006-0000-2300-000019000000}">
      <text>
        <r>
          <rPr>
            <sz val="11"/>
            <color theme="1"/>
            <rFont val="Calibri"/>
            <family val="2"/>
            <scheme val="minor"/>
          </rPr>
          <t>Shared input. The pilot writes this value to the relevant central record.
Source: user-supplied Kerry_2027_Clean.xlsx; no external values substituted.</t>
        </r>
      </text>
    </comment>
    <comment ref="M40" authorId="0" shapeId="0" xr:uid="{00000000-0006-0000-2300-00001A000000}">
      <text>
        <r>
          <rPr>
            <sz val="11"/>
            <color theme="1"/>
            <rFont val="Calibri"/>
            <family val="2"/>
            <scheme val="minor"/>
          </rPr>
          <t>Shared input. The pilot writes this value to the relevant central record.
Source: user-supplied Kerry_2027_Clean.xlsx; no external values substituted.</t>
        </r>
      </text>
    </comment>
    <comment ref="A43" authorId="0" shapeId="0" xr:uid="{00000000-0006-0000-2300-00001B000000}">
      <text>
        <r>
          <rPr>
            <sz val="11"/>
            <color theme="1"/>
            <rFont val="Calibri"/>
            <family val="2"/>
            <scheme val="minor"/>
          </rPr>
          <t>Shared input. The pilot writes this value to the relevant central record.
Source: user-supplied Kerry_2027_Clean.xlsx; no external values substituted.</t>
        </r>
      </text>
    </comment>
    <comment ref="M44" authorId="0" shapeId="0" xr:uid="{00000000-0006-0000-2300-00001C000000}">
      <text>
        <r>
          <rPr>
            <sz val="11"/>
            <color theme="1"/>
            <rFont val="Calibri"/>
            <family val="2"/>
            <scheme val="minor"/>
          </rPr>
          <t>Shared input. The pilot writes this value to the relevant central record.
Source: user-supplied Kerry_2027_Clean.xlsx; no external values substituted.</t>
        </r>
      </text>
    </comment>
    <comment ref="M49" authorId="0" shapeId="0" xr:uid="{00000000-0006-0000-2300-00001D000000}">
      <text>
        <r>
          <rPr>
            <sz val="11"/>
            <color theme="1"/>
            <rFont val="Calibri"/>
            <family val="2"/>
            <scheme val="minor"/>
          </rPr>
          <t>Shared input. The pilot writes this value to the relevant central record.
Source: user-supplied Kerry_2027_Clean.xlsx; no external values substituted.</t>
        </r>
      </text>
    </comment>
    <comment ref="A51" authorId="0" shapeId="0" xr:uid="{00000000-0006-0000-2300-00001E000000}">
      <text>
        <r>
          <rPr>
            <sz val="11"/>
            <color theme="1"/>
            <rFont val="Calibri"/>
            <family val="2"/>
            <scheme val="minor"/>
          </rPr>
          <t>Shared input. The pilot writes this value to the relevant central record.
Source: user-supplied Kerry_2027_Clean.xlsx; no external values substituted.</t>
        </r>
      </text>
    </comment>
    <comment ref="M54" authorId="0" shapeId="0" xr:uid="{00000000-0006-0000-2300-00001F000000}">
      <text>
        <r>
          <rPr>
            <sz val="11"/>
            <color theme="1"/>
            <rFont val="Calibri"/>
            <family val="2"/>
            <scheme val="minor"/>
          </rPr>
          <t>Shared input. The pilot writes this value to the relevant central record.
Source: user-supplied Kerry_2027_Clean.xlsx; no external values substituted.</t>
        </r>
      </text>
    </comment>
    <comment ref="A56" authorId="0" shapeId="0" xr:uid="{00000000-0006-0000-2300-000020000000}">
      <text>
        <r>
          <rPr>
            <sz val="11"/>
            <color theme="1"/>
            <rFont val="Calibri"/>
            <family val="2"/>
            <scheme val="minor"/>
          </rPr>
          <t>Shared input. The pilot writes this value to the relevant central record.
Source: user-supplied Kerry_2027_Clean.xlsx; no external values substituted.</t>
        </r>
      </text>
    </comment>
  </commentList>
</comments>
</file>

<file path=xl/sharedStrings.xml><?xml version="1.0" encoding="utf-8"?>
<sst xmlns="http://schemas.openxmlformats.org/spreadsheetml/2006/main" count="4908" uniqueCount="1328">
  <si>
    <t>Drydock overview</t>
  </si>
  <si>
    <t>KERRY  /  2027</t>
  </si>
  <si>
    <t>KERRY  /  Job-led control  /  Open a workspace to manage scope, suppliers and commercial decisions.</t>
  </si>
  <si>
    <t>Overview</t>
  </si>
  <si>
    <t>Jobs</t>
  </si>
  <si>
    <t>Suppliers</t>
  </si>
  <si>
    <t>Budget</t>
  </si>
  <si>
    <t>Quotes</t>
  </si>
  <si>
    <t>Print summary</t>
  </si>
  <si>
    <t>Guide / setup</t>
  </si>
  <si>
    <t>+ CREATE / OPEN JOB</t>
  </si>
  <si>
    <t>OPEN EDITABLE PILOT</t>
  </si>
  <si>
    <t>SETUP &amp; TEST STATUS</t>
  </si>
  <si>
    <t>ACTIVE WORKSPACES</t>
  </si>
  <si>
    <t>OFFERS REGISTERED</t>
  </si>
  <si>
    <t>SELECTED COST  /  EUR</t>
  </si>
  <si>
    <t>SAVINGS  /  EUR</t>
  </si>
  <si>
    <t>Created jobs, not closed</t>
  </si>
  <si>
    <t>Across the shared job catalogue</t>
  </si>
  <si>
    <t>Final price, otherwise original</t>
  </si>
  <si>
    <t>Selected, negotiated offers</t>
  </si>
  <si>
    <t>ACTIVE JOBS</t>
  </si>
  <si>
    <t>Click Open job to enter its workspace.</t>
  </si>
  <si>
    <t>JOB ID</t>
  </si>
  <si>
    <t>JOB / SCOPE</t>
  </si>
  <si>
    <t>STATUS</t>
  </si>
  <si>
    <t>SELECTED EUR</t>
  </si>
  <si>
    <t>SAVED EUR</t>
  </si>
  <si>
    <t>WORKSPACE</t>
  </si>
  <si>
    <t>Budget &amp; commercial position</t>
  </si>
  <si>
    <t>Selected offers only - not total project forecast or invoices paid. All values below are in EUR.</t>
  </si>
  <si>
    <t>EDIT BUDGET SETTINGS</t>
  </si>
  <si>
    <t>NEGOTIATION DETAIL</t>
  </si>
  <si>
    <t>PRINT MANAGEMENT SUMMARY</t>
  </si>
  <si>
    <t>APPROVED ALLOWANCE</t>
  </si>
  <si>
    <t>LATEST SELECTED COST</t>
  </si>
  <si>
    <t>NEGOTIATED SAVINGS</t>
  </si>
  <si>
    <t>UNALLOCATED ALLOWANCE</t>
  </si>
  <si>
    <t>Editable in Vessel settings</t>
  </si>
  <si>
    <t>Agreed price where available</t>
  </si>
  <si>
    <t>Original less final price</t>
  </si>
  <si>
    <t>Allowance less selected cost</t>
  </si>
  <si>
    <t>ALLOWANCE ALLOCATION</t>
  </si>
  <si>
    <t>DEPARTMENT COMMITMENTS</t>
  </si>
  <si>
    <t>DEPARTMENT</t>
  </si>
  <si>
    <t>TOTAL</t>
  </si>
  <si>
    <t>Original selected price</t>
  </si>
  <si>
    <t>SELECTED COST</t>
  </si>
  <si>
    <t>UNALLOCATED</t>
  </si>
  <si>
    <t>Saving on agreed offers</t>
  </si>
  <si>
    <t>Selected offers / finals pending</t>
  </si>
  <si>
    <t>Job register</t>
  </si>
  <si>
    <t>Active, created jobs are shown. The full catalogue is available through Create / Open Job. Blue fields are shared inputs.</t>
  </si>
  <si>
    <t>Guide</t>
  </si>
  <si>
    <t>Active jobs shown | Full catalogue in Create / Open Job</t>
  </si>
  <si>
    <t>JobID</t>
  </si>
  <si>
    <t>Job title</t>
  </si>
  <si>
    <t>Department</t>
  </si>
  <si>
    <t>Job status</t>
  </si>
  <si>
    <t>Open job</t>
  </si>
  <si>
    <t>Quote count</t>
  </si>
  <si>
    <t>Selected EUR</t>
  </si>
  <si>
    <t>Saved EUR</t>
  </si>
  <si>
    <t>Yard</t>
  </si>
  <si>
    <t>Start</t>
  </si>
  <si>
    <t>End</t>
  </si>
  <si>
    <t>Job notes</t>
  </si>
  <si>
    <t>Specification</t>
  </si>
  <si>
    <t>Job document</t>
  </si>
  <si>
    <t>Sample</t>
  </si>
  <si>
    <t>Page name</t>
  </si>
  <si>
    <t>Active sequence</t>
  </si>
  <si>
    <t>Job choice</t>
  </si>
  <si>
    <t>1001.01</t>
  </si>
  <si>
    <t>ICCP System</t>
  </si>
  <si>
    <t>Hull</t>
  </si>
  <si>
    <t>Draft</t>
  </si>
  <si>
    <t>Unknown</t>
  </si>
  <si>
    <t>The Cathelco service engineer will be arranged and paid for by the Owner.</t>
  </si>
  <si>
    <t>Yes</t>
  </si>
  <si>
    <t>1001.02</t>
  </si>
  <si>
    <t>Corrosion prevention anodes</t>
  </si>
  <si>
    <t>Quote received</t>
  </si>
  <si>
    <t>Staging/access and disposal of old anodes to be included in quote. Old anodes and brackets to be removed completely unless otherwise stated by the Owner's Representative. The new anodes will be placed on the main deck aft. New anodes are to be fitted prior to commencing paint work and taped off during the paint work.</t>
  </si>
  <si>
    <t>JOB 1001.02</t>
  </si>
  <si>
    <t>1001.03</t>
  </si>
  <si>
    <t>Bottom treatment and paint</t>
  </si>
  <si>
    <t>RFQ sent</t>
  </si>
  <si>
    <t>Maintenance of existing silicone and traditional antifouling system. Paint surveyor from HEMPEL, who will supervise the paintwork, will together with the Owner's representative and vessel's Chief Officer issue the final paint specification immediately after the bottom inspection.</t>
  </si>
  <si>
    <t>JOB 1001.03</t>
  </si>
  <si>
    <t>1001.04</t>
  </si>
  <si>
    <t>ICCP shields</t>
  </si>
  <si>
    <t xml:space="preserve">Any damaged ICCP shield is to be repaired. </t>
  </si>
  <si>
    <t>1016.01</t>
  </si>
  <si>
    <t>Sea chests</t>
  </si>
  <si>
    <t>Following sea chests located as follows to be cleaned and painted:</t>
  </si>
  <si>
    <t>1016.02</t>
  </si>
  <si>
    <t>Scrubber outlet pipes</t>
  </si>
  <si>
    <t>The shipside area around the 2 pcs. scrubber discharge pipes in a radius of 1,5 meter is to be blasted to Sa 2,5 and treated with Hempel's Hempadur 85675 according to the paint specification</t>
  </si>
  <si>
    <t>1018.01</t>
  </si>
  <si>
    <t>Topside treatment</t>
  </si>
  <si>
    <t xml:space="preserve">This item contains the preliminary paint specification for the topside area including underside of the stern ramp, funnel, accommodation sides and front. </t>
  </si>
  <si>
    <t>1018.02</t>
  </si>
  <si>
    <t>Ship name, logo and funnel mark</t>
  </si>
  <si>
    <t>Repainting of existing names and logos.</t>
  </si>
  <si>
    <t>1041.01</t>
  </si>
  <si>
    <t>Rudders</t>
  </si>
  <si>
    <t>The neck bearing clearances to be recorded and a copy handed to Owner's Representative during the first day in drydock.</t>
  </si>
  <si>
    <t>1041.02</t>
  </si>
  <si>
    <t>Rudders dismounting/mounting</t>
  </si>
  <si>
    <t>Rudders to be dismounted and mounted.</t>
  </si>
  <si>
    <t>1041.03</t>
  </si>
  <si>
    <t>Rudder steel repair</t>
  </si>
  <si>
    <t>The rudders are to be inspected for damage and cracks after washing.</t>
  </si>
  <si>
    <t>1102.01</t>
  </si>
  <si>
    <t>Hull repair portside frame 96-105</t>
  </si>
  <si>
    <t>Deck</t>
  </si>
  <si>
    <t>Hull damage in Dry space “CS3” to be repaired by steel renewal. Welding work must be performed in accordance with the requirements stated by the attending surveyor from Class. Non-Destructive Testing (NDT) shall be performed as required. Welding spatters shall be removed.</t>
  </si>
  <si>
    <t>1102.02</t>
  </si>
  <si>
    <t>Stevedore damage 9243447-2025-0704-001</t>
  </si>
  <si>
    <t>Damaged steel in deck 1 (lower hold) at frame 153 starboard side to be repaired by steel renewal.</t>
  </si>
  <si>
    <t>1102.03</t>
  </si>
  <si>
    <t>Steel repair bottom</t>
  </si>
  <si>
    <t>Please quote budget price to replace 1 m2 plate in the bottom. Thickness 13mm.</t>
  </si>
  <si>
    <t>1102.05</t>
  </si>
  <si>
    <t>Removal of fenderlist below pilot doors</t>
  </si>
  <si>
    <t>To comply with the revised requirements for Pilot Transfer Arrangements under SOLAS Chapter V, Regulation 23 is the fender list to be removed 3 meters forward and 3 meters aft of the pilot door on each side. The pilot doors are located at frame 70 in port and starboard side.</t>
  </si>
  <si>
    <t>1108.01</t>
  </si>
  <si>
    <t>Deck painting</t>
  </si>
  <si>
    <t xml:space="preserve">This item contains the preliminary paint specification for the cargo deck area. Paint Surveyor from HEMPEL, who will supervise the paintwork, will together with vessel Chief Officer issue the final paint specification immediately after the docking. The Owner supplies all paint. </t>
  </si>
  <si>
    <t>1108.02</t>
  </si>
  <si>
    <t>Anti slip grip</t>
  </si>
  <si>
    <t>Damaged areas of existing antiskid coatings on ramps and deck to be repaired, as found necessary by vessel's Chief Officer.</t>
  </si>
  <si>
    <t>1108.03</t>
  </si>
  <si>
    <t>A60 insulation on cargo deck</t>
  </si>
  <si>
    <t xml:space="preserve">Damaged A-60 insulation on cargo deck to be removed and renewed: </t>
  </si>
  <si>
    <t>1114.01</t>
  </si>
  <si>
    <t>Ballast tanks</t>
  </si>
  <si>
    <t>Vessels water ballast and heeling tanks to be repaired. Paint surveyor from HEMPEL, who will supervise the paintwork, will together with the Owner's Representative and Vessel's Chief Officer issue the final paint specification immediately after the docking.</t>
  </si>
  <si>
    <t>1114.02</t>
  </si>
  <si>
    <t>Dry Double bottom</t>
  </si>
  <si>
    <t>Dry space tank “CS5” to be cleaned and painted, allow for 30 m2 to be treated and painted according to the paint specification (attached to item 300.01).</t>
  </si>
  <si>
    <t>1123.01</t>
  </si>
  <si>
    <t>Aft mast + Aft mooring station mast TO  BE ORDERED BY VESSEL</t>
  </si>
  <si>
    <t>Aft mast to be cleaned and painted. All rusty and damaged areas shall be mechanically cleaned to St 3 according to ISO 8501-1. Edges to intact paint system to be feathered. The surface must be dry and clean for dust and other impurities before paint application is started.</t>
  </si>
  <si>
    <t>1123.03</t>
  </si>
  <si>
    <t>Forward mast wires</t>
  </si>
  <si>
    <t xml:space="preserve">Wires to be replaced on the forward mast. Allow for replacement of 3 pcs. of wirers. New wirers are delivered by the Owner. </t>
  </si>
  <si>
    <t>1201.01</t>
  </si>
  <si>
    <t>Anchors and chains</t>
  </si>
  <si>
    <t>Both anchors and chains to be ranged at the dock bottom for high pressure washing and examination. After examination are both anchors to be painted according the paint specification (attached to item 300.01) with one coat of paint. The Owner supplies all paint.</t>
  </si>
  <si>
    <t>1201.04</t>
  </si>
  <si>
    <t>Hawse Pipes and Anchor Pockets</t>
  </si>
  <si>
    <t>After lowering both anchors, the hawse pipes and anchor pockets are to be inspected. The outboard ends of the hawse pipes appear to be out of round and uneven, preventing the anchors from rotating freely. Based on the inspection findings, the required repairs are to be agreed with the Owner’s Representative. The Yard is to allow for cropping and renewal of wasted or damaged steel, including forming, fitting, welding and grinding as required.</t>
  </si>
  <si>
    <t>1225.01</t>
  </si>
  <si>
    <t>Scubber valves</t>
  </si>
  <si>
    <t>Below scubber valves to be opened/closed and overhauled and approved by the attending surveyor from Rina</t>
  </si>
  <si>
    <t>1225.02</t>
  </si>
  <si>
    <t>Drain pipes from galley</t>
  </si>
  <si>
    <t>Accommodation</t>
  </si>
  <si>
    <t>Pipes for galley drains on deck 4 (weather deck) to be cleaned. Allow to cut the pipes 8 places for cleaning.</t>
  </si>
  <si>
    <t>1250.01</t>
  </si>
  <si>
    <t>Cable to tray to be installed on weather deck aft ramp area. Allow for new cable tray in length 10 meters and 600mm wide delivered by the Yard.</t>
  </si>
  <si>
    <t>Electrical</t>
  </si>
  <si>
    <t>Cable tray replacement</t>
  </si>
  <si>
    <t>1250.02</t>
  </si>
  <si>
    <t>Reefer sockets power cable replacement</t>
  </si>
  <si>
    <t>1 piece of power cable for reefer sockets to be replaced from engine room to weather deck frame 96 in port side.</t>
  </si>
  <si>
    <t>1250.03</t>
  </si>
  <si>
    <t>Electrical jobs</t>
  </si>
  <si>
    <t>Shipyard to advise hourly rate for electrical service to replace light fixtures, replace cables, fault finding etc.</t>
  </si>
  <si>
    <t>1250.04</t>
  </si>
  <si>
    <t>CCTV upgrade</t>
  </si>
  <si>
    <t>Vessels CCTV system to be upgraded. Shipyard to install new cables and equipment onboard. See attached drawings for the details.</t>
  </si>
  <si>
    <t>1302.01</t>
  </si>
  <si>
    <t>Mooring winch electric motors overhaul + Mooring Winches Brake Rendering Tests</t>
  </si>
  <si>
    <t>6 pcs. of electrical motors to be removed for cleaning and overhaul with new bearings.</t>
  </si>
  <si>
    <t>1303.01</t>
  </si>
  <si>
    <t>Steering gears overhaul</t>
  </si>
  <si>
    <t>Engine</t>
  </si>
  <si>
    <t>2 pcs. of covers on deck 3 (main deck) to be removed for access to the actuators. Owner arranged and and paid Neuver service engineer to attend and to supervise all works. All spare parts are delivered by the Owner.</t>
  </si>
  <si>
    <t>JOB 1303.01</t>
  </si>
  <si>
    <t>1303.02</t>
  </si>
  <si>
    <t>Steering gear hydraulic</t>
  </si>
  <si>
    <t>Steering power packs to be overhauled.</t>
  </si>
  <si>
    <t>1309.01</t>
  </si>
  <si>
    <t>Ballast Tank Pneumatic Sounding System</t>
  </si>
  <si>
    <t>The complete ballast tank sounding system is to be inspected, leak-tightness tested and repaired as necessary. Work is to be carried out for all ballast tanks, with the following priority</t>
  </si>
  <si>
    <t>1309.02</t>
  </si>
  <si>
    <t>Sounding Pipes for Heeling tanks</t>
  </si>
  <si>
    <t>ounding Pipes for Heeling tanks</t>
  </si>
  <si>
    <t>1311.01</t>
  </si>
  <si>
    <t>Stern ramp cracks</t>
  </si>
  <si>
    <t>Cracks in the stern ramp to be welded as found necessary. Any temporary reinforcement plate to be fully removed.</t>
  </si>
  <si>
    <t>1311.02</t>
  </si>
  <si>
    <t>Stern ramp wires and finger flap wires</t>
  </si>
  <si>
    <t>Wires for the stern ramp and stern ramp finger flaps are to be replaced with Owner supplied new wires.</t>
  </si>
  <si>
    <t>1311.03</t>
  </si>
  <si>
    <t>Stern ramp finger flaps</t>
  </si>
  <si>
    <t>The finger flaps on the stern ramp to be overhauled during dry docking due to excessive hinge clearances and tip deformation and damage.</t>
  </si>
  <si>
    <t>1311.04</t>
  </si>
  <si>
    <t>Stern ramp soft flaps installation</t>
  </si>
  <si>
    <t>Soft flaps are to be installed on the stern ramp finger flaps as indicated on the attached drawings and reference pictures. Detailed drawing can be forwarded upon request.</t>
  </si>
  <si>
    <t>1311.05</t>
  </si>
  <si>
    <t>Ramp cover gasket replacement</t>
  </si>
  <si>
    <t>The rubber packing on the vessel’s lower hold cover is to be partly renewed.</t>
  </si>
  <si>
    <t>1311.06</t>
  </si>
  <si>
    <t>Ramp cover hydraulic cylinders overhaul</t>
  </si>
  <si>
    <t xml:space="preserve">2 pcs. main cylinders for ramp cover on main deck to be removed and transported to the yards workshop for overhaul. Piston rods to be polished. </t>
  </si>
  <si>
    <t>1313.01</t>
  </si>
  <si>
    <t>Sewage tank cleaning</t>
  </si>
  <si>
    <t xml:space="preserve">Sewage treatment plant to be cleaned by low pressure freshwater cleaning. Tank to be discharged fully from sediments and water. </t>
  </si>
  <si>
    <t>1321.01</t>
  </si>
  <si>
    <t>Heeling pump overhaul</t>
  </si>
  <si>
    <t>1 piece of Framo anti heeling pump and electrical motor to be overhauled with new shaft seal and bearings. Electrical motor to be lifted for access. Allow to remove the edge of the drip tray and the use of existing lifting eyes</t>
  </si>
  <si>
    <t>1401.01</t>
  </si>
  <si>
    <t>Renewal of Lifeboat Exhaust Pipes</t>
  </si>
  <si>
    <t>The engine exhaust pipes in both lifeboats are to be renewed.</t>
  </si>
  <si>
    <t>1401.02</t>
  </si>
  <si>
    <t>Wire rope LSA replacement 5 yearly</t>
  </si>
  <si>
    <t>The existing wires are to be renewed with new Owner delivered wirer of the same specification, diameter, construction and minimum breaking load as required by the equipment manufacturer</t>
  </si>
  <si>
    <t>1401.03</t>
  </si>
  <si>
    <t>Lifeboats taken ashore</t>
  </si>
  <si>
    <t>The vessels lifeboats to be transported to shore and placed on the quay in a safe location for the vessels crew to perform maintenance and painting.</t>
  </si>
  <si>
    <t>1401.04</t>
  </si>
  <si>
    <t>Support beam for STB lifeboat davit</t>
  </si>
  <si>
    <t xml:space="preserve">Bended support beam for starboard lifeboat davit to be replaced. </t>
  </si>
  <si>
    <t>1500.01</t>
  </si>
  <si>
    <t>Fire detection system</t>
  </si>
  <si>
    <t>Fire detection system to be upgraded during the dry dock by an External contractor</t>
  </si>
  <si>
    <t>JOB 1500.01</t>
  </si>
  <si>
    <t>2200.01</t>
  </si>
  <si>
    <t>Galley floor</t>
  </si>
  <si>
    <t>Minor cracks in the existing epoxy floor coating in the galley shall be repaired.</t>
  </si>
  <si>
    <t>2200.02</t>
  </si>
  <si>
    <t>Carpet replacement on deck 7</t>
  </si>
  <si>
    <t>New Owner delivered carted and linoleum floor to be installed on deck 7 according to attached table. Allow for full removal and disposal of old carpet.</t>
  </si>
  <si>
    <t>2200.05</t>
  </si>
  <si>
    <t>Fire doors replacement</t>
  </si>
  <si>
    <t>19 pcs. of fire doors and frames to be removed and replaced with new Owner delivered doors and frames. See attached document with pictures describing the locations and approximate dimensions</t>
  </si>
  <si>
    <t>2200.06</t>
  </si>
  <si>
    <t>Bathroom floor accommodation cabins</t>
  </si>
  <si>
    <t>The existing epoxy floor in each bathroom is to be renewed. See attached pictures for reference. Allow for below work in 50 pcs. of bathrooms:</t>
  </si>
  <si>
    <t>2701.02</t>
  </si>
  <si>
    <t xml:space="preserve">Fire Damper </t>
  </si>
  <si>
    <t>Chipping rust inside , improve movement . change insulation .</t>
  </si>
  <si>
    <t>3103.01</t>
  </si>
  <si>
    <t>Service of reduction gears STB/PS</t>
  </si>
  <si>
    <t xml:space="preserve">Owners will appoint a manufacturer’s approved service contractor to carry out the service overhaul. Yard shall provide with 2 skilled fitters to help the service engineers carry out the job, 6 days 12 hours pr. day.  </t>
  </si>
  <si>
    <t>JOB 3103.01</t>
  </si>
  <si>
    <t>3127.01</t>
  </si>
  <si>
    <t>ME turborcharger overhaul</t>
  </si>
  <si>
    <t xml:space="preserve">Both turbochargers to overhauled. Allow for removal of each cartridge and transport to workshop. </t>
  </si>
  <si>
    <t>3138.01</t>
  </si>
  <si>
    <t>AE3 exhaust pipe</t>
  </si>
  <si>
    <t xml:space="preserve">Starboard auxiliary engine exhaust pipe to be replaced on the funnel top. </t>
  </si>
  <si>
    <t>3138.02</t>
  </si>
  <si>
    <t>AE2 &amp; AE3 Exhaust Pipes</t>
  </si>
  <si>
    <t>Exhaust leaks in the funnel from AE2 and AE3 to be inspected. Allow for removal of external sheet metal cladding and insulation as necessary to provide full access for inspection of the exhaust gas piping in the affected areas.</t>
  </si>
  <si>
    <t>3138.03</t>
  </si>
  <si>
    <t>ME2 Exhaust pipe</t>
  </si>
  <si>
    <t>Exhaust leaks from main engine no. 2 (starboard side) to be inspected. Allow for removal of external sheet metal cladding and insulation as necessary to provide full access for inspection of the exhaust gas piping in the affected areas.</t>
  </si>
  <si>
    <t>3138.04</t>
  </si>
  <si>
    <t>Scrubber</t>
  </si>
  <si>
    <t>Possible crack in the vessels scrubber to be investigated. The scrubber is located in the funnel. Allow for removal of external sheet metal cladding and insulation as necessary to provide full access for inspection.</t>
  </si>
  <si>
    <t>3149.01</t>
  </si>
  <si>
    <t>Main engine overhaul</t>
  </si>
  <si>
    <t xml:space="preserve">All parts for the overhaul are delivered by the Owner. </t>
  </si>
  <si>
    <t>JOB 3149.01</t>
  </si>
  <si>
    <t>3149.02</t>
  </si>
  <si>
    <t>Governor overhaul</t>
  </si>
  <si>
    <t>Allow for removal of both governors from the main engines and preparation for transport to an authorized workshop for overhaul.</t>
  </si>
  <si>
    <t>JOB 3149.02</t>
  </si>
  <si>
    <t>3221.01</t>
  </si>
  <si>
    <t>LT backflush pipes</t>
  </si>
  <si>
    <t xml:space="preserve">2 pcs. of new back flush pipes in DN150 to be fabricated and installed on the LT coolers. </t>
  </si>
  <si>
    <t>3306.01</t>
  </si>
  <si>
    <t>LT cooling pipes renewal</t>
  </si>
  <si>
    <t>DN125 pipes for the LT cooling system to be replaced. Allow to reuse existing pipe supports. The system is to be drained by the crew.</t>
  </si>
  <si>
    <t>3306.02</t>
  </si>
  <si>
    <t>HT cooling pipes renewal</t>
  </si>
  <si>
    <t>Pipes for the HT cooling system to be replaced. Allow to reuse existing pipe supports. The system is to be drained by the crew.</t>
  </si>
  <si>
    <t>3320.01</t>
  </si>
  <si>
    <t>Bearing replacing on the port shaft generator</t>
  </si>
  <si>
    <t xml:space="preserve">Generator to be disassembled for cleaning and bearing renewal. </t>
  </si>
  <si>
    <t>3338.01</t>
  </si>
  <si>
    <t>Ship side valves</t>
  </si>
  <si>
    <t xml:space="preserve">Shipside valves according to below list to be opened/closed and overhauled and approved by the attending surveyor from Rina. </t>
  </si>
  <si>
    <t>3338.02</t>
  </si>
  <si>
    <t>Butterfly valves replacement</t>
  </si>
  <si>
    <t>Following butterfly valves to be replaced</t>
  </si>
  <si>
    <t>3341.02</t>
  </si>
  <si>
    <t>Ventilation fan overhaul</t>
  </si>
  <si>
    <t>Below fans to be overhauled including electrical motors. The fan wings are to be balanced to the speed of the electrical motor.</t>
  </si>
  <si>
    <t>3341.03</t>
  </si>
  <si>
    <t>Bow Thrusters Space Ventilation Duct</t>
  </si>
  <si>
    <t>Ventilation duct in the bow thruster room near frame 196 to be replaced. See attached picture.</t>
  </si>
  <si>
    <t>3401.01</t>
  </si>
  <si>
    <t>Oil fired boiler: Overhaul of valves and cleaning</t>
  </si>
  <si>
    <t>Aalborg CHB-2000 oil fired boiler to be opened on water and gas side.</t>
  </si>
  <si>
    <t>3411.01</t>
  </si>
  <si>
    <t>ME exhaust gas boilers: Overhaul of valves and cleaning</t>
  </si>
  <si>
    <t>2 pcs. of exhaust gas boiler Aalborg G-210 for the main engines to be opened on water and gas side. Below pieces are for both exhaust gas boiler.</t>
  </si>
  <si>
    <t>3411.02</t>
  </si>
  <si>
    <t>ME Exhaust gas boiler soot blower</t>
  </si>
  <si>
    <t xml:space="preserve">Internal soot blowers in the main engine economizers to be replaced. </t>
  </si>
  <si>
    <t>3505.02</t>
  </si>
  <si>
    <t>Scrubber pipe penetrations</t>
  </si>
  <si>
    <t xml:space="preserve">Penetrations between cooling room and main engine room to be checked for corrosion. </t>
  </si>
  <si>
    <t>3801.01</t>
  </si>
  <si>
    <t>Propeller hub overhaul</t>
  </si>
  <si>
    <t>The propeller hubs are to be dismantled for overhaul. The Owner will arrange and pay for a Wärtsilä service engineer to attend onboard and supervise all work. The Yard shall provide all necessary labour, tools, lifting equipment, transport and assistance as required.</t>
  </si>
  <si>
    <t>3802.01</t>
  </si>
  <si>
    <t>Stern tube seals</t>
  </si>
  <si>
    <t>Following work to be performed on the stern tube seals. Owner arranged and paid service engineer to attend and will supervise the work below.  The yard is to assist the service engineer as found necessary. All spare parts are delivered by the Owner.</t>
  </si>
  <si>
    <t>JOB 3802.01</t>
  </si>
  <si>
    <t>3805.02</t>
  </si>
  <si>
    <t>Main propeller OD box overhaul</t>
  </si>
  <si>
    <t xml:space="preserve">The Oil Distribution Boxes for each CPP propeller shaft to be overhauled.  </t>
  </si>
  <si>
    <t>JOB 3805.02</t>
  </si>
  <si>
    <t>3805.03</t>
  </si>
  <si>
    <t>Propellershaft withdrawal</t>
  </si>
  <si>
    <t>The Owner will arrange and pay for a Wärtsilä service engineer to attend onboard and supervise all work. The Yard shall provide all necessary labour, tools, lifting equipment, transport and assistance as required. The following work to be performed in conjunction with below items.</t>
  </si>
  <si>
    <t>3811.01</t>
  </si>
  <si>
    <t>Bow thrusters overhaul</t>
  </si>
  <si>
    <t>2 pcs. of bow thrusters to be dismantled for replacement of the propeller shaft seal and blade seals.</t>
  </si>
  <si>
    <t>JOB 3811.01</t>
  </si>
  <si>
    <t>3811.02</t>
  </si>
  <si>
    <t>Thruster PLC upgrade - YARD INFO ONLY</t>
  </si>
  <si>
    <t>Owners’ subcontractor will carry out an upgrade of the PLC systems for the thruster starter panels during the docking period. The vessel shall be allowed to dock out without the use of the thrusters, as the upgrade cannot be commissioned until the thruster units are operational.</t>
  </si>
  <si>
    <t>JOB 3811.02</t>
  </si>
  <si>
    <t>3812.01</t>
  </si>
  <si>
    <t>Stabilizers</t>
  </si>
  <si>
    <t>Allow for both stabilizer fins to be replaced with new Owner delivered fins. The Owner will arrange and pay for a Pinfab service engineer to attend onboard and is to supervise all work. The Yard shall provide all necessary labour, tools, lifting equipment, transport and assistance as required.</t>
  </si>
  <si>
    <t>JOB 3812.01</t>
  </si>
  <si>
    <t>3901.01</t>
  </si>
  <si>
    <t>Portside passenger lift - YARD INFO ONLY</t>
  </si>
  <si>
    <t xml:space="preserve">The port side passenger lift is to be upgraded by an external contractor. </t>
  </si>
  <si>
    <t>Supplier directory</t>
  </si>
  <si>
    <t>One supplier can have several contacts. Edit contact details here or on an active job page. Jobs / quotes opens their work.</t>
  </si>
  <si>
    <t>+ ADD VIA A JOB</t>
  </si>
  <si>
    <t>Shared contacts | Company names update across the same SupplierID.</t>
  </si>
  <si>
    <t>ALL SUPPLIER JOBS</t>
  </si>
  <si>
    <t>SupplierID</t>
  </si>
  <si>
    <t>Supplier name</t>
  </si>
  <si>
    <t>Specialty / team</t>
  </si>
  <si>
    <t>ContactID</t>
  </si>
  <si>
    <t>Contact</t>
  </si>
  <si>
    <t>Email</t>
  </si>
  <si>
    <t>Phone</t>
  </si>
  <si>
    <t>City / country</t>
  </si>
  <si>
    <t>Supplier / contact notes</t>
  </si>
  <si>
    <t>Open jobs</t>
  </si>
  <si>
    <t>Primary supplier</t>
  </si>
  <si>
    <t>Contact choice</t>
  </si>
  <si>
    <t>Supplier choice</t>
  </si>
  <si>
    <t>A1</t>
  </si>
  <si>
    <t>RENK</t>
  </si>
  <si>
    <t>Supervising engineers, for reduction gear overhaul</t>
  </si>
  <si>
    <t>CT00001</t>
  </si>
  <si>
    <t>RENKINFO</t>
  </si>
  <si>
    <t>info.renk-benelux@renk.com</t>
  </si>
  <si>
    <t xml:space="preserve">Waiting for qoute </t>
  </si>
  <si>
    <t>Jobs / quotes</t>
  </si>
  <si>
    <t xml:space="preserve"> </t>
  </si>
  <si>
    <t>A2</t>
  </si>
  <si>
    <t>BAC IMPALLOY</t>
  </si>
  <si>
    <t>Supplier annodes</t>
  </si>
  <si>
    <t>CT00002</t>
  </si>
  <si>
    <t>Ole Elrum</t>
  </si>
  <si>
    <t>N/A</t>
  </si>
  <si>
    <t>Herfølge DA</t>
  </si>
  <si>
    <t>Qoute attached</t>
  </si>
  <si>
    <t>A3</t>
  </si>
  <si>
    <t>HEMPEL</t>
  </si>
  <si>
    <t>Paint for hull</t>
  </si>
  <si>
    <t>CT00003</t>
  </si>
  <si>
    <t>Björn Smit</t>
  </si>
  <si>
    <t>BJS@hempel.com</t>
  </si>
  <si>
    <t>Sweden</t>
  </si>
  <si>
    <t>A4</t>
  </si>
  <si>
    <t>Chugoku paints</t>
  </si>
  <si>
    <t>CT00004</t>
  </si>
  <si>
    <t xml:space="preserve">Peter </t>
  </si>
  <si>
    <t>sales@cmpeurope.eu</t>
  </si>
  <si>
    <t>Netherlands</t>
  </si>
  <si>
    <t>A5</t>
  </si>
  <si>
    <t>MAN</t>
  </si>
  <si>
    <t>Main engine spareparts</t>
  </si>
  <si>
    <t>CT00005</t>
  </si>
  <si>
    <t xml:space="preserve">Qoute to be send </t>
  </si>
  <si>
    <t>A6</t>
  </si>
  <si>
    <t>PINNFABB</t>
  </si>
  <si>
    <t>Stabilizers spareparts and engineers</t>
  </si>
  <si>
    <t>CT00006</t>
  </si>
  <si>
    <t xml:space="preserve">MATT </t>
  </si>
  <si>
    <t>matteo.fabbricotti@pinfabb.com</t>
  </si>
  <si>
    <t>Italy</t>
  </si>
  <si>
    <t>Qoute to be recived for spareparts</t>
  </si>
  <si>
    <t>A7</t>
  </si>
  <si>
    <t>WÀRTSILA</t>
  </si>
  <si>
    <t>ENGINE SPARES</t>
  </si>
  <si>
    <t>CT00007</t>
  </si>
  <si>
    <t>To qoute for spares for ME Overhaul</t>
  </si>
  <si>
    <t xml:space="preserve">PROPELLER </t>
  </si>
  <si>
    <t>CT00008</t>
  </si>
  <si>
    <t xml:space="preserve">Yuzer </t>
  </si>
  <si>
    <t>safa.yuzer@wartsila.com</t>
  </si>
  <si>
    <t>31 744 46 09</t>
  </si>
  <si>
    <t>Contact yuzer for information and update</t>
  </si>
  <si>
    <t>A8</t>
  </si>
  <si>
    <t>PJCircular</t>
  </si>
  <si>
    <t>Engineering governor overhaul</t>
  </si>
  <si>
    <t>CT00009</t>
  </si>
  <si>
    <t>pjcircular@pjcircular.com</t>
  </si>
  <si>
    <t xml:space="preserve"> 39 29 15 53</t>
  </si>
  <si>
    <t>DK</t>
  </si>
  <si>
    <t>Qoute recived for overhaul labor</t>
  </si>
  <si>
    <t>A8.1</t>
  </si>
  <si>
    <t xml:space="preserve">TURNER </t>
  </si>
  <si>
    <t>CT00010</t>
  </si>
  <si>
    <t>info.nl@turner-ecs.com</t>
  </si>
  <si>
    <t>23 566 2300</t>
  </si>
  <si>
    <t>Qoute recived.</t>
  </si>
  <si>
    <t>F1</t>
  </si>
  <si>
    <t>Autronica Fire and Security AS</t>
  </si>
  <si>
    <t>Fire and Security Maritime</t>
  </si>
  <si>
    <t>CT00011</t>
  </si>
  <si>
    <t>Stian Hilde</t>
  </si>
  <si>
    <t>stian.hilde@autronicagroup.com</t>
  </si>
  <si>
    <t>Norway</t>
  </si>
  <si>
    <t>Qoute recived for update fire system</t>
  </si>
  <si>
    <t>F2</t>
  </si>
  <si>
    <t>Consillium</t>
  </si>
  <si>
    <t>CT00012</t>
  </si>
  <si>
    <t>Martin</t>
  </si>
  <si>
    <t>Martin.Noer@consiliumsafety.com</t>
  </si>
  <si>
    <t>20 30 69 96</t>
  </si>
  <si>
    <t xml:space="preserve">Request for qoute. </t>
  </si>
  <si>
    <t>A9</t>
  </si>
  <si>
    <t>BRUNVOLL</t>
  </si>
  <si>
    <t xml:space="preserve">PLC/THRUSTER </t>
  </si>
  <si>
    <t>CT00013</t>
  </si>
  <si>
    <t>office@brunvoll.no</t>
  </si>
  <si>
    <t>71 21 96 00</t>
  </si>
  <si>
    <t xml:space="preserve">Qoute recived </t>
  </si>
  <si>
    <t>A10</t>
  </si>
  <si>
    <t xml:space="preserve">Neuver maritime </t>
  </si>
  <si>
    <t>Engineering CCP overhauls</t>
  </si>
  <si>
    <t>CT00014</t>
  </si>
  <si>
    <t>Hilde Omvik Kyte</t>
  </si>
  <si>
    <t>support@neuver.com</t>
  </si>
  <si>
    <t>48 28 85 00</t>
  </si>
  <si>
    <t>qoute recived for man hours</t>
  </si>
  <si>
    <t xml:space="preserve">Engineering CPP </t>
  </si>
  <si>
    <t>CT00015</t>
  </si>
  <si>
    <t xml:space="preserve">Qoute recived for spares </t>
  </si>
  <si>
    <t>A11</t>
  </si>
  <si>
    <t>NIPPON</t>
  </si>
  <si>
    <t>CT00016</t>
  </si>
  <si>
    <t>Alex Uuetalu</t>
  </si>
  <si>
    <t>viktor@vrepair.ee</t>
  </si>
  <si>
    <t xml:space="preserve">Estland </t>
  </si>
  <si>
    <t>Supplier jobs &amp; offers</t>
  </si>
  <si>
    <t>Filter a supplier to see their jobs. With the pilot active, blue scope, status and price fields edit the same offer.</t>
  </si>
  <si>
    <t>Supplier filter</t>
  </si>
  <si>
    <t>All suppliers</t>
  </si>
  <si>
    <t>SUPPLIER DIRECTORY</t>
  </si>
  <si>
    <t>Filter applies after macro setup.</t>
  </si>
  <si>
    <t>QuoteID</t>
  </si>
  <si>
    <t>Supplier</t>
  </si>
  <si>
    <t>Job</t>
  </si>
  <si>
    <t>Scope / package</t>
  </si>
  <si>
    <t>Quote status</t>
  </si>
  <si>
    <t>Original price</t>
  </si>
  <si>
    <t>Final price</t>
  </si>
  <si>
    <t>Currency</t>
  </si>
  <si>
    <t>Latest EUR</t>
  </si>
  <si>
    <t>Edit quote</t>
  </si>
  <si>
    <t>Quote register</t>
  </si>
  <si>
    <t>Original prices remain unchanged when you enter a negotiated price. Only Selected offers affect the budget.</t>
  </si>
  <si>
    <t>G = original  |  H = negotiated  |  Same quote currency</t>
  </si>
  <si>
    <t>NEGOTIATION OVERVIEW</t>
  </si>
  <si>
    <t>Status</t>
  </si>
  <si>
    <t>Received</t>
  </si>
  <si>
    <t>Valid until</t>
  </si>
  <si>
    <t>Quote reference</t>
  </si>
  <si>
    <t>Original quote link</t>
  </si>
  <si>
    <t>Revised quote link</t>
  </si>
  <si>
    <t>Quote notes</t>
  </si>
  <si>
    <t>Negotiation notes</t>
  </si>
  <si>
    <t>Original filename</t>
  </si>
  <si>
    <t>Original job label</t>
  </si>
  <si>
    <t>Contact name</t>
  </si>
  <si>
    <t>Contact email</t>
  </si>
  <si>
    <t>Contact phone</t>
  </si>
  <si>
    <t>FX units per EUR</t>
  </si>
  <si>
    <t>Original EUR</t>
  </si>
  <si>
    <t>Latest price</t>
  </si>
  <si>
    <t>Savings currency</t>
  </si>
  <si>
    <t>Savings EUR</t>
  </si>
  <si>
    <t>Savings %</t>
  </si>
  <si>
    <t>Selected original EUR</t>
  </si>
  <si>
    <t>Selected savings EUR</t>
  </si>
  <si>
    <t>Selected sequence</t>
  </si>
  <si>
    <t>Sequence on job</t>
  </si>
  <si>
    <t>Check</t>
  </si>
  <si>
    <t>Selected agreed original</t>
  </si>
  <si>
    <t>Contact check</t>
  </si>
  <si>
    <t>Open original</t>
  </si>
  <si>
    <t>Open revised</t>
  </si>
  <si>
    <t>Job quote key</t>
  </si>
  <si>
    <t>Quote lookup key</t>
  </si>
  <si>
    <t>3103.01-Q1</t>
  </si>
  <si>
    <t>Main scope</t>
  </si>
  <si>
    <t>Selected</t>
  </si>
  <si>
    <t>EUR</t>
  </si>
  <si>
    <t>https://stena.sharepoint.com/:b:/r/sites/KERRY/Shared%20Documents/Dry%20dock%202027/Specification%20items/3103.01/Qoute/Quotation_7078856.pdf?d=wb457e4885dda4f86b03d64a9b32e5e34&amp;csf=1&amp;web=1&amp;e=AIu7S6</t>
  </si>
  <si>
    <t>Service/overhaul + labour</t>
  </si>
  <si>
    <t>Quotation_7078856.pdf</t>
  </si>
  <si>
    <t>3103.01 — Service of reduction gears STB/PS</t>
  </si>
  <si>
    <t>OPEN ORIGINAL</t>
  </si>
  <si>
    <t>1001.02-Q1</t>
  </si>
  <si>
    <t>DKK</t>
  </si>
  <si>
    <t>file:///C:\Users\mikkelr\Stena\Kerry%20-%20Documents\Dry%20dock%202027\Specification%20items\1001.02%20Corrosion%20prevention%20anodes\Quote\6082705%20Salg%20-%20tilbud%2016572.pdf</t>
  </si>
  <si>
    <t>6082705 Salg - tilbud 16572.pdf</t>
  </si>
  <si>
    <t>1001.02 — Corrosion prevention anodes</t>
  </si>
  <si>
    <t>1001.03-Q1</t>
  </si>
  <si>
    <t>https://stena.sharepoint.com/:b:/r/sites/KERRY/Shared%20Documents/Dry%20dock%202027/Specification%20items/300.01%20Paint%20specification/Revision%202/MV%20Kerry%20repair%20DD%202027%20Quotation%202026-09-22.pdf?d=wff191d737943412290bf93fd0606a64c&amp;csf=1&amp;web=1&amp;e=ND5pwC</t>
  </si>
  <si>
    <t>MV Kerry repair DD 2027 Quotation 2026-09-22.pdf</t>
  </si>
  <si>
    <t>1001.03 — Bottom treatment and paint</t>
  </si>
  <si>
    <t>1001.03-Q2</t>
  </si>
  <si>
    <t>https://stena.sharepoint.com/:b:/r/sites/KERRY/Shared%20Documents/Dry%20dock%202027/Specification%20items/300.01%20Paint%20specification/Kerry%20IMO%209243447%20-%20Project%20Quotation%20-%202026-10-03_053511.pdf?d=w2706cbe4e8dc46d7b66c9c8bc5965345&amp;csf=1&amp;web=1&amp;e=7XwTdX</t>
  </si>
  <si>
    <t>BOTTOM + TOPPAINT</t>
  </si>
  <si>
    <t>Kerry IMO 9243447 - Project Quotation - 2026-10-03_053511.pdf</t>
  </si>
  <si>
    <t>3149.01-Q1</t>
  </si>
  <si>
    <t>3149.01 — Main engine overhaul</t>
  </si>
  <si>
    <t>3812.01-Q1</t>
  </si>
  <si>
    <t>https://stena.sharepoint.com/:b:/r/sites/KERRY/Shared%20Documents/Dry%20dock%202027/Specification%20items/3812.01%20Stabilizers/Q3432026%20KER.pdf?d=wfae0e3e6b37442c0a41207b07117bb82&amp;csf=1&amp;web=1&amp;e=puS2v6</t>
  </si>
  <si>
    <t>New stabilizer shaft + blade</t>
  </si>
  <si>
    <t>Q3432026 KER.pdf</t>
  </si>
  <si>
    <t>3812.01 — Stabilizers</t>
  </si>
  <si>
    <t>3149.02-Q1</t>
  </si>
  <si>
    <t>https://stena.sharepoint.com/:b:/r/sites/KERRY/Shared%20Documents/Dry%20dock%202027/Specification%20items/3149.02%20Governor%20overhaul/75270Q%20KERRY.pdf?d=w6f4c92a131414b58ab13c768e62aa6e0&amp;csf=1&amp;web=1&amp;e=mX2A5c</t>
  </si>
  <si>
    <t>Labor cost PJ for overhaul</t>
  </si>
  <si>
    <t>75270Q KERRY.pdf</t>
  </si>
  <si>
    <t>3149.02 — Governor overhaul</t>
  </si>
  <si>
    <t>3149.02-Q2</t>
  </si>
  <si>
    <t>https://stena.sharepoint.com/:b:/r/sites/KERRY/Shared%20Documents/Dry%20dock%202027/Specification%20items/3149.02%20Governor%20overhaul/Quotation%20-%20SO11842B%20TURNER.pdf?d=w7030e7f7fb53426086280bdde72ce8a0&amp;csf=1&amp;web=1&amp;e=kxFlkv</t>
  </si>
  <si>
    <t>Gov. Overhaul TURNER total overhaul price</t>
  </si>
  <si>
    <t>Quotation - SO11842B TURNER.pdf</t>
  </si>
  <si>
    <t>1500.01-Q1</t>
  </si>
  <si>
    <t>Q-329241</t>
  </si>
  <si>
    <t>https://stena.sharepoint.com/:b:/r/sites/KERRY/Shared%20Documents/Dry%20dock%202027/Specification%20items/1500.01%20Fire%20detection%20system/Q-329241-STENA%20RORO%20NAVIGATION%20LTD%20(DRC%20KERRY)--KERRY%20(1).pdf?d=wdf0630e0ecdb4cc5ba450720d784418e&amp;csf=1&amp;web=1&amp;e=HhQnOK</t>
  </si>
  <si>
    <t>Q-329241-STENA RORO NAVIGATION LTD (DRC KERRY)--KERRY (1).pdf</t>
  </si>
  <si>
    <t>1500.01 — Fire detection system</t>
  </si>
  <si>
    <t>1500.01-Q2</t>
  </si>
  <si>
    <t>Clarification</t>
  </si>
  <si>
    <t>SO11842B</t>
  </si>
  <si>
    <t>3811.02-Q1</t>
  </si>
  <si>
    <t>NOK</t>
  </si>
  <si>
    <t>https://stena.sharepoint.com/:b:/r/sites/KERRY/Shared%20Documents/Dry%20dock%202027/Specification%20items/3811.02%20Thruster%20PLC%20upgrade/0004258326_0_0.pdf?d=wf56756d737494c3d81d021ab017550da&amp;csf=1&amp;web=1&amp;e=L5J0TD</t>
  </si>
  <si>
    <t>For PLC update</t>
  </si>
  <si>
    <t>0004258326_0_0.pdf</t>
  </si>
  <si>
    <t>3811.02 — Thruster PLC upgrade - YARD INFO ONLY</t>
  </si>
  <si>
    <t>3811.01-Q1</t>
  </si>
  <si>
    <t>Service</t>
  </si>
  <si>
    <t>https://stena.sharepoint.com/:b:/r/sites/KERRY/Shared%20Documents/Dry%20dock%202027/Specification%20items/3811.01%20Bow%20thrusters%20overhaul/Quote%20service/0004258303_0_0.pdf?d=w7d517b2ab93847399ada98fdb3257796&amp;csf=1&amp;web=1&amp;e=7bNjnt</t>
  </si>
  <si>
    <t xml:space="preserve">Service only </t>
  </si>
  <si>
    <t>0004258303_0_0.pdf</t>
  </si>
  <si>
    <t>3811.01 — Bow thrusters overhaul</t>
  </si>
  <si>
    <t>1303.01-Q1</t>
  </si>
  <si>
    <t>Q105715</t>
  </si>
  <si>
    <t>https://stena.sharepoint.com/:b:/r/sites/KERRY/Shared%20Documents/Dry%20dock%202027/Specification%20items/1303.01%20Steering%20gears%20overhaul/Quotes/Neuver%20Service%20Quotation.pdf?d=w1562006030c147e6a4a87bc306e55bbe&amp;csf=1&amp;web=1&amp;e=teFGol</t>
  </si>
  <si>
    <t>Labor cost and travel expensis</t>
  </si>
  <si>
    <t>Neuver Service Quotation.pdf</t>
  </si>
  <si>
    <t>1303.01 — Steering gears overhaul</t>
  </si>
  <si>
    <t>1303.01-Q2</t>
  </si>
  <si>
    <t>Q105722</t>
  </si>
  <si>
    <t>https://stena.sharepoint.com/:b:/r/sites/KERRY/Shared%20Documents/Dry%20dock%202027/Specification%20items/1303.01%20Steering%20gears%20overhaul/Quotes/SalesQuotation.pdf?d=w33d7dd5549e8488b82854196410fb329&amp;csf=1&amp;web=1&amp;e=nx5vKq</t>
  </si>
  <si>
    <t xml:space="preserve">Service &amp; Spares </t>
  </si>
  <si>
    <t>SalesQuotation.pdf</t>
  </si>
  <si>
    <t>3811.01-Q2</t>
  </si>
  <si>
    <t>Spares</t>
  </si>
  <si>
    <t>https://stena.sharepoint.com/:b:/r/sites/KERRY/Shared%20Documents/Dry%20dock%202027/Specification%20items/3811.01%20Bow%20thrusters%20overhaul/Quote%20shaft%20seal%20including%20gear%20housing/0004258302_0_0.pdf?d=we50bc6d8a2e049bc9b4d88e461669632&amp;csf=1&amp;web=1&amp;e=IYkDBR</t>
  </si>
  <si>
    <t>Spares for Truster overhaul</t>
  </si>
  <si>
    <t>0004258302_0_0.pdf</t>
  </si>
  <si>
    <t>3802.01-Q1</t>
  </si>
  <si>
    <t>https://stena.sharepoint.com/:b:/r/sites/KERRY/Shared%20Documents/Dry%20dock%202027/Specification%20items/3802.01%20Stern%20tube%20seals/0301354849_KERRY.PDF?d=w66263dba612b4284a33d8fe64c77c0eb&amp;csf=1&amp;web=1&amp;e=M2UatT</t>
  </si>
  <si>
    <t>Spares for overhaul</t>
  </si>
  <si>
    <t>0301354849_KERRY.PDF</t>
  </si>
  <si>
    <t>3802.01 — Stern tube seals</t>
  </si>
  <si>
    <t>3802.01-Q2</t>
  </si>
  <si>
    <t>https://stena.sharepoint.com/:b:/r/sites/KERRY/Shared%20Documents/Dry%20dock%202027/Specification%20items/3801.01%20Propeller%20hub%20overhaul/W%C3%A4rtsil%C3%A4%20Service%20Offer%20-%20SO-152338%20-%201.0KERRY%20sterntube%20seals.pdf?d=wf2ebc9c1211944748c18244fed7f0376&amp;csf=1&amp;web=1&amp;e=BnNCMu</t>
  </si>
  <si>
    <t>Stern tube seals only</t>
  </si>
  <si>
    <t>Wärtsilä Service Offer - SO-152338 - 1.0KERRY sterntube seals.pdf</t>
  </si>
  <si>
    <t>3805.02-Q1</t>
  </si>
  <si>
    <t>https://stena.sharepoint.com/:b:/r/sites/KERRY/Shared%20Documents/Dry%20dock%202027/Specification%20items/3801.01%20Propeller%20hub%20overhaul/W%C3%A4rtsil%C3%A4%20Service%20Offer%20-%20SO-152313%20-%201.0.pdf?d=w4997b397fb5248458334d5c676c222bc&amp;csf=1&amp;web=1&amp;e=UPSSvR</t>
  </si>
  <si>
    <t xml:space="preserve"> CPP and OD Box
overhaul of H04060 and H04061</t>
  </si>
  <si>
    <t>Wärtsilä Service Offer - SO-152313 - 1.0.pdf</t>
  </si>
  <si>
    <t>3805.02 — Main propeller OD box overhaul</t>
  </si>
  <si>
    <t>3812.01-Q2</t>
  </si>
  <si>
    <t>https://stena.sharepoint.com/:b:/r/sites/KERRY/Shared%20Documents/Dry%20dock%202027/Specification%20items/3812.01%20Stabilizers/Q3432026%20KER.pdf?d=wfae0e3e6b37442c0a41207b07117bb82&amp;csf=1&amp;web=1&amp;e=YYIs4q</t>
  </si>
  <si>
    <t>Option A</t>
  </si>
  <si>
    <t>3812.01-Q3</t>
  </si>
  <si>
    <t>Option B</t>
  </si>
  <si>
    <t>1001.03-Q3</t>
  </si>
  <si>
    <t>https://stena.sharepoint.com/:b:/r/sites/KERRY/Shared%20Documents/Dry%20dock%202027/Specification%20items/300.01%20Paint%20specification/Nippon/DD%20Paint%20specification%202610008%20-%20mv%20KERRY%20-%20EU%20-%202026.pdf?d=w4272d19aef004db3a6b8b5ce16b1f107&amp;csf=1&amp;web=1&amp;e=FElS3K</t>
  </si>
  <si>
    <t xml:space="preserve">Flat bottom + vertical sides + topsides + topsides blue. </t>
  </si>
  <si>
    <t>DD Paint specification 2610008 - mv KERRY - EU - 2026.pdf</t>
  </si>
  <si>
    <t>3812.01-Q4</t>
  </si>
  <si>
    <t>Negotiation performance</t>
  </si>
  <si>
    <t>Compare every offer. Only Selected offers contribute to the savings KPI and the budget.</t>
  </si>
  <si>
    <t>BACK TO BUDGET</t>
  </si>
  <si>
    <t>EDIT QUOTE REGISTER</t>
  </si>
  <si>
    <t>SELECTED SAVINGS  /  EUR</t>
  </si>
  <si>
    <t>SAVING ON AGREED OFFERS</t>
  </si>
  <si>
    <t>FINALS STILL PENDING</t>
  </si>
  <si>
    <t>AGREED OFFERS</t>
  </si>
  <si>
    <t>Original less negotiated</t>
  </si>
  <si>
    <t>Weighted; excludes pending finals</t>
  </si>
  <si>
    <t>Selected offers without a final price</t>
  </si>
  <si>
    <t>Selected with a final price</t>
  </si>
  <si>
    <t>OFFER-BY-OFFER REVIEW</t>
  </si>
  <si>
    <t>QUOTE ID</t>
  </si>
  <si>
    <t>SUPPLIER / JOB</t>
  </si>
  <si>
    <t>ORIGINAL EUR</t>
  </si>
  <si>
    <t>LATEST EUR</t>
  </si>
  <si>
    <t>Management summary</t>
  </si>
  <si>
    <t>KERRY / Drydock 2027  |  Budget position, negotiation results and selected supplier contacts.</t>
  </si>
  <si>
    <t>CONTACT DIRECTORY</t>
  </si>
  <si>
    <t>APPROVED  /  EUR</t>
  </si>
  <si>
    <t>SELECTED  /  EUR</t>
  </si>
  <si>
    <t>SAVED  /  EUR</t>
  </si>
  <si>
    <t>REMAINING  /  EUR</t>
  </si>
  <si>
    <t>Approved allowance</t>
  </si>
  <si>
    <t>Latest agreed / quoted basis</t>
  </si>
  <si>
    <t>Selected offers</t>
  </si>
  <si>
    <t>Unallocated allowance</t>
  </si>
  <si>
    <t>COMMERCIAL SUMMARY</t>
  </si>
  <si>
    <t>MEASURE</t>
  </si>
  <si>
    <t>VALUE</t>
  </si>
  <si>
    <t>INTERPRETATION</t>
  </si>
  <si>
    <t>Original selected offers</t>
  </si>
  <si>
    <t>Before negotiated prices</t>
  </si>
  <si>
    <t>Negotiation saving rate</t>
  </si>
  <si>
    <t>Agreed selected offers only</t>
  </si>
  <si>
    <t>Commitments included</t>
  </si>
  <si>
    <t>Final prices still pending</t>
  </si>
  <si>
    <t>Original price remains</t>
  </si>
  <si>
    <t>Data issues to review</t>
  </si>
  <si>
    <t>Check before approval</t>
  </si>
  <si>
    <t>DEPARTMENT BREAKDOWN  /  EUR</t>
  </si>
  <si>
    <t>SAVINGS</t>
  </si>
  <si>
    <t>Selected offers are not a full cost-to-complete forecast. Final prices are used where available; otherwise original prices apply. FX rates are copied from the supplied workbook, not live rates. Offer links need the original access permissions.</t>
  </si>
  <si>
    <t>SELECTED SUPPLIERS  /  CONTACTS &amp; COMMERCIAL DETAILS</t>
  </si>
  <si>
    <t>Create or open a job</t>
  </si>
  <si>
    <t>Choose a catalogue job. Existing workspaces are reopened; a second copy is not created.</t>
  </si>
  <si>
    <t>BACK TO JOB REGISTER</t>
  </si>
  <si>
    <t>BACK TO OVERVIEW</t>
  </si>
  <si>
    <t>Requires the installed pilot modules.</t>
  </si>
  <si>
    <t>01  SELECT THE JOB</t>
  </si>
  <si>
    <t>Job from catalogue</t>
  </si>
  <si>
    <t>1001.01 | ICCP System</t>
  </si>
  <si>
    <t>Current status</t>
  </si>
  <si>
    <t>Existing workspace</t>
  </si>
  <si>
    <t>CREATE / OPEN JOB</t>
  </si>
  <si>
    <t>No data is changed by choosing a job. Creation happens only when the button is clicked.</t>
  </si>
  <si>
    <t>WHAT THE WORKSPACE CONTAINS</t>
  </si>
  <si>
    <t>Job title and status
A large dock-specification field
Dates, job notes and document links</t>
  </si>
  <si>
    <t>Supplier contacts and quote links
Original and negotiated prices
Selection, comparisons and live budget totals</t>
  </si>
  <si>
    <t>Add supplier &amp; quote</t>
  </si>
  <si>
    <t>KERRY_ADD_FORM</t>
  </si>
  <si>
    <t>A draft form. Nothing is added to the registers until Save supplier / quote is clicked.</t>
  </si>
  <si>
    <t>01  SUPPLIER &amp; CONTACT</t>
  </si>
  <si>
    <t>02  OFFER DETAILS</t>
  </si>
  <si>
    <t>Entry mode</t>
  </si>
  <si>
    <t>Existing contact</t>
  </si>
  <si>
    <t>Existing supplier</t>
  </si>
  <si>
    <t>Company name</t>
  </si>
  <si>
    <t>Negotiated price</t>
  </si>
  <si>
    <t>Contact person</t>
  </si>
  <si>
    <t>Telephone</t>
  </si>
  <si>
    <t>ORIGINAL QUOTE LINK</t>
  </si>
  <si>
    <t>CONTACT NOTES</t>
  </si>
  <si>
    <t>REVISED QUOTE LINK</t>
  </si>
  <si>
    <t>QUOTE NOTES</t>
  </si>
  <si>
    <t>NEGOTIATION NOTES</t>
  </si>
  <si>
    <t>SAVE SUPPLIER / QUOTE</t>
  </si>
  <si>
    <t>Existing IDs are reused. A new supplier or contact receives a unique ID. Do not create a second company for another contact.</t>
  </si>
  <si>
    <t>KERRY 2027  /  Workspace pilot</t>
  </si>
  <si>
    <t>A separate test copy of the workbook you confirmed opens. The original clean file is unchanged.</t>
  </si>
  <si>
    <t>START: OVERVIEW</t>
  </si>
  <si>
    <t>EDITABLE TEST JOB</t>
  </si>
  <si>
    <t>EXCEL TEST RESULTS</t>
  </si>
  <si>
    <t>A CLEARER WAY TO WORK</t>
  </si>
  <si>
    <t>01</t>
  </si>
  <si>
    <t>02</t>
  </si>
  <si>
    <t>03</t>
  </si>
  <si>
    <t>OPEN A JOB</t>
  </si>
  <si>
    <t>MANAGE OFFERS</t>
  </si>
  <si>
    <t>REVIEW THE TOTALS</t>
  </si>
  <si>
    <t>Use Jobs or Overview. Existing workspace links open the full job page.</t>
  </si>
  <si>
    <t>Keep specification, contacts, quote links and negotiated prices together.</t>
  </si>
  <si>
    <t>Selected offers feed Budget, Savings and Print Summary automatically.</t>
  </si>
  <si>
    <t>THIS DELIVERY HAS TWO PARTS</t>
  </si>
  <si>
    <t>1  THE WORKBOOK
All visible tabs have the new layout. The 81 jobs, 22 quotes, 14 suppliers, 16 contacts and existing quote links remain. Formulas and navigation are available without embedded VBA.</t>
  </si>
  <si>
    <t>2  THE TWO VBA MODULES
Import KerryPilot.bas and CKerryEvents.cls into a copy saved as .xlsm. Excel creates the macro project. No generated VBA binary, ActiveX controls or security-setting changes are included.</t>
  </si>
  <si>
    <t>TEST SCOPE  |  JOB 3103.01 is the prepared editable pilot. The other existing job tabs have the same new design but remain linked reports. New workspaces created by the pilot are editable. Desktop Excel testing is still required.</t>
  </si>
  <si>
    <t>ONE-TIME SETUP  /  WINDOWS EXCEL</t>
  </si>
  <si>
    <t>1  Save a macro-enabled TEST copy</t>
  </si>
  <si>
    <t>Open this file and Save As: Kerry_2027_Professional_Pilot.xlsm. Keep Kerry_2027_Clean.xlsx unchanged.</t>
  </si>
  <si>
    <t>2  Import the two modules</t>
  </si>
  <si>
    <t>Alt+F11 opens the VBA editor. Select this workbook in the Project Explorer. File &gt; Import File: import KerryPilot.bas, then CKerryEvents.cls. Do not import into PERSONAL.XLSB.</t>
  </si>
  <si>
    <t>3  Compile and start</t>
  </si>
  <si>
    <t>In the VBA editor: Debug &gt; Compile VBAProject. Close with Alt+Q. Press Alt+F8, choose StartPilot and Run. Native Excel action buttons are created and the pilot shows ACTIVE. Save.</t>
  </si>
  <si>
    <t>4  Run the controlled checks</t>
  </si>
  <si>
    <t>Alt+F8 &gt; RunPilotChecks. It tests and restores the prepared quote price, selection and contact edits in your own Excel. Review Test Results before live use.</t>
  </si>
  <si>
    <t>5  Test creation manually</t>
  </si>
  <si>
    <t>Use Create Job to choose a job without a page. Create it, add an offer using an existing contact, then try a new supplier. Verify the central records and links. Use only this test copy.</t>
  </si>
  <si>
    <t>Use a local single-editor test copy. Follow your organisation's macro policy; do not enable all macros or disable Protected View. No programmatic VBA-project access is needed. VBA edits can clear Excel's normal Undo history: keep saved test copies. If a VBA error occurs, stop and retain its exact message.</t>
  </si>
  <si>
    <t>WHAT IS EDITABLE WHERE</t>
  </si>
  <si>
    <t>Blue job fields: shared edits only when the pilot is active. IDs and formulas stay protected.
Jobs: active created jobs by default; the macro button toggles the full catalogue.
Suppliers and Quotes: shared input registers. Supplier Jobs: shared offer edits when active.
Budget, Overview, Savings and Print Summary: linked reports, not duplicate inputs.
Grouped register columns retain full notes, URLs and original metadata.</t>
  </si>
  <si>
    <t>Excel VBA events</t>
  </si>
  <si>
    <t>https://learn.microsoft.com/en-us/office/vba/api/excel.application.sheetchange</t>
  </si>
  <si>
    <t>VBA modules / macro-enabled files</t>
  </si>
  <si>
    <t>https://support.microsoft.com/en-us/excel/copy-a-macro-module-to-another-workbook</t>
  </si>
  <si>
    <t>Desktop Excel requirement</t>
  </si>
  <si>
    <t>https://support.microsoft.com/en-us/excel/work-with-vba-macros-in-excel-for-the-web</t>
  </si>
  <si>
    <t>Excel-desktop acceptance checks</t>
  </si>
  <si>
    <t>Results are written only by RunPilotChecks in your own Excel. No desktop pass is claimed in this delivery.</t>
  </si>
  <si>
    <t>SETUP GUIDE</t>
  </si>
  <si>
    <t>RUN PILOT CHECKS</t>
  </si>
  <si>
    <t>OPEN TEST JOB</t>
  </si>
  <si>
    <t>NOT RUN IN MICROSOFT EXCEL
The workbook structure, formulas, source records and links are checked separately. The button/event workflow still needs a native Excel test.</t>
  </si>
  <si>
    <t>NO.</t>
  </si>
  <si>
    <t>CHECK</t>
  </si>
  <si>
    <t>RESULT</t>
  </si>
  <si>
    <t>Vessel &amp; budget settings</t>
  </si>
  <si>
    <t>Shared project identity and approved allowance. FX rates are managed in Lists.</t>
  </si>
  <si>
    <t>FX RATES &amp; LISTS</t>
  </si>
  <si>
    <t>OVERVIEW</t>
  </si>
  <si>
    <t>Vessel ID</t>
  </si>
  <si>
    <t>VSL.001</t>
  </si>
  <si>
    <t>Vessel name</t>
  </si>
  <si>
    <t>KERRY</t>
  </si>
  <si>
    <t>HOW THESE SETTINGS ARE USED</t>
  </si>
  <si>
    <t>IMO</t>
  </si>
  <si>
    <t>Vessel type</t>
  </si>
  <si>
    <t>Ro-Ro / PAX</t>
  </si>
  <si>
    <t>The approved allowance feeds Budget and Print Summary. Changing a setting updates the linked reports; it does not overwrite individual offers.</t>
  </si>
  <si>
    <t>Flag</t>
  </si>
  <si>
    <t xml:space="preserve">Cyprus </t>
  </si>
  <si>
    <t>Owner / charter</t>
  </si>
  <si>
    <t>STENA Rederi / Balaria charter</t>
  </si>
  <si>
    <t>Docking year</t>
  </si>
  <si>
    <t>Vessel notes</t>
  </si>
  <si>
    <t>Currency conversion uses units per EUR. Rates are retained from your source file and are not automatically refreshed online.</t>
  </si>
  <si>
    <t>Allowance currency</t>
  </si>
  <si>
    <t>Status date</t>
  </si>
  <si>
    <t>Shared dropdowns &amp; exchange rates</t>
  </si>
  <si>
    <t>All screens use these shared lists. Do not rename fixed logic values such as Selected, Closed or Cancelled.</t>
  </si>
  <si>
    <t>BUDGET SETTINGS</t>
  </si>
  <si>
    <t>Saved FX assumptions - not live market rates.</t>
  </si>
  <si>
    <t>JOB STATUS</t>
  </si>
  <si>
    <t>QUOTE STATUS</t>
  </si>
  <si>
    <t>CURRENCY</t>
  </si>
  <si>
    <t>UNITS / EUR</t>
  </si>
  <si>
    <t>VESSEL TYPE</t>
  </si>
  <si>
    <t>YES / NO</t>
  </si>
  <si>
    <t>ENTRY MODE</t>
  </si>
  <si>
    <t>Product tanker</t>
  </si>
  <si>
    <t>Chemical tanker</t>
  </si>
  <si>
    <t>No</t>
  </si>
  <si>
    <t>New contact</t>
  </si>
  <si>
    <t>USD</t>
  </si>
  <si>
    <t>Bridge</t>
  </si>
  <si>
    <t>Bulk carrier</t>
  </si>
  <si>
    <t>New supplier</t>
  </si>
  <si>
    <t>SEK</t>
  </si>
  <si>
    <t>Container</t>
  </si>
  <si>
    <t>Awarded</t>
  </si>
  <si>
    <t>Rejected</t>
  </si>
  <si>
    <t>Ro-ro</t>
  </si>
  <si>
    <t>Closed</t>
  </si>
  <si>
    <t>No quote</t>
  </si>
  <si>
    <t>GBP</t>
  </si>
  <si>
    <t>Offshore</t>
  </si>
  <si>
    <t>Cancelled</t>
  </si>
  <si>
    <t>Expired</t>
  </si>
  <si>
    <t>Other</t>
  </si>
  <si>
    <t>Pending</t>
  </si>
  <si>
    <t>In progress</t>
  </si>
  <si>
    <t>Quoted</t>
  </si>
  <si>
    <t>Negotiating</t>
  </si>
  <si>
    <t>Shared rules: status and currency choices are reused in Jobs, Quotes and job workspaces. The supplier/contact/job pickers are generated from their registers by the pilot. To add a new fixed status, extend the corresponding named range and update any related business rules.</t>
  </si>
  <si>
    <t>Job workspace  /  1001.02</t>
  </si>
  <si>
    <t>KERRY_JOB_V2</t>
  </si>
  <si>
    <t>Specification, contacts, offers and selection - together in one workspace.</t>
  </si>
  <si>
    <t>REPORT</t>
  </si>
  <si>
    <t>VIEW QUOTE REGISTER</t>
  </si>
  <si>
    <t>BACK TO JOBS</t>
  </si>
  <si>
    <t>SUPPLIER JOBS</t>
  </si>
  <si>
    <t>LINKED REPORT</t>
  </si>
  <si>
    <t>PilotOffer0005</t>
  </si>
  <si>
    <t>SELECTED ORIGINAL  /  EUR</t>
  </si>
  <si>
    <t>LATEST SELECTED  /  EUR</t>
  </si>
  <si>
    <t>NEGOTIATED SAVINGS  /  EUR</t>
  </si>
  <si>
    <t>01  JOB &amp; DOCK SPECIFICATION</t>
  </si>
  <si>
    <t>02  SUPPLIER &amp; OFFER</t>
  </si>
  <si>
    <t>Job ID</t>
  </si>
  <si>
    <t>Choose offer</t>
  </si>
  <si>
    <t>1001.02-Q1 | BAC IMPALLOY | Main scope</t>
  </si>
  <si>
    <t>Supplier ID</t>
  </si>
  <si>
    <t>Company</t>
  </si>
  <si>
    <t>Contact ID</t>
  </si>
  <si>
    <t>Start date</t>
  </si>
  <si>
    <t>End date</t>
  </si>
  <si>
    <t>SPECIFICATION  /  Paste the dock scope below</t>
  </si>
  <si>
    <t>03  COMMERCIAL DECISION</t>
  </si>
  <si>
    <t>Offer status</t>
  </si>
  <si>
    <t>Selected = included in budget. Empty final price keeps the original.</t>
  </si>
  <si>
    <t>Sample flag</t>
  </si>
  <si>
    <t>JOB NOTES &amp; CLARIFICATIONS</t>
  </si>
  <si>
    <t>Open original quote</t>
  </si>
  <si>
    <t>Open revised quote</t>
  </si>
  <si>
    <t>JOB DOCUMENT / DRAWING LINK</t>
  </si>
  <si>
    <t>Open job document</t>
  </si>
  <si>
    <t>SHARED CONTACT NOTES</t>
  </si>
  <si>
    <t>04  ALL OFFERS ON THIS JOB  /  Compare before selecting</t>
  </si>
  <si>
    <t>SUPPLIER / SCOPE</t>
  </si>
  <si>
    <t>ORIGINAL</t>
  </si>
  <si>
    <t>FINAL</t>
  </si>
  <si>
    <t>CCY</t>
  </si>
  <si>
    <t>OPEN</t>
  </si>
  <si>
    <t>Job workspace  /  1001.03</t>
  </si>
  <si>
    <t>PilotOffer0006</t>
  </si>
  <si>
    <t>1001.03-Q1 | HEMPEL | Main scope</t>
  </si>
  <si>
    <t>Job workspace  /  1303.01</t>
  </si>
  <si>
    <t>PilotOffer0007</t>
  </si>
  <si>
    <t>1303.01-Q1 | Neuver maritime  | Main scope</t>
  </si>
  <si>
    <t>Job workspace  /  1500.01</t>
  </si>
  <si>
    <t>PilotOffer0008</t>
  </si>
  <si>
    <t>1500.01-Q1 | Autronica Fire and Security AS | Main scope</t>
  </si>
  <si>
    <t>Job workspace  /  3103.01</t>
  </si>
  <si>
    <t>EDITABLE</t>
  </si>
  <si>
    <t>+ ADD SUPPLIER / QUOTE</t>
  </si>
  <si>
    <t>PILOT - SETUP REQUIRED</t>
  </si>
  <si>
    <t>PilotOffer0009</t>
  </si>
  <si>
    <t>3103.01-Q1 | RENK | Main scope</t>
  </si>
  <si>
    <t>Job workspace  /  3149.01</t>
  </si>
  <si>
    <t>PilotOffer0010</t>
  </si>
  <si>
    <t>3149.01-Q1 | MAN | Main scope</t>
  </si>
  <si>
    <t>Job workspace  /  3149.02</t>
  </si>
  <si>
    <t>PilotOffer0011</t>
  </si>
  <si>
    <t>3149.02-Q1 | PJCircular | Main scope</t>
  </si>
  <si>
    <t>Job workspace  /  3802.01</t>
  </si>
  <si>
    <t>PilotOffer0012</t>
  </si>
  <si>
    <t>3802.01-Q1 | WÀRTSILA | Main scope</t>
  </si>
  <si>
    <t>Job workspace  /  3805.02</t>
  </si>
  <si>
    <t>PilotOffer0013</t>
  </si>
  <si>
    <t>3805.02-Q1 | WÀRTSILA | Main scope</t>
  </si>
  <si>
    <t>Job workspace  /  3811.01</t>
  </si>
  <si>
    <t>PilotOffer0014</t>
  </si>
  <si>
    <t>3811.01-Q1 | BRUNVOLL | Service</t>
  </si>
  <si>
    <t>Job workspace  /  3811.02</t>
  </si>
  <si>
    <t>PilotOffer0015</t>
  </si>
  <si>
    <t>3811.02-Q1 | BRUNVOLL | Main scope</t>
  </si>
  <si>
    <t>Job workspace  /  3812.01</t>
  </si>
  <si>
    <t>PilotOffer0016</t>
  </si>
  <si>
    <t>3812.01-Q1 | PINNFABB | Main scope</t>
  </si>
  <si>
    <t>Professional pilot calculations</t>
  </si>
  <si>
    <t>Original input records retained</t>
  </si>
  <si>
    <t>Allowance EUR</t>
  </si>
  <si>
    <t>Selected cost</t>
  </si>
  <si>
    <t>Selected original</t>
  </si>
  <si>
    <t>Selected latest</t>
  </si>
  <si>
    <t>Negotiated savings</t>
  </si>
  <si>
    <t>Remaining allowance</t>
  </si>
  <si>
    <t>Savings rate</t>
  </si>
  <si>
    <t>Selected count</t>
  </si>
  <si>
    <t>Agreed count</t>
  </si>
  <si>
    <t>Pending finals</t>
  </si>
  <si>
    <t>Created active jobs</t>
  </si>
  <si>
    <t>All jobs</t>
  </si>
  <si>
    <t>All quotes</t>
  </si>
  <si>
    <t>Supplier count</t>
  </si>
  <si>
    <t>Selected price issues</t>
  </si>
  <si>
    <t>Scope overlaps</t>
  </si>
  <si>
    <t>Allowance used</t>
  </si>
  <si>
    <t>Selected contacts issues</t>
  </si>
  <si>
    <t>Agreed original</t>
  </si>
  <si>
    <t>Contacts</t>
  </si>
  <si>
    <t>Created pages</t>
  </si>
  <si>
    <t>Unpriced selected</t>
  </si>
  <si>
    <t>One row per work package on this vessel. Input rows 6–105 (100 jobs). Set Department for Budget pie (Engine, Hull, …). Vessel name and IMO come from the Vessel sheet.</t>
  </si>
  <si>
    <t>Warning: see Warning / IDCheck columns.</t>
  </si>
  <si>
    <t>Input</t>
  </si>
  <si>
    <t>Formula</t>
  </si>
  <si>
    <t>VesselID</t>
  </si>
  <si>
    <t>Title</t>
  </si>
  <si>
    <t>JobStatus</t>
  </si>
  <si>
    <t>Notes</t>
  </si>
  <si>
    <t>VesselName</t>
  </si>
  <si>
    <t>QuoteCount</t>
  </si>
  <si>
    <t>ResponseCount</t>
  </si>
  <si>
    <t>SelectedCount</t>
  </si>
  <si>
    <t>SelectedSupplier</t>
  </si>
  <si>
    <t>LatestSelectedPrice</t>
  </si>
  <si>
    <t>SelectedCurrency</t>
  </si>
  <si>
    <t>LowestDKK</t>
  </si>
  <si>
    <t>LowestEUR</t>
  </si>
  <si>
    <t>LowestUSD</t>
  </si>
  <si>
    <t>Warning</t>
  </si>
  <si>
    <t>IDCheck</t>
  </si>
  <si>
    <t>—</t>
  </si>
  <si>
    <t>No quotes</t>
  </si>
  <si>
    <t>OK</t>
  </si>
  <si>
    <t>Multiple selected</t>
  </si>
  <si>
    <t>Negotiation - original offers remain in Amount (H)</t>
  </si>
  <si>
    <t>Enter original price in H, currency in I, final negotiated price in AD. Savings calculate for each quote; Selected quotes feed the budget.</t>
  </si>
  <si>
    <t>Final Price uses the same currency as column I. Leave it blank until agreed. Compare the same scope and tax basis.</t>
  </si>
  <si>
    <t>Use supplier pages for contact entry and on-page price editing (enabled macros required). Original quote links are preserved.</t>
  </si>
  <si>
    <t>Open Negotiation Savings / latest budget</t>
  </si>
  <si>
    <t>Full original URL. Existing FilePath links are unchanged.</t>
  </si>
  <si>
    <t>QuoteRef</t>
  </si>
  <si>
    <t>Original Price</t>
  </si>
  <si>
    <t>ValidUntil</t>
  </si>
  <si>
    <t>FilePath</t>
  </si>
  <si>
    <t>OpenQuote</t>
  </si>
  <si>
    <t>JobTitle</t>
  </si>
  <si>
    <t>SupplierName</t>
  </si>
  <si>
    <t>SuggestedFile</t>
  </si>
  <si>
    <t>Validity</t>
  </si>
  <si>
    <t>KeyCheck</t>
  </si>
  <si>
    <t>LineOnJob</t>
  </si>
  <si>
    <t>SelectedSeq</t>
  </si>
  <si>
    <t>JobLineKey</t>
  </si>
  <si>
    <t>SelectedJobKey</t>
  </si>
  <si>
    <t>AmountEUR</t>
  </si>
  <si>
    <t>FXCheck</t>
  </si>
  <si>
    <t>Final Price</t>
  </si>
  <si>
    <t>Savings (cur.)</t>
  </si>
  <si>
    <t>Savings Check</t>
  </si>
  <si>
    <t>Negotiation Notes</t>
  </si>
  <si>
    <t>SavingsFX</t>
  </si>
  <si>
    <t>OriginalEUR</t>
  </si>
  <si>
    <t>FinalEUR</t>
  </si>
  <si>
    <t>LatestBudgetEUR</t>
  </si>
  <si>
    <t>SelectedSavingsEUR</t>
  </si>
  <si>
    <t>SavingsSelectedSeq</t>
  </si>
  <si>
    <t>AgreedOriginalEUR</t>
  </si>
  <si>
    <t>Quote URL</t>
  </si>
  <si>
    <t>Supplier line</t>
  </si>
  <si>
    <t>Supplier line key</t>
  </si>
  <si>
    <t>Contact row</t>
  </si>
  <si>
    <t>Latest price (cur.)</t>
  </si>
  <si>
    <t>Open quote</t>
  </si>
  <si>
    <t>Quotes/3103.01_A1_quote.pdf</t>
  </si>
  <si>
    <t>3103.01|1</t>
  </si>
  <si>
    <t>Pending final price</t>
  </si>
  <si>
    <t>A1::1</t>
  </si>
  <si>
    <t>Quotes/1001.02_A2_quote.pdf</t>
  </si>
  <si>
    <t>1001.02|1</t>
  </si>
  <si>
    <t>A2::1</t>
  </si>
  <si>
    <t>Email missing</t>
  </si>
  <si>
    <t>Quotes/1001.03_A3_quote.pdf</t>
  </si>
  <si>
    <t>1001.03|1</t>
  </si>
  <si>
    <t>A3::1</t>
  </si>
  <si>
    <t>Quotes/1001.03_A4_quote.pdf</t>
  </si>
  <si>
    <t>1001.03|2</t>
  </si>
  <si>
    <t>A4::1</t>
  </si>
  <si>
    <t>Quotes/3149.01_A5_quote.pdf</t>
  </si>
  <si>
    <t>3149.01|1</t>
  </si>
  <si>
    <t>Missing original price</t>
  </si>
  <si>
    <t>A5::1</t>
  </si>
  <si>
    <t>Quotes/3812.01_A6_quote.pdf</t>
  </si>
  <si>
    <t>3812.01|1</t>
  </si>
  <si>
    <t>A6::1</t>
  </si>
  <si>
    <t>Quotes/3149.02_A8_quote.pdf</t>
  </si>
  <si>
    <t>3149.02|1</t>
  </si>
  <si>
    <t>A8::1</t>
  </si>
  <si>
    <t>Quotes/3149.02_A8.1_quote.pdf</t>
  </si>
  <si>
    <t>3149.02|2</t>
  </si>
  <si>
    <t>A8.1::1</t>
  </si>
  <si>
    <t>Quotes/1500.01_F1_Q-329241.pdf</t>
  </si>
  <si>
    <t>1500.01|1</t>
  </si>
  <si>
    <t>F1::1</t>
  </si>
  <si>
    <t>Quotes/1500.01_F2_SO11842B.pdf</t>
  </si>
  <si>
    <t>1500.01|2</t>
  </si>
  <si>
    <t>F2::1</t>
  </si>
  <si>
    <t>Quotes/3811.02_A9_4258326.pdf</t>
  </si>
  <si>
    <t>3811.02|1</t>
  </si>
  <si>
    <t>A9::1</t>
  </si>
  <si>
    <t>Quotes/3811.01_A9_4258303.pdf</t>
  </si>
  <si>
    <t>3811.01|1</t>
  </si>
  <si>
    <t>A9::2</t>
  </si>
  <si>
    <t>Quotes/1303.01_A10_Q105715.pdf</t>
  </si>
  <si>
    <t>1303.01|1</t>
  </si>
  <si>
    <t>A10::1</t>
  </si>
  <si>
    <t>Quotes/1303.01_A10_Q105722.pdf</t>
  </si>
  <si>
    <t>1303.01|2</t>
  </si>
  <si>
    <t>A10::2</t>
  </si>
  <si>
    <t>Quotes/3811.01_A9_quote.pdf</t>
  </si>
  <si>
    <t>3811.01|2</t>
  </si>
  <si>
    <t>A9::3</t>
  </si>
  <si>
    <t>Quotes/3802.01_A7_301354849.pdf</t>
  </si>
  <si>
    <t>3802.01|1</t>
  </si>
  <si>
    <t>A7::1</t>
  </si>
  <si>
    <t>Quotes/3802.01_A7_quote.pdf</t>
  </si>
  <si>
    <t>3802.01|2</t>
  </si>
  <si>
    <t>A7::2</t>
  </si>
  <si>
    <t>Quotes/3805.02_A7_quote.pdf</t>
  </si>
  <si>
    <t>3805.02|1</t>
  </si>
  <si>
    <t>A7::3</t>
  </si>
  <si>
    <t>3812.01|2</t>
  </si>
  <si>
    <t>A6::2</t>
  </si>
  <si>
    <t>3812.01|3</t>
  </si>
  <si>
    <t>A6::3</t>
  </si>
  <si>
    <t>Quotes/1001.03_A11_quote.pdf</t>
  </si>
  <si>
    <t>1001.03|3</t>
  </si>
  <si>
    <t>A11::1</t>
  </si>
  <si>
    <t>3812.01|4</t>
  </si>
  <si>
    <t>A6::4</t>
  </si>
  <si>
    <t>SUPPLIERS</t>
  </si>
  <si>
    <t>+ ADD SUPPLIER</t>
  </si>
  <si>
    <t>RECALCULATE</t>
  </si>
  <si>
    <t>Create suppliers with ADD SUPPLIER. Enter and maintain company details on each supplier page.</t>
  </si>
  <si>
    <t>Click a company name to open its page. BACK TO SUPPLIERS stays visible. Desktop Excel and trusted macros are required for the buttons.</t>
  </si>
  <si>
    <t>Linked</t>
  </si>
  <si>
    <t>Specialty</t>
  </si>
  <si>
    <t>City</t>
  </si>
  <si>
    <t>View supplier</t>
  </si>
  <si>
    <t>Latest selected EUR</t>
  </si>
  <si>
    <t>Selected saved EUR</t>
  </si>
  <si>
    <t>Primary contact key</t>
  </si>
  <si>
    <t>Contact sequence</t>
  </si>
  <si>
    <t>Contact key</t>
  </si>
  <si>
    <t>Selected supplier flag</t>
  </si>
  <si>
    <t>Source sheet</t>
  </si>
  <si>
    <t>Contact slot</t>
  </si>
  <si>
    <t>SUP 01 - RENK</t>
  </si>
  <si>
    <t>SUP 02 - BAC IMPALLOY</t>
  </si>
  <si>
    <t>SUP 03 - HEMPEL</t>
  </si>
  <si>
    <t>SUP 04 - Chugoku paints</t>
  </si>
  <si>
    <t>SUP 05 - MAN</t>
  </si>
  <si>
    <t>SUP 06 - PINNFABB</t>
  </si>
  <si>
    <t>Multiple contact rows</t>
  </si>
  <si>
    <t>SUP 07 - WÀRTSILA</t>
  </si>
  <si>
    <t>SUP 08 - PJCircular</t>
  </si>
  <si>
    <t>SUP 09 - TURNER</t>
  </si>
  <si>
    <t>SUP 10 - Autronica Fire and Se</t>
  </si>
  <si>
    <t>SUP 11 - Consillium</t>
  </si>
  <si>
    <t>SUP 12 - BRUNVOLL</t>
  </si>
  <si>
    <t>SUP 13 - Neuver maritime</t>
  </si>
  <si>
    <t>SUP 14 - NIPPON</t>
  </si>
  <si>
    <t>Vessel — this drydock</t>
  </si>
  <si>
    <t>One vessel per file. Master fields for this docking only.</t>
  </si>
  <si>
    <t>Field</t>
  </si>
  <si>
    <t>Value</t>
  </si>
  <si>
    <t>Kind</t>
  </si>
  <si>
    <t>Optional key (e.g. VSL-001). Used in SuggestedFile paths.</t>
  </si>
  <si>
    <t>Master name. Flows to Jobs, Quotes, Overview, Awards, Print.</t>
  </si>
  <si>
    <t>7 digits. Edited only here.</t>
  </si>
  <si>
    <t>Type</t>
  </si>
  <si>
    <t>Pick from the list.</t>
  </si>
  <si>
    <t>Flag state.</t>
  </si>
  <si>
    <t>Owner</t>
  </si>
  <si>
    <t>Owner / manager.</t>
  </si>
  <si>
    <t>DockingYear</t>
  </si>
  <si>
    <t>Calendar year (filename suggestion).</t>
  </si>
  <si>
    <t>Planned yard.</t>
  </si>
  <si>
    <t>Free notes for this docking.</t>
  </si>
  <si>
    <t>SuggestedFilename</t>
  </si>
  <si>
    <t>Drydock_KERRY_2027.xlsx</t>
  </si>
  <si>
    <t>Workflow: fill Vessel → Suppliers → Jobs (set Department) → Quotes → set one Selected per job → read Budget / Overview / Awards / Print Summary.</t>
  </si>
  <si>
    <t>Lists</t>
  </si>
  <si>
    <t>Dropdown source lists. Add values in empty rows. Do not rename fixed statuses such as Selected or Awarded — formulas match those words. Column J holds the editable FX rate for each currency: enter how many currency units equal 1 EUR. Column O builds Job picker labels from the Jobs sheet (auto). Column Q is the Department list used on Jobs and Budget.</t>
  </si>
  <si>
    <t>FX rate</t>
  </si>
  <si>
    <t>Yes / No</t>
  </si>
  <si>
    <t>Job picker (from Jobs)</t>
  </si>
  <si>
    <t>QuoteStatus</t>
  </si>
  <si>
    <t>SelectedAmount</t>
  </si>
  <si>
    <t>LineCount</t>
  </si>
  <si>
    <t>Note</t>
  </si>
  <si>
    <t>Units / EUR</t>
  </si>
  <si>
    <t>Answer</t>
  </si>
  <si>
    <t>JobLabel</t>
  </si>
  <si>
    <t>Danish kroner</t>
  </si>
  <si>
    <t>1001.01 — ICCP System</t>
  </si>
  <si>
    <t>Euro</t>
  </si>
  <si>
    <t>US dollar</t>
  </si>
  <si>
    <t>Swedish kronor</t>
  </si>
  <si>
    <t>1001.04 — ICCP shields</t>
  </si>
  <si>
    <t>Norwegian kroner</t>
  </si>
  <si>
    <t>1016.01 — Sea chests</t>
  </si>
  <si>
    <t>British pounds</t>
  </si>
  <si>
    <t>1016.02 — Scrubber outlet pipes</t>
  </si>
  <si>
    <t>1018.01 — Topside treatment</t>
  </si>
  <si>
    <t>1018.02 — Ship name, logo and funnel mark</t>
  </si>
  <si>
    <t>1041.01 — Rudders</t>
  </si>
  <si>
    <t>1041.02 — Rudders dismounting/mounting</t>
  </si>
  <si>
    <t>1041.03 — Rudder steel repair</t>
  </si>
  <si>
    <t>1102.01 — Hull repair portside frame 96-105</t>
  </si>
  <si>
    <t>1102.02 — Stevedore damage 9243447-2025-0704-001</t>
  </si>
  <si>
    <t>1102.03 — Steel repair bottom</t>
  </si>
  <si>
    <t>1102.05 — Removal of fenderlist below pilot doors</t>
  </si>
  <si>
    <t>1108.01 — Deck painting</t>
  </si>
  <si>
    <t>1108.02 — Anti slip grip</t>
  </si>
  <si>
    <t>1108.03 — A60 insulation on cargo deck</t>
  </si>
  <si>
    <t>1114.01 — Ballast tanks</t>
  </si>
  <si>
    <t>1114.02 — Dry Double bottom</t>
  </si>
  <si>
    <t>1123.01 — Aft mast + Aft mooring station mast TO  BE ORDERED BY VESSEL</t>
  </si>
  <si>
    <t>1123.03 — Forward mast wires</t>
  </si>
  <si>
    <t>1201.01 — Anchors and chains</t>
  </si>
  <si>
    <t>1201.04 — Hawse Pipes and Anchor Pockets</t>
  </si>
  <si>
    <t>1225.01 — Scubber valves</t>
  </si>
  <si>
    <t>1225.02 — Drain pipes from galley</t>
  </si>
  <si>
    <t>1250.01 — Cable to tray to be installed on weather deck aft ramp area. Allow for new cable tray in length 10 meters and 600mm wide delivered by the Yard.</t>
  </si>
  <si>
    <t>1250.02 — Reefer sockets power cable replacement</t>
  </si>
  <si>
    <t>1250.03 — Electrical jobs</t>
  </si>
  <si>
    <t>1250.04 — CCTV upgrade</t>
  </si>
  <si>
    <t>1302.01 — Mooring winch electric motors overhaul + Mooring Winches Brake Rendering Tests</t>
  </si>
  <si>
    <t>1303.02 — Steering gear hydraulic</t>
  </si>
  <si>
    <t>1309.01 — Ballast Tank Pneumatic Sounding System</t>
  </si>
  <si>
    <t>1309.02 — Sounding Pipes for Heeling tanks</t>
  </si>
  <si>
    <t>1311.01 — Stern ramp cracks</t>
  </si>
  <si>
    <t>1311.02 — Stern ramp wires and finger flap wires</t>
  </si>
  <si>
    <t>1311.03 — Stern ramp finger flaps</t>
  </si>
  <si>
    <t>1311.04 — Stern ramp soft flaps installation</t>
  </si>
  <si>
    <t>1311.05 — Ramp cover gasket replacement</t>
  </si>
  <si>
    <t>1311.06 — Ramp cover hydraulic cylinders overhaul</t>
  </si>
  <si>
    <t>1313.01 — Sewage tank cleaning</t>
  </si>
  <si>
    <t>1321.01 — Heeling pump overhaul</t>
  </si>
  <si>
    <t>1401.01 — Renewal of Lifeboat Exhaust Pipes</t>
  </si>
  <si>
    <t>1401.02 — Wire rope LSA replacement 5 yearly</t>
  </si>
  <si>
    <t>1401.03 — Lifeboats taken ashore</t>
  </si>
  <si>
    <t>1401.04 — Support beam for STB lifeboat davit</t>
  </si>
  <si>
    <t>2200.01 — Galley floor</t>
  </si>
  <si>
    <t>2200.02 — Carpet replacement on deck 7</t>
  </si>
  <si>
    <t>2200.05 — Fire doors replacement</t>
  </si>
  <si>
    <t>2200.06 — Bathroom floor accommodation cabins</t>
  </si>
  <si>
    <t xml:space="preserve">2701.02 — Fire Damper </t>
  </si>
  <si>
    <t>3127.01 — ME turborcharger overhaul</t>
  </si>
  <si>
    <t>3138.01 — AE3 exhaust pipe</t>
  </si>
  <si>
    <t>3138.02 — AE2 &amp; AE3 Exhaust Pipes</t>
  </si>
  <si>
    <t>3138.03 — ME2 Exhaust pipe</t>
  </si>
  <si>
    <t>3138.04 — Scrubber</t>
  </si>
  <si>
    <t>3221.01 — LT backflush pipes</t>
  </si>
  <si>
    <t>3306.01 — LT cooling pipes renewal</t>
  </si>
  <si>
    <t>3306.02 — HT cooling pipes renewal</t>
  </si>
  <si>
    <t>3320.01 — Bearing replacing on the port shaft generator</t>
  </si>
  <si>
    <t>3338.01 — Ship side valves</t>
  </si>
  <si>
    <t>3338.02 — Butterfly valves replacement</t>
  </si>
  <si>
    <t>3341.02 — Ventilation fan overhaul</t>
  </si>
  <si>
    <t>3341.03 — Bow Thrusters Space Ventilation Duct</t>
  </si>
  <si>
    <t>3401.01 — Oil fired boiler: Overhaul of valves and cleaning</t>
  </si>
  <si>
    <t>3411.01 — ME exhaust gas boilers: Overhaul of valves and cleaning</t>
  </si>
  <si>
    <t>3411.02 — ME Exhaust gas boiler soot blower</t>
  </si>
  <si>
    <t>3505.02 — Scrubber pipe penetrations</t>
  </si>
  <si>
    <t>3801.01 — Propeller hub overhaul</t>
  </si>
  <si>
    <t>3805.03 — Propellershaft withdrawal</t>
  </si>
  <si>
    <t>3901.01 — Portside passenger lift - YARD INFO ONLY</t>
  </si>
  <si>
    <t>BUDGET DETAIL | LIVE LATEST-PRICE BASIS</t>
  </si>
  <si>
    <t>Owner allowance is entered in B6. All Selected totals below now use final price where valid. Original-price baseline is retained in the comparison block.</t>
  </si>
  <si>
    <t>1  Owner allowance</t>
  </si>
  <si>
    <t>Allowance amount</t>
  </si>
  <si>
    <t>Base currency</t>
  </si>
  <si>
    <t>Allowance is entered in EUR. Quote currencies are converted automatically using Lists!J6:J14.</t>
  </si>
  <si>
    <t>2  Selected vs allowance</t>
  </si>
  <si>
    <t>Latest selected total (EUR)</t>
  </si>
  <si>
    <t>Remaining (allowance − selected)</t>
  </si>
  <si>
    <t>Under</t>
  </si>
  <si>
    <t>Selected quote count (all currencies)</t>
  </si>
  <si>
    <t>Over = Selected exceeds allowance. Under = room left. On track = remaining ≈ 0. Only Status = Selected feeds these figures.</t>
  </si>
  <si>
    <t>Names stay here (Engine, Hull, …). Share % and the pie update from Selected amounts. Zero departments stay in the table and legend; Excel draws no slice for 0.</t>
  </si>
  <si>
    <t>3  Selected by department</t>
  </si>
  <si>
    <t>Selected amount (EUR)</t>
  </si>
  <si>
    <t>Share %</t>
  </si>
  <si>
    <t>4  How to use</t>
  </si>
  <si>
    <t>1  On Jobs, set Department for each work package (dropdown from Lists).
2  On Budget, enter the shipowner allowance in EUR.
3  On Quotes, enter the supplier amount and its original currency, then mark the winning line Status = Selected.
4  Budget converts every Selected quote to EUR using Lists column J and sums all currencies together.
5  Maintain the FX rates on Lists as currency units per 1 EUR; replace ECB references with company-approved budget rates when needed.</t>
  </si>
  <si>
    <t>5  Negotiation savings - additional view</t>
  </si>
  <si>
    <t>Latest selected prices and savings are calculated from Quotes. Original price remains in H; the optional final negotiated price is in AD.</t>
  </si>
  <si>
    <t>Original Selected total</t>
  </si>
  <si>
    <t>A blank Final Price is pending, not a saving. Quote and final price must cover the same scope and use the same currency / tax basis. EUR conversion uses the existing editable Lists rates.</t>
  </si>
  <si>
    <t>Latest cost after negotiation</t>
  </si>
  <si>
    <t>Net negotiation savings</t>
  </si>
  <si>
    <t>Savings on agreed quotes</t>
  </si>
  <si>
    <t>%</t>
  </si>
  <si>
    <t>SOURCE CHECK: 0 Selected row(s) lack QuoteID; 1 job(s) have multiple Selected quotes. All Selected rows are retained; check that packages do not overlap.</t>
  </si>
  <si>
    <t>Remaining after negotiation</t>
  </si>
  <si>
    <t>Agreed / Selected quote lines</t>
  </si>
  <si>
    <t>0 / 6</t>
  </si>
  <si>
    <t>Open professional Budget</t>
  </si>
  <si>
    <t>Savings % = net savings / original amount for valid agreed Selected quotes. Latest selected cost = original Selected offers less recognised net savings. Existing original-price views are not replaced.</t>
  </si>
  <si>
    <t>Schema</t>
  </si>
  <si>
    <t>KERRY_PILOT_2</t>
  </si>
  <si>
    <t>Automation</t>
  </si>
  <si>
    <t>NOT ACTIVE</t>
  </si>
  <si>
    <t>Last update</t>
  </si>
  <si>
    <t>Prepared job</t>
  </si>
  <si>
    <t>Prepared quote</t>
  </si>
  <si>
    <t>Job register view</t>
  </si>
  <si>
    <t>ACTIVE</t>
  </si>
  <si>
    <t>_JobTemplate</t>
  </si>
  <si>
    <t>A1 | RENK</t>
  </si>
  <si>
    <t>CT00001 | RENK | RENKINFO</t>
  </si>
  <si>
    <t>A2 | BAC IMPALLOY</t>
  </si>
  <si>
    <t>CT00002 | BAC IMPALLOY | Ole Elrum</t>
  </si>
  <si>
    <t>1001.02 | Corrosion prevention anodes</t>
  </si>
  <si>
    <t>1001.03-Q2 | Chugoku paints | Main scope</t>
  </si>
  <si>
    <t>1303.01-Q2 | Neuver maritime  | Main scope</t>
  </si>
  <si>
    <t>1500.01-Q2 | Consillium | Main scope</t>
  </si>
  <si>
    <t>3149.02-Q2 | TURNER  | Main scope</t>
  </si>
  <si>
    <t>3802.01-Q2 | WÀRTSILA | Main scope</t>
  </si>
  <si>
    <t>3811.01-Q2 | BRUNVOLL | Spares</t>
  </si>
  <si>
    <t>3812.01-Q2 | PINNFABB | Main scope</t>
  </si>
  <si>
    <t>A3 | HEMPEL</t>
  </si>
  <si>
    <t>CT00003 | HEMPEL | Björn Smit</t>
  </si>
  <si>
    <t>1001.03 | Bottom treatment and paint</t>
  </si>
  <si>
    <t>1001.03-Q3 | NIPPON | Main scope</t>
  </si>
  <si>
    <t>3812.01-Q3 | PINNFABB | Main scope</t>
  </si>
  <si>
    <t>A4 | Chugoku paints</t>
  </si>
  <si>
    <t xml:space="preserve">CT00004 | Chugoku paints | Peter </t>
  </si>
  <si>
    <t>1001.04 | ICCP shields</t>
  </si>
  <si>
    <t>3812.01-Q4 | PINNFABB | Main scope</t>
  </si>
  <si>
    <t>A5 | MAN</t>
  </si>
  <si>
    <t>CT00005 | MAN | N/A</t>
  </si>
  <si>
    <t>1016.01 | Sea chests</t>
  </si>
  <si>
    <t>A6 | PINNFABB</t>
  </si>
  <si>
    <t xml:space="preserve">CT00006 | PINNFABB | MATT </t>
  </si>
  <si>
    <t>1016.02 | Scrubber outlet pipes</t>
  </si>
  <si>
    <t>A7 | WÀRTSILA</t>
  </si>
  <si>
    <t>CT00007 | WÀRTSILA | N/A</t>
  </si>
  <si>
    <t>1018.01 | Topside treatment</t>
  </si>
  <si>
    <t>A8 | PJCircular</t>
  </si>
  <si>
    <t xml:space="preserve">CT00008 | WÀRTSILA | Yuzer </t>
  </si>
  <si>
    <t>1018.02 | Ship name, logo and funnel mark</t>
  </si>
  <si>
    <t xml:space="preserve">A8.1 | TURNER </t>
  </si>
  <si>
    <t xml:space="preserve">CT00009 | PJCircular | </t>
  </si>
  <si>
    <t>1041.01 | Rudders</t>
  </si>
  <si>
    <t>F1 | Autronica Fire and Security AS</t>
  </si>
  <si>
    <t>CT00010 | TURNER  | N/A</t>
  </si>
  <si>
    <t>1041.02 | Rudders dismounting/mounting</t>
  </si>
  <si>
    <t>F2 | Consillium</t>
  </si>
  <si>
    <t>CT00011 | Autronica Fire and Security AS | Stian Hilde</t>
  </si>
  <si>
    <t>1041.03 | Rudder steel repair</t>
  </si>
  <si>
    <t>A9 | BRUNVOLL</t>
  </si>
  <si>
    <t>CT00012 | Consillium | Martin</t>
  </si>
  <si>
    <t>1102.01 | Hull repair portside frame 96-105</t>
  </si>
  <si>
    <t xml:space="preserve">A10 | Neuver maritime </t>
  </si>
  <si>
    <t xml:space="preserve">CT00013 | BRUNVOLL | </t>
  </si>
  <si>
    <t>1102.02 | Stevedore damage 9243447-2025-0704-001</t>
  </si>
  <si>
    <t>A11 | NIPPON</t>
  </si>
  <si>
    <t>CT00014 | Neuver maritime  | Hilde Omvik Kyte</t>
  </si>
  <si>
    <t>1102.03 | Steel repair bottom</t>
  </si>
  <si>
    <t>CT00015 | Neuver maritime  | Hilde Omvik Kyte</t>
  </si>
  <si>
    <t>1102.05 | Removal of fenderlist below pilot doors</t>
  </si>
  <si>
    <t>CT00016 | NIPPON | Alex Uuetalu</t>
  </si>
  <si>
    <t>1108.01 | Deck painting</t>
  </si>
  <si>
    <t>1108.02 | Anti slip grip</t>
  </si>
  <si>
    <t>1108.03 | A60 insulation on cargo deck</t>
  </si>
  <si>
    <t>1114.01 | Ballast tanks</t>
  </si>
  <si>
    <t>1114.02 | Dry Double bottom</t>
  </si>
  <si>
    <t>1123.01 | Aft mast + Aft mooring station mast TO  BE ORDERED BY VESSEL</t>
  </si>
  <si>
    <t>1123.03 | Forward mast wires</t>
  </si>
  <si>
    <t>1201.01 | Anchors and chains</t>
  </si>
  <si>
    <t>1201.04 | Hawse Pipes and Anchor Pockets</t>
  </si>
  <si>
    <t>1225.01 | Scubber valves</t>
  </si>
  <si>
    <t>1225.02 | Drain pipes from galley</t>
  </si>
  <si>
    <t>1250.01 | Cable to tray to be installed on weather deck aft ramp area. Allow for new cable tray in length 10 meters and 600mm wide delivered by the Yard.</t>
  </si>
  <si>
    <t>1250.02 | Reefer sockets power cable replacement</t>
  </si>
  <si>
    <t>1250.03 | Electrical jobs</t>
  </si>
  <si>
    <t>1250.04 | CCTV upgrade</t>
  </si>
  <si>
    <t>1302.01 | Mooring winch electric motors overhaul + Mooring Winches Brake Rendering Tests</t>
  </si>
  <si>
    <t>1303.01 | Steering gears overhaul</t>
  </si>
  <si>
    <t>1303.02 | Steering gear hydraulic</t>
  </si>
  <si>
    <t>1309.01 | Ballast Tank Pneumatic Sounding System</t>
  </si>
  <si>
    <t>1309.02 | Sounding Pipes for Heeling tanks</t>
  </si>
  <si>
    <t>1311.01 | Stern ramp cracks</t>
  </si>
  <si>
    <t>1311.02 | Stern ramp wires and finger flap wires</t>
  </si>
  <si>
    <t>1311.03 | Stern ramp finger flaps</t>
  </si>
  <si>
    <t>1311.04 | Stern ramp soft flaps installation</t>
  </si>
  <si>
    <t>1311.05 | Ramp cover gasket replacement</t>
  </si>
  <si>
    <t>1311.06 | Ramp cover hydraulic cylinders overhaul</t>
  </si>
  <si>
    <t>1313.01 | Sewage tank cleaning</t>
  </si>
  <si>
    <t>1321.01 | Heeling pump overhaul</t>
  </si>
  <si>
    <t>1401.01 | Renewal of Lifeboat Exhaust Pipes</t>
  </si>
  <si>
    <t>1401.02 | Wire rope LSA replacement 5 yearly</t>
  </si>
  <si>
    <t>1401.03 | Lifeboats taken ashore</t>
  </si>
  <si>
    <t>1401.04 | Support beam for STB lifeboat davit</t>
  </si>
  <si>
    <t>1500.01 | Fire detection system</t>
  </si>
  <si>
    <t>2200.01 | Galley floor</t>
  </si>
  <si>
    <t>2200.02 | Carpet replacement on deck 7</t>
  </si>
  <si>
    <t>2200.05 | Fire doors replacement</t>
  </si>
  <si>
    <t>2200.06 | Bathroom floor accommodation cabins</t>
  </si>
  <si>
    <t xml:space="preserve">2701.02 | Fire Damper </t>
  </si>
  <si>
    <t>3103.01 | Service of reduction gears STB/PS</t>
  </si>
  <si>
    <t>3127.01 | ME turborcharger overhaul</t>
  </si>
  <si>
    <t>3138.01 | AE3 exhaust pipe</t>
  </si>
  <si>
    <t>3138.02 | AE2 &amp; AE3 Exhaust Pipes</t>
  </si>
  <si>
    <t>3138.03 | ME2 Exhaust pipe</t>
  </si>
  <si>
    <t>3138.04 | Scrubber</t>
  </si>
  <si>
    <t>3149.01 | Main engine overhaul</t>
  </si>
  <si>
    <t>3149.02 | Governor overhaul</t>
  </si>
  <si>
    <t>3221.01 | LT backflush pipes</t>
  </si>
  <si>
    <t>3306.01 | LT cooling pipes renewal</t>
  </si>
  <si>
    <t>3306.02 | HT cooling pipes renewal</t>
  </si>
  <si>
    <t>3320.01 | Bearing replacing on the port shaft generator</t>
  </si>
  <si>
    <t>3338.01 | Ship side valves</t>
  </si>
  <si>
    <t>3338.02 | Butterfly valves replacement</t>
  </si>
  <si>
    <t>3341.02 | Ventilation fan overhaul</t>
  </si>
  <si>
    <t>3341.03 | Bow Thrusters Space Ventilation Duct</t>
  </si>
  <si>
    <t>3401.01 | Oil fired boiler: Overhaul of valves and cleaning</t>
  </si>
  <si>
    <t>3411.01 | ME exhaust gas boilers: Overhaul of valves and cleaning</t>
  </si>
  <si>
    <t>3411.02 | ME Exhaust gas boiler soot blower</t>
  </si>
  <si>
    <t>3505.02 | Scrubber pipe penetrations</t>
  </si>
  <si>
    <t>3801.01 | Propeller hub overhaul</t>
  </si>
  <si>
    <t>3802.01 | Stern tube seals</t>
  </si>
  <si>
    <t>3805.02 | Main propeller OD box overhaul</t>
  </si>
  <si>
    <t>3805.03 | Propellershaft withdrawal</t>
  </si>
  <si>
    <t>3811.01 | Bow thrusters overhaul</t>
  </si>
  <si>
    <t>3811.02 | Thruster PLC upgrade - YARD INFO ONLY</t>
  </si>
  <si>
    <t>3812.01 | Stabilizers</t>
  </si>
  <si>
    <t>3901.01 | Portside passenger lift - YARD INFO ONLY</t>
  </si>
  <si>
    <t>Job workspace</t>
  </si>
  <si>
    <t>TEMPLATE</t>
  </si>
  <si>
    <t>PilotOffer0018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</si>
</sst>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Red]\(#,##0\);&quot;-&quot;"/>
    <numFmt numFmtId="165" formatCode="#,##0.00;[Red]\(#,##0.00\);&quot;-&quot;"/>
    <numFmt numFmtId="166" formatCode="0.0%;[Red]\(0.0%\);&quot;-&quot;"/>
    <numFmt numFmtId="167" formatCode="dd\-mmm\-yyyy"/>
    <numFmt numFmtId="168" formatCode="0.00000"/>
    <numFmt numFmtId="169" formatCode="0.0%"/>
  </numFmts>
  <fonts count="52" x14ac:knownFonts="1">
    <font>
      <sz val="11"/>
      <color theme="1"/>
      <name val="Calibri"/>
      <family val="2"/>
      <scheme val="minor"/>
    </font>
    <font>
      <sz val="11"/>
      <color rgb="FF175A9C"/>
      <name val="Calibri"/>
    </font>
    <font>
      <sz val="10"/>
      <name val="Calibri"/>
    </font>
    <font>
      <b/>
      <sz val="21"/>
      <color rgb="FFFFFFFF"/>
      <name val="Aptos"/>
    </font>
    <font>
      <sz val="10"/>
      <color rgb="FF657887"/>
      <name val="Aptos"/>
    </font>
    <font>
      <b/>
      <sz val="10.5"/>
      <color rgb="FF1769A5"/>
      <name val="Aptos"/>
    </font>
    <font>
      <b/>
      <sz val="10.5"/>
      <color rgb="FFFFFFFF"/>
      <name val="Aptos"/>
    </font>
    <font>
      <sz val="11"/>
      <color rgb="FF243B4A"/>
      <name val="Aptos"/>
    </font>
    <font>
      <sz val="11"/>
      <color rgb="FF1769A5"/>
      <name val="Aptos"/>
    </font>
    <font>
      <sz val="11"/>
      <color rgb="FF657887"/>
      <name val="Aptos"/>
    </font>
    <font>
      <b/>
      <u/>
      <sz val="10.5"/>
      <color rgb="FF1769A5"/>
      <name val="Aptos"/>
    </font>
    <font>
      <b/>
      <sz val="10"/>
      <color rgb="FF657887"/>
      <name val="Aptos"/>
    </font>
    <font>
      <b/>
      <sz val="12"/>
      <color rgb="FFB9DDE2"/>
      <name val="Aptos"/>
    </font>
    <font>
      <b/>
      <sz val="10.5"/>
      <color rgb="FF657887"/>
      <name val="Aptos"/>
    </font>
    <font>
      <b/>
      <sz val="26"/>
      <color rgb="FF243B4A"/>
      <name val="Aptos"/>
    </font>
    <font>
      <b/>
      <sz val="10.5"/>
      <color rgb="FFC6E6E8"/>
      <name val="Aptos"/>
    </font>
    <font>
      <b/>
      <sz val="26"/>
      <color rgb="FFFFFFFF"/>
      <name val="Aptos"/>
    </font>
    <font>
      <sz val="10"/>
      <color rgb="FFD0ECEE"/>
      <name val="Aptos"/>
    </font>
    <font>
      <b/>
      <sz val="12"/>
      <color rgb="FF183248"/>
      <name val="Aptos"/>
    </font>
    <font>
      <b/>
      <sz val="10"/>
      <color rgb="FFFFFFFF"/>
      <name val="Aptos"/>
    </font>
    <font>
      <b/>
      <sz val="10"/>
      <color rgb="FF1769A5"/>
      <name val="Aptos"/>
    </font>
    <font>
      <b/>
      <sz val="10"/>
      <color rgb="FF087F8C"/>
      <name val="Aptos"/>
    </font>
    <font>
      <b/>
      <sz val="22"/>
      <color rgb="FF087F8C"/>
      <name val="Aptos"/>
    </font>
    <font>
      <b/>
      <sz val="22"/>
      <color rgb="FF243B4A"/>
      <name val="Aptos"/>
    </font>
    <font>
      <b/>
      <sz val="11"/>
      <color rgb="FFFFFFFF"/>
      <name val="Aptos"/>
    </font>
    <font>
      <b/>
      <sz val="11"/>
      <color rgb="FF243B4A"/>
      <name val="Aptos"/>
    </font>
    <font>
      <sz val="10"/>
      <color rgb="FF95601D"/>
      <name val="Aptos"/>
    </font>
    <font>
      <b/>
      <sz val="9.5"/>
      <color rgb="FF657887"/>
      <name val="Aptos"/>
    </font>
    <font>
      <b/>
      <sz val="24"/>
      <color rgb="FF243B4A"/>
      <name val="Aptos"/>
    </font>
    <font>
      <b/>
      <sz val="24"/>
      <color rgb="FF087F8C"/>
      <name val="Aptos"/>
    </font>
    <font>
      <b/>
      <sz val="11"/>
      <color rgb="FF183248"/>
      <name val="Aptos"/>
    </font>
    <font>
      <b/>
      <sz val="11"/>
      <color rgb="FF1769A5"/>
      <name val="Aptos"/>
    </font>
    <font>
      <sz val="9.5"/>
      <color rgb="FF16705E"/>
      <name val="Aptos"/>
    </font>
    <font>
      <b/>
      <sz val="10.5"/>
      <color rgb="FF183248"/>
      <name val="Aptos"/>
    </font>
    <font>
      <b/>
      <sz val="9.5"/>
      <color rgb="FFFFFFFF"/>
      <name val="Aptos"/>
    </font>
    <font>
      <sz val="10.5"/>
      <color rgb="FF243B4A"/>
      <name val="Aptos"/>
    </font>
    <font>
      <sz val="10.5"/>
      <color rgb="FF1769A5"/>
      <name val="Aptos"/>
    </font>
    <font>
      <b/>
      <sz val="9.5"/>
      <color rgb="FF1769A5"/>
      <name val="Aptos"/>
    </font>
    <font>
      <b/>
      <sz val="9.5"/>
      <color rgb="FF95601D"/>
      <name val="Aptos"/>
    </font>
    <font>
      <b/>
      <sz val="11"/>
      <color rgb="FF657887"/>
      <name val="Aptos"/>
    </font>
    <font>
      <sz val="12"/>
      <color rgb="FF243B4A"/>
      <name val="Aptos"/>
    </font>
    <font>
      <b/>
      <sz val="12"/>
      <color rgb="FF243B4A"/>
      <name val="Aptos"/>
    </font>
    <font>
      <b/>
      <sz val="12"/>
      <color rgb="FF16705E"/>
      <name val="Aptos"/>
    </font>
    <font>
      <b/>
      <sz val="11"/>
      <color rgb="FF16705E"/>
      <name val="Aptos"/>
    </font>
    <font>
      <b/>
      <sz val="15"/>
      <color rgb="FF243B4A"/>
      <name val="Aptos"/>
    </font>
    <font>
      <sz val="11"/>
      <color rgb="FF95601D"/>
      <name val="Aptos"/>
    </font>
    <font>
      <b/>
      <sz val="10"/>
      <color rgb="FF183248"/>
      <name val="Aptos"/>
    </font>
    <font>
      <b/>
      <sz val="16"/>
      <color rgb="FF087F8C"/>
      <name val="Aptos"/>
    </font>
    <font>
      <b/>
      <sz val="13"/>
      <color rgb="FF243B4A"/>
      <name val="Aptos"/>
    </font>
    <font>
      <sz val="9"/>
      <color rgb="FF657887"/>
      <name val="Aptos"/>
    </font>
    <font>
      <sz val="9"/>
      <color rgb="FF1769A5"/>
      <name val="Aptos"/>
    </font>
    <font>
      <b/>
      <sz val="13"/>
      <color rgb="FF95601D"/>
      <name val="Aptos"/>
    </font>
  </fonts>
  <fills count="12">
    <fill>
      <patternFill patternType="none"/>
    </fill>
    <fill>
      <patternFill patternType="gray125"/>
    </fill>
    <fill>
      <patternFill patternType="solid">
        <fgColor rgb="FFFFFFFF"/>
      </patternFill>
    </fill>
    <fill>
      <patternFill patternType="solid">
        <fgColor rgb="FF183248"/>
      </patternFill>
    </fill>
    <fill>
      <patternFill patternType="solid">
        <fgColor rgb="FF087F8C"/>
      </patternFill>
    </fill>
    <fill>
      <patternFill patternType="solid">
        <fgColor rgb="FFF7FAFC"/>
      </patternFill>
    </fill>
    <fill>
      <patternFill patternType="solid">
        <fgColor rgb="FFEFF6FC"/>
      </patternFill>
    </fill>
    <fill>
      <patternFill patternType="solid">
        <fgColor rgb="FFEAF3FB"/>
      </patternFill>
    </fill>
    <fill>
      <patternFill patternType="solid">
        <fgColor rgb="FFF3F6F8"/>
      </patternFill>
    </fill>
    <fill>
      <patternFill patternType="solid">
        <fgColor rgb="FF086771"/>
      </patternFill>
    </fill>
    <fill>
      <patternFill patternType="solid">
        <fgColor rgb="FFFFF1D5"/>
      </patternFill>
    </fill>
    <fill>
      <patternFill patternType="solid">
        <fgColor rgb="FFE6F3EE"/>
      </patternFill>
    </fill>
  </fills>
  <borders count="5">
    <border>
      <left/>
      <right/>
      <top/>
      <bottom/>
      <diagonal/>
    </border>
    <border>
      <left/>
      <right/>
      <top/>
      <bottom/>
      <diagonal/>
    </border>
    <border>
      <left/>
      <right/>
      <top/>
      <bottom style="hair">
        <color rgb="FFDCE5EB"/>
      </bottom>
      <diagonal/>
    </border>
    <border>
      <left/>
      <right/>
      <top/>
      <bottom style="thin">
        <color rgb="FFAFCBDD"/>
      </bottom>
      <diagonal/>
    </border>
    <border>
      <left/>
      <right/>
      <top/>
      <bottom style="thin">
        <color rgb="FFAFCBDD"/>
      </bottom>
      <diagonal/>
    </border>
  </borders>
  <cellStyleXfs count="1">
    <xf numFmtId="0" fontId="0" fillId="0" borderId="0"/>
  </cellStyleXfs>
  <cellXfs count="120">
    <xf numFmtId="0" fontId="0" fillId="0" borderId="0" xfId="0"/>
    <xf numFmtId="0" fontId="2" fillId="0" borderId="0" xfId="0" applyFont="1"/>
    <xf numFmtId="4" fontId="2" fillId="0" borderId="0" xfId="0" applyNumberFormat="1" applyFont="1"/>
    <xf numFmtId="165" fontId="2" fillId="0" borderId="0" xfId="0" applyNumberFormat="1" applyFont="1"/>
    <xf numFmtId="164" fontId="2" fillId="0" borderId="0" xfId="0" applyNumberFormat="1" applyFont="1"/>
    <xf numFmtId="168" fontId="2" fillId="0" borderId="0" xfId="0" applyNumberFormat="1" applyFont="1"/>
    <xf numFmtId="169" fontId="2" fillId="0" borderId="0" xfId="0" applyNumberFormat="1" applyFont="1"/>
    <xf numFmtId="166" fontId="2" fillId="0" borderId="0" xfId="0" applyNumberFormat="1" applyFont="1"/>
    <xf numFmtId="0" fontId="0" fillId="8" borderId="0" xfId="0" applyFill="1"/>
    <xf numFmtId="0" fontId="0" fillId="2" borderId="0" xfId="0" applyFill="1"/>
    <xf numFmtId="0" fontId="1" fillId="2" borderId="1" xfId="0" applyFont="1" applyFill="1" applyBorder="1" applyAlignment="1">
      <alignment vertical="center" wrapText="1"/>
    </xf>
    <xf numFmtId="0" fontId="5" fillId="2" borderId="1"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6" fillId="3" borderId="2" xfId="0" applyFont="1" applyFill="1" applyBorder="1" applyAlignment="1">
      <alignment vertical="center" wrapText="1"/>
    </xf>
    <xf numFmtId="0" fontId="7" fillId="2" borderId="2" xfId="0" applyFont="1" applyFill="1" applyBorder="1" applyAlignment="1">
      <alignment vertical="center" wrapText="1"/>
    </xf>
    <xf numFmtId="0" fontId="8" fillId="6" borderId="2" xfId="0" applyFont="1" applyFill="1" applyBorder="1" applyAlignment="1" applyProtection="1">
      <alignment vertical="center" wrapText="1"/>
      <protection locked="0"/>
    </xf>
    <xf numFmtId="165" fontId="7" fillId="2" borderId="2" xfId="0" applyNumberFormat="1" applyFont="1" applyFill="1" applyBorder="1" applyAlignment="1">
      <alignment vertical="center" wrapText="1"/>
    </xf>
    <xf numFmtId="167" fontId="8" fillId="6" borderId="2" xfId="0" applyNumberFormat="1" applyFont="1" applyFill="1" applyBorder="1" applyAlignment="1" applyProtection="1">
      <alignment vertical="center" wrapText="1"/>
      <protection locked="0"/>
    </xf>
    <xf numFmtId="0" fontId="7" fillId="5" borderId="2" xfId="0" applyFont="1" applyFill="1" applyBorder="1" applyAlignment="1">
      <alignment vertical="center" wrapText="1"/>
    </xf>
    <xf numFmtId="165" fontId="7" fillId="5" borderId="2" xfId="0" applyNumberFormat="1" applyFont="1" applyFill="1" applyBorder="1" applyAlignment="1">
      <alignment vertical="center" wrapText="1"/>
    </xf>
    <xf numFmtId="0" fontId="7" fillId="2" borderId="1" xfId="0" applyFont="1" applyFill="1" applyBorder="1" applyAlignment="1">
      <alignment vertical="center" wrapText="1"/>
    </xf>
    <xf numFmtId="0" fontId="11" fillId="2" borderId="1" xfId="0" applyFont="1" applyFill="1" applyBorder="1" applyAlignment="1">
      <alignment horizontal="left" vertical="center" wrapText="1" indent="1"/>
    </xf>
    <xf numFmtId="0" fontId="8" fillId="7" borderId="2" xfId="0" applyFont="1" applyFill="1" applyBorder="1" applyAlignment="1">
      <alignment vertical="center" wrapText="1"/>
    </xf>
    <xf numFmtId="165" fontId="8" fillId="7" borderId="2" xfId="0" applyNumberFormat="1" applyFont="1" applyFill="1" applyBorder="1" applyAlignment="1">
      <alignment vertical="center" wrapText="1"/>
    </xf>
    <xf numFmtId="165" fontId="8" fillId="6" borderId="2" xfId="0" applyNumberFormat="1" applyFont="1" applyFill="1" applyBorder="1" applyAlignment="1" applyProtection="1">
      <alignment vertical="center" wrapText="1"/>
      <protection locked="0"/>
    </xf>
    <xf numFmtId="0" fontId="10" fillId="6" borderId="2" xfId="0" applyFont="1" applyFill="1" applyBorder="1" applyAlignment="1" applyProtection="1">
      <alignment vertical="center" wrapText="1"/>
      <protection locked="0"/>
    </xf>
    <xf numFmtId="166" fontId="7" fillId="2" borderId="2" xfId="0" applyNumberFormat="1" applyFont="1" applyFill="1" applyBorder="1" applyAlignment="1">
      <alignment vertical="center" wrapText="1"/>
    </xf>
    <xf numFmtId="166" fontId="7" fillId="5" borderId="2" xfId="0" applyNumberFormat="1" applyFont="1" applyFill="1" applyBorder="1" applyAlignment="1">
      <alignment vertical="center" wrapText="1"/>
    </xf>
    <xf numFmtId="0" fontId="34" fillId="3" borderId="0" xfId="0" applyFont="1" applyFill="1" applyAlignment="1">
      <alignment horizontal="left" vertical="center" wrapText="1" indent="1"/>
    </xf>
    <xf numFmtId="0" fontId="46" fillId="8" borderId="0" xfId="0" applyFont="1" applyFill="1" applyAlignment="1">
      <alignment wrapText="1"/>
    </xf>
    <xf numFmtId="0" fontId="7" fillId="2" borderId="0" xfId="0" applyFont="1" applyFill="1" applyAlignment="1">
      <alignment vertical="center" wrapText="1"/>
    </xf>
    <xf numFmtId="168" fontId="8" fillId="7" borderId="0" xfId="0" applyNumberFormat="1" applyFont="1" applyFill="1" applyAlignment="1" applyProtection="1">
      <alignment vertical="center" wrapText="1"/>
      <protection locked="0"/>
    </xf>
    <xf numFmtId="0" fontId="36" fillId="7" borderId="0" xfId="0" applyFont="1" applyFill="1" applyAlignment="1">
      <alignment horizontal="left" vertical="center" wrapText="1" indent="1"/>
    </xf>
    <xf numFmtId="0" fontId="37" fillId="2" borderId="0" xfId="0" applyFont="1" applyFill="1" applyAlignment="1">
      <alignment horizontal="center" vertical="center" wrapText="1"/>
    </xf>
    <xf numFmtId="0" fontId="7" fillId="2" borderId="2" xfId="0" applyFont="1" applyFill="1" applyBorder="1" applyAlignment="1">
      <alignment horizontal="left" vertical="center" wrapText="1" indent="1"/>
    </xf>
    <xf numFmtId="0" fontId="7" fillId="5" borderId="2" xfId="0" applyFont="1" applyFill="1" applyBorder="1" applyAlignment="1">
      <alignment horizontal="left" vertical="center" wrapText="1" indent="1"/>
    </xf>
    <xf numFmtId="49" fontId="8" fillId="6" borderId="2" xfId="0" applyNumberFormat="1" applyFont="1" applyFill="1" applyBorder="1" applyAlignment="1" applyProtection="1">
      <alignment horizontal="left" vertical="center" wrapText="1" indent="1"/>
      <protection locked="0"/>
    </xf>
    <xf numFmtId="0" fontId="8" fillId="6" borderId="2" xfId="0" applyFont="1" applyFill="1" applyBorder="1" applyAlignment="1" applyProtection="1">
      <alignment horizontal="left" vertical="center" wrapText="1" indent="1"/>
      <protection locked="0"/>
    </xf>
    <xf numFmtId="0" fontId="7" fillId="5" borderId="0" xfId="0" applyFont="1" applyFill="1" applyAlignment="1">
      <alignment horizontal="left" vertical="center" wrapText="1" indent="1"/>
    </xf>
    <xf numFmtId="0" fontId="0" fillId="0" borderId="0" xfId="0"/>
    <xf numFmtId="0" fontId="7" fillId="2" borderId="0" xfId="0" applyFont="1" applyFill="1" applyAlignment="1">
      <alignment horizontal="left" vertical="center" wrapText="1" indent="1"/>
    </xf>
    <xf numFmtId="165" fontId="7" fillId="2" borderId="0" xfId="0" applyNumberFormat="1" applyFont="1" applyFill="1" applyAlignment="1">
      <alignment horizontal="left" vertical="center" wrapText="1" indent="1"/>
    </xf>
    <xf numFmtId="165" fontId="7" fillId="5" borderId="0" xfId="0" applyNumberFormat="1" applyFont="1" applyFill="1" applyAlignment="1">
      <alignment horizontal="left" vertical="center" wrapText="1" indent="1"/>
    </xf>
    <xf numFmtId="0" fontId="20" fillId="5" borderId="0" xfId="0" applyFont="1" applyFill="1" applyAlignment="1">
      <alignment horizontal="center" vertical="center" wrapText="1"/>
    </xf>
    <xf numFmtId="0" fontId="20" fillId="2" borderId="0" xfId="0" applyFont="1" applyFill="1" applyAlignment="1">
      <alignment horizontal="center" vertical="center" wrapText="1"/>
    </xf>
    <xf numFmtId="0" fontId="5" fillId="2" borderId="0" xfId="0" applyFont="1" applyFill="1" applyAlignment="1">
      <alignment horizontal="center" vertical="center" wrapText="1"/>
    </xf>
    <xf numFmtId="0" fontId="17" fillId="9" borderId="0" xfId="0" applyFont="1" applyFill="1" applyAlignment="1">
      <alignment horizontal="left" vertical="center" wrapText="1" indent="1"/>
    </xf>
    <xf numFmtId="164" fontId="16" fillId="9" borderId="0" xfId="0" applyNumberFormat="1" applyFont="1" applyFill="1" applyAlignment="1">
      <alignment horizontal="left" vertical="center" wrapText="1" indent="1"/>
    </xf>
    <xf numFmtId="0" fontId="4" fillId="2" borderId="0" xfId="0" applyFont="1" applyFill="1" applyAlignment="1">
      <alignment horizontal="left" vertical="center" wrapText="1" indent="1"/>
    </xf>
    <xf numFmtId="0" fontId="19" fillId="3" borderId="0" xfId="0" applyFont="1" applyFill="1" applyAlignment="1">
      <alignment horizontal="left" vertical="center" wrapText="1" indent="1"/>
    </xf>
    <xf numFmtId="0" fontId="3" fillId="3" borderId="0" xfId="0" applyFont="1" applyFill="1" applyAlignment="1">
      <alignment horizontal="left" vertical="center" wrapText="1" indent="1"/>
    </xf>
    <xf numFmtId="0" fontId="13" fillId="2" borderId="0" xfId="0" applyFont="1" applyFill="1" applyAlignment="1">
      <alignment horizontal="left" vertical="center" wrapText="1" indent="1"/>
    </xf>
    <xf numFmtId="164" fontId="14" fillId="2" borderId="0" xfId="0" applyNumberFormat="1" applyFont="1" applyFill="1" applyAlignment="1">
      <alignment horizontal="left" vertical="center" wrapText="1" indent="1"/>
    </xf>
    <xf numFmtId="0" fontId="6" fillId="4" borderId="0" xfId="0" applyFont="1" applyFill="1" applyAlignment="1">
      <alignment horizontal="center" vertical="center" wrapText="1"/>
    </xf>
    <xf numFmtId="0" fontId="18" fillId="2" borderId="0" xfId="0" applyFont="1" applyFill="1" applyAlignment="1">
      <alignment horizontal="left" vertical="center" wrapText="1" indent="1"/>
    </xf>
    <xf numFmtId="0" fontId="12" fillId="3" borderId="0" xfId="0" applyFont="1" applyFill="1" applyAlignment="1">
      <alignment horizontal="right" vertical="center" wrapText="1"/>
    </xf>
    <xf numFmtId="0" fontId="15" fillId="9" borderId="0" xfId="0" applyFont="1" applyFill="1" applyAlignment="1">
      <alignment horizontal="left" vertical="center" wrapText="1" indent="1"/>
    </xf>
    <xf numFmtId="0" fontId="9" fillId="2" borderId="0" xfId="0" applyFont="1" applyFill="1" applyAlignment="1">
      <alignment horizontal="left" vertical="center" wrapText="1" indent="1"/>
    </xf>
    <xf numFmtId="166" fontId="23" fillId="2" borderId="0" xfId="0" applyNumberFormat="1" applyFont="1" applyFill="1" applyAlignment="1">
      <alignment horizontal="left" vertical="center" wrapText="1" indent="1"/>
    </xf>
    <xf numFmtId="165" fontId="7" fillId="2" borderId="0" xfId="0" applyNumberFormat="1" applyFont="1" applyFill="1" applyAlignment="1">
      <alignment horizontal="right" vertical="center" wrapText="1"/>
    </xf>
    <xf numFmtId="166" fontId="22" fillId="2" borderId="0" xfId="0" applyNumberFormat="1" applyFont="1" applyFill="1" applyAlignment="1">
      <alignment horizontal="left" vertical="center" wrapText="1" indent="1"/>
    </xf>
    <xf numFmtId="0" fontId="26" fillId="10" borderId="0" xfId="0" applyFont="1" applyFill="1" applyAlignment="1">
      <alignment horizontal="left" vertical="center" wrapText="1" indent="1"/>
    </xf>
    <xf numFmtId="0" fontId="21" fillId="2" borderId="0" xfId="0" applyFont="1" applyFill="1" applyAlignment="1">
      <alignment horizontal="left" vertical="center" wrapText="1" indent="1"/>
    </xf>
    <xf numFmtId="0" fontId="11" fillId="8" borderId="0" xfId="0" applyFont="1" applyFill="1" applyAlignment="1">
      <alignment horizontal="left" vertical="center" wrapText="1" indent="1"/>
    </xf>
    <xf numFmtId="0" fontId="25" fillId="2" borderId="0" xfId="0" applyFont="1" applyFill="1" applyAlignment="1">
      <alignment horizontal="right" vertical="center" wrapText="1"/>
    </xf>
    <xf numFmtId="165" fontId="24" fillId="3" borderId="0" xfId="0" applyNumberFormat="1" applyFont="1" applyFill="1" applyAlignment="1">
      <alignment horizontal="right" vertical="center" wrapText="1"/>
    </xf>
    <xf numFmtId="166" fontId="7" fillId="2" borderId="0" xfId="0" applyNumberFormat="1" applyFont="1" applyFill="1" applyAlignment="1">
      <alignment horizontal="right" vertical="center" wrapText="1"/>
    </xf>
    <xf numFmtId="0" fontId="24" fillId="3" borderId="0" xfId="0" applyFont="1" applyFill="1" applyAlignment="1">
      <alignment horizontal="left" vertical="center" wrapText="1" indent="1"/>
    </xf>
    <xf numFmtId="0" fontId="11" fillId="2" borderId="0" xfId="0" applyFont="1" applyFill="1" applyAlignment="1">
      <alignment horizontal="left" vertical="center" wrapText="1" indent="1"/>
    </xf>
    <xf numFmtId="0" fontId="4" fillId="2" borderId="1" xfId="0" applyFont="1" applyFill="1" applyBorder="1" applyAlignment="1">
      <alignment horizontal="left" vertical="center" wrapText="1" indent="1"/>
    </xf>
    <xf numFmtId="0" fontId="6" fillId="4" borderId="1" xfId="0" applyFont="1" applyFill="1" applyBorder="1" applyAlignment="1">
      <alignment horizontal="center" vertical="center" wrapText="1"/>
    </xf>
    <xf numFmtId="0" fontId="3" fillId="3" borderId="1" xfId="0" applyFont="1" applyFill="1" applyBorder="1" applyAlignment="1">
      <alignment horizontal="left" vertical="center" wrapText="1" indent="1"/>
    </xf>
    <xf numFmtId="0" fontId="5" fillId="2" borderId="1" xfId="0" applyFont="1" applyFill="1" applyBorder="1" applyAlignment="1">
      <alignment horizontal="center" vertical="center" wrapText="1"/>
    </xf>
    <xf numFmtId="0" fontId="8" fillId="7" borderId="4" xfId="0" applyFont="1" applyFill="1" applyBorder="1" applyAlignment="1">
      <alignment horizontal="left" vertical="center" wrapText="1" indent="1"/>
    </xf>
    <xf numFmtId="0" fontId="0" fillId="0" borderId="3" xfId="0" applyBorder="1"/>
    <xf numFmtId="0" fontId="9" fillId="2" borderId="1" xfId="0" applyFont="1" applyFill="1" applyBorder="1" applyAlignment="1">
      <alignment horizontal="left" vertical="center" wrapText="1" indent="1"/>
    </xf>
    <xf numFmtId="165" fontId="35" fillId="2" borderId="0" xfId="0" applyNumberFormat="1" applyFont="1" applyFill="1" applyAlignment="1">
      <alignment horizontal="left" vertical="center" wrapText="1" indent="1"/>
    </xf>
    <xf numFmtId="0" fontId="35" fillId="2" borderId="0" xfId="0" applyFont="1" applyFill="1" applyAlignment="1">
      <alignment horizontal="left" vertical="center" wrapText="1" indent="1"/>
    </xf>
    <xf numFmtId="0" fontId="5" fillId="2" borderId="0" xfId="0" applyFont="1" applyFill="1" applyAlignment="1">
      <alignment horizontal="left" vertical="center" wrapText="1" indent="1"/>
    </xf>
    <xf numFmtId="166" fontId="14" fillId="2" borderId="0" xfId="0" applyNumberFormat="1" applyFont="1" applyFill="1" applyAlignment="1">
      <alignment horizontal="left" vertical="center" wrapText="1" indent="1"/>
    </xf>
    <xf numFmtId="0" fontId="34" fillId="3" borderId="0" xfId="0" applyFont="1" applyFill="1" applyAlignment="1">
      <alignment horizontal="left" vertical="center" wrapText="1" indent="1"/>
    </xf>
    <xf numFmtId="0" fontId="20" fillId="2" borderId="0" xfId="0" applyFont="1" applyFill="1" applyAlignment="1">
      <alignment horizontal="left" vertical="center" wrapText="1" indent="1"/>
    </xf>
    <xf numFmtId="165" fontId="44" fillId="2" borderId="0" xfId="0" applyNumberFormat="1" applyFont="1" applyFill="1" applyAlignment="1">
      <alignment horizontal="left" vertical="center" wrapText="1" indent="1"/>
    </xf>
    <xf numFmtId="0" fontId="27" fillId="2" borderId="0" xfId="0" applyFont="1" applyFill="1" applyAlignment="1">
      <alignment horizontal="left" vertical="center" wrapText="1" indent="1"/>
    </xf>
    <xf numFmtId="0" fontId="42" fillId="11" borderId="0" xfId="0" applyFont="1" applyFill="1" applyAlignment="1">
      <alignment horizontal="left" vertical="center" wrapText="1" indent="1"/>
    </xf>
    <xf numFmtId="0" fontId="43" fillId="11" borderId="0" xfId="0" applyFont="1" applyFill="1" applyAlignment="1">
      <alignment horizontal="left" vertical="center" wrapText="1" indent="1"/>
    </xf>
    <xf numFmtId="0" fontId="4" fillId="2" borderId="0" xfId="0" applyFont="1" applyFill="1" applyAlignment="1">
      <alignment horizontal="right" vertical="center" wrapText="1"/>
    </xf>
    <xf numFmtId="165" fontId="25" fillId="2" borderId="0" xfId="0" applyNumberFormat="1" applyFont="1" applyFill="1" applyAlignment="1">
      <alignment horizontal="left" vertical="center" wrapText="1" indent="1"/>
    </xf>
    <xf numFmtId="1" fontId="25" fillId="2" borderId="0" xfId="0" applyNumberFormat="1" applyFont="1" applyFill="1" applyAlignment="1">
      <alignment horizontal="left" vertical="center" wrapText="1" indent="1"/>
    </xf>
    <xf numFmtId="166" fontId="25" fillId="2" borderId="0" xfId="0" applyNumberFormat="1" applyFont="1" applyFill="1" applyAlignment="1">
      <alignment horizontal="left" vertical="center" wrapText="1" indent="1"/>
    </xf>
    <xf numFmtId="0" fontId="4" fillId="8" borderId="0" xfId="0" applyFont="1" applyFill="1" applyAlignment="1">
      <alignment horizontal="left" vertical="center" wrapText="1" indent="1"/>
    </xf>
    <xf numFmtId="0" fontId="40" fillId="2" borderId="0" xfId="0" applyFont="1" applyFill="1" applyAlignment="1">
      <alignment horizontal="left" vertical="center" wrapText="1" indent="1"/>
    </xf>
    <xf numFmtId="0" fontId="39" fillId="2" borderId="0" xfId="0" applyFont="1" applyFill="1" applyAlignment="1">
      <alignment horizontal="left" vertical="center" wrapText="1" indent="1"/>
    </xf>
    <xf numFmtId="0" fontId="24" fillId="4" borderId="0" xfId="0" applyFont="1" applyFill="1" applyAlignment="1">
      <alignment horizontal="center" vertical="center" wrapText="1"/>
    </xf>
    <xf numFmtId="167" fontId="8" fillId="7" borderId="4" xfId="0" applyNumberFormat="1" applyFont="1" applyFill="1" applyBorder="1" applyAlignment="1">
      <alignment horizontal="left" vertical="center" wrapText="1" indent="1"/>
    </xf>
    <xf numFmtId="0" fontId="41" fillId="2" borderId="0" xfId="0" applyFont="1" applyFill="1" applyAlignment="1">
      <alignment horizontal="left" vertical="center" wrapText="1" indent="1"/>
    </xf>
    <xf numFmtId="0" fontId="8" fillId="7" borderId="4" xfId="0" applyFont="1" applyFill="1" applyBorder="1" applyAlignment="1">
      <alignment horizontal="left" vertical="top" wrapText="1" indent="1"/>
    </xf>
    <xf numFmtId="165" fontId="8" fillId="7" borderId="4" xfId="0" applyNumberFormat="1" applyFont="1" applyFill="1" applyBorder="1" applyAlignment="1">
      <alignment horizontal="left" vertical="center" wrapText="1" indent="1"/>
    </xf>
    <xf numFmtId="0" fontId="33" fillId="2" borderId="0" xfId="0" applyFont="1" applyFill="1" applyAlignment="1">
      <alignment horizontal="left" vertical="center" wrapText="1" indent="1"/>
    </xf>
    <xf numFmtId="49" fontId="8" fillId="7" borderId="4" xfId="0" applyNumberFormat="1" applyFont="1" applyFill="1" applyBorder="1" applyAlignment="1">
      <alignment horizontal="left" vertical="center" wrapText="1" indent="1"/>
    </xf>
    <xf numFmtId="0" fontId="50" fillId="2" borderId="0" xfId="0" applyFont="1" applyFill="1" applyAlignment="1">
      <alignment horizontal="left" vertical="center" wrapText="1" indent="1"/>
    </xf>
    <xf numFmtId="0" fontId="45" fillId="10" borderId="0" xfId="0" applyFont="1" applyFill="1" applyAlignment="1">
      <alignment horizontal="left" vertical="center" wrapText="1" indent="1"/>
    </xf>
    <xf numFmtId="0" fontId="49" fillId="2" borderId="0" xfId="0" applyFont="1" applyFill="1" applyAlignment="1">
      <alignment horizontal="left" vertical="center" wrapText="1" indent="1"/>
    </xf>
    <xf numFmtId="0" fontId="48" fillId="2" borderId="0" xfId="0" applyFont="1" applyFill="1" applyAlignment="1">
      <alignment horizontal="left" vertical="center" wrapText="1" indent="1"/>
    </xf>
    <xf numFmtId="0" fontId="47" fillId="2" borderId="0" xfId="0" applyFont="1" applyFill="1" applyAlignment="1">
      <alignment horizontal="left" vertical="center" wrapText="1" indent="1"/>
    </xf>
    <xf numFmtId="0" fontId="51" fillId="10" borderId="0" xfId="0" applyFont="1" applyFill="1" applyAlignment="1">
      <alignment horizontal="left" vertical="center" wrapText="1" indent="1"/>
    </xf>
    <xf numFmtId="0" fontId="8" fillId="7" borderId="4" xfId="0" applyFont="1" applyFill="1" applyBorder="1" applyAlignment="1" applyProtection="1">
      <alignment horizontal="left" vertical="center" wrapText="1" indent="1"/>
      <protection locked="0"/>
    </xf>
    <xf numFmtId="0" fontId="0" fillId="0" borderId="3" xfId="0" applyBorder="1" applyProtection="1">
      <protection locked="0"/>
    </xf>
    <xf numFmtId="165" fontId="8" fillId="7" borderId="4" xfId="0" applyNumberFormat="1" applyFont="1" applyFill="1" applyBorder="1" applyAlignment="1" applyProtection="1">
      <alignment horizontal="left" vertical="center" wrapText="1" indent="1"/>
      <protection locked="0"/>
    </xf>
    <xf numFmtId="167" fontId="8" fillId="7" borderId="4" xfId="0" applyNumberFormat="1" applyFont="1" applyFill="1" applyBorder="1" applyAlignment="1" applyProtection="1">
      <alignment horizontal="left" vertical="center" wrapText="1" indent="1"/>
      <protection locked="0"/>
    </xf>
    <xf numFmtId="165" fontId="36" fillId="7" borderId="0" xfId="0" applyNumberFormat="1" applyFont="1" applyFill="1" applyAlignment="1">
      <alignment horizontal="left" vertical="center" wrapText="1" indent="1"/>
    </xf>
    <xf numFmtId="0" fontId="27" fillId="2" borderId="0" xfId="0" applyFont="1" applyFill="1" applyAlignment="1">
      <alignment horizontal="center" vertical="center" wrapText="1"/>
    </xf>
    <xf numFmtId="164" fontId="29" fillId="2" borderId="0" xfId="0" applyNumberFormat="1" applyFont="1" applyFill="1" applyAlignment="1">
      <alignment horizontal="left" vertical="center" wrapText="1" indent="1"/>
    </xf>
    <xf numFmtId="0" fontId="36" fillId="7" borderId="0" xfId="0" applyFont="1" applyFill="1" applyAlignment="1">
      <alignment horizontal="left" vertical="center" wrapText="1" indent="1"/>
    </xf>
    <xf numFmtId="0" fontId="30" fillId="2" borderId="0" xfId="0" applyFont="1" applyFill="1" applyAlignment="1">
      <alignment horizontal="left" vertical="center" wrapText="1" indent="1"/>
    </xf>
    <xf numFmtId="0" fontId="25" fillId="2" borderId="0" xfId="0" applyFont="1" applyFill="1" applyAlignment="1">
      <alignment horizontal="left" vertical="center" wrapText="1" indent="1"/>
    </xf>
    <xf numFmtId="164" fontId="28" fillId="2" borderId="0" xfId="0" applyNumberFormat="1" applyFont="1" applyFill="1" applyAlignment="1">
      <alignment horizontal="left" vertical="center" wrapText="1" indent="1"/>
    </xf>
    <xf numFmtId="0" fontId="32" fillId="11" borderId="0" xfId="0" applyFont="1" applyFill="1" applyAlignment="1">
      <alignment horizontal="left" vertical="center" wrapText="1" indent="1"/>
    </xf>
    <xf numFmtId="0" fontId="31" fillId="2" borderId="0" xfId="0" applyFont="1" applyFill="1" applyAlignment="1">
      <alignment horizontal="center" vertical="center" wrapText="1"/>
    </xf>
    <xf numFmtId="0" fontId="38" fillId="10" borderId="0" xfId="0" applyFont="1" applyFill="1" applyAlignment="1">
      <alignment horizontal="center" vertical="center" wrapText="1"/>
    </xf>
  </cellXfs>
  <cellStyles count="1">
    <cellStyle name="Normal" xfId="0" builtinId="0"/>
  </cellStyles>
  <dxfs count="16">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
      <font>
        <b/>
        <color rgb="FF16705E"/>
        <name val="Aptos"/>
      </font>
      <fill>
        <patternFill patternType="solid">
          <fgColor rgb="FFE6F3E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doughnutChart>
        <c:varyColors val="1"/>
        <c:ser>
          <c:idx val="0"/>
          <c:order val="0"/>
          <c:spPr>
            <a:ln>
              <a:prstDash val="solid"/>
            </a:ln>
          </c:spPr>
          <c:dPt>
            <c:idx val="0"/>
            <c:bubble3D val="0"/>
            <c:spPr>
              <a:solidFill>
                <a:srgbClr val="087F8C"/>
              </a:solidFill>
              <a:ln>
                <a:noFill/>
                <a:prstDash val="solid"/>
              </a:ln>
            </c:spPr>
            <c:extLst>
              <c:ext xmlns:c16="http://schemas.microsoft.com/office/drawing/2014/chart" uri="{C3380CC4-5D6E-409C-BE32-E72D297353CC}">
                <c16:uniqueId val="{00000001-DC2E-46C7-ADB9-4F8DE653F8EA}"/>
              </c:ext>
            </c:extLst>
          </c:dPt>
          <c:dPt>
            <c:idx val="1"/>
            <c:bubble3D val="0"/>
            <c:spPr>
              <a:solidFill>
                <a:srgbClr val="E0E9EE"/>
              </a:solidFill>
              <a:ln>
                <a:noFill/>
                <a:prstDash val="solid"/>
              </a:ln>
            </c:spPr>
            <c:extLst>
              <c:ext xmlns:c16="http://schemas.microsoft.com/office/drawing/2014/chart" uri="{C3380CC4-5D6E-409C-BE32-E72D297353CC}">
                <c16:uniqueId val="{00000003-DC2E-46C7-ADB9-4F8DE653F8EA}"/>
              </c:ext>
            </c:extLst>
          </c:dPt>
          <c:cat>
            <c:strRef>
              <c:f>_Control!$I$6:$I$7</c:f>
              <c:strCache>
                <c:ptCount val="2"/>
                <c:pt idx="0">
                  <c:v>Selected cost</c:v>
                </c:pt>
                <c:pt idx="1">
                  <c:v>Unallocated allowance</c:v>
                </c:pt>
              </c:strCache>
            </c:strRef>
          </c:cat>
          <c:val>
            <c:numRef>
              <c:f>_Control!$J$6:$J$7</c:f>
              <c:numCache>
                <c:formatCode>General</c:formatCode>
                <c:ptCount val="2"/>
                <c:pt idx="0">
                  <c:v>490137.24308657972</c:v>
                </c:pt>
                <c:pt idx="1">
                  <c:v>1509862.7569134203</c:v>
                </c:pt>
              </c:numCache>
            </c:numRef>
          </c:val>
          <c:extLst>
            <c:ext xmlns:c16="http://schemas.microsoft.com/office/drawing/2014/chart" uri="{C3380CC4-5D6E-409C-BE32-E72D297353CC}">
              <c16:uniqueId val="{00000004-DC2E-46C7-ADB9-4F8DE653F8EA}"/>
            </c:ext>
          </c:extLst>
        </c:ser>
        <c:dLbls>
          <c:showLegendKey val="0"/>
          <c:showVal val="0"/>
          <c:showCatName val="0"/>
          <c:showSerName val="0"/>
          <c:showPercent val="0"/>
          <c:showBubbleSize val="0"/>
          <c:showLeaderLines val="1"/>
        </c:dLbls>
        <c:firstSliceAng val="270"/>
        <c:holeSize val="72"/>
      </c:doughnutChart>
    </c:plotArea>
    <c:plotVisOnly val="1"/>
    <c:dispBlanksAs val="gap"/>
    <c:showDLblsOverMax val="1"/>
  </c:chart>
  <c:spPr>
    <a:solidFill>
      <a:srgbClr val="FFFFFF"/>
    </a:solidFill>
    <a:ln>
      <a:no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15</xdr:row>
      <xdr:rowOff>0</xdr:rowOff>
    </xdr:from>
    <xdr:ext cx="6480000" cy="3060000"/>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Jobs" displayName="tJobs" ref="A8:R258">
  <autoFilter ref="A8:R258" xr:uid="{00000000-0009-0000-0100-000001000000}">
    <filterColumn colId="3">
      <customFilters and="1">
        <customFilter operator="notEqual" val="Closed"/>
        <customFilter operator="notEqual" val="Cancelled"/>
      </customFilters>
    </filterColumn>
    <filterColumn colId="15">
      <customFilters>
        <customFilter operator="notEqual" val=""/>
      </customFilters>
    </filterColumn>
  </autoFilter>
  <tableColumns count="18">
    <tableColumn id="1" xr3:uid="{00000000-0010-0000-0000-000001000000}" name="JobID"/>
    <tableColumn id="2" xr3:uid="{00000000-0010-0000-0000-000002000000}" name="Job title"/>
    <tableColumn id="3" xr3:uid="{00000000-0010-0000-0000-000003000000}" name="Department"/>
    <tableColumn id="4" xr3:uid="{00000000-0010-0000-0000-000004000000}" name="Job status"/>
    <tableColumn id="5" xr3:uid="{00000000-0010-0000-0000-000005000000}" name="Open job"/>
    <tableColumn id="6" xr3:uid="{00000000-0010-0000-0000-000006000000}" name="Quote count"/>
    <tableColumn id="7" xr3:uid="{00000000-0010-0000-0000-000007000000}" name="Selected EUR"/>
    <tableColumn id="8" xr3:uid="{00000000-0010-0000-0000-000008000000}" name="Saved EUR"/>
    <tableColumn id="9" xr3:uid="{00000000-0010-0000-0000-000009000000}" name="Yard"/>
    <tableColumn id="10" xr3:uid="{00000000-0010-0000-0000-00000A000000}" name="Start"/>
    <tableColumn id="11" xr3:uid="{00000000-0010-0000-0000-00000B000000}" name="End"/>
    <tableColumn id="12" xr3:uid="{00000000-0010-0000-0000-00000C000000}" name="Job notes"/>
    <tableColumn id="13" xr3:uid="{00000000-0010-0000-0000-00000D000000}" name="Specification"/>
    <tableColumn id="14" xr3:uid="{00000000-0010-0000-0000-00000E000000}" name="Job document"/>
    <tableColumn id="15" xr3:uid="{00000000-0010-0000-0000-00000F000000}" name="Sample"/>
    <tableColumn id="16" xr3:uid="{00000000-0010-0000-0000-000010000000}" name="Page name"/>
    <tableColumn id="17" xr3:uid="{00000000-0010-0000-0000-000011000000}" name="Active sequence"/>
    <tableColumn id="18" xr3:uid="{00000000-0010-0000-0000-000012000000}" name="Job choice"/>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Suppliers" displayName="tSuppliers" ref="A8:Q508">
  <autoFilter ref="A8:Q508" xr:uid="{00000000-0009-0000-0100-000002000000}"/>
  <tableColumns count="17">
    <tableColumn id="1" xr3:uid="{00000000-0010-0000-0100-000001000000}" name="SupplierID"/>
    <tableColumn id="2" xr3:uid="{00000000-0010-0000-0100-000002000000}" name="Supplier name"/>
    <tableColumn id="3" xr3:uid="{00000000-0010-0000-0100-000003000000}" name="Specialty / team"/>
    <tableColumn id="4" xr3:uid="{00000000-0010-0000-0100-000004000000}" name="ContactID"/>
    <tableColumn id="5" xr3:uid="{00000000-0010-0000-0100-000005000000}" name="Contact"/>
    <tableColumn id="6" xr3:uid="{00000000-0010-0000-0100-000006000000}" name="Email"/>
    <tableColumn id="7" xr3:uid="{00000000-0010-0000-0100-000007000000}" name="Phone"/>
    <tableColumn id="8" xr3:uid="{00000000-0010-0000-0100-000008000000}" name="City / country"/>
    <tableColumn id="9" xr3:uid="{00000000-0010-0000-0100-000009000000}" name="Supplier / contact notes"/>
    <tableColumn id="10" xr3:uid="{00000000-0010-0000-0100-00000A000000}" name="Open jobs"/>
    <tableColumn id="11" xr3:uid="{00000000-0010-0000-0100-00000B000000}" name="Quote count"/>
    <tableColumn id="12" xr3:uid="{00000000-0010-0000-0100-00000C000000}" name="Selected EUR"/>
    <tableColumn id="13" xr3:uid="{00000000-0010-0000-0100-00000D000000}" name="Saved EUR"/>
    <tableColumn id="14" xr3:uid="{00000000-0010-0000-0100-00000E000000}" name="Sample"/>
    <tableColumn id="15" xr3:uid="{00000000-0010-0000-0100-00000F000000}" name="Primary supplier"/>
    <tableColumn id="16" xr3:uid="{00000000-0010-0000-0100-000010000000}" name="Contact choice"/>
    <tableColumn id="17" xr3:uid="{00000000-0010-0000-0100-000011000000}" name="Supplier choice"/>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SupplierJobs" displayName="tSupplierJobs" ref="A8:N258">
  <autoFilter ref="A8:N258" xr:uid="{00000000-0009-0000-0100-000003000000}"/>
  <tableColumns count="14">
    <tableColumn id="1" xr3:uid="{00000000-0010-0000-0200-000001000000}" name="QuoteID"/>
    <tableColumn id="2" xr3:uid="{00000000-0010-0000-0200-000002000000}" name="Supplier"/>
    <tableColumn id="3" xr3:uid="{00000000-0010-0000-0200-000003000000}" name="Job"/>
    <tableColumn id="4" xr3:uid="{00000000-0010-0000-0200-000004000000}" name="Scope / package"/>
    <tableColumn id="5" xr3:uid="{00000000-0010-0000-0200-000005000000}" name="Open job"/>
    <tableColumn id="6" xr3:uid="{00000000-0010-0000-0200-000006000000}" name="Quote status"/>
    <tableColumn id="7" xr3:uid="{00000000-0010-0000-0200-000007000000}" name="Original price"/>
    <tableColumn id="8" xr3:uid="{00000000-0010-0000-0200-000008000000}" name="Final price"/>
    <tableColumn id="9" xr3:uid="{00000000-0010-0000-0200-000009000000}" name="Currency"/>
    <tableColumn id="10" xr3:uid="{00000000-0010-0000-0200-00000A000000}" name="Latest EUR"/>
    <tableColumn id="11" xr3:uid="{00000000-0010-0000-0200-00000B000000}" name="Saved EUR"/>
    <tableColumn id="12" xr3:uid="{00000000-0010-0000-0200-00000C000000}" name="Contact"/>
    <tableColumn id="13" xr3:uid="{00000000-0010-0000-0200-00000D000000}" name="Edit quote"/>
    <tableColumn id="14" xr3:uid="{00000000-0010-0000-0200-00000E000000}" name="SupplierID"/>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Quotes" displayName="tQuotes" ref="A8:AR258">
  <autoFilter ref="A8:AR258" xr:uid="{00000000-0009-0000-0100-000004000000}"/>
  <tableColumns count="44">
    <tableColumn id="1" xr3:uid="{00000000-0010-0000-0300-000001000000}" name="QuoteID"/>
    <tableColumn id="2" xr3:uid="{00000000-0010-0000-0300-000002000000}" name="JobID"/>
    <tableColumn id="3" xr3:uid="{00000000-0010-0000-0300-000003000000}" name="SupplierID"/>
    <tableColumn id="4" xr3:uid="{00000000-0010-0000-0300-000004000000}" name="ContactID"/>
    <tableColumn id="5" xr3:uid="{00000000-0010-0000-0300-000005000000}" name="Scope / package"/>
    <tableColumn id="6" xr3:uid="{00000000-0010-0000-0300-000006000000}" name="Status"/>
    <tableColumn id="7" xr3:uid="{00000000-0010-0000-0300-000007000000}" name="Original price"/>
    <tableColumn id="8" xr3:uid="{00000000-0010-0000-0300-000008000000}" name="Final price"/>
    <tableColumn id="9" xr3:uid="{00000000-0010-0000-0300-000009000000}" name="Currency"/>
    <tableColumn id="10" xr3:uid="{00000000-0010-0000-0300-00000A000000}" name="RFQ sent"/>
    <tableColumn id="11" xr3:uid="{00000000-0010-0000-0300-00000B000000}" name="Received"/>
    <tableColumn id="12" xr3:uid="{00000000-0010-0000-0300-00000C000000}" name="Valid until"/>
    <tableColumn id="13" xr3:uid="{00000000-0010-0000-0300-00000D000000}" name="Quote reference"/>
    <tableColumn id="14" xr3:uid="{00000000-0010-0000-0300-00000E000000}" name="Original quote link"/>
    <tableColumn id="15" xr3:uid="{00000000-0010-0000-0300-00000F000000}" name="Revised quote link"/>
    <tableColumn id="16" xr3:uid="{00000000-0010-0000-0300-000010000000}" name="Quote notes"/>
    <tableColumn id="17" xr3:uid="{00000000-0010-0000-0300-000011000000}" name="Negotiation notes"/>
    <tableColumn id="18" xr3:uid="{00000000-0010-0000-0300-000012000000}" name="Sample"/>
    <tableColumn id="19" xr3:uid="{00000000-0010-0000-0300-000013000000}" name="Original filename"/>
    <tableColumn id="20" xr3:uid="{00000000-0010-0000-0300-000014000000}" name="Original job label"/>
    <tableColumn id="21" xr3:uid="{00000000-0010-0000-0300-000015000000}" name="Supplier name"/>
    <tableColumn id="22" xr3:uid="{00000000-0010-0000-0300-000016000000}" name="Contact name"/>
    <tableColumn id="23" xr3:uid="{00000000-0010-0000-0300-000017000000}" name="Contact email"/>
    <tableColumn id="24" xr3:uid="{00000000-0010-0000-0300-000018000000}" name="Contact phone"/>
    <tableColumn id="25" xr3:uid="{00000000-0010-0000-0300-000019000000}" name="Department"/>
    <tableColumn id="26" xr3:uid="{00000000-0010-0000-0300-00001A000000}" name="Job title"/>
    <tableColumn id="27" xr3:uid="{00000000-0010-0000-0300-00001B000000}" name="FX units per EUR"/>
    <tableColumn id="28" xr3:uid="{00000000-0010-0000-0300-00001C000000}" name="Original EUR"/>
    <tableColumn id="29" xr3:uid="{00000000-0010-0000-0300-00001D000000}" name="Latest price"/>
    <tableColumn id="30" xr3:uid="{00000000-0010-0000-0300-00001E000000}" name="Latest EUR"/>
    <tableColumn id="31" xr3:uid="{00000000-0010-0000-0300-00001F000000}" name="Savings currency"/>
    <tableColumn id="32" xr3:uid="{00000000-0010-0000-0300-000020000000}" name="Savings EUR"/>
    <tableColumn id="33" xr3:uid="{00000000-0010-0000-0300-000021000000}" name="Savings %"/>
    <tableColumn id="34" xr3:uid="{00000000-0010-0000-0300-000022000000}" name="Selected original EUR"/>
    <tableColumn id="35" xr3:uid="{00000000-0010-0000-0300-000023000000}" name="Selected EUR"/>
    <tableColumn id="36" xr3:uid="{00000000-0010-0000-0300-000024000000}" name="Selected savings EUR"/>
    <tableColumn id="37" xr3:uid="{00000000-0010-0000-0300-000025000000}" name="Selected sequence"/>
    <tableColumn id="38" xr3:uid="{00000000-0010-0000-0300-000026000000}" name="Sequence on job"/>
    <tableColumn id="39" xr3:uid="{00000000-0010-0000-0300-000027000000}" name="Check"/>
    <tableColumn id="40" xr3:uid="{00000000-0010-0000-0300-000028000000}" name="Selected agreed original"/>
    <tableColumn id="41" xr3:uid="{00000000-0010-0000-0300-000029000000}" name="Contact check"/>
    <tableColumn id="42" xr3:uid="{00000000-0010-0000-0300-00002A000000}" name="Open job"/>
    <tableColumn id="43" xr3:uid="{00000000-0010-0000-0300-00002B000000}" name="Open original"/>
    <tableColumn id="44" xr3:uid="{00000000-0010-0000-0300-00002C000000}" name="Open revised"/>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8" Type="http://schemas.openxmlformats.org/officeDocument/2006/relationships/hyperlink" Target="https://stena.sharepoint.com/:b:/r/sites/KERRY/Shared%20Documents/Dry%20dock%202027/Specification%20items/1500.01%20Fire%20detection%20system/Q-329241-STENA%20RORO%20NAVIGATION%20LTD%20(DRC%20KERRY)--KERRY%20(1).pdf?d=wdf0630e0ecdb4cc5ba450720d784418e&amp;csf=1&amp;web=1&amp;e=HhQnOK" TargetMode="External"/><Relationship Id="rId13" Type="http://schemas.openxmlformats.org/officeDocument/2006/relationships/hyperlink" Target="https://stena.sharepoint.com/:b:/r/sites/KERRY/Shared%20Documents/Dry%20dock%202027/Specification%20items/3811.01%20Bow%20thrusters%20overhaul/Quote%20shaft%20seal%20including%20gear%20housing/0004258302_0_0.pdf?d=we50bc6d8a2e049bc9b4d88e461669632&amp;csf=1&amp;web=1&amp;e=IYkDBR" TargetMode="External"/><Relationship Id="rId18"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3" Type="http://schemas.openxmlformats.org/officeDocument/2006/relationships/hyperlink" Target="https://stena.sharepoint.com/:b:/r/sites/KERRY/Shared%20Documents/Dry%20dock%202027/Specification%20items/300.01%20Paint%20specification/Revision%202/MV%20Kerry%20repair%20DD%202027%20Quotation%202026-09-22.pdf?d=wff191d737943412290bf93fd0606a64c&amp;csf=1&amp;web=1&amp;e=ND5pwC" TargetMode="External"/><Relationship Id="rId21" Type="http://schemas.openxmlformats.org/officeDocument/2006/relationships/table" Target="../tables/table4.xml"/><Relationship Id="rId7" Type="http://schemas.openxmlformats.org/officeDocument/2006/relationships/hyperlink" Target="https://stena.sharepoint.com/:b:/r/sites/KERRY/Shared%20Documents/Dry%20dock%202027/Specification%20items/3149.02%20Governor%20overhaul/Quotation%20-%20SO11842B%20TURNER.pdf?d=w7030e7f7fb53426086280bdde72ce8a0&amp;csf=1&amp;web=1&amp;e=kxFlkv" TargetMode="External"/><Relationship Id="rId12" Type="http://schemas.openxmlformats.org/officeDocument/2006/relationships/hyperlink" Target="https://stena.sharepoint.com/:b:/r/sites/KERRY/Shared%20Documents/Dry%20dock%202027/Specification%20items/1303.01%20Steering%20gears%20overhaul/Quotes/SalesQuotation.pdf?d=w33d7dd5549e8488b82854196410fb329&amp;csf=1&amp;web=1&amp;e=nx5vKq" TargetMode="External"/><Relationship Id="rId17"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2" Type="http://schemas.openxmlformats.org/officeDocument/2006/relationships/hyperlink" Target="file:///C:\Users\mikkelr\Stena\Kerry%20-%20Documents\Dry%20dock%202027\Specification%20items\1001.02%20Corrosion%20prevention%20anodes\Quote\6082705%20Salg%20-%20tilbud%2016572.pdf" TargetMode="External"/><Relationship Id="rId16" Type="http://schemas.openxmlformats.org/officeDocument/2006/relationships/hyperlink" Target="https://stena.sharepoint.com/:b:/r/sites/KERRY/Shared%20Documents/Dry%20dock%202027/Specification%20items/3801.01%20Propeller%20hub%20overhaul/W%C3%A4rtsil%C3%A4%20Service%20Offer%20-%20SO-152313%20-%201.0.pdf?d=w4997b397fb5248458334d5c676c222bc&amp;csf=1&amp;web=1&amp;e=UPSSvR" TargetMode="External"/><Relationship Id="rId20" Type="http://schemas.openxmlformats.org/officeDocument/2006/relationships/vmlDrawing" Target="../drawings/vmlDrawing4.vml"/><Relationship Id="rId1" Type="http://schemas.openxmlformats.org/officeDocument/2006/relationships/hyperlink" Target="https://stena.sharepoint.com/:b:/r/sites/KERRY/Shared%20Documents/Dry%20dock%202027/Specification%20items/3103.01/Qoute/Quotation_7078856.pdf?d=wb457e4885dda4f86b03d64a9b32e5e34&amp;csf=1&amp;web=1&amp;e=AIu7S6" TargetMode="External"/><Relationship Id="rId6" Type="http://schemas.openxmlformats.org/officeDocument/2006/relationships/hyperlink" Target="https://stena.sharepoint.com/:b:/r/sites/KERRY/Shared%20Documents/Dry%20dock%202027/Specification%20items/3149.02%20Governor%20overhaul/75270Q%20KERRY.pdf?d=w6f4c92a131414b58ab13c768e62aa6e0&amp;csf=1&amp;web=1&amp;e=mX2A5c" TargetMode="External"/><Relationship Id="rId11" Type="http://schemas.openxmlformats.org/officeDocument/2006/relationships/hyperlink" Target="https://stena.sharepoint.com/:b:/r/sites/KERRY/Shared%20Documents/Dry%20dock%202027/Specification%20items/1303.01%20Steering%20gears%20overhaul/Quotes/Neuver%20Service%20Quotation.pdf?d=w1562006030c147e6a4a87bc306e55bbe&amp;csf=1&amp;web=1&amp;e=teFGol" TargetMode="External"/><Relationship Id="rId5" Type="http://schemas.openxmlformats.org/officeDocument/2006/relationships/hyperlink" Target="https://stena.sharepoint.com/:b:/r/sites/KERRY/Shared%20Documents/Dry%20dock%202027/Specification%20items/3812.01%20Stabilizers/Q3432026%20KER.pdf?d=wfae0e3e6b37442c0a41207b07117bb82&amp;csf=1&amp;web=1&amp;e=puS2v6" TargetMode="External"/><Relationship Id="rId15" Type="http://schemas.openxmlformats.org/officeDocument/2006/relationships/hyperlink" Target="https://stena.sharepoint.com/:b:/r/sites/KERRY/Shared%20Documents/Dry%20dock%202027/Specification%20items/3801.01%20Propeller%20hub%20overhaul/W%C3%A4rtsil%C3%A4%20Service%20Offer%20-%20SO-152338%20-%201.0KERRY%20sterntube%20seals.pdf?d=wf2ebc9c1211944748c18244fed7f0376&amp;csf=1&amp;web=1&amp;e=BnNCMu" TargetMode="External"/><Relationship Id="rId10" Type="http://schemas.openxmlformats.org/officeDocument/2006/relationships/hyperlink" Target="https://stena.sharepoint.com/:b:/r/sites/KERRY/Shared%20Documents/Dry%20dock%202027/Specification%20items/3811.01%20Bow%20thrusters%20overhaul/Quote%20service/0004258303_0_0.pdf?d=w7d517b2ab93847399ada98fdb3257796&amp;csf=1&amp;web=1&amp;e=7bNjnt" TargetMode="External"/><Relationship Id="rId19" Type="http://schemas.openxmlformats.org/officeDocument/2006/relationships/hyperlink" Target="https://stena.sharepoint.com/:b:/r/sites/KERRY/Shared%20Documents/Dry%20dock%202027/Specification%20items/300.01%20Paint%20specification/Nippon/DD%20Paint%20specification%202610008%20-%20mv%20KERRY%20-%20EU%20-%202026.pdf?d=w4272d19aef004db3a6b8b5ce16b1f107&amp;csf=1&amp;web=1&amp;e=FElS3K" TargetMode="External"/><Relationship Id="rId4" Type="http://schemas.openxmlformats.org/officeDocument/2006/relationships/hyperlink" Target="https://stena.sharepoint.com/:b:/r/sites/KERRY/Shared%20Documents/Dry%20dock%202027/Specification%20items/300.01%20Paint%20specification/Kerry%20IMO%209243447%20-%20Project%20Quotation%20-%202026-10-03_053511.pdf?d=w2706cbe4e8dc46d7b66c9c8bc5965345&amp;csf=1&amp;web=1&amp;e=7XwTdX" TargetMode="External"/><Relationship Id="rId9" Type="http://schemas.openxmlformats.org/officeDocument/2006/relationships/hyperlink" Target="https://stena.sharepoint.com/:b:/r/sites/KERRY/Shared%20Documents/Dry%20dock%202027/Specification%20items/3811.02%20Thruster%20PLC%20upgrade/0004258326_0_0.pdf?d=wf56756d737494c3d81d021ab017550da&amp;csf=1&amp;web=1&amp;e=L5J0TD" TargetMode="External"/><Relationship Id="rId14" Type="http://schemas.openxmlformats.org/officeDocument/2006/relationships/hyperlink" Target="https://stena.sharepoint.com/:b:/r/sites/KERRY/Shared%20Documents/Dry%20dock%202027/Specification%20items/3802.01%20Stern%20tube%20seals/0301354849_KERRY.PDF?d=w66263dba612b4284a33d8fe64c77c0eb&amp;csf=1&amp;web=1&amp;e=M2UatT" TargetMode="External"/><Relationship Id="rId2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hyperlink" Target="https://stena.sharepoint.com/:b:/r/sites/KERRY/Shared%20Documents/Dry%20dock%202027/Specification%20items/3812.01%20Stabilizers/Q3432026%20KER.pdf?d=wfae0e3e6b37442c0a41207b07117bb82&amp;csf=1&amp;web=1&amp;e=puS2v6" TargetMode="External"/><Relationship Id="rId2" Type="http://schemas.openxmlformats.org/officeDocument/2006/relationships/hyperlink" Target="file:///C:\Users\mikkelr\Stena\Kerry%20-%20Documents\Dry%20dock%202027\Specification%20items\1001.02%20Corrosion%20prevention%20anodes\Quote\6082705%20Salg%20-%20tilbud%2016572.pdf" TargetMode="External"/><Relationship Id="rId1" Type="http://schemas.openxmlformats.org/officeDocument/2006/relationships/hyperlink" Target="https://stena.sharepoint.com/:b:/r/sites/KERRY/Shared%20Documents/Dry%20dock%202027/Specification%20items/3103.01/Qoute/Quotation_7078856.pdf?d=wb457e4885dda4f86b03d64a9b32e5e34&amp;csf=1&amp;web=1&amp;e=AIu7S6" TargetMode="External"/><Relationship Id="rId6" Type="http://schemas.openxmlformats.org/officeDocument/2006/relationships/hyperlink" Target="https://stena.sharepoint.com/:b:/r/sites/KERRY/Shared%20Documents/Dry%20dock%202027/Specification%20items/3811.01%20Bow%20thrusters%20overhaul/Quote%20shaft%20seal%20including%20gear%20housing/0004258302_0_0.pdf?d=we50bc6d8a2e049bc9b4d88e461669632&amp;csf=1&amp;web=1&amp;e=IYkDBR" TargetMode="External"/><Relationship Id="rId5" Type="http://schemas.openxmlformats.org/officeDocument/2006/relationships/hyperlink" Target="https://stena.sharepoint.com/:b:/r/sites/KERRY/Shared%20Documents/Dry%20dock%202027/Specification%20items/1303.01%20Steering%20gears%20overhaul/Quotes/Neuver%20Service%20Quotation.pdf?d=w1562006030c147e6a4a87bc306e55bbe&amp;csf=1&amp;web=1&amp;e=teFGol" TargetMode="External"/><Relationship Id="rId4" Type="http://schemas.openxmlformats.org/officeDocument/2006/relationships/hyperlink" Target="https://stena.sharepoint.com/:b:/r/sites/KERRY/Shared%20Documents/Dry%20dock%202027/Specification%20items/3811.01%20Bow%20thrusters%20overhaul/Quote%20service/0004258303_0_0.pdf?d=w7d517b2ab93847399ada98fdb3257796&amp;csf=1&amp;web=1&amp;e=7bNjnt"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hyperlink" Target="https://support.microsoft.com/en-us/excel/work-with-vba-macros-in-excel-for-the-web" TargetMode="External"/><Relationship Id="rId2" Type="http://schemas.openxmlformats.org/officeDocument/2006/relationships/hyperlink" Target="https://support.microsoft.com/en-us/excel/copy-a-macro-module-to-another-workbook" TargetMode="External"/><Relationship Id="rId1" Type="http://schemas.openxmlformats.org/officeDocument/2006/relationships/hyperlink" Target="https://learn.microsoft.com/en-us/office/vba/api/excel.application.sheetchange" TargetMode="Externa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hyperlink" Target="file:///C:\Users\mikkelr\Stena\Kerry%20-%20Documents\Dry%20dock%202027\Specification%20items\1001.02%20Corrosion%20prevention%20anodes\Quote\6082705%20Salg%20-%20tilbud%2016572.pdf" TargetMode="Externa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hyperlink" Target="https://stena.sharepoint.com/:b:/r/sites/KERRY/Shared%20Documents/Dry%20dock%202027/Specification%20items/300.01%20Paint%20specification/Revision%202/MV%20Kerry%20repair%20DD%202027%20Quotation%202026-09-22.pdf?d=wff191d737943412290bf93fd0606a64c&amp;csf=1&amp;web=1&amp;e=ND5pwC"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hyperlink" Target="https://stena.sharepoint.com/:b:/r/sites/KERRY/Shared%20Documents/Dry%20dock%202027/Specification%20items/1303.01%20Steering%20gears%20overhaul/Quotes/Neuver%20Service%20Quotation.pdf?d=w1562006030c147e6a4a87bc306e55bbe&amp;csf=1&amp;web=1&amp;e=teFGol" TargetMode="Externa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hyperlink" Target="https://stena.sharepoint.com/:b:/r/sites/KERRY/Shared%20Documents/Dry%20dock%202027/Specification%20items/1500.01%20Fire%20detection%20system/Q-329241-STENA%20RORO%20NAVIGATION%20LTD%20(DRC%20KERRY)--KERRY%20(1).pdf?d=wdf0630e0ecdb4cc5ba450720d784418e&amp;csf=1&amp;web=1&amp;e=HhQnOK" TargetMode="Externa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hyperlink" Target="https://stena.sharepoint.com/:b:/r/sites/KERRY/Shared%20Documents/Dry%20dock%202027/Specification%20items/3103.01/Qoute/Quotation_7078856.pdf?d=wb457e4885dda4f86b03d64a9b32e5e34&amp;csf=1&amp;web=1&amp;e=AIu7S6" TargetMode="External"/></Relationships>
</file>

<file path=xl/worksheets/_rels/sheet20.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hyperlink" Target="https://stena.sharepoint.com/:b:/r/sites/KERRY/Shared%20Documents/Dry%20dock%202027/Specification%20items/3149.02%20Governor%20overhaul/75270Q%20KERRY.pdf?d=w6f4c92a131414b58ab13c768e62aa6e0&amp;csf=1&amp;web=1&amp;e=mX2A5c" TargetMode="Externa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hyperlink" Target="https://stena.sharepoint.com/:b:/r/sites/KERRY/Shared%20Documents/Dry%20dock%202027/Specification%20items/3802.01%20Stern%20tube%20seals/0301354849_KERRY.PDF?d=w66263dba612b4284a33d8fe64c77c0eb&amp;csf=1&amp;web=1&amp;e=M2UatT" TargetMode="Externa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hyperlink" Target="https://stena.sharepoint.com/:b:/r/sites/KERRY/Shared%20Documents/Dry%20dock%202027/Specification%20items/3801.01%20Propeller%20hub%20overhaul/W%C3%A4rtsil%C3%A4%20Service%20Offer%20-%20SO-152313%20-%201.0.pdf?d=w4997b397fb5248458334d5c676c222bc&amp;csf=1&amp;web=1&amp;e=UPSSvR" TargetMode="Externa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hyperlink" Target="https://stena.sharepoint.com/:b:/r/sites/KERRY/Shared%20Documents/Dry%20dock%202027/Specification%20items/3811.01%20Bow%20thrusters%20overhaul/Quote%20service/0004258303_0_0.pdf?d=w7d517b2ab93847399ada98fdb3257796&amp;csf=1&amp;web=1&amp;e=7bNjnt"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hyperlink" Target="https://stena.sharepoint.com/:b:/r/sites/KERRY/Shared%20Documents/Dry%20dock%202027/Specification%20items/3811.02%20Thruster%20PLC%20upgrade/0004258326_0_0.pdf?d=wf56756d737494c3d81d021ab017550da&amp;csf=1&amp;web=1&amp;e=L5J0TD" TargetMode="Externa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hyperlink" Target="https://stena.sharepoint.com/:b:/r/sites/KERRY/Shared%20Documents/Dry%20dock%202027/Specification%20items/3812.01%20Stabilizers/Q3432026%20KER.pdf?d=wfae0e3e6b37442c0a41207b07117bb82&amp;csf=1&amp;web=1&amp;e=puS2v6" TargetMode="External"/></Relationships>
</file>

<file path=xl/worksheets/_rels/sheet29.xml.rels><?xml version="1.0" encoding="UTF-8" standalone="yes"?>
<Relationships xmlns="http://schemas.openxmlformats.org/package/2006/relationships"><Relationship Id="rId13" Type="http://schemas.openxmlformats.org/officeDocument/2006/relationships/hyperlink" Target="https://stena.sharepoint.com/:b:/r/sites/KERRY/Shared%20Documents/Dry%20dock%202027/Specification%20items/3149.02%20Governor%20overhaul/Quotation%20-%20SO11842B%20TURNER.pdf?d=w7030e7f7fb53426086280bdde72ce8a0&amp;csf=1&amp;web=1&amp;e=kxFlkv" TargetMode="External"/><Relationship Id="rId18" Type="http://schemas.openxmlformats.org/officeDocument/2006/relationships/hyperlink" Target="https://stena.sharepoint.com/:b:/r/sites/KERRY/Shared%20Documents/Dry%20dock%202027/Specification%20items/3811.02%20Thruster%20PLC%20upgrade/0004258326_0_0.pdf?d=wf56756d737494c3d81d021ab017550da&amp;csf=1&amp;web=1&amp;e=L5J0TD" TargetMode="External"/><Relationship Id="rId26" Type="http://schemas.openxmlformats.org/officeDocument/2006/relationships/hyperlink" Target="https://stena.sharepoint.com/:b:/r/sites/KERRY/Shared%20Documents/Dry%20dock%202027/Specification%20items/3811.01%20Bow%20thrusters%20overhaul/Quote%20shaft%20seal%20including%20gear%20housing/0004258302_0_0.pdf?d=we50bc6d8a2e049bc9b4d88e461669632&amp;csf=1&amp;web=1&amp;e=IYkDBR" TargetMode="External"/><Relationship Id="rId21" Type="http://schemas.openxmlformats.org/officeDocument/2006/relationships/hyperlink" Target="https://stena.sharepoint.com/:b:/r/sites/KERRY/Shared%20Documents/Dry%20dock%202027/Specification%20items/1303.01%20Steering%20gears%20overhaul/Quotes/Neuver%20Service%20Quotation.pdf?d=w1562006030c147e6a4a87bc306e55bbe&amp;csf=1&amp;web=1&amp;e=teFGol" TargetMode="External"/><Relationship Id="rId34"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7" Type="http://schemas.openxmlformats.org/officeDocument/2006/relationships/hyperlink" Target="https://stena.sharepoint.com/:b:/r/sites/KERRY/Shared%20Documents/Dry%20dock%202027/Specification%20items/300.01%20Paint%20specification/Kerry%20IMO%209243447%20-%20Project%20Quotation%20-%202026-10-03_053511.pdf?d=w2706cbe4e8dc46d7b66c9c8bc5965345&amp;csf=1&amp;web=1&amp;e=7XwTdX" TargetMode="External"/><Relationship Id="rId12" Type="http://schemas.openxmlformats.org/officeDocument/2006/relationships/hyperlink" Target="https://stena.sharepoint.com/:b:/r/sites/KERRY/Shared%20Documents/Dry%20dock%202027/Specification%20items/3149.02%20Governor%20overhaul/75270Q%20KERRY.pdf?d=w6f4c92a131414b58ab13c768e62aa6e0&amp;csf=1&amp;web=1&amp;e=mX2A5c" TargetMode="External"/><Relationship Id="rId17" Type="http://schemas.openxmlformats.org/officeDocument/2006/relationships/hyperlink" Target="https://stena.sharepoint.com/:b:/r/sites/KERRY/Shared%20Documents/Dry%20dock%202027/Specification%20items/3811.02%20Thruster%20PLC%20upgrade/0004258326_0_0.pdf?d=wf56756d737494c3d81d021ab017550da&amp;csf=1&amp;web=1&amp;e=L5J0TD" TargetMode="External"/><Relationship Id="rId25" Type="http://schemas.openxmlformats.org/officeDocument/2006/relationships/hyperlink" Target="https://stena.sharepoint.com/:b:/r/sites/KERRY/Shared%20Documents/Dry%20dock%202027/Specification%20items/3811.01%20Bow%20thrusters%20overhaul/Quote%20shaft%20seal%20including%20gear%20housing/0004258302_0_0.pdf?d=we50bc6d8a2e049bc9b4d88e461669632&amp;csf=1&amp;web=1&amp;e=IYkDBR" TargetMode="External"/><Relationship Id="rId33"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38" Type="http://schemas.openxmlformats.org/officeDocument/2006/relationships/hyperlink" Target="https://stena.sharepoint.com/:b:/r/sites/KERRY/Shared%20Documents/Dry%20dock%202027/Specification%20items/300.01%20Paint%20specification/Nippon/DD%20Paint%20specification%202610008%20-%20mv%20KERRY%20-%20EU%20-%202026.pdf?d=w4272d19aef004db3a6b8b5ce16b1f107&amp;csf=1&amp;web=1&amp;e=FElS3K" TargetMode="External"/><Relationship Id="rId2" Type="http://schemas.openxmlformats.org/officeDocument/2006/relationships/hyperlink" Target="https://stena.sharepoint.com/:b:/r/sites/KERRY/Shared%20Documents/Dry%20dock%202027/Specification%20items/3103.01/Qoute/Quotation_7078856.pdf?d=wb457e4885dda4f86b03d64a9b32e5e34&amp;csf=1&amp;web=1&amp;e=AIu7S6" TargetMode="External"/><Relationship Id="rId16" Type="http://schemas.openxmlformats.org/officeDocument/2006/relationships/hyperlink" Target="https://stena.sharepoint.com/:b:/r/sites/KERRY/Shared%20Documents/Dry%20dock%202027/Specification%20items/1500.01%20Fire%20detection%20system/Q-329241-STENA%20RORO%20NAVIGATION%20LTD%20(DRC%20KERRY)--KERRY%20(1).pdf?d=wdf0630e0ecdb4cc5ba450720d784418e&amp;csf=1&amp;web=1&amp;e=HhQnOK" TargetMode="External"/><Relationship Id="rId20" Type="http://schemas.openxmlformats.org/officeDocument/2006/relationships/hyperlink" Target="https://stena.sharepoint.com/:b:/r/sites/KERRY/Shared%20Documents/Dry%20dock%202027/Specification%20items/3811.01%20Bow%20thrusters%20overhaul/Quote%20service/0004258303_0_0.pdf?d=w7d517b2ab93847399ada98fdb3257796&amp;csf=1&amp;web=1&amp;e=7bNjnt" TargetMode="External"/><Relationship Id="rId29" Type="http://schemas.openxmlformats.org/officeDocument/2006/relationships/hyperlink" Target="https://stena.sharepoint.com/:b:/r/sites/KERRY/Shared%20Documents/Dry%20dock%202027/Specification%20items/3801.01%20Propeller%20hub%20overhaul/W%C3%A4rtsil%C3%A4%20Service%20Offer%20-%20SO-152338%20-%201.0KERRY%20sterntube%20seals.pdf?d=wf2ebc9c1211944748c18244fed7f0376&amp;csf=1&amp;web=1&amp;e=BnNCMu" TargetMode="External"/><Relationship Id="rId1" Type="http://schemas.openxmlformats.org/officeDocument/2006/relationships/hyperlink" Target="https://stena.sharepoint.com/:b:/r/sites/KERRY/Shared%20Documents/Dry%20dock%202027/Specification%20items/3103.01/Qoute/Quotation_7078856.pdf?d=wb457e4885dda4f86b03d64a9b32e5e34&amp;csf=1&amp;web=1&amp;e=AIu7S6" TargetMode="External"/><Relationship Id="rId6" Type="http://schemas.openxmlformats.org/officeDocument/2006/relationships/hyperlink" Target="https://stena.sharepoint.com/:b:/r/sites/KERRY/Shared%20Documents/Dry%20dock%202027/Specification%20items/300.01%20Paint%20specification/Revision%202/MV%20Kerry%20repair%20DD%202027%20Quotation%202026-09-22.pdf?d=wff191d737943412290bf93fd0606a64c&amp;csf=1&amp;web=1&amp;e=ND5pwC" TargetMode="External"/><Relationship Id="rId11" Type="http://schemas.openxmlformats.org/officeDocument/2006/relationships/hyperlink" Target="https://stena.sharepoint.com/:b:/r/sites/KERRY/Shared%20Documents/Dry%20dock%202027/Specification%20items/3149.02%20Governor%20overhaul/75270Q%20KERRY.pdf?d=w6f4c92a131414b58ab13c768e62aa6e0&amp;csf=1&amp;web=1&amp;e=mX2A5c" TargetMode="External"/><Relationship Id="rId24" Type="http://schemas.openxmlformats.org/officeDocument/2006/relationships/hyperlink" Target="https://stena.sharepoint.com/:b:/r/sites/KERRY/Shared%20Documents/Dry%20dock%202027/Specification%20items/1303.01%20Steering%20gears%20overhaul/Quotes/SalesQuotation.pdf?d=w33d7dd5549e8488b82854196410fb329&amp;csf=1&amp;web=1&amp;e=nx5vKq" TargetMode="External"/><Relationship Id="rId32" Type="http://schemas.openxmlformats.org/officeDocument/2006/relationships/hyperlink" Target="https://stena.sharepoint.com/:b:/r/sites/KERRY/Shared%20Documents/Dry%20dock%202027/Specification%20items/3801.01%20Propeller%20hub%20overhaul/W%C3%A4rtsil%C3%A4%20Service%20Offer%20-%20SO-152313%20-%201.0.pdf?d=w4997b397fb5248458334d5c676c222bc&amp;csf=1&amp;web=1&amp;e=UPSSvR" TargetMode="External"/><Relationship Id="rId37" Type="http://schemas.openxmlformats.org/officeDocument/2006/relationships/hyperlink" Target="https://stena.sharepoint.com/:b:/r/sites/KERRY/Shared%20Documents/Dry%20dock%202027/Specification%20items/300.01%20Paint%20specification/Nippon/DD%20Paint%20specification%202610008%20-%20mv%20KERRY%20-%20EU%20-%202026.pdf?d=w4272d19aef004db3a6b8b5ce16b1f107&amp;csf=1&amp;web=1&amp;e=FElS3K" TargetMode="External"/><Relationship Id="rId5" Type="http://schemas.openxmlformats.org/officeDocument/2006/relationships/hyperlink" Target="https://stena.sharepoint.com/:b:/r/sites/KERRY/Shared%20Documents/Dry%20dock%202027/Specification%20items/300.01%20Paint%20specification/Revision%202/MV%20Kerry%20repair%20DD%202027%20Quotation%202026-09-22.pdf?d=wff191d737943412290bf93fd0606a64c&amp;csf=1&amp;web=1&amp;e=ND5pwC" TargetMode="External"/><Relationship Id="rId15" Type="http://schemas.openxmlformats.org/officeDocument/2006/relationships/hyperlink" Target="https://stena.sharepoint.com/:b:/r/sites/KERRY/Shared%20Documents/Dry%20dock%202027/Specification%20items/1500.01%20Fire%20detection%20system/Q-329241-STENA%20RORO%20NAVIGATION%20LTD%20(DRC%20KERRY)--KERRY%20(1).pdf?d=wdf0630e0ecdb4cc5ba450720d784418e&amp;csf=1&amp;web=1&amp;e=HhQnOK" TargetMode="External"/><Relationship Id="rId23" Type="http://schemas.openxmlformats.org/officeDocument/2006/relationships/hyperlink" Target="https://stena.sharepoint.com/:b:/r/sites/KERRY/Shared%20Documents/Dry%20dock%202027/Specification%20items/1303.01%20Steering%20gears%20overhaul/Quotes/SalesQuotation.pdf?d=w33d7dd5549e8488b82854196410fb329&amp;csf=1&amp;web=1&amp;e=nx5vKq" TargetMode="External"/><Relationship Id="rId28" Type="http://schemas.openxmlformats.org/officeDocument/2006/relationships/hyperlink" Target="https://stena.sharepoint.com/:b:/r/sites/KERRY/Shared%20Documents/Dry%20dock%202027/Specification%20items/3802.01%20Stern%20tube%20seals/0301354849_KERRY.PDF?d=w66263dba612b4284a33d8fe64c77c0eb&amp;csf=1&amp;web=1&amp;e=M2UatT" TargetMode="External"/><Relationship Id="rId36"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10" Type="http://schemas.openxmlformats.org/officeDocument/2006/relationships/hyperlink" Target="https://stena.sharepoint.com/:b:/r/sites/KERRY/Shared%20Documents/Dry%20dock%202027/Specification%20items/3812.01%20Stabilizers/Q3432026%20KER.pdf?d=wfae0e3e6b37442c0a41207b07117bb82&amp;csf=1&amp;web=1&amp;e=puS2v6" TargetMode="External"/><Relationship Id="rId19" Type="http://schemas.openxmlformats.org/officeDocument/2006/relationships/hyperlink" Target="https://stena.sharepoint.com/:b:/r/sites/KERRY/Shared%20Documents/Dry%20dock%202027/Specification%20items/3811.01%20Bow%20thrusters%20overhaul/Quote%20service/0004258303_0_0.pdf?d=w7d517b2ab93847399ada98fdb3257796&amp;csf=1&amp;web=1&amp;e=7bNjnt" TargetMode="External"/><Relationship Id="rId31" Type="http://schemas.openxmlformats.org/officeDocument/2006/relationships/hyperlink" Target="https://stena.sharepoint.com/:b:/r/sites/KERRY/Shared%20Documents/Dry%20dock%202027/Specification%20items/3801.01%20Propeller%20hub%20overhaul/W%C3%A4rtsil%C3%A4%20Service%20Offer%20-%20SO-152313%20-%201.0.pdf?d=w4997b397fb5248458334d5c676c222bc&amp;csf=1&amp;web=1&amp;e=UPSSvR" TargetMode="External"/><Relationship Id="rId4" Type="http://schemas.openxmlformats.org/officeDocument/2006/relationships/hyperlink" Target="file:///C:\Users\mikkelr\Stena\Kerry%20-%20Documents\Dry%20dock%202027\Specification%20items\1001.02%20Corrosion%20prevention%20anodes\Quote\6082705%20Salg%20-%20tilbud%2016572.pdf" TargetMode="External"/><Relationship Id="rId9" Type="http://schemas.openxmlformats.org/officeDocument/2006/relationships/hyperlink" Target="https://stena.sharepoint.com/:b:/r/sites/KERRY/Shared%20Documents/Dry%20dock%202027/Specification%20items/3812.01%20Stabilizers/Q3432026%20KER.pdf?d=wfae0e3e6b37442c0a41207b07117bb82&amp;csf=1&amp;web=1&amp;e=puS2v6" TargetMode="External"/><Relationship Id="rId14" Type="http://schemas.openxmlformats.org/officeDocument/2006/relationships/hyperlink" Target="https://stena.sharepoint.com/:b:/r/sites/KERRY/Shared%20Documents/Dry%20dock%202027/Specification%20items/3149.02%20Governor%20overhaul/Quotation%20-%20SO11842B%20TURNER.pdf?d=w7030e7f7fb53426086280bdde72ce8a0&amp;csf=1&amp;web=1&amp;e=kxFlkv" TargetMode="External"/><Relationship Id="rId22" Type="http://schemas.openxmlformats.org/officeDocument/2006/relationships/hyperlink" Target="https://stena.sharepoint.com/:b:/r/sites/KERRY/Shared%20Documents/Dry%20dock%202027/Specification%20items/1303.01%20Steering%20gears%20overhaul/Quotes/Neuver%20Service%20Quotation.pdf?d=w1562006030c147e6a4a87bc306e55bbe&amp;csf=1&amp;web=1&amp;e=teFGol" TargetMode="External"/><Relationship Id="rId27" Type="http://schemas.openxmlformats.org/officeDocument/2006/relationships/hyperlink" Target="https://stena.sharepoint.com/:b:/r/sites/KERRY/Shared%20Documents/Dry%20dock%202027/Specification%20items/3802.01%20Stern%20tube%20seals/0301354849_KERRY.PDF?d=w66263dba612b4284a33d8fe64c77c0eb&amp;csf=1&amp;web=1&amp;e=M2UatT" TargetMode="External"/><Relationship Id="rId30" Type="http://schemas.openxmlformats.org/officeDocument/2006/relationships/hyperlink" Target="https://stena.sharepoint.com/:b:/r/sites/KERRY/Shared%20Documents/Dry%20dock%202027/Specification%20items/3801.01%20Propeller%20hub%20overhaul/W%C3%A4rtsil%C3%A4%20Service%20Offer%20-%20SO-152338%20-%201.0KERRY%20sterntube%20seals.pdf?d=wf2ebc9c1211944748c18244fed7f0376&amp;csf=1&amp;web=1&amp;e=BnNCMu" TargetMode="External"/><Relationship Id="rId35" Type="http://schemas.openxmlformats.org/officeDocument/2006/relationships/hyperlink" Target="https://stena.sharepoint.com/:b:/r/sites/KERRY/Shared%20Documents/Dry%20dock%202027/Specification%20items/3812.01%20Stabilizers/Q3432026%20KER.pdf?d=wfae0e3e6b37442c0a41207b07117bb82&amp;csf=1&amp;web=1&amp;e=YYIs4q" TargetMode="External"/><Relationship Id="rId8" Type="http://schemas.openxmlformats.org/officeDocument/2006/relationships/hyperlink" Target="https://stena.sharepoint.com/:b:/r/sites/KERRY/Shared%20Documents/Dry%20dock%202027/Specification%20items/300.01%20Paint%20specification/Kerry%20IMO%209243447%20-%20Project%20Quotation%20-%202026-10-03_053511.pdf?d=w2706cbe4e8dc46d7b66c9c8bc5965345&amp;csf=1&amp;web=1&amp;e=7XwTdX" TargetMode="External"/><Relationship Id="rId3" Type="http://schemas.openxmlformats.org/officeDocument/2006/relationships/hyperlink" Target="file:///C:\Users\mikkelr\Stena\Kerry%20-%20Documents\Dry%20dock%202027\Specification%20items\1001.02%20Corrosion%20prevention%20anodes\Quote\6082705%20Salg%20-%20tilbud%2016572.pdf" TargetMode="External"/></Relationships>
</file>

<file path=xl/worksheets/_rels/sheet36.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87F8C"/>
    <pageSetUpPr fitToPage="1"/>
  </sheetPr>
  <dimension ref="A1:AA267"/>
  <sheetViews>
    <sheetView showGridLines="0" tabSelected="1" zoomScale="90" workbookViewId="0">
      <pane xSplit="2" ySplit="17" topLeftCell="C18" activePane="bottomRight" state="frozen"/>
      <selection pane="topRight"/>
      <selection pane="bottomLeft"/>
      <selection pane="bottomRight" sqref="A1:Q2"/>
    </sheetView>
  </sheetViews>
  <sheetFormatPr defaultRowHeight="14.5" x14ac:dyDescent="0.35"/>
  <cols>
    <col min="1" max="22" width="9.26953125" customWidth="1"/>
    <col min="27" max="27" width="13" hidden="1" customWidth="1"/>
  </cols>
  <sheetData>
    <row r="1" spans="1:22" ht="27" customHeight="1" x14ac:dyDescent="0.35">
      <c r="A1" s="50" t="s">
        <v>0</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2</v>
      </c>
      <c r="B3" s="39"/>
      <c r="C3" s="39"/>
      <c r="D3" s="39"/>
      <c r="E3" s="39"/>
      <c r="F3" s="39"/>
      <c r="G3" s="39"/>
      <c r="H3" s="39"/>
      <c r="I3" s="39"/>
      <c r="J3" s="39"/>
      <c r="K3" s="39"/>
      <c r="L3" s="39"/>
      <c r="M3" s="39"/>
      <c r="N3" s="39"/>
      <c r="O3" s="39"/>
      <c r="P3" s="39"/>
      <c r="Q3" s="39"/>
      <c r="R3" s="39"/>
      <c r="S3" s="39"/>
      <c r="T3" s="39"/>
      <c r="U3" s="39"/>
      <c r="V3" s="39"/>
    </row>
    <row r="4" spans="1:22" ht="29" customHeight="1" x14ac:dyDescent="0.35">
      <c r="A4" s="53"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53" t="s">
        <v>10</v>
      </c>
      <c r="B6" s="39"/>
      <c r="C6" s="39"/>
      <c r="D6" s="39"/>
      <c r="E6" s="39"/>
      <c r="F6" s="39"/>
      <c r="G6" s="8"/>
      <c r="H6" s="45" t="s">
        <v>11</v>
      </c>
      <c r="I6" s="39"/>
      <c r="J6" s="39"/>
      <c r="K6" s="39"/>
      <c r="L6" s="39"/>
      <c r="M6" s="39"/>
      <c r="N6" s="8"/>
      <c r="O6" s="45" t="s">
        <v>12</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51" t="s">
        <v>13</v>
      </c>
      <c r="B9" s="39"/>
      <c r="C9" s="39"/>
      <c r="D9" s="39"/>
      <c r="E9" s="39"/>
      <c r="F9" s="8"/>
      <c r="G9" s="51" t="s">
        <v>14</v>
      </c>
      <c r="H9" s="39"/>
      <c r="I9" s="39"/>
      <c r="J9" s="39"/>
      <c r="K9" s="39"/>
      <c r="L9" s="8"/>
      <c r="M9" s="51" t="s">
        <v>15</v>
      </c>
      <c r="N9" s="39"/>
      <c r="O9" s="39"/>
      <c r="P9" s="39"/>
      <c r="Q9" s="39"/>
      <c r="R9" s="8"/>
      <c r="S9" s="56" t="s">
        <v>16</v>
      </c>
      <c r="T9" s="39"/>
      <c r="U9" s="39"/>
      <c r="V9" s="39"/>
    </row>
    <row r="10" spans="1:22" ht="22" customHeight="1" x14ac:dyDescent="0.35">
      <c r="A10" s="52">
        <f>_Control!B15</f>
        <v>12</v>
      </c>
      <c r="B10" s="39"/>
      <c r="C10" s="39"/>
      <c r="D10" s="39"/>
      <c r="E10" s="39"/>
      <c r="F10" s="8"/>
      <c r="G10" s="52">
        <f>_Control!B17</f>
        <v>22</v>
      </c>
      <c r="H10" s="39"/>
      <c r="I10" s="39"/>
      <c r="J10" s="39"/>
      <c r="K10" s="39"/>
      <c r="L10" s="8"/>
      <c r="M10" s="52">
        <f>_Control!B8</f>
        <v>490137.24308657972</v>
      </c>
      <c r="N10" s="39"/>
      <c r="O10" s="39"/>
      <c r="P10" s="39"/>
      <c r="Q10" s="39"/>
      <c r="R10" s="8"/>
      <c r="S10" s="47">
        <f>_Control!B9</f>
        <v>0</v>
      </c>
      <c r="T10" s="39"/>
      <c r="U10" s="39"/>
      <c r="V10" s="39"/>
    </row>
    <row r="11" spans="1:22" ht="22" customHeight="1" x14ac:dyDescent="0.35">
      <c r="A11" s="39"/>
      <c r="B11" s="39"/>
      <c r="C11" s="39"/>
      <c r="D11" s="39"/>
      <c r="E11" s="39"/>
      <c r="F11" s="8"/>
      <c r="G11" s="39"/>
      <c r="H11" s="39"/>
      <c r="I11" s="39"/>
      <c r="J11" s="39"/>
      <c r="K11" s="39"/>
      <c r="L11" s="8"/>
      <c r="M11" s="39"/>
      <c r="N11" s="39"/>
      <c r="O11" s="39"/>
      <c r="P11" s="39"/>
      <c r="Q11" s="39"/>
      <c r="R11" s="8"/>
      <c r="S11" s="39"/>
      <c r="T11" s="39"/>
      <c r="U11" s="39"/>
      <c r="V11" s="39"/>
    </row>
    <row r="12" spans="1:22" ht="22" customHeight="1" x14ac:dyDescent="0.35">
      <c r="A12" s="39"/>
      <c r="B12" s="39"/>
      <c r="C12" s="39"/>
      <c r="D12" s="39"/>
      <c r="E12" s="39"/>
      <c r="F12" s="8"/>
      <c r="G12" s="39"/>
      <c r="H12" s="39"/>
      <c r="I12" s="39"/>
      <c r="J12" s="39"/>
      <c r="K12" s="39"/>
      <c r="L12" s="8"/>
      <c r="M12" s="39"/>
      <c r="N12" s="39"/>
      <c r="O12" s="39"/>
      <c r="P12" s="39"/>
      <c r="Q12" s="39"/>
      <c r="R12" s="8"/>
      <c r="S12" s="39"/>
      <c r="T12" s="39"/>
      <c r="U12" s="39"/>
      <c r="V12" s="39"/>
    </row>
    <row r="13" spans="1:22" ht="22" customHeight="1" x14ac:dyDescent="0.35">
      <c r="A13" s="48" t="s">
        <v>17</v>
      </c>
      <c r="B13" s="39"/>
      <c r="C13" s="39"/>
      <c r="D13" s="39"/>
      <c r="E13" s="39"/>
      <c r="F13" s="8"/>
      <c r="G13" s="48" t="s">
        <v>18</v>
      </c>
      <c r="H13" s="39"/>
      <c r="I13" s="39"/>
      <c r="J13" s="39"/>
      <c r="K13" s="39"/>
      <c r="L13" s="8"/>
      <c r="M13" s="48" t="s">
        <v>19</v>
      </c>
      <c r="N13" s="39"/>
      <c r="O13" s="39"/>
      <c r="P13" s="39"/>
      <c r="Q13" s="39"/>
      <c r="R13" s="8"/>
      <c r="S13" s="46" t="s">
        <v>20</v>
      </c>
      <c r="T13" s="39"/>
      <c r="U13" s="39"/>
      <c r="V13" s="39"/>
    </row>
    <row r="14" spans="1:22" ht="22" customHeight="1" x14ac:dyDescent="0.35">
      <c r="A14" s="8"/>
      <c r="B14" s="8"/>
      <c r="C14" s="8"/>
      <c r="D14" s="8"/>
      <c r="E14" s="8"/>
      <c r="F14" s="8"/>
      <c r="G14" s="8"/>
      <c r="H14" s="8"/>
      <c r="I14" s="8"/>
      <c r="J14" s="8"/>
      <c r="K14" s="8"/>
      <c r="L14" s="8"/>
      <c r="M14" s="8"/>
      <c r="N14" s="8"/>
      <c r="O14" s="8"/>
      <c r="P14" s="8"/>
      <c r="Q14" s="8"/>
      <c r="R14" s="8"/>
      <c r="S14" s="8"/>
      <c r="T14" s="8"/>
      <c r="U14" s="8"/>
      <c r="V14" s="8"/>
    </row>
    <row r="15" spans="1:22" ht="22" customHeight="1" x14ac:dyDescent="0.35">
      <c r="A15" s="54" t="s">
        <v>21</v>
      </c>
      <c r="B15" s="39"/>
      <c r="C15" s="39"/>
      <c r="D15" s="39"/>
      <c r="E15" s="39"/>
      <c r="F15" s="39"/>
      <c r="G15" s="39"/>
      <c r="H15" s="39"/>
      <c r="I15" s="39"/>
      <c r="J15" s="39"/>
      <c r="K15" s="39"/>
      <c r="L15" s="39"/>
      <c r="M15" s="39"/>
      <c r="N15" s="39"/>
      <c r="O15" s="39"/>
      <c r="P15" s="39"/>
      <c r="Q15" s="48" t="s">
        <v>22</v>
      </c>
      <c r="R15" s="39"/>
      <c r="S15" s="39"/>
      <c r="T15" s="39"/>
      <c r="U15" s="39"/>
      <c r="V15" s="39"/>
    </row>
    <row r="16" spans="1:22" ht="22" customHeight="1" x14ac:dyDescent="0.35">
      <c r="A16" s="8"/>
      <c r="B16" s="8"/>
      <c r="C16" s="8"/>
      <c r="D16" s="8"/>
      <c r="E16" s="8"/>
      <c r="F16" s="8"/>
      <c r="G16" s="8"/>
      <c r="H16" s="8"/>
      <c r="I16" s="8"/>
      <c r="J16" s="8"/>
      <c r="K16" s="8"/>
      <c r="L16" s="8"/>
      <c r="M16" s="8"/>
      <c r="N16" s="8"/>
      <c r="O16" s="8"/>
      <c r="P16" s="8"/>
      <c r="Q16" s="8"/>
      <c r="R16" s="8"/>
      <c r="S16" s="8"/>
      <c r="T16" s="8"/>
      <c r="U16" s="8"/>
      <c r="V16" s="8"/>
    </row>
    <row r="17" spans="1:27" ht="22" customHeight="1" x14ac:dyDescent="0.35">
      <c r="A17" s="49" t="s">
        <v>23</v>
      </c>
      <c r="B17" s="39"/>
      <c r="C17" s="49" t="s">
        <v>24</v>
      </c>
      <c r="D17" s="39"/>
      <c r="E17" s="39"/>
      <c r="F17" s="39"/>
      <c r="G17" s="39"/>
      <c r="H17" s="39"/>
      <c r="I17" s="39"/>
      <c r="J17" s="39"/>
      <c r="K17" s="39"/>
      <c r="L17" s="49" t="s">
        <v>25</v>
      </c>
      <c r="M17" s="39"/>
      <c r="N17" s="39"/>
      <c r="O17" s="49" t="s">
        <v>26</v>
      </c>
      <c r="P17" s="39"/>
      <c r="Q17" s="39"/>
      <c r="R17" s="49" t="s">
        <v>27</v>
      </c>
      <c r="S17" s="39"/>
      <c r="T17" s="39"/>
      <c r="U17" s="49" t="s">
        <v>28</v>
      </c>
      <c r="V17" s="39"/>
    </row>
    <row r="18" spans="1:27" ht="36" customHeight="1" x14ac:dyDescent="0.35">
      <c r="A18" s="40" t="str">
        <f>IF($AA18=0,"",IF(LEN(INDEX(Jobs!$A$9:$A$258,$AA18)&amp;"")=0,"",INDEX(Jobs!$A$9:$A$258,$AA18)))</f>
        <v>1001.02</v>
      </c>
      <c r="B18" s="39"/>
      <c r="C18" s="40" t="str">
        <f>IF($AA18=0,"",IF(LEN(INDEX(Jobs!$B$9:$B$258,$AA18)&amp;"")=0,"",INDEX(Jobs!$B$9:$B$258,$AA18)))</f>
        <v>Corrosion prevention anodes</v>
      </c>
      <c r="D18" s="39"/>
      <c r="E18" s="39"/>
      <c r="F18" s="39"/>
      <c r="G18" s="39"/>
      <c r="H18" s="39"/>
      <c r="I18" s="39"/>
      <c r="J18" s="39"/>
      <c r="K18" s="39"/>
      <c r="L18" s="40" t="str">
        <f>IF($AA18=0,"",IF(LEN(INDEX(Jobs!$D$9:$D$258,$AA18)&amp;"")=0,"",INDEX(Jobs!$D$9:$D$258,$AA18)))</f>
        <v>Quote received</v>
      </c>
      <c r="M18" s="39"/>
      <c r="N18" s="39"/>
      <c r="O18" s="41">
        <f>IF($AA18=0,"",IF(LEN(INDEX(Jobs!$G$9:$G$258,$AA18)&amp;"")=0,"",INDEX(Jobs!$G$9:$G$258,$AA18)))</f>
        <v>8426.7781419303046</v>
      </c>
      <c r="P18" s="39"/>
      <c r="Q18" s="39"/>
      <c r="R18" s="41">
        <f>IF($AA18=0,"",IF(LEN(INDEX(Jobs!$H$9:$H$258,$AA18)&amp;"")=0,"",INDEX(Jobs!$H$9:$H$258,$AA18)))</f>
        <v>0</v>
      </c>
      <c r="S18" s="39"/>
      <c r="T18" s="39"/>
      <c r="U18" s="44" t="str">
        <f>IF($AA18=0,"",HYPERLINK("#'"&amp;INDEX(Jobs!$P$9:$P$258,$AA18)&amp;"'!A1","Open job"))</f>
        <v>Open job</v>
      </c>
      <c r="V18" s="39"/>
      <c r="AA18">
        <f>IFERROR(MATCH(1,Jobs!$Q$9:$Q$258,0),0)</f>
        <v>2</v>
      </c>
    </row>
    <row r="19" spans="1:27" ht="36" customHeight="1" x14ac:dyDescent="0.35">
      <c r="A19" s="38" t="str">
        <f>IF($AA19=0,"",IF(LEN(INDEX(Jobs!$A$9:$A$258,$AA19)&amp;"")=0,"",INDEX(Jobs!$A$9:$A$258,$AA19)))</f>
        <v>1001.03</v>
      </c>
      <c r="B19" s="39"/>
      <c r="C19" s="38" t="str">
        <f>IF($AA19=0,"",IF(LEN(INDEX(Jobs!$B$9:$B$258,$AA19)&amp;"")=0,"",INDEX(Jobs!$B$9:$B$258,$AA19)))</f>
        <v>Bottom treatment and paint</v>
      </c>
      <c r="D19" s="39"/>
      <c r="E19" s="39"/>
      <c r="F19" s="39"/>
      <c r="G19" s="39"/>
      <c r="H19" s="39"/>
      <c r="I19" s="39"/>
      <c r="J19" s="39"/>
      <c r="K19" s="39"/>
      <c r="L19" s="38" t="str">
        <f>IF($AA19=0,"",IF(LEN(INDEX(Jobs!$D$9:$D$258,$AA19)&amp;"")=0,"",INDEX(Jobs!$D$9:$D$258,$AA19)))</f>
        <v>RFQ sent</v>
      </c>
      <c r="M19" s="39"/>
      <c r="N19" s="39"/>
      <c r="O19" s="42">
        <f>IF($AA19=0,"",IF(LEN(INDEX(Jobs!$G$9:$G$258,$AA19)&amp;"")=0,"",INDEX(Jobs!$G$9:$G$258,$AA19)))</f>
        <v>0</v>
      </c>
      <c r="P19" s="39"/>
      <c r="Q19" s="39"/>
      <c r="R19" s="42">
        <f>IF($AA19=0,"",IF(LEN(INDEX(Jobs!$H$9:$H$258,$AA19)&amp;"")=0,"",INDEX(Jobs!$H$9:$H$258,$AA19)))</f>
        <v>0</v>
      </c>
      <c r="S19" s="39"/>
      <c r="T19" s="39"/>
      <c r="U19" s="43" t="str">
        <f>IF($AA19=0,"",HYPERLINK("#'"&amp;INDEX(Jobs!$P$9:$P$258,$AA19)&amp;"'!A1","Open job"))</f>
        <v>Open job</v>
      </c>
      <c r="V19" s="39"/>
      <c r="AA19">
        <f>IFERROR(MATCH(2,Jobs!$Q$9:$Q$258,0),0)</f>
        <v>3</v>
      </c>
    </row>
    <row r="20" spans="1:27" ht="36" customHeight="1" x14ac:dyDescent="0.35">
      <c r="A20" s="40" t="str">
        <f>IF($AA20=0,"",IF(LEN(INDEX(Jobs!$A$9:$A$258,$AA20)&amp;"")=0,"",INDEX(Jobs!$A$9:$A$258,$AA20)))</f>
        <v>1303.01</v>
      </c>
      <c r="B20" s="39"/>
      <c r="C20" s="40" t="str">
        <f>IF($AA20=0,"",IF(LEN(INDEX(Jobs!$B$9:$B$258,$AA20)&amp;"")=0,"",INDEX(Jobs!$B$9:$B$258,$AA20)))</f>
        <v>Steering gears overhaul</v>
      </c>
      <c r="D20" s="39"/>
      <c r="E20" s="39"/>
      <c r="F20" s="39"/>
      <c r="G20" s="39"/>
      <c r="H20" s="39"/>
      <c r="I20" s="39"/>
      <c r="J20" s="39"/>
      <c r="K20" s="39"/>
      <c r="L20" s="40" t="str">
        <f>IF($AA20=0,"",IF(LEN(INDEX(Jobs!$D$9:$D$258,$AA20)&amp;"")=0,"",INDEX(Jobs!$D$9:$D$258,$AA20)))</f>
        <v>Draft</v>
      </c>
      <c r="M20" s="39"/>
      <c r="N20" s="39"/>
      <c r="O20" s="41">
        <f>IF($AA20=0,"",IF(LEN(INDEX(Jobs!$G$9:$G$258,$AA20)&amp;"")=0,"",INDEX(Jobs!$G$9:$G$258,$AA20)))</f>
        <v>42681</v>
      </c>
      <c r="P20" s="39"/>
      <c r="Q20" s="39"/>
      <c r="R20" s="41">
        <f>IF($AA20=0,"",IF(LEN(INDEX(Jobs!$H$9:$H$258,$AA20)&amp;"")=0,"",INDEX(Jobs!$H$9:$H$258,$AA20)))</f>
        <v>0</v>
      </c>
      <c r="S20" s="39"/>
      <c r="T20" s="39"/>
      <c r="U20" s="44" t="str">
        <f>IF($AA20=0,"",HYPERLINK("#'"&amp;INDEX(Jobs!$P$9:$P$258,$AA20)&amp;"'!A1","Open job"))</f>
        <v>Open job</v>
      </c>
      <c r="V20" s="39"/>
      <c r="AA20">
        <f>IFERROR(MATCH(3,Jobs!$Q$9:$Q$258,0),0)</f>
        <v>32</v>
      </c>
    </row>
    <row r="21" spans="1:27" ht="36" customHeight="1" x14ac:dyDescent="0.35">
      <c r="A21" s="38" t="str">
        <f>IF($AA21=0,"",IF(LEN(INDEX(Jobs!$A$9:$A$258,$AA21)&amp;"")=0,"",INDEX(Jobs!$A$9:$A$258,$AA21)))</f>
        <v>1500.01</v>
      </c>
      <c r="B21" s="39"/>
      <c r="C21" s="38" t="str">
        <f>IF($AA21=0,"",IF(LEN(INDEX(Jobs!$B$9:$B$258,$AA21)&amp;"")=0,"",INDEX(Jobs!$B$9:$B$258,$AA21)))</f>
        <v>Fire detection system</v>
      </c>
      <c r="D21" s="39"/>
      <c r="E21" s="39"/>
      <c r="F21" s="39"/>
      <c r="G21" s="39"/>
      <c r="H21" s="39"/>
      <c r="I21" s="39"/>
      <c r="J21" s="39"/>
      <c r="K21" s="39"/>
      <c r="L21" s="38" t="str">
        <f>IF($AA21=0,"",IF(LEN(INDEX(Jobs!$D$9:$D$258,$AA21)&amp;"")=0,"",INDEX(Jobs!$D$9:$D$258,$AA21)))</f>
        <v>Draft</v>
      </c>
      <c r="M21" s="39"/>
      <c r="N21" s="39"/>
      <c r="O21" s="42">
        <f>IF($AA21=0,"",IF(LEN(INDEX(Jobs!$G$9:$G$258,$AA21)&amp;"")=0,"",INDEX(Jobs!$G$9:$G$258,$AA21)))</f>
        <v>0</v>
      </c>
      <c r="P21" s="39"/>
      <c r="Q21" s="39"/>
      <c r="R21" s="42">
        <f>IF($AA21=0,"",IF(LEN(INDEX(Jobs!$H$9:$H$258,$AA21)&amp;"")=0,"",INDEX(Jobs!$H$9:$H$258,$AA21)))</f>
        <v>0</v>
      </c>
      <c r="S21" s="39"/>
      <c r="T21" s="39"/>
      <c r="U21" s="43" t="str">
        <f>IF($AA21=0,"",HYPERLINK("#'"&amp;INDEX(Jobs!$P$9:$P$258,$AA21)&amp;"'!A1","Open job"))</f>
        <v>Open job</v>
      </c>
      <c r="V21" s="39"/>
      <c r="AA21">
        <f>IFERROR(MATCH(4,Jobs!$Q$9:$Q$258,0),0)</f>
        <v>48</v>
      </c>
    </row>
    <row r="22" spans="1:27" ht="36" customHeight="1" x14ac:dyDescent="0.35">
      <c r="A22" s="40" t="str">
        <f>IF($AA22=0,"",IF(LEN(INDEX(Jobs!$A$9:$A$258,$AA22)&amp;"")=0,"",INDEX(Jobs!$A$9:$A$258,$AA22)))</f>
        <v>3103.01</v>
      </c>
      <c r="B22" s="39"/>
      <c r="C22" s="40" t="str">
        <f>IF($AA22=0,"",IF(LEN(INDEX(Jobs!$B$9:$B$258,$AA22)&amp;"")=0,"",INDEX(Jobs!$B$9:$B$258,$AA22)))</f>
        <v>Service of reduction gears STB/PS</v>
      </c>
      <c r="D22" s="39"/>
      <c r="E22" s="39"/>
      <c r="F22" s="39"/>
      <c r="G22" s="39"/>
      <c r="H22" s="39"/>
      <c r="I22" s="39"/>
      <c r="J22" s="39"/>
      <c r="K22" s="39"/>
      <c r="L22" s="40" t="str">
        <f>IF($AA22=0,"",IF(LEN(INDEX(Jobs!$D$9:$D$258,$AA22)&amp;"")=0,"",INDEX(Jobs!$D$9:$D$258,$AA22)))</f>
        <v>Draft</v>
      </c>
      <c r="M22" s="39"/>
      <c r="N22" s="39"/>
      <c r="O22" s="41">
        <f>IF($AA22=0,"",IF(LEN(INDEX(Jobs!$G$9:$G$258,$AA22)&amp;"")=0,"",INDEX(Jobs!$G$9:$G$258,$AA22)))</f>
        <v>44800</v>
      </c>
      <c r="P22" s="39"/>
      <c r="Q22" s="39"/>
      <c r="R22" s="41">
        <f>IF($AA22=0,"",IF(LEN(INDEX(Jobs!$H$9:$H$258,$AA22)&amp;"")=0,"",INDEX(Jobs!$H$9:$H$258,$AA22)))</f>
        <v>0</v>
      </c>
      <c r="S22" s="39"/>
      <c r="T22" s="39"/>
      <c r="U22" s="44" t="str">
        <f>IF($AA22=0,"",HYPERLINK("#'"&amp;INDEX(Jobs!$P$9:$P$258,$AA22)&amp;"'!A1","Open job"))</f>
        <v>Open job</v>
      </c>
      <c r="V22" s="39"/>
      <c r="AA22">
        <f>IFERROR(MATCH(5,Jobs!$Q$9:$Q$258,0),0)</f>
        <v>54</v>
      </c>
    </row>
    <row r="23" spans="1:27" ht="36" customHeight="1" x14ac:dyDescent="0.35">
      <c r="A23" s="38" t="str">
        <f>IF($AA23=0,"",IF(LEN(INDEX(Jobs!$A$9:$A$258,$AA23)&amp;"")=0,"",INDEX(Jobs!$A$9:$A$258,$AA23)))</f>
        <v>3149.01</v>
      </c>
      <c r="B23" s="39"/>
      <c r="C23" s="38" t="str">
        <f>IF($AA23=0,"",IF(LEN(INDEX(Jobs!$B$9:$B$258,$AA23)&amp;"")=0,"",INDEX(Jobs!$B$9:$B$258,$AA23)))</f>
        <v>Main engine overhaul</v>
      </c>
      <c r="D23" s="39"/>
      <c r="E23" s="39"/>
      <c r="F23" s="39"/>
      <c r="G23" s="39"/>
      <c r="H23" s="39"/>
      <c r="I23" s="39"/>
      <c r="J23" s="39"/>
      <c r="K23" s="39"/>
      <c r="L23" s="38" t="str">
        <f>IF($AA23=0,"",IF(LEN(INDEX(Jobs!$D$9:$D$258,$AA23)&amp;"")=0,"",INDEX(Jobs!$D$9:$D$258,$AA23)))</f>
        <v>Draft</v>
      </c>
      <c r="M23" s="39"/>
      <c r="N23" s="39"/>
      <c r="O23" s="42">
        <f>IF($AA23=0,"",IF(LEN(INDEX(Jobs!$G$9:$G$258,$AA23)&amp;"")=0,"",INDEX(Jobs!$G$9:$G$258,$AA23)))</f>
        <v>0</v>
      </c>
      <c r="P23" s="39"/>
      <c r="Q23" s="39"/>
      <c r="R23" s="42">
        <f>IF($AA23=0,"",IF(LEN(INDEX(Jobs!$H$9:$H$258,$AA23)&amp;"")=0,"",INDEX(Jobs!$H$9:$H$258,$AA23)))</f>
        <v>0</v>
      </c>
      <c r="S23" s="39"/>
      <c r="T23" s="39"/>
      <c r="U23" s="43" t="str">
        <f>IF($AA23=0,"",HYPERLINK("#'"&amp;INDEX(Jobs!$P$9:$P$258,$AA23)&amp;"'!A1","Open job"))</f>
        <v>Open job</v>
      </c>
      <c r="V23" s="39"/>
      <c r="AA23">
        <f>IFERROR(MATCH(6,Jobs!$Q$9:$Q$258,0),0)</f>
        <v>60</v>
      </c>
    </row>
    <row r="24" spans="1:27" ht="36" customHeight="1" x14ac:dyDescent="0.35">
      <c r="A24" s="40" t="str">
        <f>IF($AA24=0,"",IF(LEN(INDEX(Jobs!$A$9:$A$258,$AA24)&amp;"")=0,"",INDEX(Jobs!$A$9:$A$258,$AA24)))</f>
        <v>3149.02</v>
      </c>
      <c r="B24" s="39"/>
      <c r="C24" s="40" t="str">
        <f>IF($AA24=0,"",IF(LEN(INDEX(Jobs!$B$9:$B$258,$AA24)&amp;"")=0,"",INDEX(Jobs!$B$9:$B$258,$AA24)))</f>
        <v>Governor overhaul</v>
      </c>
      <c r="D24" s="39"/>
      <c r="E24" s="39"/>
      <c r="F24" s="39"/>
      <c r="G24" s="39"/>
      <c r="H24" s="39"/>
      <c r="I24" s="39"/>
      <c r="J24" s="39"/>
      <c r="K24" s="39"/>
      <c r="L24" s="40" t="str">
        <f>IF($AA24=0,"",IF(LEN(INDEX(Jobs!$D$9:$D$258,$AA24)&amp;"")=0,"",INDEX(Jobs!$D$9:$D$258,$AA24)))</f>
        <v>Draft</v>
      </c>
      <c r="M24" s="39"/>
      <c r="N24" s="39"/>
      <c r="O24" s="41">
        <f>IF($AA24=0,"",IF(LEN(INDEX(Jobs!$G$9:$G$258,$AA24)&amp;"")=0,"",INDEX(Jobs!$G$9:$G$258,$AA24)))</f>
        <v>0</v>
      </c>
      <c r="P24" s="39"/>
      <c r="Q24" s="39"/>
      <c r="R24" s="41">
        <f>IF($AA24=0,"",IF(LEN(INDEX(Jobs!$H$9:$H$258,$AA24)&amp;"")=0,"",INDEX(Jobs!$H$9:$H$258,$AA24)))</f>
        <v>0</v>
      </c>
      <c r="S24" s="39"/>
      <c r="T24" s="39"/>
      <c r="U24" s="44" t="str">
        <f>IF($AA24=0,"",HYPERLINK("#'"&amp;INDEX(Jobs!$P$9:$P$258,$AA24)&amp;"'!A1","Open job"))</f>
        <v>Open job</v>
      </c>
      <c r="V24" s="39"/>
      <c r="AA24">
        <f>IFERROR(MATCH(7,Jobs!$Q$9:$Q$258,0),0)</f>
        <v>61</v>
      </c>
    </row>
    <row r="25" spans="1:27" ht="36" customHeight="1" x14ac:dyDescent="0.35">
      <c r="A25" s="38" t="str">
        <f>IF($AA25=0,"",IF(LEN(INDEX(Jobs!$A$9:$A$258,$AA25)&amp;"")=0,"",INDEX(Jobs!$A$9:$A$258,$AA25)))</f>
        <v>3802.01</v>
      </c>
      <c r="B25" s="39"/>
      <c r="C25" s="38" t="str">
        <f>IF($AA25=0,"",IF(LEN(INDEX(Jobs!$B$9:$B$258,$AA25)&amp;"")=0,"",INDEX(Jobs!$B$9:$B$258,$AA25)))</f>
        <v>Stern tube seals</v>
      </c>
      <c r="D25" s="39"/>
      <c r="E25" s="39"/>
      <c r="F25" s="39"/>
      <c r="G25" s="39"/>
      <c r="H25" s="39"/>
      <c r="I25" s="39"/>
      <c r="J25" s="39"/>
      <c r="K25" s="39"/>
      <c r="L25" s="38" t="str">
        <f>IF($AA25=0,"",IF(LEN(INDEX(Jobs!$D$9:$D$258,$AA25)&amp;"")=0,"",INDEX(Jobs!$D$9:$D$258,$AA25)))</f>
        <v>Draft</v>
      </c>
      <c r="M25" s="39"/>
      <c r="N25" s="39"/>
      <c r="O25" s="42">
        <f>IF($AA25=0,"",IF(LEN(INDEX(Jobs!$G$9:$G$258,$AA25)&amp;"")=0,"",INDEX(Jobs!$G$9:$G$258,$AA25)))</f>
        <v>0</v>
      </c>
      <c r="P25" s="39"/>
      <c r="Q25" s="39"/>
      <c r="R25" s="42">
        <f>IF($AA25=0,"",IF(LEN(INDEX(Jobs!$H$9:$H$258,$AA25)&amp;"")=0,"",INDEX(Jobs!$H$9:$H$258,$AA25)))</f>
        <v>0</v>
      </c>
      <c r="S25" s="39"/>
      <c r="T25" s="39"/>
      <c r="U25" s="43" t="str">
        <f>IF($AA25=0,"",HYPERLINK("#'"&amp;INDEX(Jobs!$P$9:$P$258,$AA25)&amp;"'!A1","Open job"))</f>
        <v>Open job</v>
      </c>
      <c r="V25" s="39"/>
      <c r="AA25">
        <f>IFERROR(MATCH(8,Jobs!$Q$9:$Q$258,0),0)</f>
        <v>75</v>
      </c>
    </row>
    <row r="26" spans="1:27" ht="36" customHeight="1" x14ac:dyDescent="0.35">
      <c r="A26" s="40" t="str">
        <f>IF($AA26=0,"",IF(LEN(INDEX(Jobs!$A$9:$A$258,$AA26)&amp;"")=0,"",INDEX(Jobs!$A$9:$A$258,$AA26)))</f>
        <v>3805.02</v>
      </c>
      <c r="B26" s="39"/>
      <c r="C26" s="40" t="str">
        <f>IF($AA26=0,"",IF(LEN(INDEX(Jobs!$B$9:$B$258,$AA26)&amp;"")=0,"",INDEX(Jobs!$B$9:$B$258,$AA26)))</f>
        <v>Main propeller OD box overhaul</v>
      </c>
      <c r="D26" s="39"/>
      <c r="E26" s="39"/>
      <c r="F26" s="39"/>
      <c r="G26" s="39"/>
      <c r="H26" s="39"/>
      <c r="I26" s="39"/>
      <c r="J26" s="39"/>
      <c r="K26" s="39"/>
      <c r="L26" s="40" t="str">
        <f>IF($AA26=0,"",IF(LEN(INDEX(Jobs!$D$9:$D$258,$AA26)&amp;"")=0,"",INDEX(Jobs!$D$9:$D$258,$AA26)))</f>
        <v>Draft</v>
      </c>
      <c r="M26" s="39"/>
      <c r="N26" s="39"/>
      <c r="O26" s="41">
        <f>IF($AA26=0,"",IF(LEN(INDEX(Jobs!$G$9:$G$258,$AA26)&amp;"")=0,"",INDEX(Jobs!$G$9:$G$258,$AA26)))</f>
        <v>0</v>
      </c>
      <c r="P26" s="39"/>
      <c r="Q26" s="39"/>
      <c r="R26" s="41">
        <f>IF($AA26=0,"",IF(LEN(INDEX(Jobs!$H$9:$H$258,$AA26)&amp;"")=0,"",INDEX(Jobs!$H$9:$H$258,$AA26)))</f>
        <v>0</v>
      </c>
      <c r="S26" s="39"/>
      <c r="T26" s="39"/>
      <c r="U26" s="44" t="str">
        <f>IF($AA26=0,"",HYPERLINK("#'"&amp;INDEX(Jobs!$P$9:$P$258,$AA26)&amp;"'!A1","Open job"))</f>
        <v>Open job</v>
      </c>
      <c r="V26" s="39"/>
      <c r="AA26">
        <f>IFERROR(MATCH(9,Jobs!$Q$9:$Q$258,0),0)</f>
        <v>76</v>
      </c>
    </row>
    <row r="27" spans="1:27" ht="36" customHeight="1" x14ac:dyDescent="0.35">
      <c r="A27" s="38" t="str">
        <f>IF($AA27=0,"",IF(LEN(INDEX(Jobs!$A$9:$A$258,$AA27)&amp;"")=0,"",INDEX(Jobs!$A$9:$A$258,$AA27)))</f>
        <v>3811.01</v>
      </c>
      <c r="B27" s="39"/>
      <c r="C27" s="38" t="str">
        <f>IF($AA27=0,"",IF(LEN(INDEX(Jobs!$B$9:$B$258,$AA27)&amp;"")=0,"",INDEX(Jobs!$B$9:$B$258,$AA27)))</f>
        <v>Bow thrusters overhaul</v>
      </c>
      <c r="D27" s="39"/>
      <c r="E27" s="39"/>
      <c r="F27" s="39"/>
      <c r="G27" s="39"/>
      <c r="H27" s="39"/>
      <c r="I27" s="39"/>
      <c r="J27" s="39"/>
      <c r="K27" s="39"/>
      <c r="L27" s="38" t="str">
        <f>IF($AA27=0,"",IF(LEN(INDEX(Jobs!$D$9:$D$258,$AA27)&amp;"")=0,"",INDEX(Jobs!$D$9:$D$258,$AA27)))</f>
        <v>Draft</v>
      </c>
      <c r="M27" s="39"/>
      <c r="N27" s="39"/>
      <c r="O27" s="42">
        <f>IF($AA27=0,"",IF(LEN(INDEX(Jobs!$G$9:$G$258,$AA27)&amp;"")=0,"",INDEX(Jobs!$G$9:$G$258,$AA27)))</f>
        <v>144229.46494464943</v>
      </c>
      <c r="P27" s="39"/>
      <c r="Q27" s="39"/>
      <c r="R27" s="42">
        <f>IF($AA27=0,"",IF(LEN(INDEX(Jobs!$H$9:$H$258,$AA27)&amp;"")=0,"",INDEX(Jobs!$H$9:$H$258,$AA27)))</f>
        <v>0</v>
      </c>
      <c r="S27" s="39"/>
      <c r="T27" s="39"/>
      <c r="U27" s="43" t="str">
        <f>IF($AA27=0,"",HYPERLINK("#'"&amp;INDEX(Jobs!$P$9:$P$258,$AA27)&amp;"'!A1","Open job"))</f>
        <v>Open job</v>
      </c>
      <c r="V27" s="39"/>
      <c r="AA27">
        <f>IFERROR(MATCH(10,Jobs!$Q$9:$Q$258,0),0)</f>
        <v>78</v>
      </c>
    </row>
    <row r="28" spans="1:27" ht="36" customHeight="1" x14ac:dyDescent="0.35">
      <c r="A28" s="40" t="str">
        <f>IF($AA28=0,"",IF(LEN(INDEX(Jobs!$A$9:$A$258,$AA28)&amp;"")=0,"",INDEX(Jobs!$A$9:$A$258,$AA28)))</f>
        <v>3811.02</v>
      </c>
      <c r="B28" s="39"/>
      <c r="C28" s="40" t="str">
        <f>IF($AA28=0,"",IF(LEN(INDEX(Jobs!$B$9:$B$258,$AA28)&amp;"")=0,"",INDEX(Jobs!$B$9:$B$258,$AA28)))</f>
        <v>Thruster PLC upgrade - YARD INFO ONLY</v>
      </c>
      <c r="D28" s="39"/>
      <c r="E28" s="39"/>
      <c r="F28" s="39"/>
      <c r="G28" s="39"/>
      <c r="H28" s="39"/>
      <c r="I28" s="39"/>
      <c r="J28" s="39"/>
      <c r="K28" s="39"/>
      <c r="L28" s="40" t="str">
        <f>IF($AA28=0,"",IF(LEN(INDEX(Jobs!$D$9:$D$258,$AA28)&amp;"")=0,"",INDEX(Jobs!$D$9:$D$258,$AA28)))</f>
        <v>Draft</v>
      </c>
      <c r="M28" s="39"/>
      <c r="N28" s="39"/>
      <c r="O28" s="41">
        <f>IF($AA28=0,"",IF(LEN(INDEX(Jobs!$G$9:$G$258,$AA28)&amp;"")=0,"",INDEX(Jobs!$G$9:$G$258,$AA28)))</f>
        <v>0</v>
      </c>
      <c r="P28" s="39"/>
      <c r="Q28" s="39"/>
      <c r="R28" s="41">
        <f>IF($AA28=0,"",IF(LEN(INDEX(Jobs!$H$9:$H$258,$AA28)&amp;"")=0,"",INDEX(Jobs!$H$9:$H$258,$AA28)))</f>
        <v>0</v>
      </c>
      <c r="S28" s="39"/>
      <c r="T28" s="39"/>
      <c r="U28" s="44" t="str">
        <f>IF($AA28=0,"",HYPERLINK("#'"&amp;INDEX(Jobs!$P$9:$P$258,$AA28)&amp;"'!A1","Open job"))</f>
        <v>Open job</v>
      </c>
      <c r="V28" s="39"/>
      <c r="AA28">
        <f>IFERROR(MATCH(11,Jobs!$Q$9:$Q$258,0),0)</f>
        <v>79</v>
      </c>
    </row>
    <row r="29" spans="1:27" ht="36" customHeight="1" x14ac:dyDescent="0.35">
      <c r="A29" s="38" t="str">
        <f>IF($AA29=0,"",IF(LEN(INDEX(Jobs!$A$9:$A$258,$AA29)&amp;"")=0,"",INDEX(Jobs!$A$9:$A$258,$AA29)))</f>
        <v>3812.01</v>
      </c>
      <c r="B29" s="39"/>
      <c r="C29" s="38" t="str">
        <f>IF($AA29=0,"",IF(LEN(INDEX(Jobs!$B$9:$B$258,$AA29)&amp;"")=0,"",INDEX(Jobs!$B$9:$B$258,$AA29)))</f>
        <v>Stabilizers</v>
      </c>
      <c r="D29" s="39"/>
      <c r="E29" s="39"/>
      <c r="F29" s="39"/>
      <c r="G29" s="39"/>
      <c r="H29" s="39"/>
      <c r="I29" s="39"/>
      <c r="J29" s="39"/>
      <c r="K29" s="39"/>
      <c r="L29" s="38" t="str">
        <f>IF($AA29=0,"",IF(LEN(INDEX(Jobs!$D$9:$D$258,$AA29)&amp;"")=0,"",INDEX(Jobs!$D$9:$D$258,$AA29)))</f>
        <v>Draft</v>
      </c>
      <c r="M29" s="39"/>
      <c r="N29" s="39"/>
      <c r="O29" s="42">
        <f>IF($AA29=0,"",IF(LEN(INDEX(Jobs!$G$9:$G$258,$AA29)&amp;"")=0,"",INDEX(Jobs!$G$9:$G$258,$AA29)))</f>
        <v>250000</v>
      </c>
      <c r="P29" s="39"/>
      <c r="Q29" s="39"/>
      <c r="R29" s="42">
        <f>IF($AA29=0,"",IF(LEN(INDEX(Jobs!$H$9:$H$258,$AA29)&amp;"")=0,"",INDEX(Jobs!$H$9:$H$258,$AA29)))</f>
        <v>0</v>
      </c>
      <c r="S29" s="39"/>
      <c r="T29" s="39"/>
      <c r="U29" s="43" t="str">
        <f>IF($AA29=0,"",HYPERLINK("#'"&amp;INDEX(Jobs!$P$9:$P$258,$AA29)&amp;"'!A1","Open job"))</f>
        <v>Open job</v>
      </c>
      <c r="V29" s="39"/>
      <c r="AA29">
        <f>IFERROR(MATCH(12,Jobs!$Q$9:$Q$258,0),0)</f>
        <v>80</v>
      </c>
    </row>
    <row r="30" spans="1:27" ht="36" hidden="1" customHeight="1" x14ac:dyDescent="0.35">
      <c r="A30" s="40" t="str">
        <f>IF($AA30=0,"",IF(LEN(INDEX(Jobs!$A$9:$A$258,$AA30)&amp;"")=0,"",INDEX(Jobs!$A$9:$A$258,$AA30)))</f>
        <v/>
      </c>
      <c r="B30" s="39"/>
      <c r="C30" s="40" t="str">
        <f>IF($AA30=0,"",IF(LEN(INDEX(Jobs!$B$9:$B$258,$AA30)&amp;"")=0,"",INDEX(Jobs!$B$9:$B$258,$AA30)))</f>
        <v/>
      </c>
      <c r="D30" s="39"/>
      <c r="E30" s="39"/>
      <c r="F30" s="39"/>
      <c r="G30" s="39"/>
      <c r="H30" s="39"/>
      <c r="I30" s="39"/>
      <c r="J30" s="39"/>
      <c r="K30" s="39"/>
      <c r="L30" s="40" t="str">
        <f>IF($AA30=0,"",IF(LEN(INDEX(Jobs!$D$9:$D$258,$AA30)&amp;"")=0,"",INDEX(Jobs!$D$9:$D$258,$AA30)))</f>
        <v/>
      </c>
      <c r="M30" s="39"/>
      <c r="N30" s="39"/>
      <c r="O30" s="41" t="str">
        <f>IF($AA30=0,"",IF(LEN(INDEX(Jobs!$G$9:$G$258,$AA30)&amp;"")=0,"",INDEX(Jobs!$G$9:$G$258,$AA30)))</f>
        <v/>
      </c>
      <c r="P30" s="39"/>
      <c r="Q30" s="39"/>
      <c r="R30" s="41" t="str">
        <f>IF($AA30=0,"",IF(LEN(INDEX(Jobs!$H$9:$H$258,$AA30)&amp;"")=0,"",INDEX(Jobs!$H$9:$H$258,$AA30)))</f>
        <v/>
      </c>
      <c r="S30" s="39"/>
      <c r="T30" s="39"/>
      <c r="U30" s="44" t="str">
        <f>IF($AA30=0,"",HYPERLINK("#'"&amp;INDEX(Jobs!$P$9:$P$258,$AA30)&amp;"'!A1","Open job"))</f>
        <v/>
      </c>
      <c r="V30" s="39"/>
      <c r="AA30">
        <f>IFERROR(MATCH(13,Jobs!$Q$9:$Q$258,0),0)</f>
        <v>0</v>
      </c>
    </row>
    <row r="31" spans="1:27" ht="36" hidden="1" customHeight="1" x14ac:dyDescent="0.35">
      <c r="A31" s="38" t="str">
        <f>IF($AA31=0,"",IF(LEN(INDEX(Jobs!$A$9:$A$258,$AA31)&amp;"")=0,"",INDEX(Jobs!$A$9:$A$258,$AA31)))</f>
        <v/>
      </c>
      <c r="B31" s="39"/>
      <c r="C31" s="38" t="str">
        <f>IF($AA31=0,"",IF(LEN(INDEX(Jobs!$B$9:$B$258,$AA31)&amp;"")=0,"",INDEX(Jobs!$B$9:$B$258,$AA31)))</f>
        <v/>
      </c>
      <c r="D31" s="39"/>
      <c r="E31" s="39"/>
      <c r="F31" s="39"/>
      <c r="G31" s="39"/>
      <c r="H31" s="39"/>
      <c r="I31" s="39"/>
      <c r="J31" s="39"/>
      <c r="K31" s="39"/>
      <c r="L31" s="38" t="str">
        <f>IF($AA31=0,"",IF(LEN(INDEX(Jobs!$D$9:$D$258,$AA31)&amp;"")=0,"",INDEX(Jobs!$D$9:$D$258,$AA31)))</f>
        <v/>
      </c>
      <c r="M31" s="39"/>
      <c r="N31" s="39"/>
      <c r="O31" s="42" t="str">
        <f>IF($AA31=0,"",IF(LEN(INDEX(Jobs!$G$9:$G$258,$AA31)&amp;"")=0,"",INDEX(Jobs!$G$9:$G$258,$AA31)))</f>
        <v/>
      </c>
      <c r="P31" s="39"/>
      <c r="Q31" s="39"/>
      <c r="R31" s="42" t="str">
        <f>IF($AA31=0,"",IF(LEN(INDEX(Jobs!$H$9:$H$258,$AA31)&amp;"")=0,"",INDEX(Jobs!$H$9:$H$258,$AA31)))</f>
        <v/>
      </c>
      <c r="S31" s="39"/>
      <c r="T31" s="39"/>
      <c r="U31" s="43" t="str">
        <f>IF($AA31=0,"",HYPERLINK("#'"&amp;INDEX(Jobs!$P$9:$P$258,$AA31)&amp;"'!A1","Open job"))</f>
        <v/>
      </c>
      <c r="V31" s="39"/>
      <c r="AA31">
        <f>IFERROR(MATCH(14,Jobs!$Q$9:$Q$258,0),0)</f>
        <v>0</v>
      </c>
    </row>
    <row r="32" spans="1:27" ht="36" hidden="1" customHeight="1" x14ac:dyDescent="0.35">
      <c r="A32" s="40" t="str">
        <f>IF($AA32=0,"",IF(LEN(INDEX(Jobs!$A$9:$A$258,$AA32)&amp;"")=0,"",INDEX(Jobs!$A$9:$A$258,$AA32)))</f>
        <v/>
      </c>
      <c r="B32" s="39"/>
      <c r="C32" s="40" t="str">
        <f>IF($AA32=0,"",IF(LEN(INDEX(Jobs!$B$9:$B$258,$AA32)&amp;"")=0,"",INDEX(Jobs!$B$9:$B$258,$AA32)))</f>
        <v/>
      </c>
      <c r="D32" s="39"/>
      <c r="E32" s="39"/>
      <c r="F32" s="39"/>
      <c r="G32" s="39"/>
      <c r="H32" s="39"/>
      <c r="I32" s="39"/>
      <c r="J32" s="39"/>
      <c r="K32" s="39"/>
      <c r="L32" s="40" t="str">
        <f>IF($AA32=0,"",IF(LEN(INDEX(Jobs!$D$9:$D$258,$AA32)&amp;"")=0,"",INDEX(Jobs!$D$9:$D$258,$AA32)))</f>
        <v/>
      </c>
      <c r="M32" s="39"/>
      <c r="N32" s="39"/>
      <c r="O32" s="41" t="str">
        <f>IF($AA32=0,"",IF(LEN(INDEX(Jobs!$G$9:$G$258,$AA32)&amp;"")=0,"",INDEX(Jobs!$G$9:$G$258,$AA32)))</f>
        <v/>
      </c>
      <c r="P32" s="39"/>
      <c r="Q32" s="39"/>
      <c r="R32" s="41" t="str">
        <f>IF($AA32=0,"",IF(LEN(INDEX(Jobs!$H$9:$H$258,$AA32)&amp;"")=0,"",INDEX(Jobs!$H$9:$H$258,$AA32)))</f>
        <v/>
      </c>
      <c r="S32" s="39"/>
      <c r="T32" s="39"/>
      <c r="U32" s="44" t="str">
        <f>IF($AA32=0,"",HYPERLINK("#'"&amp;INDEX(Jobs!$P$9:$P$258,$AA32)&amp;"'!A1","Open job"))</f>
        <v/>
      </c>
      <c r="V32" s="39"/>
      <c r="AA32">
        <f>IFERROR(MATCH(15,Jobs!$Q$9:$Q$258,0),0)</f>
        <v>0</v>
      </c>
    </row>
    <row r="33" spans="1:27" ht="36" hidden="1" customHeight="1" x14ac:dyDescent="0.35">
      <c r="A33" s="38" t="str">
        <f>IF($AA33=0,"",IF(LEN(INDEX(Jobs!$A$9:$A$258,$AA33)&amp;"")=0,"",INDEX(Jobs!$A$9:$A$258,$AA33)))</f>
        <v/>
      </c>
      <c r="B33" s="39"/>
      <c r="C33" s="38" t="str">
        <f>IF($AA33=0,"",IF(LEN(INDEX(Jobs!$B$9:$B$258,$AA33)&amp;"")=0,"",INDEX(Jobs!$B$9:$B$258,$AA33)))</f>
        <v/>
      </c>
      <c r="D33" s="39"/>
      <c r="E33" s="39"/>
      <c r="F33" s="39"/>
      <c r="G33" s="39"/>
      <c r="H33" s="39"/>
      <c r="I33" s="39"/>
      <c r="J33" s="39"/>
      <c r="K33" s="39"/>
      <c r="L33" s="38" t="str">
        <f>IF($AA33=0,"",IF(LEN(INDEX(Jobs!$D$9:$D$258,$AA33)&amp;"")=0,"",INDEX(Jobs!$D$9:$D$258,$AA33)))</f>
        <v/>
      </c>
      <c r="M33" s="39"/>
      <c r="N33" s="39"/>
      <c r="O33" s="42" t="str">
        <f>IF($AA33=0,"",IF(LEN(INDEX(Jobs!$G$9:$G$258,$AA33)&amp;"")=0,"",INDEX(Jobs!$G$9:$G$258,$AA33)))</f>
        <v/>
      </c>
      <c r="P33" s="39"/>
      <c r="Q33" s="39"/>
      <c r="R33" s="42" t="str">
        <f>IF($AA33=0,"",IF(LEN(INDEX(Jobs!$H$9:$H$258,$AA33)&amp;"")=0,"",INDEX(Jobs!$H$9:$H$258,$AA33)))</f>
        <v/>
      </c>
      <c r="S33" s="39"/>
      <c r="T33" s="39"/>
      <c r="U33" s="43" t="str">
        <f>IF($AA33=0,"",HYPERLINK("#'"&amp;INDEX(Jobs!$P$9:$P$258,$AA33)&amp;"'!A1","Open job"))</f>
        <v/>
      </c>
      <c r="V33" s="39"/>
      <c r="AA33">
        <f>IFERROR(MATCH(16,Jobs!$Q$9:$Q$258,0),0)</f>
        <v>0</v>
      </c>
    </row>
    <row r="34" spans="1:27" ht="36" hidden="1" customHeight="1" x14ac:dyDescent="0.35">
      <c r="A34" s="40" t="str">
        <f>IF($AA34=0,"",IF(LEN(INDEX(Jobs!$A$9:$A$258,$AA34)&amp;"")=0,"",INDEX(Jobs!$A$9:$A$258,$AA34)))</f>
        <v/>
      </c>
      <c r="B34" s="39"/>
      <c r="C34" s="40" t="str">
        <f>IF($AA34=0,"",IF(LEN(INDEX(Jobs!$B$9:$B$258,$AA34)&amp;"")=0,"",INDEX(Jobs!$B$9:$B$258,$AA34)))</f>
        <v/>
      </c>
      <c r="D34" s="39"/>
      <c r="E34" s="39"/>
      <c r="F34" s="39"/>
      <c r="G34" s="39"/>
      <c r="H34" s="39"/>
      <c r="I34" s="39"/>
      <c r="J34" s="39"/>
      <c r="K34" s="39"/>
      <c r="L34" s="40" t="str">
        <f>IF($AA34=0,"",IF(LEN(INDEX(Jobs!$D$9:$D$258,$AA34)&amp;"")=0,"",INDEX(Jobs!$D$9:$D$258,$AA34)))</f>
        <v/>
      </c>
      <c r="M34" s="39"/>
      <c r="N34" s="39"/>
      <c r="O34" s="41" t="str">
        <f>IF($AA34=0,"",IF(LEN(INDEX(Jobs!$G$9:$G$258,$AA34)&amp;"")=0,"",INDEX(Jobs!$G$9:$G$258,$AA34)))</f>
        <v/>
      </c>
      <c r="P34" s="39"/>
      <c r="Q34" s="39"/>
      <c r="R34" s="41" t="str">
        <f>IF($AA34=0,"",IF(LEN(INDEX(Jobs!$H$9:$H$258,$AA34)&amp;"")=0,"",INDEX(Jobs!$H$9:$H$258,$AA34)))</f>
        <v/>
      </c>
      <c r="S34" s="39"/>
      <c r="T34" s="39"/>
      <c r="U34" s="44" t="str">
        <f>IF($AA34=0,"",HYPERLINK("#'"&amp;INDEX(Jobs!$P$9:$P$258,$AA34)&amp;"'!A1","Open job"))</f>
        <v/>
      </c>
      <c r="V34" s="39"/>
      <c r="AA34">
        <f>IFERROR(MATCH(17,Jobs!$Q$9:$Q$258,0),0)</f>
        <v>0</v>
      </c>
    </row>
    <row r="35" spans="1:27" ht="36" hidden="1" customHeight="1" x14ac:dyDescent="0.35">
      <c r="A35" s="38" t="str">
        <f>IF($AA35=0,"",IF(LEN(INDEX(Jobs!$A$9:$A$258,$AA35)&amp;"")=0,"",INDEX(Jobs!$A$9:$A$258,$AA35)))</f>
        <v/>
      </c>
      <c r="B35" s="39"/>
      <c r="C35" s="38" t="str">
        <f>IF($AA35=0,"",IF(LEN(INDEX(Jobs!$B$9:$B$258,$AA35)&amp;"")=0,"",INDEX(Jobs!$B$9:$B$258,$AA35)))</f>
        <v/>
      </c>
      <c r="D35" s="39"/>
      <c r="E35" s="39"/>
      <c r="F35" s="39"/>
      <c r="G35" s="39"/>
      <c r="H35" s="39"/>
      <c r="I35" s="39"/>
      <c r="J35" s="39"/>
      <c r="K35" s="39"/>
      <c r="L35" s="38" t="str">
        <f>IF($AA35=0,"",IF(LEN(INDEX(Jobs!$D$9:$D$258,$AA35)&amp;"")=0,"",INDEX(Jobs!$D$9:$D$258,$AA35)))</f>
        <v/>
      </c>
      <c r="M35" s="39"/>
      <c r="N35" s="39"/>
      <c r="O35" s="42" t="str">
        <f>IF($AA35=0,"",IF(LEN(INDEX(Jobs!$G$9:$G$258,$AA35)&amp;"")=0,"",INDEX(Jobs!$G$9:$G$258,$AA35)))</f>
        <v/>
      </c>
      <c r="P35" s="39"/>
      <c r="Q35" s="39"/>
      <c r="R35" s="42" t="str">
        <f>IF($AA35=0,"",IF(LEN(INDEX(Jobs!$H$9:$H$258,$AA35)&amp;"")=0,"",INDEX(Jobs!$H$9:$H$258,$AA35)))</f>
        <v/>
      </c>
      <c r="S35" s="39"/>
      <c r="T35" s="39"/>
      <c r="U35" s="43" t="str">
        <f>IF($AA35=0,"",HYPERLINK("#'"&amp;INDEX(Jobs!$P$9:$P$258,$AA35)&amp;"'!A1","Open job"))</f>
        <v/>
      </c>
      <c r="V35" s="39"/>
      <c r="AA35">
        <f>IFERROR(MATCH(18,Jobs!$Q$9:$Q$258,0),0)</f>
        <v>0</v>
      </c>
    </row>
    <row r="36" spans="1:27" ht="36" hidden="1" customHeight="1" x14ac:dyDescent="0.35">
      <c r="A36" s="40" t="str">
        <f>IF($AA36=0,"",IF(LEN(INDEX(Jobs!$A$9:$A$258,$AA36)&amp;"")=0,"",INDEX(Jobs!$A$9:$A$258,$AA36)))</f>
        <v/>
      </c>
      <c r="B36" s="39"/>
      <c r="C36" s="40" t="str">
        <f>IF($AA36=0,"",IF(LEN(INDEX(Jobs!$B$9:$B$258,$AA36)&amp;"")=0,"",INDEX(Jobs!$B$9:$B$258,$AA36)))</f>
        <v/>
      </c>
      <c r="D36" s="39"/>
      <c r="E36" s="39"/>
      <c r="F36" s="39"/>
      <c r="G36" s="39"/>
      <c r="H36" s="39"/>
      <c r="I36" s="39"/>
      <c r="J36" s="39"/>
      <c r="K36" s="39"/>
      <c r="L36" s="40" t="str">
        <f>IF($AA36=0,"",IF(LEN(INDEX(Jobs!$D$9:$D$258,$AA36)&amp;"")=0,"",INDEX(Jobs!$D$9:$D$258,$AA36)))</f>
        <v/>
      </c>
      <c r="M36" s="39"/>
      <c r="N36" s="39"/>
      <c r="O36" s="41" t="str">
        <f>IF($AA36=0,"",IF(LEN(INDEX(Jobs!$G$9:$G$258,$AA36)&amp;"")=0,"",INDEX(Jobs!$G$9:$G$258,$AA36)))</f>
        <v/>
      </c>
      <c r="P36" s="39"/>
      <c r="Q36" s="39"/>
      <c r="R36" s="41" t="str">
        <f>IF($AA36=0,"",IF(LEN(INDEX(Jobs!$H$9:$H$258,$AA36)&amp;"")=0,"",INDEX(Jobs!$H$9:$H$258,$AA36)))</f>
        <v/>
      </c>
      <c r="S36" s="39"/>
      <c r="T36" s="39"/>
      <c r="U36" s="44" t="str">
        <f>IF($AA36=0,"",HYPERLINK("#'"&amp;INDEX(Jobs!$P$9:$P$258,$AA36)&amp;"'!A1","Open job"))</f>
        <v/>
      </c>
      <c r="V36" s="39"/>
      <c r="AA36">
        <f>IFERROR(MATCH(19,Jobs!$Q$9:$Q$258,0),0)</f>
        <v>0</v>
      </c>
    </row>
    <row r="37" spans="1:27" ht="36" hidden="1" customHeight="1" x14ac:dyDescent="0.35">
      <c r="A37" s="38" t="str">
        <f>IF($AA37=0,"",IF(LEN(INDEX(Jobs!$A$9:$A$258,$AA37)&amp;"")=0,"",INDEX(Jobs!$A$9:$A$258,$AA37)))</f>
        <v/>
      </c>
      <c r="B37" s="39"/>
      <c r="C37" s="38" t="str">
        <f>IF($AA37=0,"",IF(LEN(INDEX(Jobs!$B$9:$B$258,$AA37)&amp;"")=0,"",INDEX(Jobs!$B$9:$B$258,$AA37)))</f>
        <v/>
      </c>
      <c r="D37" s="39"/>
      <c r="E37" s="39"/>
      <c r="F37" s="39"/>
      <c r="G37" s="39"/>
      <c r="H37" s="39"/>
      <c r="I37" s="39"/>
      <c r="J37" s="39"/>
      <c r="K37" s="39"/>
      <c r="L37" s="38" t="str">
        <f>IF($AA37=0,"",IF(LEN(INDEX(Jobs!$D$9:$D$258,$AA37)&amp;"")=0,"",INDEX(Jobs!$D$9:$D$258,$AA37)))</f>
        <v/>
      </c>
      <c r="M37" s="39"/>
      <c r="N37" s="39"/>
      <c r="O37" s="42" t="str">
        <f>IF($AA37=0,"",IF(LEN(INDEX(Jobs!$G$9:$G$258,$AA37)&amp;"")=0,"",INDEX(Jobs!$G$9:$G$258,$AA37)))</f>
        <v/>
      </c>
      <c r="P37" s="39"/>
      <c r="Q37" s="39"/>
      <c r="R37" s="42" t="str">
        <f>IF($AA37=0,"",IF(LEN(INDEX(Jobs!$H$9:$H$258,$AA37)&amp;"")=0,"",INDEX(Jobs!$H$9:$H$258,$AA37)))</f>
        <v/>
      </c>
      <c r="S37" s="39"/>
      <c r="T37" s="39"/>
      <c r="U37" s="43" t="str">
        <f>IF($AA37=0,"",HYPERLINK("#'"&amp;INDEX(Jobs!$P$9:$P$258,$AA37)&amp;"'!A1","Open job"))</f>
        <v/>
      </c>
      <c r="V37" s="39"/>
      <c r="AA37">
        <f>IFERROR(MATCH(20,Jobs!$Q$9:$Q$258,0),0)</f>
        <v>0</v>
      </c>
    </row>
    <row r="38" spans="1:27" ht="36" hidden="1" customHeight="1" x14ac:dyDescent="0.35">
      <c r="A38" s="40" t="str">
        <f>IF($AA38=0,"",IF(LEN(INDEX(Jobs!$A$9:$A$258,$AA38)&amp;"")=0,"",INDEX(Jobs!$A$9:$A$258,$AA38)))</f>
        <v/>
      </c>
      <c r="B38" s="39"/>
      <c r="C38" s="40" t="str">
        <f>IF($AA38=0,"",IF(LEN(INDEX(Jobs!$B$9:$B$258,$AA38)&amp;"")=0,"",INDEX(Jobs!$B$9:$B$258,$AA38)))</f>
        <v/>
      </c>
      <c r="D38" s="39"/>
      <c r="E38" s="39"/>
      <c r="F38" s="39"/>
      <c r="G38" s="39"/>
      <c r="H38" s="39"/>
      <c r="I38" s="39"/>
      <c r="J38" s="39"/>
      <c r="K38" s="39"/>
      <c r="L38" s="40" t="str">
        <f>IF($AA38=0,"",IF(LEN(INDEX(Jobs!$D$9:$D$258,$AA38)&amp;"")=0,"",INDEX(Jobs!$D$9:$D$258,$AA38)))</f>
        <v/>
      </c>
      <c r="M38" s="39"/>
      <c r="N38" s="39"/>
      <c r="O38" s="41" t="str">
        <f>IF($AA38=0,"",IF(LEN(INDEX(Jobs!$G$9:$G$258,$AA38)&amp;"")=0,"",INDEX(Jobs!$G$9:$G$258,$AA38)))</f>
        <v/>
      </c>
      <c r="P38" s="39"/>
      <c r="Q38" s="39"/>
      <c r="R38" s="41" t="str">
        <f>IF($AA38=0,"",IF(LEN(INDEX(Jobs!$H$9:$H$258,$AA38)&amp;"")=0,"",INDEX(Jobs!$H$9:$H$258,$AA38)))</f>
        <v/>
      </c>
      <c r="S38" s="39"/>
      <c r="T38" s="39"/>
      <c r="U38" s="44" t="str">
        <f>IF($AA38=0,"",HYPERLINK("#'"&amp;INDEX(Jobs!$P$9:$P$258,$AA38)&amp;"'!A1","Open job"))</f>
        <v/>
      </c>
      <c r="V38" s="39"/>
      <c r="AA38">
        <f>IFERROR(MATCH(21,Jobs!$Q$9:$Q$258,0),0)</f>
        <v>0</v>
      </c>
    </row>
    <row r="39" spans="1:27" ht="36" hidden="1" customHeight="1" x14ac:dyDescent="0.35">
      <c r="A39" s="38" t="str">
        <f>IF($AA39=0,"",IF(LEN(INDEX(Jobs!$A$9:$A$258,$AA39)&amp;"")=0,"",INDEX(Jobs!$A$9:$A$258,$AA39)))</f>
        <v/>
      </c>
      <c r="B39" s="39"/>
      <c r="C39" s="38" t="str">
        <f>IF($AA39=0,"",IF(LEN(INDEX(Jobs!$B$9:$B$258,$AA39)&amp;"")=0,"",INDEX(Jobs!$B$9:$B$258,$AA39)))</f>
        <v/>
      </c>
      <c r="D39" s="39"/>
      <c r="E39" s="39"/>
      <c r="F39" s="39"/>
      <c r="G39" s="39"/>
      <c r="H39" s="39"/>
      <c r="I39" s="39"/>
      <c r="J39" s="39"/>
      <c r="K39" s="39"/>
      <c r="L39" s="38" t="str">
        <f>IF($AA39=0,"",IF(LEN(INDEX(Jobs!$D$9:$D$258,$AA39)&amp;"")=0,"",INDEX(Jobs!$D$9:$D$258,$AA39)))</f>
        <v/>
      </c>
      <c r="M39" s="39"/>
      <c r="N39" s="39"/>
      <c r="O39" s="42" t="str">
        <f>IF($AA39=0,"",IF(LEN(INDEX(Jobs!$G$9:$G$258,$AA39)&amp;"")=0,"",INDEX(Jobs!$G$9:$G$258,$AA39)))</f>
        <v/>
      </c>
      <c r="P39" s="39"/>
      <c r="Q39" s="39"/>
      <c r="R39" s="42" t="str">
        <f>IF($AA39=0,"",IF(LEN(INDEX(Jobs!$H$9:$H$258,$AA39)&amp;"")=0,"",INDEX(Jobs!$H$9:$H$258,$AA39)))</f>
        <v/>
      </c>
      <c r="S39" s="39"/>
      <c r="T39" s="39"/>
      <c r="U39" s="43" t="str">
        <f>IF($AA39=0,"",HYPERLINK("#'"&amp;INDEX(Jobs!$P$9:$P$258,$AA39)&amp;"'!A1","Open job"))</f>
        <v/>
      </c>
      <c r="V39" s="39"/>
      <c r="AA39">
        <f>IFERROR(MATCH(22,Jobs!$Q$9:$Q$258,0),0)</f>
        <v>0</v>
      </c>
    </row>
    <row r="40" spans="1:27" ht="36" hidden="1" customHeight="1" x14ac:dyDescent="0.35">
      <c r="A40" s="40" t="str">
        <f>IF($AA40=0,"",IF(LEN(INDEX(Jobs!$A$9:$A$258,$AA40)&amp;"")=0,"",INDEX(Jobs!$A$9:$A$258,$AA40)))</f>
        <v/>
      </c>
      <c r="B40" s="39"/>
      <c r="C40" s="40" t="str">
        <f>IF($AA40=0,"",IF(LEN(INDEX(Jobs!$B$9:$B$258,$AA40)&amp;"")=0,"",INDEX(Jobs!$B$9:$B$258,$AA40)))</f>
        <v/>
      </c>
      <c r="D40" s="39"/>
      <c r="E40" s="39"/>
      <c r="F40" s="39"/>
      <c r="G40" s="39"/>
      <c r="H40" s="39"/>
      <c r="I40" s="39"/>
      <c r="J40" s="39"/>
      <c r="K40" s="39"/>
      <c r="L40" s="40" t="str">
        <f>IF($AA40=0,"",IF(LEN(INDEX(Jobs!$D$9:$D$258,$AA40)&amp;"")=0,"",INDEX(Jobs!$D$9:$D$258,$AA40)))</f>
        <v/>
      </c>
      <c r="M40" s="39"/>
      <c r="N40" s="39"/>
      <c r="O40" s="41" t="str">
        <f>IF($AA40=0,"",IF(LEN(INDEX(Jobs!$G$9:$G$258,$AA40)&amp;"")=0,"",INDEX(Jobs!$G$9:$G$258,$AA40)))</f>
        <v/>
      </c>
      <c r="P40" s="39"/>
      <c r="Q40" s="39"/>
      <c r="R40" s="41" t="str">
        <f>IF($AA40=0,"",IF(LEN(INDEX(Jobs!$H$9:$H$258,$AA40)&amp;"")=0,"",INDEX(Jobs!$H$9:$H$258,$AA40)))</f>
        <v/>
      </c>
      <c r="S40" s="39"/>
      <c r="T40" s="39"/>
      <c r="U40" s="44" t="str">
        <f>IF($AA40=0,"",HYPERLINK("#'"&amp;INDEX(Jobs!$P$9:$P$258,$AA40)&amp;"'!A1","Open job"))</f>
        <v/>
      </c>
      <c r="V40" s="39"/>
      <c r="AA40">
        <f>IFERROR(MATCH(23,Jobs!$Q$9:$Q$258,0),0)</f>
        <v>0</v>
      </c>
    </row>
    <row r="41" spans="1:27" ht="36" hidden="1" customHeight="1" x14ac:dyDescent="0.35">
      <c r="A41" s="38" t="str">
        <f>IF($AA41=0,"",IF(LEN(INDEX(Jobs!$A$9:$A$258,$AA41)&amp;"")=0,"",INDEX(Jobs!$A$9:$A$258,$AA41)))</f>
        <v/>
      </c>
      <c r="B41" s="39"/>
      <c r="C41" s="38" t="str">
        <f>IF($AA41=0,"",IF(LEN(INDEX(Jobs!$B$9:$B$258,$AA41)&amp;"")=0,"",INDEX(Jobs!$B$9:$B$258,$AA41)))</f>
        <v/>
      </c>
      <c r="D41" s="39"/>
      <c r="E41" s="39"/>
      <c r="F41" s="39"/>
      <c r="G41" s="39"/>
      <c r="H41" s="39"/>
      <c r="I41" s="39"/>
      <c r="J41" s="39"/>
      <c r="K41" s="39"/>
      <c r="L41" s="38" t="str">
        <f>IF($AA41=0,"",IF(LEN(INDEX(Jobs!$D$9:$D$258,$AA41)&amp;"")=0,"",INDEX(Jobs!$D$9:$D$258,$AA41)))</f>
        <v/>
      </c>
      <c r="M41" s="39"/>
      <c r="N41" s="39"/>
      <c r="O41" s="42" t="str">
        <f>IF($AA41=0,"",IF(LEN(INDEX(Jobs!$G$9:$G$258,$AA41)&amp;"")=0,"",INDEX(Jobs!$G$9:$G$258,$AA41)))</f>
        <v/>
      </c>
      <c r="P41" s="39"/>
      <c r="Q41" s="39"/>
      <c r="R41" s="42" t="str">
        <f>IF($AA41=0,"",IF(LEN(INDEX(Jobs!$H$9:$H$258,$AA41)&amp;"")=0,"",INDEX(Jobs!$H$9:$H$258,$AA41)))</f>
        <v/>
      </c>
      <c r="S41" s="39"/>
      <c r="T41" s="39"/>
      <c r="U41" s="43" t="str">
        <f>IF($AA41=0,"",HYPERLINK("#'"&amp;INDEX(Jobs!$P$9:$P$258,$AA41)&amp;"'!A1","Open job"))</f>
        <v/>
      </c>
      <c r="V41" s="39"/>
      <c r="AA41">
        <f>IFERROR(MATCH(24,Jobs!$Q$9:$Q$258,0),0)</f>
        <v>0</v>
      </c>
    </row>
    <row r="42" spans="1:27" ht="36" hidden="1" customHeight="1" x14ac:dyDescent="0.35">
      <c r="A42" s="40" t="str">
        <f>IF($AA42=0,"",IF(LEN(INDEX(Jobs!$A$9:$A$258,$AA42)&amp;"")=0,"",INDEX(Jobs!$A$9:$A$258,$AA42)))</f>
        <v/>
      </c>
      <c r="B42" s="39"/>
      <c r="C42" s="40" t="str">
        <f>IF($AA42=0,"",IF(LEN(INDEX(Jobs!$B$9:$B$258,$AA42)&amp;"")=0,"",INDEX(Jobs!$B$9:$B$258,$AA42)))</f>
        <v/>
      </c>
      <c r="D42" s="39"/>
      <c r="E42" s="39"/>
      <c r="F42" s="39"/>
      <c r="G42" s="39"/>
      <c r="H42" s="39"/>
      <c r="I42" s="39"/>
      <c r="J42" s="39"/>
      <c r="K42" s="39"/>
      <c r="L42" s="40" t="str">
        <f>IF($AA42=0,"",IF(LEN(INDEX(Jobs!$D$9:$D$258,$AA42)&amp;"")=0,"",INDEX(Jobs!$D$9:$D$258,$AA42)))</f>
        <v/>
      </c>
      <c r="M42" s="39"/>
      <c r="N42" s="39"/>
      <c r="O42" s="41" t="str">
        <f>IF($AA42=0,"",IF(LEN(INDEX(Jobs!$G$9:$G$258,$AA42)&amp;"")=0,"",INDEX(Jobs!$G$9:$G$258,$AA42)))</f>
        <v/>
      </c>
      <c r="P42" s="39"/>
      <c r="Q42" s="39"/>
      <c r="R42" s="41" t="str">
        <f>IF($AA42=0,"",IF(LEN(INDEX(Jobs!$H$9:$H$258,$AA42)&amp;"")=0,"",INDEX(Jobs!$H$9:$H$258,$AA42)))</f>
        <v/>
      </c>
      <c r="S42" s="39"/>
      <c r="T42" s="39"/>
      <c r="U42" s="44" t="str">
        <f>IF($AA42=0,"",HYPERLINK("#'"&amp;INDEX(Jobs!$P$9:$P$258,$AA42)&amp;"'!A1","Open job"))</f>
        <v/>
      </c>
      <c r="V42" s="39"/>
      <c r="AA42">
        <f>IFERROR(MATCH(25,Jobs!$Q$9:$Q$258,0),0)</f>
        <v>0</v>
      </c>
    </row>
    <row r="43" spans="1:27" ht="36" hidden="1" customHeight="1" x14ac:dyDescent="0.35">
      <c r="A43" s="38" t="str">
        <f>IF($AA43=0,"",IF(LEN(INDEX(Jobs!$A$9:$A$258,$AA43)&amp;"")=0,"",INDEX(Jobs!$A$9:$A$258,$AA43)))</f>
        <v/>
      </c>
      <c r="B43" s="39"/>
      <c r="C43" s="38" t="str">
        <f>IF($AA43=0,"",IF(LEN(INDEX(Jobs!$B$9:$B$258,$AA43)&amp;"")=0,"",INDEX(Jobs!$B$9:$B$258,$AA43)))</f>
        <v/>
      </c>
      <c r="D43" s="39"/>
      <c r="E43" s="39"/>
      <c r="F43" s="39"/>
      <c r="G43" s="39"/>
      <c r="H43" s="39"/>
      <c r="I43" s="39"/>
      <c r="J43" s="39"/>
      <c r="K43" s="39"/>
      <c r="L43" s="38" t="str">
        <f>IF($AA43=0,"",IF(LEN(INDEX(Jobs!$D$9:$D$258,$AA43)&amp;"")=0,"",INDEX(Jobs!$D$9:$D$258,$AA43)))</f>
        <v/>
      </c>
      <c r="M43" s="39"/>
      <c r="N43" s="39"/>
      <c r="O43" s="42" t="str">
        <f>IF($AA43=0,"",IF(LEN(INDEX(Jobs!$G$9:$G$258,$AA43)&amp;"")=0,"",INDEX(Jobs!$G$9:$G$258,$AA43)))</f>
        <v/>
      </c>
      <c r="P43" s="39"/>
      <c r="Q43" s="39"/>
      <c r="R43" s="42" t="str">
        <f>IF($AA43=0,"",IF(LEN(INDEX(Jobs!$H$9:$H$258,$AA43)&amp;"")=0,"",INDEX(Jobs!$H$9:$H$258,$AA43)))</f>
        <v/>
      </c>
      <c r="S43" s="39"/>
      <c r="T43" s="39"/>
      <c r="U43" s="43" t="str">
        <f>IF($AA43=0,"",HYPERLINK("#'"&amp;INDEX(Jobs!$P$9:$P$258,$AA43)&amp;"'!A1","Open job"))</f>
        <v/>
      </c>
      <c r="V43" s="39"/>
      <c r="AA43">
        <f>IFERROR(MATCH(26,Jobs!$Q$9:$Q$258,0),0)</f>
        <v>0</v>
      </c>
    </row>
    <row r="44" spans="1:27" ht="36" hidden="1" customHeight="1" x14ac:dyDescent="0.35">
      <c r="A44" s="40" t="str">
        <f>IF($AA44=0,"",IF(LEN(INDEX(Jobs!$A$9:$A$258,$AA44)&amp;"")=0,"",INDEX(Jobs!$A$9:$A$258,$AA44)))</f>
        <v/>
      </c>
      <c r="B44" s="39"/>
      <c r="C44" s="40" t="str">
        <f>IF($AA44=0,"",IF(LEN(INDEX(Jobs!$B$9:$B$258,$AA44)&amp;"")=0,"",INDEX(Jobs!$B$9:$B$258,$AA44)))</f>
        <v/>
      </c>
      <c r="D44" s="39"/>
      <c r="E44" s="39"/>
      <c r="F44" s="39"/>
      <c r="G44" s="39"/>
      <c r="H44" s="39"/>
      <c r="I44" s="39"/>
      <c r="J44" s="39"/>
      <c r="K44" s="39"/>
      <c r="L44" s="40" t="str">
        <f>IF($AA44=0,"",IF(LEN(INDEX(Jobs!$D$9:$D$258,$AA44)&amp;"")=0,"",INDEX(Jobs!$D$9:$D$258,$AA44)))</f>
        <v/>
      </c>
      <c r="M44" s="39"/>
      <c r="N44" s="39"/>
      <c r="O44" s="41" t="str">
        <f>IF($AA44=0,"",IF(LEN(INDEX(Jobs!$G$9:$G$258,$AA44)&amp;"")=0,"",INDEX(Jobs!$G$9:$G$258,$AA44)))</f>
        <v/>
      </c>
      <c r="P44" s="39"/>
      <c r="Q44" s="39"/>
      <c r="R44" s="41" t="str">
        <f>IF($AA44=0,"",IF(LEN(INDEX(Jobs!$H$9:$H$258,$AA44)&amp;"")=0,"",INDEX(Jobs!$H$9:$H$258,$AA44)))</f>
        <v/>
      </c>
      <c r="S44" s="39"/>
      <c r="T44" s="39"/>
      <c r="U44" s="44" t="str">
        <f>IF($AA44=0,"",HYPERLINK("#'"&amp;INDEX(Jobs!$P$9:$P$258,$AA44)&amp;"'!A1","Open job"))</f>
        <v/>
      </c>
      <c r="V44" s="39"/>
      <c r="AA44">
        <f>IFERROR(MATCH(27,Jobs!$Q$9:$Q$258,0),0)</f>
        <v>0</v>
      </c>
    </row>
    <row r="45" spans="1:27" ht="36" hidden="1" customHeight="1" x14ac:dyDescent="0.35">
      <c r="A45" s="38" t="str">
        <f>IF($AA45=0,"",IF(LEN(INDEX(Jobs!$A$9:$A$258,$AA45)&amp;"")=0,"",INDEX(Jobs!$A$9:$A$258,$AA45)))</f>
        <v/>
      </c>
      <c r="B45" s="39"/>
      <c r="C45" s="38" t="str">
        <f>IF($AA45=0,"",IF(LEN(INDEX(Jobs!$B$9:$B$258,$AA45)&amp;"")=0,"",INDEX(Jobs!$B$9:$B$258,$AA45)))</f>
        <v/>
      </c>
      <c r="D45" s="39"/>
      <c r="E45" s="39"/>
      <c r="F45" s="39"/>
      <c r="G45" s="39"/>
      <c r="H45" s="39"/>
      <c r="I45" s="39"/>
      <c r="J45" s="39"/>
      <c r="K45" s="39"/>
      <c r="L45" s="38" t="str">
        <f>IF($AA45=0,"",IF(LEN(INDEX(Jobs!$D$9:$D$258,$AA45)&amp;"")=0,"",INDEX(Jobs!$D$9:$D$258,$AA45)))</f>
        <v/>
      </c>
      <c r="M45" s="39"/>
      <c r="N45" s="39"/>
      <c r="O45" s="42" t="str">
        <f>IF($AA45=0,"",IF(LEN(INDEX(Jobs!$G$9:$G$258,$AA45)&amp;"")=0,"",INDEX(Jobs!$G$9:$G$258,$AA45)))</f>
        <v/>
      </c>
      <c r="P45" s="39"/>
      <c r="Q45" s="39"/>
      <c r="R45" s="42" t="str">
        <f>IF($AA45=0,"",IF(LEN(INDEX(Jobs!$H$9:$H$258,$AA45)&amp;"")=0,"",INDEX(Jobs!$H$9:$H$258,$AA45)))</f>
        <v/>
      </c>
      <c r="S45" s="39"/>
      <c r="T45" s="39"/>
      <c r="U45" s="43" t="str">
        <f>IF($AA45=0,"",HYPERLINK("#'"&amp;INDEX(Jobs!$P$9:$P$258,$AA45)&amp;"'!A1","Open job"))</f>
        <v/>
      </c>
      <c r="V45" s="39"/>
      <c r="AA45">
        <f>IFERROR(MATCH(28,Jobs!$Q$9:$Q$258,0),0)</f>
        <v>0</v>
      </c>
    </row>
    <row r="46" spans="1:27" ht="36" hidden="1" customHeight="1" x14ac:dyDescent="0.35">
      <c r="A46" s="40" t="str">
        <f>IF($AA46=0,"",IF(LEN(INDEX(Jobs!$A$9:$A$258,$AA46)&amp;"")=0,"",INDEX(Jobs!$A$9:$A$258,$AA46)))</f>
        <v/>
      </c>
      <c r="B46" s="39"/>
      <c r="C46" s="40" t="str">
        <f>IF($AA46=0,"",IF(LEN(INDEX(Jobs!$B$9:$B$258,$AA46)&amp;"")=0,"",INDEX(Jobs!$B$9:$B$258,$AA46)))</f>
        <v/>
      </c>
      <c r="D46" s="39"/>
      <c r="E46" s="39"/>
      <c r="F46" s="39"/>
      <c r="G46" s="39"/>
      <c r="H46" s="39"/>
      <c r="I46" s="39"/>
      <c r="J46" s="39"/>
      <c r="K46" s="39"/>
      <c r="L46" s="40" t="str">
        <f>IF($AA46=0,"",IF(LEN(INDEX(Jobs!$D$9:$D$258,$AA46)&amp;"")=0,"",INDEX(Jobs!$D$9:$D$258,$AA46)))</f>
        <v/>
      </c>
      <c r="M46" s="39"/>
      <c r="N46" s="39"/>
      <c r="O46" s="41" t="str">
        <f>IF($AA46=0,"",IF(LEN(INDEX(Jobs!$G$9:$G$258,$AA46)&amp;"")=0,"",INDEX(Jobs!$G$9:$G$258,$AA46)))</f>
        <v/>
      </c>
      <c r="P46" s="39"/>
      <c r="Q46" s="39"/>
      <c r="R46" s="41" t="str">
        <f>IF($AA46=0,"",IF(LEN(INDEX(Jobs!$H$9:$H$258,$AA46)&amp;"")=0,"",INDEX(Jobs!$H$9:$H$258,$AA46)))</f>
        <v/>
      </c>
      <c r="S46" s="39"/>
      <c r="T46" s="39"/>
      <c r="U46" s="44" t="str">
        <f>IF($AA46=0,"",HYPERLINK("#'"&amp;INDEX(Jobs!$P$9:$P$258,$AA46)&amp;"'!A1","Open job"))</f>
        <v/>
      </c>
      <c r="V46" s="39"/>
      <c r="AA46">
        <f>IFERROR(MATCH(29,Jobs!$Q$9:$Q$258,0),0)</f>
        <v>0</v>
      </c>
    </row>
    <row r="47" spans="1:27" ht="36" hidden="1" customHeight="1" x14ac:dyDescent="0.35">
      <c r="A47" s="38" t="str">
        <f>IF($AA47=0,"",IF(LEN(INDEX(Jobs!$A$9:$A$258,$AA47)&amp;"")=0,"",INDEX(Jobs!$A$9:$A$258,$AA47)))</f>
        <v/>
      </c>
      <c r="B47" s="39"/>
      <c r="C47" s="38" t="str">
        <f>IF($AA47=0,"",IF(LEN(INDEX(Jobs!$B$9:$B$258,$AA47)&amp;"")=0,"",INDEX(Jobs!$B$9:$B$258,$AA47)))</f>
        <v/>
      </c>
      <c r="D47" s="39"/>
      <c r="E47" s="39"/>
      <c r="F47" s="39"/>
      <c r="G47" s="39"/>
      <c r="H47" s="39"/>
      <c r="I47" s="39"/>
      <c r="J47" s="39"/>
      <c r="K47" s="39"/>
      <c r="L47" s="38" t="str">
        <f>IF($AA47=0,"",IF(LEN(INDEX(Jobs!$D$9:$D$258,$AA47)&amp;"")=0,"",INDEX(Jobs!$D$9:$D$258,$AA47)))</f>
        <v/>
      </c>
      <c r="M47" s="39"/>
      <c r="N47" s="39"/>
      <c r="O47" s="42" t="str">
        <f>IF($AA47=0,"",IF(LEN(INDEX(Jobs!$G$9:$G$258,$AA47)&amp;"")=0,"",INDEX(Jobs!$G$9:$G$258,$AA47)))</f>
        <v/>
      </c>
      <c r="P47" s="39"/>
      <c r="Q47" s="39"/>
      <c r="R47" s="42" t="str">
        <f>IF($AA47=0,"",IF(LEN(INDEX(Jobs!$H$9:$H$258,$AA47)&amp;"")=0,"",INDEX(Jobs!$H$9:$H$258,$AA47)))</f>
        <v/>
      </c>
      <c r="S47" s="39"/>
      <c r="T47" s="39"/>
      <c r="U47" s="43" t="str">
        <f>IF($AA47=0,"",HYPERLINK("#'"&amp;INDEX(Jobs!$P$9:$P$258,$AA47)&amp;"'!A1","Open job"))</f>
        <v/>
      </c>
      <c r="V47" s="39"/>
      <c r="AA47">
        <f>IFERROR(MATCH(30,Jobs!$Q$9:$Q$258,0),0)</f>
        <v>0</v>
      </c>
    </row>
    <row r="48" spans="1:27" ht="36" hidden="1" customHeight="1" x14ac:dyDescent="0.35">
      <c r="A48" s="40" t="str">
        <f>IF($AA48=0,"",IF(LEN(INDEX(Jobs!$A$9:$A$258,$AA48)&amp;"")=0,"",INDEX(Jobs!$A$9:$A$258,$AA48)))</f>
        <v/>
      </c>
      <c r="B48" s="39"/>
      <c r="C48" s="40" t="str">
        <f>IF($AA48=0,"",IF(LEN(INDEX(Jobs!$B$9:$B$258,$AA48)&amp;"")=0,"",INDEX(Jobs!$B$9:$B$258,$AA48)))</f>
        <v/>
      </c>
      <c r="D48" s="39"/>
      <c r="E48" s="39"/>
      <c r="F48" s="39"/>
      <c r="G48" s="39"/>
      <c r="H48" s="39"/>
      <c r="I48" s="39"/>
      <c r="J48" s="39"/>
      <c r="K48" s="39"/>
      <c r="L48" s="40" t="str">
        <f>IF($AA48=0,"",IF(LEN(INDEX(Jobs!$D$9:$D$258,$AA48)&amp;"")=0,"",INDEX(Jobs!$D$9:$D$258,$AA48)))</f>
        <v/>
      </c>
      <c r="M48" s="39"/>
      <c r="N48" s="39"/>
      <c r="O48" s="41" t="str">
        <f>IF($AA48=0,"",IF(LEN(INDEX(Jobs!$G$9:$G$258,$AA48)&amp;"")=0,"",INDEX(Jobs!$G$9:$G$258,$AA48)))</f>
        <v/>
      </c>
      <c r="P48" s="39"/>
      <c r="Q48" s="39"/>
      <c r="R48" s="41" t="str">
        <f>IF($AA48=0,"",IF(LEN(INDEX(Jobs!$H$9:$H$258,$AA48)&amp;"")=0,"",INDEX(Jobs!$H$9:$H$258,$AA48)))</f>
        <v/>
      </c>
      <c r="S48" s="39"/>
      <c r="T48" s="39"/>
      <c r="U48" s="44" t="str">
        <f>IF($AA48=0,"",HYPERLINK("#'"&amp;INDEX(Jobs!$P$9:$P$258,$AA48)&amp;"'!A1","Open job"))</f>
        <v/>
      </c>
      <c r="V48" s="39"/>
      <c r="AA48">
        <f>IFERROR(MATCH(31,Jobs!$Q$9:$Q$258,0),0)</f>
        <v>0</v>
      </c>
    </row>
    <row r="49" spans="1:27" ht="36" hidden="1" customHeight="1" x14ac:dyDescent="0.35">
      <c r="A49" s="38" t="str">
        <f>IF($AA49=0,"",IF(LEN(INDEX(Jobs!$A$9:$A$258,$AA49)&amp;"")=0,"",INDEX(Jobs!$A$9:$A$258,$AA49)))</f>
        <v/>
      </c>
      <c r="B49" s="39"/>
      <c r="C49" s="38" t="str">
        <f>IF($AA49=0,"",IF(LEN(INDEX(Jobs!$B$9:$B$258,$AA49)&amp;"")=0,"",INDEX(Jobs!$B$9:$B$258,$AA49)))</f>
        <v/>
      </c>
      <c r="D49" s="39"/>
      <c r="E49" s="39"/>
      <c r="F49" s="39"/>
      <c r="G49" s="39"/>
      <c r="H49" s="39"/>
      <c r="I49" s="39"/>
      <c r="J49" s="39"/>
      <c r="K49" s="39"/>
      <c r="L49" s="38" t="str">
        <f>IF($AA49=0,"",IF(LEN(INDEX(Jobs!$D$9:$D$258,$AA49)&amp;"")=0,"",INDEX(Jobs!$D$9:$D$258,$AA49)))</f>
        <v/>
      </c>
      <c r="M49" s="39"/>
      <c r="N49" s="39"/>
      <c r="O49" s="42" t="str">
        <f>IF($AA49=0,"",IF(LEN(INDEX(Jobs!$G$9:$G$258,$AA49)&amp;"")=0,"",INDEX(Jobs!$G$9:$G$258,$AA49)))</f>
        <v/>
      </c>
      <c r="P49" s="39"/>
      <c r="Q49" s="39"/>
      <c r="R49" s="42" t="str">
        <f>IF($AA49=0,"",IF(LEN(INDEX(Jobs!$H$9:$H$258,$AA49)&amp;"")=0,"",INDEX(Jobs!$H$9:$H$258,$AA49)))</f>
        <v/>
      </c>
      <c r="S49" s="39"/>
      <c r="T49" s="39"/>
      <c r="U49" s="43" t="str">
        <f>IF($AA49=0,"",HYPERLINK("#'"&amp;INDEX(Jobs!$P$9:$P$258,$AA49)&amp;"'!A1","Open job"))</f>
        <v/>
      </c>
      <c r="V49" s="39"/>
      <c r="AA49">
        <f>IFERROR(MATCH(32,Jobs!$Q$9:$Q$258,0),0)</f>
        <v>0</v>
      </c>
    </row>
    <row r="50" spans="1:27" ht="36" hidden="1" customHeight="1" x14ac:dyDescent="0.35">
      <c r="A50" s="40" t="str">
        <f>IF($AA50=0,"",IF(LEN(INDEX(Jobs!$A$9:$A$258,$AA50)&amp;"")=0,"",INDEX(Jobs!$A$9:$A$258,$AA50)))</f>
        <v/>
      </c>
      <c r="B50" s="39"/>
      <c r="C50" s="40" t="str">
        <f>IF($AA50=0,"",IF(LEN(INDEX(Jobs!$B$9:$B$258,$AA50)&amp;"")=0,"",INDEX(Jobs!$B$9:$B$258,$AA50)))</f>
        <v/>
      </c>
      <c r="D50" s="39"/>
      <c r="E50" s="39"/>
      <c r="F50" s="39"/>
      <c r="G50" s="39"/>
      <c r="H50" s="39"/>
      <c r="I50" s="39"/>
      <c r="J50" s="39"/>
      <c r="K50" s="39"/>
      <c r="L50" s="40" t="str">
        <f>IF($AA50=0,"",IF(LEN(INDEX(Jobs!$D$9:$D$258,$AA50)&amp;"")=0,"",INDEX(Jobs!$D$9:$D$258,$AA50)))</f>
        <v/>
      </c>
      <c r="M50" s="39"/>
      <c r="N50" s="39"/>
      <c r="O50" s="41" t="str">
        <f>IF($AA50=0,"",IF(LEN(INDEX(Jobs!$G$9:$G$258,$AA50)&amp;"")=0,"",INDEX(Jobs!$G$9:$G$258,$AA50)))</f>
        <v/>
      </c>
      <c r="P50" s="39"/>
      <c r="Q50" s="39"/>
      <c r="R50" s="41" t="str">
        <f>IF($AA50=0,"",IF(LEN(INDEX(Jobs!$H$9:$H$258,$AA50)&amp;"")=0,"",INDEX(Jobs!$H$9:$H$258,$AA50)))</f>
        <v/>
      </c>
      <c r="S50" s="39"/>
      <c r="T50" s="39"/>
      <c r="U50" s="44" t="str">
        <f>IF($AA50=0,"",HYPERLINK("#'"&amp;INDEX(Jobs!$P$9:$P$258,$AA50)&amp;"'!A1","Open job"))</f>
        <v/>
      </c>
      <c r="V50" s="39"/>
      <c r="AA50">
        <f>IFERROR(MATCH(33,Jobs!$Q$9:$Q$258,0),0)</f>
        <v>0</v>
      </c>
    </row>
    <row r="51" spans="1:27" ht="36" hidden="1" customHeight="1" x14ac:dyDescent="0.35">
      <c r="A51" s="38" t="str">
        <f>IF($AA51=0,"",IF(LEN(INDEX(Jobs!$A$9:$A$258,$AA51)&amp;"")=0,"",INDEX(Jobs!$A$9:$A$258,$AA51)))</f>
        <v/>
      </c>
      <c r="B51" s="39"/>
      <c r="C51" s="38" t="str">
        <f>IF($AA51=0,"",IF(LEN(INDEX(Jobs!$B$9:$B$258,$AA51)&amp;"")=0,"",INDEX(Jobs!$B$9:$B$258,$AA51)))</f>
        <v/>
      </c>
      <c r="D51" s="39"/>
      <c r="E51" s="39"/>
      <c r="F51" s="39"/>
      <c r="G51" s="39"/>
      <c r="H51" s="39"/>
      <c r="I51" s="39"/>
      <c r="J51" s="39"/>
      <c r="K51" s="39"/>
      <c r="L51" s="38" t="str">
        <f>IF($AA51=0,"",IF(LEN(INDEX(Jobs!$D$9:$D$258,$AA51)&amp;"")=0,"",INDEX(Jobs!$D$9:$D$258,$AA51)))</f>
        <v/>
      </c>
      <c r="M51" s="39"/>
      <c r="N51" s="39"/>
      <c r="O51" s="42" t="str">
        <f>IF($AA51=0,"",IF(LEN(INDEX(Jobs!$G$9:$G$258,$AA51)&amp;"")=0,"",INDEX(Jobs!$G$9:$G$258,$AA51)))</f>
        <v/>
      </c>
      <c r="P51" s="39"/>
      <c r="Q51" s="39"/>
      <c r="R51" s="42" t="str">
        <f>IF($AA51=0,"",IF(LEN(INDEX(Jobs!$H$9:$H$258,$AA51)&amp;"")=0,"",INDEX(Jobs!$H$9:$H$258,$AA51)))</f>
        <v/>
      </c>
      <c r="S51" s="39"/>
      <c r="T51" s="39"/>
      <c r="U51" s="43" t="str">
        <f>IF($AA51=0,"",HYPERLINK("#'"&amp;INDEX(Jobs!$P$9:$P$258,$AA51)&amp;"'!A1","Open job"))</f>
        <v/>
      </c>
      <c r="V51" s="39"/>
      <c r="AA51">
        <f>IFERROR(MATCH(34,Jobs!$Q$9:$Q$258,0),0)</f>
        <v>0</v>
      </c>
    </row>
    <row r="52" spans="1:27" ht="36" hidden="1" customHeight="1" x14ac:dyDescent="0.35">
      <c r="A52" s="40" t="str">
        <f>IF($AA52=0,"",IF(LEN(INDEX(Jobs!$A$9:$A$258,$AA52)&amp;"")=0,"",INDEX(Jobs!$A$9:$A$258,$AA52)))</f>
        <v/>
      </c>
      <c r="B52" s="39"/>
      <c r="C52" s="40" t="str">
        <f>IF($AA52=0,"",IF(LEN(INDEX(Jobs!$B$9:$B$258,$AA52)&amp;"")=0,"",INDEX(Jobs!$B$9:$B$258,$AA52)))</f>
        <v/>
      </c>
      <c r="D52" s="39"/>
      <c r="E52" s="39"/>
      <c r="F52" s="39"/>
      <c r="G52" s="39"/>
      <c r="H52" s="39"/>
      <c r="I52" s="39"/>
      <c r="J52" s="39"/>
      <c r="K52" s="39"/>
      <c r="L52" s="40" t="str">
        <f>IF($AA52=0,"",IF(LEN(INDEX(Jobs!$D$9:$D$258,$AA52)&amp;"")=0,"",INDEX(Jobs!$D$9:$D$258,$AA52)))</f>
        <v/>
      </c>
      <c r="M52" s="39"/>
      <c r="N52" s="39"/>
      <c r="O52" s="41" t="str">
        <f>IF($AA52=0,"",IF(LEN(INDEX(Jobs!$G$9:$G$258,$AA52)&amp;"")=0,"",INDEX(Jobs!$G$9:$G$258,$AA52)))</f>
        <v/>
      </c>
      <c r="P52" s="39"/>
      <c r="Q52" s="39"/>
      <c r="R52" s="41" t="str">
        <f>IF($AA52=0,"",IF(LEN(INDEX(Jobs!$H$9:$H$258,$AA52)&amp;"")=0,"",INDEX(Jobs!$H$9:$H$258,$AA52)))</f>
        <v/>
      </c>
      <c r="S52" s="39"/>
      <c r="T52" s="39"/>
      <c r="U52" s="44" t="str">
        <f>IF($AA52=0,"",HYPERLINK("#'"&amp;INDEX(Jobs!$P$9:$P$258,$AA52)&amp;"'!A1","Open job"))</f>
        <v/>
      </c>
      <c r="V52" s="39"/>
      <c r="AA52">
        <f>IFERROR(MATCH(35,Jobs!$Q$9:$Q$258,0),0)</f>
        <v>0</v>
      </c>
    </row>
    <row r="53" spans="1:27" ht="36" hidden="1" customHeight="1" x14ac:dyDescent="0.35">
      <c r="A53" s="38" t="str">
        <f>IF($AA53=0,"",IF(LEN(INDEX(Jobs!$A$9:$A$258,$AA53)&amp;"")=0,"",INDEX(Jobs!$A$9:$A$258,$AA53)))</f>
        <v/>
      </c>
      <c r="B53" s="39"/>
      <c r="C53" s="38" t="str">
        <f>IF($AA53=0,"",IF(LEN(INDEX(Jobs!$B$9:$B$258,$AA53)&amp;"")=0,"",INDEX(Jobs!$B$9:$B$258,$AA53)))</f>
        <v/>
      </c>
      <c r="D53" s="39"/>
      <c r="E53" s="39"/>
      <c r="F53" s="39"/>
      <c r="G53" s="39"/>
      <c r="H53" s="39"/>
      <c r="I53" s="39"/>
      <c r="J53" s="39"/>
      <c r="K53" s="39"/>
      <c r="L53" s="38" t="str">
        <f>IF($AA53=0,"",IF(LEN(INDEX(Jobs!$D$9:$D$258,$AA53)&amp;"")=0,"",INDEX(Jobs!$D$9:$D$258,$AA53)))</f>
        <v/>
      </c>
      <c r="M53" s="39"/>
      <c r="N53" s="39"/>
      <c r="O53" s="42" t="str">
        <f>IF($AA53=0,"",IF(LEN(INDEX(Jobs!$G$9:$G$258,$AA53)&amp;"")=0,"",INDEX(Jobs!$G$9:$G$258,$AA53)))</f>
        <v/>
      </c>
      <c r="P53" s="39"/>
      <c r="Q53" s="39"/>
      <c r="R53" s="42" t="str">
        <f>IF($AA53=0,"",IF(LEN(INDEX(Jobs!$H$9:$H$258,$AA53)&amp;"")=0,"",INDEX(Jobs!$H$9:$H$258,$AA53)))</f>
        <v/>
      </c>
      <c r="S53" s="39"/>
      <c r="T53" s="39"/>
      <c r="U53" s="43" t="str">
        <f>IF($AA53=0,"",HYPERLINK("#'"&amp;INDEX(Jobs!$P$9:$P$258,$AA53)&amp;"'!A1","Open job"))</f>
        <v/>
      </c>
      <c r="V53" s="39"/>
      <c r="AA53">
        <f>IFERROR(MATCH(36,Jobs!$Q$9:$Q$258,0),0)</f>
        <v>0</v>
      </c>
    </row>
    <row r="54" spans="1:27" ht="36" hidden="1" customHeight="1" x14ac:dyDescent="0.35">
      <c r="A54" s="40" t="str">
        <f>IF($AA54=0,"",IF(LEN(INDEX(Jobs!$A$9:$A$258,$AA54)&amp;"")=0,"",INDEX(Jobs!$A$9:$A$258,$AA54)))</f>
        <v/>
      </c>
      <c r="B54" s="39"/>
      <c r="C54" s="40" t="str">
        <f>IF($AA54=0,"",IF(LEN(INDEX(Jobs!$B$9:$B$258,$AA54)&amp;"")=0,"",INDEX(Jobs!$B$9:$B$258,$AA54)))</f>
        <v/>
      </c>
      <c r="D54" s="39"/>
      <c r="E54" s="39"/>
      <c r="F54" s="39"/>
      <c r="G54" s="39"/>
      <c r="H54" s="39"/>
      <c r="I54" s="39"/>
      <c r="J54" s="39"/>
      <c r="K54" s="39"/>
      <c r="L54" s="40" t="str">
        <f>IF($AA54=0,"",IF(LEN(INDEX(Jobs!$D$9:$D$258,$AA54)&amp;"")=0,"",INDEX(Jobs!$D$9:$D$258,$AA54)))</f>
        <v/>
      </c>
      <c r="M54" s="39"/>
      <c r="N54" s="39"/>
      <c r="O54" s="41" t="str">
        <f>IF($AA54=0,"",IF(LEN(INDEX(Jobs!$G$9:$G$258,$AA54)&amp;"")=0,"",INDEX(Jobs!$G$9:$G$258,$AA54)))</f>
        <v/>
      </c>
      <c r="P54" s="39"/>
      <c r="Q54" s="39"/>
      <c r="R54" s="41" t="str">
        <f>IF($AA54=0,"",IF(LEN(INDEX(Jobs!$H$9:$H$258,$AA54)&amp;"")=0,"",INDEX(Jobs!$H$9:$H$258,$AA54)))</f>
        <v/>
      </c>
      <c r="S54" s="39"/>
      <c r="T54" s="39"/>
      <c r="U54" s="44" t="str">
        <f>IF($AA54=0,"",HYPERLINK("#'"&amp;INDEX(Jobs!$P$9:$P$258,$AA54)&amp;"'!A1","Open job"))</f>
        <v/>
      </c>
      <c r="V54" s="39"/>
      <c r="AA54">
        <f>IFERROR(MATCH(37,Jobs!$Q$9:$Q$258,0),0)</f>
        <v>0</v>
      </c>
    </row>
    <row r="55" spans="1:27" ht="36" hidden="1" customHeight="1" x14ac:dyDescent="0.35">
      <c r="A55" s="38" t="str">
        <f>IF($AA55=0,"",IF(LEN(INDEX(Jobs!$A$9:$A$258,$AA55)&amp;"")=0,"",INDEX(Jobs!$A$9:$A$258,$AA55)))</f>
        <v/>
      </c>
      <c r="B55" s="39"/>
      <c r="C55" s="38" t="str">
        <f>IF($AA55=0,"",IF(LEN(INDEX(Jobs!$B$9:$B$258,$AA55)&amp;"")=0,"",INDEX(Jobs!$B$9:$B$258,$AA55)))</f>
        <v/>
      </c>
      <c r="D55" s="39"/>
      <c r="E55" s="39"/>
      <c r="F55" s="39"/>
      <c r="G55" s="39"/>
      <c r="H55" s="39"/>
      <c r="I55" s="39"/>
      <c r="J55" s="39"/>
      <c r="K55" s="39"/>
      <c r="L55" s="38" t="str">
        <f>IF($AA55=0,"",IF(LEN(INDEX(Jobs!$D$9:$D$258,$AA55)&amp;"")=0,"",INDEX(Jobs!$D$9:$D$258,$AA55)))</f>
        <v/>
      </c>
      <c r="M55" s="39"/>
      <c r="N55" s="39"/>
      <c r="O55" s="42" t="str">
        <f>IF($AA55=0,"",IF(LEN(INDEX(Jobs!$G$9:$G$258,$AA55)&amp;"")=0,"",INDEX(Jobs!$G$9:$G$258,$AA55)))</f>
        <v/>
      </c>
      <c r="P55" s="39"/>
      <c r="Q55" s="39"/>
      <c r="R55" s="42" t="str">
        <f>IF($AA55=0,"",IF(LEN(INDEX(Jobs!$H$9:$H$258,$AA55)&amp;"")=0,"",INDEX(Jobs!$H$9:$H$258,$AA55)))</f>
        <v/>
      </c>
      <c r="S55" s="39"/>
      <c r="T55" s="39"/>
      <c r="U55" s="43" t="str">
        <f>IF($AA55=0,"",HYPERLINK("#'"&amp;INDEX(Jobs!$P$9:$P$258,$AA55)&amp;"'!A1","Open job"))</f>
        <v/>
      </c>
      <c r="V55" s="39"/>
      <c r="AA55">
        <f>IFERROR(MATCH(38,Jobs!$Q$9:$Q$258,0),0)</f>
        <v>0</v>
      </c>
    </row>
    <row r="56" spans="1:27" ht="36" hidden="1" customHeight="1" x14ac:dyDescent="0.35">
      <c r="A56" s="40" t="str">
        <f>IF($AA56=0,"",IF(LEN(INDEX(Jobs!$A$9:$A$258,$AA56)&amp;"")=0,"",INDEX(Jobs!$A$9:$A$258,$AA56)))</f>
        <v/>
      </c>
      <c r="B56" s="39"/>
      <c r="C56" s="40" t="str">
        <f>IF($AA56=0,"",IF(LEN(INDEX(Jobs!$B$9:$B$258,$AA56)&amp;"")=0,"",INDEX(Jobs!$B$9:$B$258,$AA56)))</f>
        <v/>
      </c>
      <c r="D56" s="39"/>
      <c r="E56" s="39"/>
      <c r="F56" s="39"/>
      <c r="G56" s="39"/>
      <c r="H56" s="39"/>
      <c r="I56" s="39"/>
      <c r="J56" s="39"/>
      <c r="K56" s="39"/>
      <c r="L56" s="40" t="str">
        <f>IF($AA56=0,"",IF(LEN(INDEX(Jobs!$D$9:$D$258,$AA56)&amp;"")=0,"",INDEX(Jobs!$D$9:$D$258,$AA56)))</f>
        <v/>
      </c>
      <c r="M56" s="39"/>
      <c r="N56" s="39"/>
      <c r="O56" s="41" t="str">
        <f>IF($AA56=0,"",IF(LEN(INDEX(Jobs!$G$9:$G$258,$AA56)&amp;"")=0,"",INDEX(Jobs!$G$9:$G$258,$AA56)))</f>
        <v/>
      </c>
      <c r="P56" s="39"/>
      <c r="Q56" s="39"/>
      <c r="R56" s="41" t="str">
        <f>IF($AA56=0,"",IF(LEN(INDEX(Jobs!$H$9:$H$258,$AA56)&amp;"")=0,"",INDEX(Jobs!$H$9:$H$258,$AA56)))</f>
        <v/>
      </c>
      <c r="S56" s="39"/>
      <c r="T56" s="39"/>
      <c r="U56" s="44" t="str">
        <f>IF($AA56=0,"",HYPERLINK("#'"&amp;INDEX(Jobs!$P$9:$P$258,$AA56)&amp;"'!A1","Open job"))</f>
        <v/>
      </c>
      <c r="V56" s="39"/>
      <c r="AA56">
        <f>IFERROR(MATCH(39,Jobs!$Q$9:$Q$258,0),0)</f>
        <v>0</v>
      </c>
    </row>
    <row r="57" spans="1:27" ht="36" hidden="1" customHeight="1" x14ac:dyDescent="0.35">
      <c r="A57" s="38" t="str">
        <f>IF($AA57=0,"",IF(LEN(INDEX(Jobs!$A$9:$A$258,$AA57)&amp;"")=0,"",INDEX(Jobs!$A$9:$A$258,$AA57)))</f>
        <v/>
      </c>
      <c r="B57" s="39"/>
      <c r="C57" s="38" t="str">
        <f>IF($AA57=0,"",IF(LEN(INDEX(Jobs!$B$9:$B$258,$AA57)&amp;"")=0,"",INDEX(Jobs!$B$9:$B$258,$AA57)))</f>
        <v/>
      </c>
      <c r="D57" s="39"/>
      <c r="E57" s="39"/>
      <c r="F57" s="39"/>
      <c r="G57" s="39"/>
      <c r="H57" s="39"/>
      <c r="I57" s="39"/>
      <c r="J57" s="39"/>
      <c r="K57" s="39"/>
      <c r="L57" s="38" t="str">
        <f>IF($AA57=0,"",IF(LEN(INDEX(Jobs!$D$9:$D$258,$AA57)&amp;"")=0,"",INDEX(Jobs!$D$9:$D$258,$AA57)))</f>
        <v/>
      </c>
      <c r="M57" s="39"/>
      <c r="N57" s="39"/>
      <c r="O57" s="42" t="str">
        <f>IF($AA57=0,"",IF(LEN(INDEX(Jobs!$G$9:$G$258,$AA57)&amp;"")=0,"",INDEX(Jobs!$G$9:$G$258,$AA57)))</f>
        <v/>
      </c>
      <c r="P57" s="39"/>
      <c r="Q57" s="39"/>
      <c r="R57" s="42" t="str">
        <f>IF($AA57=0,"",IF(LEN(INDEX(Jobs!$H$9:$H$258,$AA57)&amp;"")=0,"",INDEX(Jobs!$H$9:$H$258,$AA57)))</f>
        <v/>
      </c>
      <c r="S57" s="39"/>
      <c r="T57" s="39"/>
      <c r="U57" s="43" t="str">
        <f>IF($AA57=0,"",HYPERLINK("#'"&amp;INDEX(Jobs!$P$9:$P$258,$AA57)&amp;"'!A1","Open job"))</f>
        <v/>
      </c>
      <c r="V57" s="39"/>
      <c r="AA57">
        <f>IFERROR(MATCH(40,Jobs!$Q$9:$Q$258,0),0)</f>
        <v>0</v>
      </c>
    </row>
    <row r="58" spans="1:27" ht="36" hidden="1" customHeight="1" x14ac:dyDescent="0.35">
      <c r="A58" s="40" t="str">
        <f>IF($AA58=0,"",IF(LEN(INDEX(Jobs!$A$9:$A$258,$AA58)&amp;"")=0,"",INDEX(Jobs!$A$9:$A$258,$AA58)))</f>
        <v/>
      </c>
      <c r="B58" s="39"/>
      <c r="C58" s="40" t="str">
        <f>IF($AA58=0,"",IF(LEN(INDEX(Jobs!$B$9:$B$258,$AA58)&amp;"")=0,"",INDEX(Jobs!$B$9:$B$258,$AA58)))</f>
        <v/>
      </c>
      <c r="D58" s="39"/>
      <c r="E58" s="39"/>
      <c r="F58" s="39"/>
      <c r="G58" s="39"/>
      <c r="H58" s="39"/>
      <c r="I58" s="39"/>
      <c r="J58" s="39"/>
      <c r="K58" s="39"/>
      <c r="L58" s="40" t="str">
        <f>IF($AA58=0,"",IF(LEN(INDEX(Jobs!$D$9:$D$258,$AA58)&amp;"")=0,"",INDEX(Jobs!$D$9:$D$258,$AA58)))</f>
        <v/>
      </c>
      <c r="M58" s="39"/>
      <c r="N58" s="39"/>
      <c r="O58" s="41" t="str">
        <f>IF($AA58=0,"",IF(LEN(INDEX(Jobs!$G$9:$G$258,$AA58)&amp;"")=0,"",INDEX(Jobs!$G$9:$G$258,$AA58)))</f>
        <v/>
      </c>
      <c r="P58" s="39"/>
      <c r="Q58" s="39"/>
      <c r="R58" s="41" t="str">
        <f>IF($AA58=0,"",IF(LEN(INDEX(Jobs!$H$9:$H$258,$AA58)&amp;"")=0,"",INDEX(Jobs!$H$9:$H$258,$AA58)))</f>
        <v/>
      </c>
      <c r="S58" s="39"/>
      <c r="T58" s="39"/>
      <c r="U58" s="44" t="str">
        <f>IF($AA58=0,"",HYPERLINK("#'"&amp;INDEX(Jobs!$P$9:$P$258,$AA58)&amp;"'!A1","Open job"))</f>
        <v/>
      </c>
      <c r="V58" s="39"/>
      <c r="AA58">
        <f>IFERROR(MATCH(41,Jobs!$Q$9:$Q$258,0),0)</f>
        <v>0</v>
      </c>
    </row>
    <row r="59" spans="1:27" ht="36" hidden="1" customHeight="1" x14ac:dyDescent="0.35">
      <c r="A59" s="38" t="str">
        <f>IF($AA59=0,"",IF(LEN(INDEX(Jobs!$A$9:$A$258,$AA59)&amp;"")=0,"",INDEX(Jobs!$A$9:$A$258,$AA59)))</f>
        <v/>
      </c>
      <c r="B59" s="39"/>
      <c r="C59" s="38" t="str">
        <f>IF($AA59=0,"",IF(LEN(INDEX(Jobs!$B$9:$B$258,$AA59)&amp;"")=0,"",INDEX(Jobs!$B$9:$B$258,$AA59)))</f>
        <v/>
      </c>
      <c r="D59" s="39"/>
      <c r="E59" s="39"/>
      <c r="F59" s="39"/>
      <c r="G59" s="39"/>
      <c r="H59" s="39"/>
      <c r="I59" s="39"/>
      <c r="J59" s="39"/>
      <c r="K59" s="39"/>
      <c r="L59" s="38" t="str">
        <f>IF($AA59=0,"",IF(LEN(INDEX(Jobs!$D$9:$D$258,$AA59)&amp;"")=0,"",INDEX(Jobs!$D$9:$D$258,$AA59)))</f>
        <v/>
      </c>
      <c r="M59" s="39"/>
      <c r="N59" s="39"/>
      <c r="O59" s="42" t="str">
        <f>IF($AA59=0,"",IF(LEN(INDEX(Jobs!$G$9:$G$258,$AA59)&amp;"")=0,"",INDEX(Jobs!$G$9:$G$258,$AA59)))</f>
        <v/>
      </c>
      <c r="P59" s="39"/>
      <c r="Q59" s="39"/>
      <c r="R59" s="42" t="str">
        <f>IF($AA59=0,"",IF(LEN(INDEX(Jobs!$H$9:$H$258,$AA59)&amp;"")=0,"",INDEX(Jobs!$H$9:$H$258,$AA59)))</f>
        <v/>
      </c>
      <c r="S59" s="39"/>
      <c r="T59" s="39"/>
      <c r="U59" s="43" t="str">
        <f>IF($AA59=0,"",HYPERLINK("#'"&amp;INDEX(Jobs!$P$9:$P$258,$AA59)&amp;"'!A1","Open job"))</f>
        <v/>
      </c>
      <c r="V59" s="39"/>
      <c r="AA59">
        <f>IFERROR(MATCH(42,Jobs!$Q$9:$Q$258,0),0)</f>
        <v>0</v>
      </c>
    </row>
    <row r="60" spans="1:27" ht="36" hidden="1" customHeight="1" x14ac:dyDescent="0.35">
      <c r="A60" s="40" t="str">
        <f>IF($AA60=0,"",IF(LEN(INDEX(Jobs!$A$9:$A$258,$AA60)&amp;"")=0,"",INDEX(Jobs!$A$9:$A$258,$AA60)))</f>
        <v/>
      </c>
      <c r="B60" s="39"/>
      <c r="C60" s="40" t="str">
        <f>IF($AA60=0,"",IF(LEN(INDEX(Jobs!$B$9:$B$258,$AA60)&amp;"")=0,"",INDEX(Jobs!$B$9:$B$258,$AA60)))</f>
        <v/>
      </c>
      <c r="D60" s="39"/>
      <c r="E60" s="39"/>
      <c r="F60" s="39"/>
      <c r="G60" s="39"/>
      <c r="H60" s="39"/>
      <c r="I60" s="39"/>
      <c r="J60" s="39"/>
      <c r="K60" s="39"/>
      <c r="L60" s="40" t="str">
        <f>IF($AA60=0,"",IF(LEN(INDEX(Jobs!$D$9:$D$258,$AA60)&amp;"")=0,"",INDEX(Jobs!$D$9:$D$258,$AA60)))</f>
        <v/>
      </c>
      <c r="M60" s="39"/>
      <c r="N60" s="39"/>
      <c r="O60" s="41" t="str">
        <f>IF($AA60=0,"",IF(LEN(INDEX(Jobs!$G$9:$G$258,$AA60)&amp;"")=0,"",INDEX(Jobs!$G$9:$G$258,$AA60)))</f>
        <v/>
      </c>
      <c r="P60" s="39"/>
      <c r="Q60" s="39"/>
      <c r="R60" s="41" t="str">
        <f>IF($AA60=0,"",IF(LEN(INDEX(Jobs!$H$9:$H$258,$AA60)&amp;"")=0,"",INDEX(Jobs!$H$9:$H$258,$AA60)))</f>
        <v/>
      </c>
      <c r="S60" s="39"/>
      <c r="T60" s="39"/>
      <c r="U60" s="44" t="str">
        <f>IF($AA60=0,"",HYPERLINK("#'"&amp;INDEX(Jobs!$P$9:$P$258,$AA60)&amp;"'!A1","Open job"))</f>
        <v/>
      </c>
      <c r="V60" s="39"/>
      <c r="AA60">
        <f>IFERROR(MATCH(43,Jobs!$Q$9:$Q$258,0),0)</f>
        <v>0</v>
      </c>
    </row>
    <row r="61" spans="1:27" ht="36" hidden="1" customHeight="1" x14ac:dyDescent="0.35">
      <c r="A61" s="38" t="str">
        <f>IF($AA61=0,"",IF(LEN(INDEX(Jobs!$A$9:$A$258,$AA61)&amp;"")=0,"",INDEX(Jobs!$A$9:$A$258,$AA61)))</f>
        <v/>
      </c>
      <c r="B61" s="39"/>
      <c r="C61" s="38" t="str">
        <f>IF($AA61=0,"",IF(LEN(INDEX(Jobs!$B$9:$B$258,$AA61)&amp;"")=0,"",INDEX(Jobs!$B$9:$B$258,$AA61)))</f>
        <v/>
      </c>
      <c r="D61" s="39"/>
      <c r="E61" s="39"/>
      <c r="F61" s="39"/>
      <c r="G61" s="39"/>
      <c r="H61" s="39"/>
      <c r="I61" s="39"/>
      <c r="J61" s="39"/>
      <c r="K61" s="39"/>
      <c r="L61" s="38" t="str">
        <f>IF($AA61=0,"",IF(LEN(INDEX(Jobs!$D$9:$D$258,$AA61)&amp;"")=0,"",INDEX(Jobs!$D$9:$D$258,$AA61)))</f>
        <v/>
      </c>
      <c r="M61" s="39"/>
      <c r="N61" s="39"/>
      <c r="O61" s="42" t="str">
        <f>IF($AA61=0,"",IF(LEN(INDEX(Jobs!$G$9:$G$258,$AA61)&amp;"")=0,"",INDEX(Jobs!$G$9:$G$258,$AA61)))</f>
        <v/>
      </c>
      <c r="P61" s="39"/>
      <c r="Q61" s="39"/>
      <c r="R61" s="42" t="str">
        <f>IF($AA61=0,"",IF(LEN(INDEX(Jobs!$H$9:$H$258,$AA61)&amp;"")=0,"",INDEX(Jobs!$H$9:$H$258,$AA61)))</f>
        <v/>
      </c>
      <c r="S61" s="39"/>
      <c r="T61" s="39"/>
      <c r="U61" s="43" t="str">
        <f>IF($AA61=0,"",HYPERLINK("#'"&amp;INDEX(Jobs!$P$9:$P$258,$AA61)&amp;"'!A1","Open job"))</f>
        <v/>
      </c>
      <c r="V61" s="39"/>
      <c r="AA61">
        <f>IFERROR(MATCH(44,Jobs!$Q$9:$Q$258,0),0)</f>
        <v>0</v>
      </c>
    </row>
    <row r="62" spans="1:27" ht="36" hidden="1" customHeight="1" x14ac:dyDescent="0.35">
      <c r="A62" s="40" t="str">
        <f>IF($AA62=0,"",IF(LEN(INDEX(Jobs!$A$9:$A$258,$AA62)&amp;"")=0,"",INDEX(Jobs!$A$9:$A$258,$AA62)))</f>
        <v/>
      </c>
      <c r="B62" s="39"/>
      <c r="C62" s="40" t="str">
        <f>IF($AA62=0,"",IF(LEN(INDEX(Jobs!$B$9:$B$258,$AA62)&amp;"")=0,"",INDEX(Jobs!$B$9:$B$258,$AA62)))</f>
        <v/>
      </c>
      <c r="D62" s="39"/>
      <c r="E62" s="39"/>
      <c r="F62" s="39"/>
      <c r="G62" s="39"/>
      <c r="H62" s="39"/>
      <c r="I62" s="39"/>
      <c r="J62" s="39"/>
      <c r="K62" s="39"/>
      <c r="L62" s="40" t="str">
        <f>IF($AA62=0,"",IF(LEN(INDEX(Jobs!$D$9:$D$258,$AA62)&amp;"")=0,"",INDEX(Jobs!$D$9:$D$258,$AA62)))</f>
        <v/>
      </c>
      <c r="M62" s="39"/>
      <c r="N62" s="39"/>
      <c r="O62" s="41" t="str">
        <f>IF($AA62=0,"",IF(LEN(INDEX(Jobs!$G$9:$G$258,$AA62)&amp;"")=0,"",INDEX(Jobs!$G$9:$G$258,$AA62)))</f>
        <v/>
      </c>
      <c r="P62" s="39"/>
      <c r="Q62" s="39"/>
      <c r="R62" s="41" t="str">
        <f>IF($AA62=0,"",IF(LEN(INDEX(Jobs!$H$9:$H$258,$AA62)&amp;"")=0,"",INDEX(Jobs!$H$9:$H$258,$AA62)))</f>
        <v/>
      </c>
      <c r="S62" s="39"/>
      <c r="T62" s="39"/>
      <c r="U62" s="44" t="str">
        <f>IF($AA62=0,"",HYPERLINK("#'"&amp;INDEX(Jobs!$P$9:$P$258,$AA62)&amp;"'!A1","Open job"))</f>
        <v/>
      </c>
      <c r="V62" s="39"/>
      <c r="AA62">
        <f>IFERROR(MATCH(45,Jobs!$Q$9:$Q$258,0),0)</f>
        <v>0</v>
      </c>
    </row>
    <row r="63" spans="1:27" ht="36" hidden="1" customHeight="1" x14ac:dyDescent="0.35">
      <c r="A63" s="38" t="str">
        <f>IF($AA63=0,"",IF(LEN(INDEX(Jobs!$A$9:$A$258,$AA63)&amp;"")=0,"",INDEX(Jobs!$A$9:$A$258,$AA63)))</f>
        <v/>
      </c>
      <c r="B63" s="39"/>
      <c r="C63" s="38" t="str">
        <f>IF($AA63=0,"",IF(LEN(INDEX(Jobs!$B$9:$B$258,$AA63)&amp;"")=0,"",INDEX(Jobs!$B$9:$B$258,$AA63)))</f>
        <v/>
      </c>
      <c r="D63" s="39"/>
      <c r="E63" s="39"/>
      <c r="F63" s="39"/>
      <c r="G63" s="39"/>
      <c r="H63" s="39"/>
      <c r="I63" s="39"/>
      <c r="J63" s="39"/>
      <c r="K63" s="39"/>
      <c r="L63" s="38" t="str">
        <f>IF($AA63=0,"",IF(LEN(INDEX(Jobs!$D$9:$D$258,$AA63)&amp;"")=0,"",INDEX(Jobs!$D$9:$D$258,$AA63)))</f>
        <v/>
      </c>
      <c r="M63" s="39"/>
      <c r="N63" s="39"/>
      <c r="O63" s="42" t="str">
        <f>IF($AA63=0,"",IF(LEN(INDEX(Jobs!$G$9:$G$258,$AA63)&amp;"")=0,"",INDEX(Jobs!$G$9:$G$258,$AA63)))</f>
        <v/>
      </c>
      <c r="P63" s="39"/>
      <c r="Q63" s="39"/>
      <c r="R63" s="42" t="str">
        <f>IF($AA63=0,"",IF(LEN(INDEX(Jobs!$H$9:$H$258,$AA63)&amp;"")=0,"",INDEX(Jobs!$H$9:$H$258,$AA63)))</f>
        <v/>
      </c>
      <c r="S63" s="39"/>
      <c r="T63" s="39"/>
      <c r="U63" s="43" t="str">
        <f>IF($AA63=0,"",HYPERLINK("#'"&amp;INDEX(Jobs!$P$9:$P$258,$AA63)&amp;"'!A1","Open job"))</f>
        <v/>
      </c>
      <c r="V63" s="39"/>
      <c r="AA63">
        <f>IFERROR(MATCH(46,Jobs!$Q$9:$Q$258,0),0)</f>
        <v>0</v>
      </c>
    </row>
    <row r="64" spans="1:27" ht="36" hidden="1" customHeight="1" x14ac:dyDescent="0.35">
      <c r="A64" s="40" t="str">
        <f>IF($AA64=0,"",IF(LEN(INDEX(Jobs!$A$9:$A$258,$AA64)&amp;"")=0,"",INDEX(Jobs!$A$9:$A$258,$AA64)))</f>
        <v/>
      </c>
      <c r="B64" s="39"/>
      <c r="C64" s="40" t="str">
        <f>IF($AA64=0,"",IF(LEN(INDEX(Jobs!$B$9:$B$258,$AA64)&amp;"")=0,"",INDEX(Jobs!$B$9:$B$258,$AA64)))</f>
        <v/>
      </c>
      <c r="D64" s="39"/>
      <c r="E64" s="39"/>
      <c r="F64" s="39"/>
      <c r="G64" s="39"/>
      <c r="H64" s="39"/>
      <c r="I64" s="39"/>
      <c r="J64" s="39"/>
      <c r="K64" s="39"/>
      <c r="L64" s="40" t="str">
        <f>IF($AA64=0,"",IF(LEN(INDEX(Jobs!$D$9:$D$258,$AA64)&amp;"")=0,"",INDEX(Jobs!$D$9:$D$258,$AA64)))</f>
        <v/>
      </c>
      <c r="M64" s="39"/>
      <c r="N64" s="39"/>
      <c r="O64" s="41" t="str">
        <f>IF($AA64=0,"",IF(LEN(INDEX(Jobs!$G$9:$G$258,$AA64)&amp;"")=0,"",INDEX(Jobs!$G$9:$G$258,$AA64)))</f>
        <v/>
      </c>
      <c r="P64" s="39"/>
      <c r="Q64" s="39"/>
      <c r="R64" s="41" t="str">
        <f>IF($AA64=0,"",IF(LEN(INDEX(Jobs!$H$9:$H$258,$AA64)&amp;"")=0,"",INDEX(Jobs!$H$9:$H$258,$AA64)))</f>
        <v/>
      </c>
      <c r="S64" s="39"/>
      <c r="T64" s="39"/>
      <c r="U64" s="44" t="str">
        <f>IF($AA64=0,"",HYPERLINK("#'"&amp;INDEX(Jobs!$P$9:$P$258,$AA64)&amp;"'!A1","Open job"))</f>
        <v/>
      </c>
      <c r="V64" s="39"/>
      <c r="AA64">
        <f>IFERROR(MATCH(47,Jobs!$Q$9:$Q$258,0),0)</f>
        <v>0</v>
      </c>
    </row>
    <row r="65" spans="1:27" ht="36" hidden="1" customHeight="1" x14ac:dyDescent="0.35">
      <c r="A65" s="38" t="str">
        <f>IF($AA65=0,"",IF(LEN(INDEX(Jobs!$A$9:$A$258,$AA65)&amp;"")=0,"",INDEX(Jobs!$A$9:$A$258,$AA65)))</f>
        <v/>
      </c>
      <c r="B65" s="39"/>
      <c r="C65" s="38" t="str">
        <f>IF($AA65=0,"",IF(LEN(INDEX(Jobs!$B$9:$B$258,$AA65)&amp;"")=0,"",INDEX(Jobs!$B$9:$B$258,$AA65)))</f>
        <v/>
      </c>
      <c r="D65" s="39"/>
      <c r="E65" s="39"/>
      <c r="F65" s="39"/>
      <c r="G65" s="39"/>
      <c r="H65" s="39"/>
      <c r="I65" s="39"/>
      <c r="J65" s="39"/>
      <c r="K65" s="39"/>
      <c r="L65" s="38" t="str">
        <f>IF($AA65=0,"",IF(LEN(INDEX(Jobs!$D$9:$D$258,$AA65)&amp;"")=0,"",INDEX(Jobs!$D$9:$D$258,$AA65)))</f>
        <v/>
      </c>
      <c r="M65" s="39"/>
      <c r="N65" s="39"/>
      <c r="O65" s="42" t="str">
        <f>IF($AA65=0,"",IF(LEN(INDEX(Jobs!$G$9:$G$258,$AA65)&amp;"")=0,"",INDEX(Jobs!$G$9:$G$258,$AA65)))</f>
        <v/>
      </c>
      <c r="P65" s="39"/>
      <c r="Q65" s="39"/>
      <c r="R65" s="42" t="str">
        <f>IF($AA65=0,"",IF(LEN(INDEX(Jobs!$H$9:$H$258,$AA65)&amp;"")=0,"",INDEX(Jobs!$H$9:$H$258,$AA65)))</f>
        <v/>
      </c>
      <c r="S65" s="39"/>
      <c r="T65" s="39"/>
      <c r="U65" s="43" t="str">
        <f>IF($AA65=0,"",HYPERLINK("#'"&amp;INDEX(Jobs!$P$9:$P$258,$AA65)&amp;"'!A1","Open job"))</f>
        <v/>
      </c>
      <c r="V65" s="39"/>
      <c r="AA65">
        <f>IFERROR(MATCH(48,Jobs!$Q$9:$Q$258,0),0)</f>
        <v>0</v>
      </c>
    </row>
    <row r="66" spans="1:27" ht="36" hidden="1" customHeight="1" x14ac:dyDescent="0.35">
      <c r="A66" s="40" t="str">
        <f>IF($AA66=0,"",IF(LEN(INDEX(Jobs!$A$9:$A$258,$AA66)&amp;"")=0,"",INDEX(Jobs!$A$9:$A$258,$AA66)))</f>
        <v/>
      </c>
      <c r="B66" s="39"/>
      <c r="C66" s="40" t="str">
        <f>IF($AA66=0,"",IF(LEN(INDEX(Jobs!$B$9:$B$258,$AA66)&amp;"")=0,"",INDEX(Jobs!$B$9:$B$258,$AA66)))</f>
        <v/>
      </c>
      <c r="D66" s="39"/>
      <c r="E66" s="39"/>
      <c r="F66" s="39"/>
      <c r="G66" s="39"/>
      <c r="H66" s="39"/>
      <c r="I66" s="39"/>
      <c r="J66" s="39"/>
      <c r="K66" s="39"/>
      <c r="L66" s="40" t="str">
        <f>IF($AA66=0,"",IF(LEN(INDEX(Jobs!$D$9:$D$258,$AA66)&amp;"")=0,"",INDEX(Jobs!$D$9:$D$258,$AA66)))</f>
        <v/>
      </c>
      <c r="M66" s="39"/>
      <c r="N66" s="39"/>
      <c r="O66" s="41" t="str">
        <f>IF($AA66=0,"",IF(LEN(INDEX(Jobs!$G$9:$G$258,$AA66)&amp;"")=0,"",INDEX(Jobs!$G$9:$G$258,$AA66)))</f>
        <v/>
      </c>
      <c r="P66" s="39"/>
      <c r="Q66" s="39"/>
      <c r="R66" s="41" t="str">
        <f>IF($AA66=0,"",IF(LEN(INDEX(Jobs!$H$9:$H$258,$AA66)&amp;"")=0,"",INDEX(Jobs!$H$9:$H$258,$AA66)))</f>
        <v/>
      </c>
      <c r="S66" s="39"/>
      <c r="T66" s="39"/>
      <c r="U66" s="44" t="str">
        <f>IF($AA66=0,"",HYPERLINK("#'"&amp;INDEX(Jobs!$P$9:$P$258,$AA66)&amp;"'!A1","Open job"))</f>
        <v/>
      </c>
      <c r="V66" s="39"/>
      <c r="AA66">
        <f>IFERROR(MATCH(49,Jobs!$Q$9:$Q$258,0),0)</f>
        <v>0</v>
      </c>
    </row>
    <row r="67" spans="1:27" ht="36" hidden="1" customHeight="1" x14ac:dyDescent="0.35">
      <c r="A67" s="38" t="str">
        <f>IF($AA67=0,"",IF(LEN(INDEX(Jobs!$A$9:$A$258,$AA67)&amp;"")=0,"",INDEX(Jobs!$A$9:$A$258,$AA67)))</f>
        <v/>
      </c>
      <c r="B67" s="39"/>
      <c r="C67" s="38" t="str">
        <f>IF($AA67=0,"",IF(LEN(INDEX(Jobs!$B$9:$B$258,$AA67)&amp;"")=0,"",INDEX(Jobs!$B$9:$B$258,$AA67)))</f>
        <v/>
      </c>
      <c r="D67" s="39"/>
      <c r="E67" s="39"/>
      <c r="F67" s="39"/>
      <c r="G67" s="39"/>
      <c r="H67" s="39"/>
      <c r="I67" s="39"/>
      <c r="J67" s="39"/>
      <c r="K67" s="39"/>
      <c r="L67" s="38" t="str">
        <f>IF($AA67=0,"",IF(LEN(INDEX(Jobs!$D$9:$D$258,$AA67)&amp;"")=0,"",INDEX(Jobs!$D$9:$D$258,$AA67)))</f>
        <v/>
      </c>
      <c r="M67" s="39"/>
      <c r="N67" s="39"/>
      <c r="O67" s="42" t="str">
        <f>IF($AA67=0,"",IF(LEN(INDEX(Jobs!$G$9:$G$258,$AA67)&amp;"")=0,"",INDEX(Jobs!$G$9:$G$258,$AA67)))</f>
        <v/>
      </c>
      <c r="P67" s="39"/>
      <c r="Q67" s="39"/>
      <c r="R67" s="42" t="str">
        <f>IF($AA67=0,"",IF(LEN(INDEX(Jobs!$H$9:$H$258,$AA67)&amp;"")=0,"",INDEX(Jobs!$H$9:$H$258,$AA67)))</f>
        <v/>
      </c>
      <c r="S67" s="39"/>
      <c r="T67" s="39"/>
      <c r="U67" s="43" t="str">
        <f>IF($AA67=0,"",HYPERLINK("#'"&amp;INDEX(Jobs!$P$9:$P$258,$AA67)&amp;"'!A1","Open job"))</f>
        <v/>
      </c>
      <c r="V67" s="39"/>
      <c r="AA67">
        <f>IFERROR(MATCH(50,Jobs!$Q$9:$Q$258,0),0)</f>
        <v>0</v>
      </c>
    </row>
    <row r="68" spans="1:27" ht="36" hidden="1" customHeight="1" x14ac:dyDescent="0.35">
      <c r="A68" s="40" t="str">
        <f>IF($AA68=0,"",IF(LEN(INDEX(Jobs!$A$9:$A$258,$AA68)&amp;"")=0,"",INDEX(Jobs!$A$9:$A$258,$AA68)))</f>
        <v/>
      </c>
      <c r="B68" s="39"/>
      <c r="C68" s="40" t="str">
        <f>IF($AA68=0,"",IF(LEN(INDEX(Jobs!$B$9:$B$258,$AA68)&amp;"")=0,"",INDEX(Jobs!$B$9:$B$258,$AA68)))</f>
        <v/>
      </c>
      <c r="D68" s="39"/>
      <c r="E68" s="39"/>
      <c r="F68" s="39"/>
      <c r="G68" s="39"/>
      <c r="H68" s="39"/>
      <c r="I68" s="39"/>
      <c r="J68" s="39"/>
      <c r="K68" s="39"/>
      <c r="L68" s="40" t="str">
        <f>IF($AA68=0,"",IF(LEN(INDEX(Jobs!$D$9:$D$258,$AA68)&amp;"")=0,"",INDEX(Jobs!$D$9:$D$258,$AA68)))</f>
        <v/>
      </c>
      <c r="M68" s="39"/>
      <c r="N68" s="39"/>
      <c r="O68" s="41" t="str">
        <f>IF($AA68=0,"",IF(LEN(INDEX(Jobs!$G$9:$G$258,$AA68)&amp;"")=0,"",INDEX(Jobs!$G$9:$G$258,$AA68)))</f>
        <v/>
      </c>
      <c r="P68" s="39"/>
      <c r="Q68" s="39"/>
      <c r="R68" s="41" t="str">
        <f>IF($AA68=0,"",IF(LEN(INDEX(Jobs!$H$9:$H$258,$AA68)&amp;"")=0,"",INDEX(Jobs!$H$9:$H$258,$AA68)))</f>
        <v/>
      </c>
      <c r="S68" s="39"/>
      <c r="T68" s="39"/>
      <c r="U68" s="44" t="str">
        <f>IF($AA68=0,"",HYPERLINK("#'"&amp;INDEX(Jobs!$P$9:$P$258,$AA68)&amp;"'!A1","Open job"))</f>
        <v/>
      </c>
      <c r="V68" s="39"/>
      <c r="AA68">
        <f>IFERROR(MATCH(51,Jobs!$Q$9:$Q$258,0),0)</f>
        <v>0</v>
      </c>
    </row>
    <row r="69" spans="1:27" ht="36" hidden="1" customHeight="1" x14ac:dyDescent="0.35">
      <c r="A69" s="38" t="str">
        <f>IF($AA69=0,"",IF(LEN(INDEX(Jobs!$A$9:$A$258,$AA69)&amp;"")=0,"",INDEX(Jobs!$A$9:$A$258,$AA69)))</f>
        <v/>
      </c>
      <c r="B69" s="39"/>
      <c r="C69" s="38" t="str">
        <f>IF($AA69=0,"",IF(LEN(INDEX(Jobs!$B$9:$B$258,$AA69)&amp;"")=0,"",INDEX(Jobs!$B$9:$B$258,$AA69)))</f>
        <v/>
      </c>
      <c r="D69" s="39"/>
      <c r="E69" s="39"/>
      <c r="F69" s="39"/>
      <c r="G69" s="39"/>
      <c r="H69" s="39"/>
      <c r="I69" s="39"/>
      <c r="J69" s="39"/>
      <c r="K69" s="39"/>
      <c r="L69" s="38" t="str">
        <f>IF($AA69=0,"",IF(LEN(INDEX(Jobs!$D$9:$D$258,$AA69)&amp;"")=0,"",INDEX(Jobs!$D$9:$D$258,$AA69)))</f>
        <v/>
      </c>
      <c r="M69" s="39"/>
      <c r="N69" s="39"/>
      <c r="O69" s="42" t="str">
        <f>IF($AA69=0,"",IF(LEN(INDEX(Jobs!$G$9:$G$258,$AA69)&amp;"")=0,"",INDEX(Jobs!$G$9:$G$258,$AA69)))</f>
        <v/>
      </c>
      <c r="P69" s="39"/>
      <c r="Q69" s="39"/>
      <c r="R69" s="42" t="str">
        <f>IF($AA69=0,"",IF(LEN(INDEX(Jobs!$H$9:$H$258,$AA69)&amp;"")=0,"",INDEX(Jobs!$H$9:$H$258,$AA69)))</f>
        <v/>
      </c>
      <c r="S69" s="39"/>
      <c r="T69" s="39"/>
      <c r="U69" s="43" t="str">
        <f>IF($AA69=0,"",HYPERLINK("#'"&amp;INDEX(Jobs!$P$9:$P$258,$AA69)&amp;"'!A1","Open job"))</f>
        <v/>
      </c>
      <c r="V69" s="39"/>
      <c r="AA69">
        <f>IFERROR(MATCH(52,Jobs!$Q$9:$Q$258,0),0)</f>
        <v>0</v>
      </c>
    </row>
    <row r="70" spans="1:27" ht="36" hidden="1" customHeight="1" x14ac:dyDescent="0.35">
      <c r="A70" s="40" t="str">
        <f>IF($AA70=0,"",IF(LEN(INDEX(Jobs!$A$9:$A$258,$AA70)&amp;"")=0,"",INDEX(Jobs!$A$9:$A$258,$AA70)))</f>
        <v/>
      </c>
      <c r="B70" s="39"/>
      <c r="C70" s="40" t="str">
        <f>IF($AA70=0,"",IF(LEN(INDEX(Jobs!$B$9:$B$258,$AA70)&amp;"")=0,"",INDEX(Jobs!$B$9:$B$258,$AA70)))</f>
        <v/>
      </c>
      <c r="D70" s="39"/>
      <c r="E70" s="39"/>
      <c r="F70" s="39"/>
      <c r="G70" s="39"/>
      <c r="H70" s="39"/>
      <c r="I70" s="39"/>
      <c r="J70" s="39"/>
      <c r="K70" s="39"/>
      <c r="L70" s="40" t="str">
        <f>IF($AA70=0,"",IF(LEN(INDEX(Jobs!$D$9:$D$258,$AA70)&amp;"")=0,"",INDEX(Jobs!$D$9:$D$258,$AA70)))</f>
        <v/>
      </c>
      <c r="M70" s="39"/>
      <c r="N70" s="39"/>
      <c r="O70" s="41" t="str">
        <f>IF($AA70=0,"",IF(LEN(INDEX(Jobs!$G$9:$G$258,$AA70)&amp;"")=0,"",INDEX(Jobs!$G$9:$G$258,$AA70)))</f>
        <v/>
      </c>
      <c r="P70" s="39"/>
      <c r="Q70" s="39"/>
      <c r="R70" s="41" t="str">
        <f>IF($AA70=0,"",IF(LEN(INDEX(Jobs!$H$9:$H$258,$AA70)&amp;"")=0,"",INDEX(Jobs!$H$9:$H$258,$AA70)))</f>
        <v/>
      </c>
      <c r="S70" s="39"/>
      <c r="T70" s="39"/>
      <c r="U70" s="44" t="str">
        <f>IF($AA70=0,"",HYPERLINK("#'"&amp;INDEX(Jobs!$P$9:$P$258,$AA70)&amp;"'!A1","Open job"))</f>
        <v/>
      </c>
      <c r="V70" s="39"/>
      <c r="AA70">
        <f>IFERROR(MATCH(53,Jobs!$Q$9:$Q$258,0),0)</f>
        <v>0</v>
      </c>
    </row>
    <row r="71" spans="1:27" ht="36" hidden="1" customHeight="1" x14ac:dyDescent="0.35">
      <c r="A71" s="38" t="str">
        <f>IF($AA71=0,"",IF(LEN(INDEX(Jobs!$A$9:$A$258,$AA71)&amp;"")=0,"",INDEX(Jobs!$A$9:$A$258,$AA71)))</f>
        <v/>
      </c>
      <c r="B71" s="39"/>
      <c r="C71" s="38" t="str">
        <f>IF($AA71=0,"",IF(LEN(INDEX(Jobs!$B$9:$B$258,$AA71)&amp;"")=0,"",INDEX(Jobs!$B$9:$B$258,$AA71)))</f>
        <v/>
      </c>
      <c r="D71" s="39"/>
      <c r="E71" s="39"/>
      <c r="F71" s="39"/>
      <c r="G71" s="39"/>
      <c r="H71" s="39"/>
      <c r="I71" s="39"/>
      <c r="J71" s="39"/>
      <c r="K71" s="39"/>
      <c r="L71" s="38" t="str">
        <f>IF($AA71=0,"",IF(LEN(INDEX(Jobs!$D$9:$D$258,$AA71)&amp;"")=0,"",INDEX(Jobs!$D$9:$D$258,$AA71)))</f>
        <v/>
      </c>
      <c r="M71" s="39"/>
      <c r="N71" s="39"/>
      <c r="O71" s="42" t="str">
        <f>IF($AA71=0,"",IF(LEN(INDEX(Jobs!$G$9:$G$258,$AA71)&amp;"")=0,"",INDEX(Jobs!$G$9:$G$258,$AA71)))</f>
        <v/>
      </c>
      <c r="P71" s="39"/>
      <c r="Q71" s="39"/>
      <c r="R71" s="42" t="str">
        <f>IF($AA71=0,"",IF(LEN(INDEX(Jobs!$H$9:$H$258,$AA71)&amp;"")=0,"",INDEX(Jobs!$H$9:$H$258,$AA71)))</f>
        <v/>
      </c>
      <c r="S71" s="39"/>
      <c r="T71" s="39"/>
      <c r="U71" s="43" t="str">
        <f>IF($AA71=0,"",HYPERLINK("#'"&amp;INDEX(Jobs!$P$9:$P$258,$AA71)&amp;"'!A1","Open job"))</f>
        <v/>
      </c>
      <c r="V71" s="39"/>
      <c r="AA71">
        <f>IFERROR(MATCH(54,Jobs!$Q$9:$Q$258,0),0)</f>
        <v>0</v>
      </c>
    </row>
    <row r="72" spans="1:27" ht="36" hidden="1" customHeight="1" x14ac:dyDescent="0.35">
      <c r="A72" s="40" t="str">
        <f>IF($AA72=0,"",IF(LEN(INDEX(Jobs!$A$9:$A$258,$AA72)&amp;"")=0,"",INDEX(Jobs!$A$9:$A$258,$AA72)))</f>
        <v/>
      </c>
      <c r="B72" s="39"/>
      <c r="C72" s="40" t="str">
        <f>IF($AA72=0,"",IF(LEN(INDEX(Jobs!$B$9:$B$258,$AA72)&amp;"")=0,"",INDEX(Jobs!$B$9:$B$258,$AA72)))</f>
        <v/>
      </c>
      <c r="D72" s="39"/>
      <c r="E72" s="39"/>
      <c r="F72" s="39"/>
      <c r="G72" s="39"/>
      <c r="H72" s="39"/>
      <c r="I72" s="39"/>
      <c r="J72" s="39"/>
      <c r="K72" s="39"/>
      <c r="L72" s="40" t="str">
        <f>IF($AA72=0,"",IF(LEN(INDEX(Jobs!$D$9:$D$258,$AA72)&amp;"")=0,"",INDEX(Jobs!$D$9:$D$258,$AA72)))</f>
        <v/>
      </c>
      <c r="M72" s="39"/>
      <c r="N72" s="39"/>
      <c r="O72" s="41" t="str">
        <f>IF($AA72=0,"",IF(LEN(INDEX(Jobs!$G$9:$G$258,$AA72)&amp;"")=0,"",INDEX(Jobs!$G$9:$G$258,$AA72)))</f>
        <v/>
      </c>
      <c r="P72" s="39"/>
      <c r="Q72" s="39"/>
      <c r="R72" s="41" t="str">
        <f>IF($AA72=0,"",IF(LEN(INDEX(Jobs!$H$9:$H$258,$AA72)&amp;"")=0,"",INDEX(Jobs!$H$9:$H$258,$AA72)))</f>
        <v/>
      </c>
      <c r="S72" s="39"/>
      <c r="T72" s="39"/>
      <c r="U72" s="44" t="str">
        <f>IF($AA72=0,"",HYPERLINK("#'"&amp;INDEX(Jobs!$P$9:$P$258,$AA72)&amp;"'!A1","Open job"))</f>
        <v/>
      </c>
      <c r="V72" s="39"/>
      <c r="AA72">
        <f>IFERROR(MATCH(55,Jobs!$Q$9:$Q$258,0),0)</f>
        <v>0</v>
      </c>
    </row>
    <row r="73" spans="1:27" ht="36" hidden="1" customHeight="1" x14ac:dyDescent="0.35">
      <c r="A73" s="38" t="str">
        <f>IF($AA73=0,"",IF(LEN(INDEX(Jobs!$A$9:$A$258,$AA73)&amp;"")=0,"",INDEX(Jobs!$A$9:$A$258,$AA73)))</f>
        <v/>
      </c>
      <c r="B73" s="39"/>
      <c r="C73" s="38" t="str">
        <f>IF($AA73=0,"",IF(LEN(INDEX(Jobs!$B$9:$B$258,$AA73)&amp;"")=0,"",INDEX(Jobs!$B$9:$B$258,$AA73)))</f>
        <v/>
      </c>
      <c r="D73" s="39"/>
      <c r="E73" s="39"/>
      <c r="F73" s="39"/>
      <c r="G73" s="39"/>
      <c r="H73" s="39"/>
      <c r="I73" s="39"/>
      <c r="J73" s="39"/>
      <c r="K73" s="39"/>
      <c r="L73" s="38" t="str">
        <f>IF($AA73=0,"",IF(LEN(INDEX(Jobs!$D$9:$D$258,$AA73)&amp;"")=0,"",INDEX(Jobs!$D$9:$D$258,$AA73)))</f>
        <v/>
      </c>
      <c r="M73" s="39"/>
      <c r="N73" s="39"/>
      <c r="O73" s="42" t="str">
        <f>IF($AA73=0,"",IF(LEN(INDEX(Jobs!$G$9:$G$258,$AA73)&amp;"")=0,"",INDEX(Jobs!$G$9:$G$258,$AA73)))</f>
        <v/>
      </c>
      <c r="P73" s="39"/>
      <c r="Q73" s="39"/>
      <c r="R73" s="42" t="str">
        <f>IF($AA73=0,"",IF(LEN(INDEX(Jobs!$H$9:$H$258,$AA73)&amp;"")=0,"",INDEX(Jobs!$H$9:$H$258,$AA73)))</f>
        <v/>
      </c>
      <c r="S73" s="39"/>
      <c r="T73" s="39"/>
      <c r="U73" s="43" t="str">
        <f>IF($AA73=0,"",HYPERLINK("#'"&amp;INDEX(Jobs!$P$9:$P$258,$AA73)&amp;"'!A1","Open job"))</f>
        <v/>
      </c>
      <c r="V73" s="39"/>
      <c r="AA73">
        <f>IFERROR(MATCH(56,Jobs!$Q$9:$Q$258,0),0)</f>
        <v>0</v>
      </c>
    </row>
    <row r="74" spans="1:27" ht="36" hidden="1" customHeight="1" x14ac:dyDescent="0.35">
      <c r="A74" s="40" t="str">
        <f>IF($AA74=0,"",IF(LEN(INDEX(Jobs!$A$9:$A$258,$AA74)&amp;"")=0,"",INDEX(Jobs!$A$9:$A$258,$AA74)))</f>
        <v/>
      </c>
      <c r="B74" s="39"/>
      <c r="C74" s="40" t="str">
        <f>IF($AA74=0,"",IF(LEN(INDEX(Jobs!$B$9:$B$258,$AA74)&amp;"")=0,"",INDEX(Jobs!$B$9:$B$258,$AA74)))</f>
        <v/>
      </c>
      <c r="D74" s="39"/>
      <c r="E74" s="39"/>
      <c r="F74" s="39"/>
      <c r="G74" s="39"/>
      <c r="H74" s="39"/>
      <c r="I74" s="39"/>
      <c r="J74" s="39"/>
      <c r="K74" s="39"/>
      <c r="L74" s="40" t="str">
        <f>IF($AA74=0,"",IF(LEN(INDEX(Jobs!$D$9:$D$258,$AA74)&amp;"")=0,"",INDEX(Jobs!$D$9:$D$258,$AA74)))</f>
        <v/>
      </c>
      <c r="M74" s="39"/>
      <c r="N74" s="39"/>
      <c r="O74" s="41" t="str">
        <f>IF($AA74=0,"",IF(LEN(INDEX(Jobs!$G$9:$G$258,$AA74)&amp;"")=0,"",INDEX(Jobs!$G$9:$G$258,$AA74)))</f>
        <v/>
      </c>
      <c r="P74" s="39"/>
      <c r="Q74" s="39"/>
      <c r="R74" s="41" t="str">
        <f>IF($AA74=0,"",IF(LEN(INDEX(Jobs!$H$9:$H$258,$AA74)&amp;"")=0,"",INDEX(Jobs!$H$9:$H$258,$AA74)))</f>
        <v/>
      </c>
      <c r="S74" s="39"/>
      <c r="T74" s="39"/>
      <c r="U74" s="44" t="str">
        <f>IF($AA74=0,"",HYPERLINK("#'"&amp;INDEX(Jobs!$P$9:$P$258,$AA74)&amp;"'!A1","Open job"))</f>
        <v/>
      </c>
      <c r="V74" s="39"/>
      <c r="AA74">
        <f>IFERROR(MATCH(57,Jobs!$Q$9:$Q$258,0),0)</f>
        <v>0</v>
      </c>
    </row>
    <row r="75" spans="1:27" ht="36" hidden="1" customHeight="1" x14ac:dyDescent="0.35">
      <c r="A75" s="38" t="str">
        <f>IF($AA75=0,"",IF(LEN(INDEX(Jobs!$A$9:$A$258,$AA75)&amp;"")=0,"",INDEX(Jobs!$A$9:$A$258,$AA75)))</f>
        <v/>
      </c>
      <c r="B75" s="39"/>
      <c r="C75" s="38" t="str">
        <f>IF($AA75=0,"",IF(LEN(INDEX(Jobs!$B$9:$B$258,$AA75)&amp;"")=0,"",INDEX(Jobs!$B$9:$B$258,$AA75)))</f>
        <v/>
      </c>
      <c r="D75" s="39"/>
      <c r="E75" s="39"/>
      <c r="F75" s="39"/>
      <c r="G75" s="39"/>
      <c r="H75" s="39"/>
      <c r="I75" s="39"/>
      <c r="J75" s="39"/>
      <c r="K75" s="39"/>
      <c r="L75" s="38" t="str">
        <f>IF($AA75=0,"",IF(LEN(INDEX(Jobs!$D$9:$D$258,$AA75)&amp;"")=0,"",INDEX(Jobs!$D$9:$D$258,$AA75)))</f>
        <v/>
      </c>
      <c r="M75" s="39"/>
      <c r="N75" s="39"/>
      <c r="O75" s="42" t="str">
        <f>IF($AA75=0,"",IF(LEN(INDEX(Jobs!$G$9:$G$258,$AA75)&amp;"")=0,"",INDEX(Jobs!$G$9:$G$258,$AA75)))</f>
        <v/>
      </c>
      <c r="P75" s="39"/>
      <c r="Q75" s="39"/>
      <c r="R75" s="42" t="str">
        <f>IF($AA75=0,"",IF(LEN(INDEX(Jobs!$H$9:$H$258,$AA75)&amp;"")=0,"",INDEX(Jobs!$H$9:$H$258,$AA75)))</f>
        <v/>
      </c>
      <c r="S75" s="39"/>
      <c r="T75" s="39"/>
      <c r="U75" s="43" t="str">
        <f>IF($AA75=0,"",HYPERLINK("#'"&amp;INDEX(Jobs!$P$9:$P$258,$AA75)&amp;"'!A1","Open job"))</f>
        <v/>
      </c>
      <c r="V75" s="39"/>
      <c r="AA75">
        <f>IFERROR(MATCH(58,Jobs!$Q$9:$Q$258,0),0)</f>
        <v>0</v>
      </c>
    </row>
    <row r="76" spans="1:27" ht="36" hidden="1" customHeight="1" x14ac:dyDescent="0.35">
      <c r="A76" s="40" t="str">
        <f>IF($AA76=0,"",IF(LEN(INDEX(Jobs!$A$9:$A$258,$AA76)&amp;"")=0,"",INDEX(Jobs!$A$9:$A$258,$AA76)))</f>
        <v/>
      </c>
      <c r="B76" s="39"/>
      <c r="C76" s="40" t="str">
        <f>IF($AA76=0,"",IF(LEN(INDEX(Jobs!$B$9:$B$258,$AA76)&amp;"")=0,"",INDEX(Jobs!$B$9:$B$258,$AA76)))</f>
        <v/>
      </c>
      <c r="D76" s="39"/>
      <c r="E76" s="39"/>
      <c r="F76" s="39"/>
      <c r="G76" s="39"/>
      <c r="H76" s="39"/>
      <c r="I76" s="39"/>
      <c r="J76" s="39"/>
      <c r="K76" s="39"/>
      <c r="L76" s="40" t="str">
        <f>IF($AA76=0,"",IF(LEN(INDEX(Jobs!$D$9:$D$258,$AA76)&amp;"")=0,"",INDEX(Jobs!$D$9:$D$258,$AA76)))</f>
        <v/>
      </c>
      <c r="M76" s="39"/>
      <c r="N76" s="39"/>
      <c r="O76" s="41" t="str">
        <f>IF($AA76=0,"",IF(LEN(INDEX(Jobs!$G$9:$G$258,$AA76)&amp;"")=0,"",INDEX(Jobs!$G$9:$G$258,$AA76)))</f>
        <v/>
      </c>
      <c r="P76" s="39"/>
      <c r="Q76" s="39"/>
      <c r="R76" s="41" t="str">
        <f>IF($AA76=0,"",IF(LEN(INDEX(Jobs!$H$9:$H$258,$AA76)&amp;"")=0,"",INDEX(Jobs!$H$9:$H$258,$AA76)))</f>
        <v/>
      </c>
      <c r="S76" s="39"/>
      <c r="T76" s="39"/>
      <c r="U76" s="44" t="str">
        <f>IF($AA76=0,"",HYPERLINK("#'"&amp;INDEX(Jobs!$P$9:$P$258,$AA76)&amp;"'!A1","Open job"))</f>
        <v/>
      </c>
      <c r="V76" s="39"/>
      <c r="AA76">
        <f>IFERROR(MATCH(59,Jobs!$Q$9:$Q$258,0),0)</f>
        <v>0</v>
      </c>
    </row>
    <row r="77" spans="1:27" ht="36" hidden="1" customHeight="1" x14ac:dyDescent="0.35">
      <c r="A77" s="38" t="str">
        <f>IF($AA77=0,"",IF(LEN(INDEX(Jobs!$A$9:$A$258,$AA77)&amp;"")=0,"",INDEX(Jobs!$A$9:$A$258,$AA77)))</f>
        <v/>
      </c>
      <c r="B77" s="39"/>
      <c r="C77" s="38" t="str">
        <f>IF($AA77=0,"",IF(LEN(INDEX(Jobs!$B$9:$B$258,$AA77)&amp;"")=0,"",INDEX(Jobs!$B$9:$B$258,$AA77)))</f>
        <v/>
      </c>
      <c r="D77" s="39"/>
      <c r="E77" s="39"/>
      <c r="F77" s="39"/>
      <c r="G77" s="39"/>
      <c r="H77" s="39"/>
      <c r="I77" s="39"/>
      <c r="J77" s="39"/>
      <c r="K77" s="39"/>
      <c r="L77" s="38" t="str">
        <f>IF($AA77=0,"",IF(LEN(INDEX(Jobs!$D$9:$D$258,$AA77)&amp;"")=0,"",INDEX(Jobs!$D$9:$D$258,$AA77)))</f>
        <v/>
      </c>
      <c r="M77" s="39"/>
      <c r="N77" s="39"/>
      <c r="O77" s="42" t="str">
        <f>IF($AA77=0,"",IF(LEN(INDEX(Jobs!$G$9:$G$258,$AA77)&amp;"")=0,"",INDEX(Jobs!$G$9:$G$258,$AA77)))</f>
        <v/>
      </c>
      <c r="P77" s="39"/>
      <c r="Q77" s="39"/>
      <c r="R77" s="42" t="str">
        <f>IF($AA77=0,"",IF(LEN(INDEX(Jobs!$H$9:$H$258,$AA77)&amp;"")=0,"",INDEX(Jobs!$H$9:$H$258,$AA77)))</f>
        <v/>
      </c>
      <c r="S77" s="39"/>
      <c r="T77" s="39"/>
      <c r="U77" s="43" t="str">
        <f>IF($AA77=0,"",HYPERLINK("#'"&amp;INDEX(Jobs!$P$9:$P$258,$AA77)&amp;"'!A1","Open job"))</f>
        <v/>
      </c>
      <c r="V77" s="39"/>
      <c r="AA77">
        <f>IFERROR(MATCH(60,Jobs!$Q$9:$Q$258,0),0)</f>
        <v>0</v>
      </c>
    </row>
    <row r="78" spans="1:27" ht="36" hidden="1" customHeight="1" x14ac:dyDescent="0.35">
      <c r="A78" s="40" t="str">
        <f>IF($AA78=0,"",IF(LEN(INDEX(Jobs!$A$9:$A$258,$AA78)&amp;"")=0,"",INDEX(Jobs!$A$9:$A$258,$AA78)))</f>
        <v/>
      </c>
      <c r="B78" s="39"/>
      <c r="C78" s="40" t="str">
        <f>IF($AA78=0,"",IF(LEN(INDEX(Jobs!$B$9:$B$258,$AA78)&amp;"")=0,"",INDEX(Jobs!$B$9:$B$258,$AA78)))</f>
        <v/>
      </c>
      <c r="D78" s="39"/>
      <c r="E78" s="39"/>
      <c r="F78" s="39"/>
      <c r="G78" s="39"/>
      <c r="H78" s="39"/>
      <c r="I78" s="39"/>
      <c r="J78" s="39"/>
      <c r="K78" s="39"/>
      <c r="L78" s="40" t="str">
        <f>IF($AA78=0,"",IF(LEN(INDEX(Jobs!$D$9:$D$258,$AA78)&amp;"")=0,"",INDEX(Jobs!$D$9:$D$258,$AA78)))</f>
        <v/>
      </c>
      <c r="M78" s="39"/>
      <c r="N78" s="39"/>
      <c r="O78" s="41" t="str">
        <f>IF($AA78=0,"",IF(LEN(INDEX(Jobs!$G$9:$G$258,$AA78)&amp;"")=0,"",INDEX(Jobs!$G$9:$G$258,$AA78)))</f>
        <v/>
      </c>
      <c r="P78" s="39"/>
      <c r="Q78" s="39"/>
      <c r="R78" s="41" t="str">
        <f>IF($AA78=0,"",IF(LEN(INDEX(Jobs!$H$9:$H$258,$AA78)&amp;"")=0,"",INDEX(Jobs!$H$9:$H$258,$AA78)))</f>
        <v/>
      </c>
      <c r="S78" s="39"/>
      <c r="T78" s="39"/>
      <c r="U78" s="44" t="str">
        <f>IF($AA78=0,"",HYPERLINK("#'"&amp;INDEX(Jobs!$P$9:$P$258,$AA78)&amp;"'!A1","Open job"))</f>
        <v/>
      </c>
      <c r="V78" s="39"/>
      <c r="AA78">
        <f>IFERROR(MATCH(61,Jobs!$Q$9:$Q$258,0),0)</f>
        <v>0</v>
      </c>
    </row>
    <row r="79" spans="1:27" ht="36" hidden="1" customHeight="1" x14ac:dyDescent="0.35">
      <c r="A79" s="38" t="str">
        <f>IF($AA79=0,"",IF(LEN(INDEX(Jobs!$A$9:$A$258,$AA79)&amp;"")=0,"",INDEX(Jobs!$A$9:$A$258,$AA79)))</f>
        <v/>
      </c>
      <c r="B79" s="39"/>
      <c r="C79" s="38" t="str">
        <f>IF($AA79=0,"",IF(LEN(INDEX(Jobs!$B$9:$B$258,$AA79)&amp;"")=0,"",INDEX(Jobs!$B$9:$B$258,$AA79)))</f>
        <v/>
      </c>
      <c r="D79" s="39"/>
      <c r="E79" s="39"/>
      <c r="F79" s="39"/>
      <c r="G79" s="39"/>
      <c r="H79" s="39"/>
      <c r="I79" s="39"/>
      <c r="J79" s="39"/>
      <c r="K79" s="39"/>
      <c r="L79" s="38" t="str">
        <f>IF($AA79=0,"",IF(LEN(INDEX(Jobs!$D$9:$D$258,$AA79)&amp;"")=0,"",INDEX(Jobs!$D$9:$D$258,$AA79)))</f>
        <v/>
      </c>
      <c r="M79" s="39"/>
      <c r="N79" s="39"/>
      <c r="O79" s="42" t="str">
        <f>IF($AA79=0,"",IF(LEN(INDEX(Jobs!$G$9:$G$258,$AA79)&amp;"")=0,"",INDEX(Jobs!$G$9:$G$258,$AA79)))</f>
        <v/>
      </c>
      <c r="P79" s="39"/>
      <c r="Q79" s="39"/>
      <c r="R79" s="42" t="str">
        <f>IF($AA79=0,"",IF(LEN(INDEX(Jobs!$H$9:$H$258,$AA79)&amp;"")=0,"",INDEX(Jobs!$H$9:$H$258,$AA79)))</f>
        <v/>
      </c>
      <c r="S79" s="39"/>
      <c r="T79" s="39"/>
      <c r="U79" s="43" t="str">
        <f>IF($AA79=0,"",HYPERLINK("#'"&amp;INDEX(Jobs!$P$9:$P$258,$AA79)&amp;"'!A1","Open job"))</f>
        <v/>
      </c>
      <c r="V79" s="39"/>
      <c r="AA79">
        <f>IFERROR(MATCH(62,Jobs!$Q$9:$Q$258,0),0)</f>
        <v>0</v>
      </c>
    </row>
    <row r="80" spans="1:27" ht="36" hidden="1" customHeight="1" x14ac:dyDescent="0.35">
      <c r="A80" s="40" t="str">
        <f>IF($AA80=0,"",IF(LEN(INDEX(Jobs!$A$9:$A$258,$AA80)&amp;"")=0,"",INDEX(Jobs!$A$9:$A$258,$AA80)))</f>
        <v/>
      </c>
      <c r="B80" s="39"/>
      <c r="C80" s="40" t="str">
        <f>IF($AA80=0,"",IF(LEN(INDEX(Jobs!$B$9:$B$258,$AA80)&amp;"")=0,"",INDEX(Jobs!$B$9:$B$258,$AA80)))</f>
        <v/>
      </c>
      <c r="D80" s="39"/>
      <c r="E80" s="39"/>
      <c r="F80" s="39"/>
      <c r="G80" s="39"/>
      <c r="H80" s="39"/>
      <c r="I80" s="39"/>
      <c r="J80" s="39"/>
      <c r="K80" s="39"/>
      <c r="L80" s="40" t="str">
        <f>IF($AA80=0,"",IF(LEN(INDEX(Jobs!$D$9:$D$258,$AA80)&amp;"")=0,"",INDEX(Jobs!$D$9:$D$258,$AA80)))</f>
        <v/>
      </c>
      <c r="M80" s="39"/>
      <c r="N80" s="39"/>
      <c r="O80" s="41" t="str">
        <f>IF($AA80=0,"",IF(LEN(INDEX(Jobs!$G$9:$G$258,$AA80)&amp;"")=0,"",INDEX(Jobs!$G$9:$G$258,$AA80)))</f>
        <v/>
      </c>
      <c r="P80" s="39"/>
      <c r="Q80" s="39"/>
      <c r="R80" s="41" t="str">
        <f>IF($AA80=0,"",IF(LEN(INDEX(Jobs!$H$9:$H$258,$AA80)&amp;"")=0,"",INDEX(Jobs!$H$9:$H$258,$AA80)))</f>
        <v/>
      </c>
      <c r="S80" s="39"/>
      <c r="T80" s="39"/>
      <c r="U80" s="44" t="str">
        <f>IF($AA80=0,"",HYPERLINK("#'"&amp;INDEX(Jobs!$P$9:$P$258,$AA80)&amp;"'!A1","Open job"))</f>
        <v/>
      </c>
      <c r="V80" s="39"/>
      <c r="AA80">
        <f>IFERROR(MATCH(63,Jobs!$Q$9:$Q$258,0),0)</f>
        <v>0</v>
      </c>
    </row>
    <row r="81" spans="1:27" ht="36" hidden="1" customHeight="1" x14ac:dyDescent="0.35">
      <c r="A81" s="38" t="str">
        <f>IF($AA81=0,"",IF(LEN(INDEX(Jobs!$A$9:$A$258,$AA81)&amp;"")=0,"",INDEX(Jobs!$A$9:$A$258,$AA81)))</f>
        <v/>
      </c>
      <c r="B81" s="39"/>
      <c r="C81" s="38" t="str">
        <f>IF($AA81=0,"",IF(LEN(INDEX(Jobs!$B$9:$B$258,$AA81)&amp;"")=0,"",INDEX(Jobs!$B$9:$B$258,$AA81)))</f>
        <v/>
      </c>
      <c r="D81" s="39"/>
      <c r="E81" s="39"/>
      <c r="F81" s="39"/>
      <c r="G81" s="39"/>
      <c r="H81" s="39"/>
      <c r="I81" s="39"/>
      <c r="J81" s="39"/>
      <c r="K81" s="39"/>
      <c r="L81" s="38" t="str">
        <f>IF($AA81=0,"",IF(LEN(INDEX(Jobs!$D$9:$D$258,$AA81)&amp;"")=0,"",INDEX(Jobs!$D$9:$D$258,$AA81)))</f>
        <v/>
      </c>
      <c r="M81" s="39"/>
      <c r="N81" s="39"/>
      <c r="O81" s="42" t="str">
        <f>IF($AA81=0,"",IF(LEN(INDEX(Jobs!$G$9:$G$258,$AA81)&amp;"")=0,"",INDEX(Jobs!$G$9:$G$258,$AA81)))</f>
        <v/>
      </c>
      <c r="P81" s="39"/>
      <c r="Q81" s="39"/>
      <c r="R81" s="42" t="str">
        <f>IF($AA81=0,"",IF(LEN(INDEX(Jobs!$H$9:$H$258,$AA81)&amp;"")=0,"",INDEX(Jobs!$H$9:$H$258,$AA81)))</f>
        <v/>
      </c>
      <c r="S81" s="39"/>
      <c r="T81" s="39"/>
      <c r="U81" s="43" t="str">
        <f>IF($AA81=0,"",HYPERLINK("#'"&amp;INDEX(Jobs!$P$9:$P$258,$AA81)&amp;"'!A1","Open job"))</f>
        <v/>
      </c>
      <c r="V81" s="39"/>
      <c r="AA81">
        <f>IFERROR(MATCH(64,Jobs!$Q$9:$Q$258,0),0)</f>
        <v>0</v>
      </c>
    </row>
    <row r="82" spans="1:27" ht="36" hidden="1" customHeight="1" x14ac:dyDescent="0.35">
      <c r="A82" s="40" t="str">
        <f>IF($AA82=0,"",IF(LEN(INDEX(Jobs!$A$9:$A$258,$AA82)&amp;"")=0,"",INDEX(Jobs!$A$9:$A$258,$AA82)))</f>
        <v/>
      </c>
      <c r="B82" s="39"/>
      <c r="C82" s="40" t="str">
        <f>IF($AA82=0,"",IF(LEN(INDEX(Jobs!$B$9:$B$258,$AA82)&amp;"")=0,"",INDEX(Jobs!$B$9:$B$258,$AA82)))</f>
        <v/>
      </c>
      <c r="D82" s="39"/>
      <c r="E82" s="39"/>
      <c r="F82" s="39"/>
      <c r="G82" s="39"/>
      <c r="H82" s="39"/>
      <c r="I82" s="39"/>
      <c r="J82" s="39"/>
      <c r="K82" s="39"/>
      <c r="L82" s="40" t="str">
        <f>IF($AA82=0,"",IF(LEN(INDEX(Jobs!$D$9:$D$258,$AA82)&amp;"")=0,"",INDEX(Jobs!$D$9:$D$258,$AA82)))</f>
        <v/>
      </c>
      <c r="M82" s="39"/>
      <c r="N82" s="39"/>
      <c r="O82" s="41" t="str">
        <f>IF($AA82=0,"",IF(LEN(INDEX(Jobs!$G$9:$G$258,$AA82)&amp;"")=0,"",INDEX(Jobs!$G$9:$G$258,$AA82)))</f>
        <v/>
      </c>
      <c r="P82" s="39"/>
      <c r="Q82" s="39"/>
      <c r="R82" s="41" t="str">
        <f>IF($AA82=0,"",IF(LEN(INDEX(Jobs!$H$9:$H$258,$AA82)&amp;"")=0,"",INDEX(Jobs!$H$9:$H$258,$AA82)))</f>
        <v/>
      </c>
      <c r="S82" s="39"/>
      <c r="T82" s="39"/>
      <c r="U82" s="44" t="str">
        <f>IF($AA82=0,"",HYPERLINK("#'"&amp;INDEX(Jobs!$P$9:$P$258,$AA82)&amp;"'!A1","Open job"))</f>
        <v/>
      </c>
      <c r="V82" s="39"/>
      <c r="AA82">
        <f>IFERROR(MATCH(65,Jobs!$Q$9:$Q$258,0),0)</f>
        <v>0</v>
      </c>
    </row>
    <row r="83" spans="1:27" ht="36" hidden="1" customHeight="1" x14ac:dyDescent="0.35">
      <c r="A83" s="38" t="str">
        <f>IF($AA83=0,"",IF(LEN(INDEX(Jobs!$A$9:$A$258,$AA83)&amp;"")=0,"",INDEX(Jobs!$A$9:$A$258,$AA83)))</f>
        <v/>
      </c>
      <c r="B83" s="39"/>
      <c r="C83" s="38" t="str">
        <f>IF($AA83=0,"",IF(LEN(INDEX(Jobs!$B$9:$B$258,$AA83)&amp;"")=0,"",INDEX(Jobs!$B$9:$B$258,$AA83)))</f>
        <v/>
      </c>
      <c r="D83" s="39"/>
      <c r="E83" s="39"/>
      <c r="F83" s="39"/>
      <c r="G83" s="39"/>
      <c r="H83" s="39"/>
      <c r="I83" s="39"/>
      <c r="J83" s="39"/>
      <c r="K83" s="39"/>
      <c r="L83" s="38" t="str">
        <f>IF($AA83=0,"",IF(LEN(INDEX(Jobs!$D$9:$D$258,$AA83)&amp;"")=0,"",INDEX(Jobs!$D$9:$D$258,$AA83)))</f>
        <v/>
      </c>
      <c r="M83" s="39"/>
      <c r="N83" s="39"/>
      <c r="O83" s="42" t="str">
        <f>IF($AA83=0,"",IF(LEN(INDEX(Jobs!$G$9:$G$258,$AA83)&amp;"")=0,"",INDEX(Jobs!$G$9:$G$258,$AA83)))</f>
        <v/>
      </c>
      <c r="P83" s="39"/>
      <c r="Q83" s="39"/>
      <c r="R83" s="42" t="str">
        <f>IF($AA83=0,"",IF(LEN(INDEX(Jobs!$H$9:$H$258,$AA83)&amp;"")=0,"",INDEX(Jobs!$H$9:$H$258,$AA83)))</f>
        <v/>
      </c>
      <c r="S83" s="39"/>
      <c r="T83" s="39"/>
      <c r="U83" s="43" t="str">
        <f>IF($AA83=0,"",HYPERLINK("#'"&amp;INDEX(Jobs!$P$9:$P$258,$AA83)&amp;"'!A1","Open job"))</f>
        <v/>
      </c>
      <c r="V83" s="39"/>
      <c r="AA83">
        <f>IFERROR(MATCH(66,Jobs!$Q$9:$Q$258,0),0)</f>
        <v>0</v>
      </c>
    </row>
    <row r="84" spans="1:27" ht="36" hidden="1" customHeight="1" x14ac:dyDescent="0.35">
      <c r="A84" s="40" t="str">
        <f>IF($AA84=0,"",IF(LEN(INDEX(Jobs!$A$9:$A$258,$AA84)&amp;"")=0,"",INDEX(Jobs!$A$9:$A$258,$AA84)))</f>
        <v/>
      </c>
      <c r="B84" s="39"/>
      <c r="C84" s="40" t="str">
        <f>IF($AA84=0,"",IF(LEN(INDEX(Jobs!$B$9:$B$258,$AA84)&amp;"")=0,"",INDEX(Jobs!$B$9:$B$258,$AA84)))</f>
        <v/>
      </c>
      <c r="D84" s="39"/>
      <c r="E84" s="39"/>
      <c r="F84" s="39"/>
      <c r="G84" s="39"/>
      <c r="H84" s="39"/>
      <c r="I84" s="39"/>
      <c r="J84" s="39"/>
      <c r="K84" s="39"/>
      <c r="L84" s="40" t="str">
        <f>IF($AA84=0,"",IF(LEN(INDEX(Jobs!$D$9:$D$258,$AA84)&amp;"")=0,"",INDEX(Jobs!$D$9:$D$258,$AA84)))</f>
        <v/>
      </c>
      <c r="M84" s="39"/>
      <c r="N84" s="39"/>
      <c r="O84" s="41" t="str">
        <f>IF($AA84=0,"",IF(LEN(INDEX(Jobs!$G$9:$G$258,$AA84)&amp;"")=0,"",INDEX(Jobs!$G$9:$G$258,$AA84)))</f>
        <v/>
      </c>
      <c r="P84" s="39"/>
      <c r="Q84" s="39"/>
      <c r="R84" s="41" t="str">
        <f>IF($AA84=0,"",IF(LEN(INDEX(Jobs!$H$9:$H$258,$AA84)&amp;"")=0,"",INDEX(Jobs!$H$9:$H$258,$AA84)))</f>
        <v/>
      </c>
      <c r="S84" s="39"/>
      <c r="T84" s="39"/>
      <c r="U84" s="44" t="str">
        <f>IF($AA84=0,"",HYPERLINK("#'"&amp;INDEX(Jobs!$P$9:$P$258,$AA84)&amp;"'!A1","Open job"))</f>
        <v/>
      </c>
      <c r="V84" s="39"/>
      <c r="AA84">
        <f>IFERROR(MATCH(67,Jobs!$Q$9:$Q$258,0),0)</f>
        <v>0</v>
      </c>
    </row>
    <row r="85" spans="1:27" ht="36" hidden="1" customHeight="1" x14ac:dyDescent="0.35">
      <c r="A85" s="38" t="str">
        <f>IF($AA85=0,"",IF(LEN(INDEX(Jobs!$A$9:$A$258,$AA85)&amp;"")=0,"",INDEX(Jobs!$A$9:$A$258,$AA85)))</f>
        <v/>
      </c>
      <c r="B85" s="39"/>
      <c r="C85" s="38" t="str">
        <f>IF($AA85=0,"",IF(LEN(INDEX(Jobs!$B$9:$B$258,$AA85)&amp;"")=0,"",INDEX(Jobs!$B$9:$B$258,$AA85)))</f>
        <v/>
      </c>
      <c r="D85" s="39"/>
      <c r="E85" s="39"/>
      <c r="F85" s="39"/>
      <c r="G85" s="39"/>
      <c r="H85" s="39"/>
      <c r="I85" s="39"/>
      <c r="J85" s="39"/>
      <c r="K85" s="39"/>
      <c r="L85" s="38" t="str">
        <f>IF($AA85=0,"",IF(LEN(INDEX(Jobs!$D$9:$D$258,$AA85)&amp;"")=0,"",INDEX(Jobs!$D$9:$D$258,$AA85)))</f>
        <v/>
      </c>
      <c r="M85" s="39"/>
      <c r="N85" s="39"/>
      <c r="O85" s="42" t="str">
        <f>IF($AA85=0,"",IF(LEN(INDEX(Jobs!$G$9:$G$258,$AA85)&amp;"")=0,"",INDEX(Jobs!$G$9:$G$258,$AA85)))</f>
        <v/>
      </c>
      <c r="P85" s="39"/>
      <c r="Q85" s="39"/>
      <c r="R85" s="42" t="str">
        <f>IF($AA85=0,"",IF(LEN(INDEX(Jobs!$H$9:$H$258,$AA85)&amp;"")=0,"",INDEX(Jobs!$H$9:$H$258,$AA85)))</f>
        <v/>
      </c>
      <c r="S85" s="39"/>
      <c r="T85" s="39"/>
      <c r="U85" s="43" t="str">
        <f>IF($AA85=0,"",HYPERLINK("#'"&amp;INDEX(Jobs!$P$9:$P$258,$AA85)&amp;"'!A1","Open job"))</f>
        <v/>
      </c>
      <c r="V85" s="39"/>
      <c r="AA85">
        <f>IFERROR(MATCH(68,Jobs!$Q$9:$Q$258,0),0)</f>
        <v>0</v>
      </c>
    </row>
    <row r="86" spans="1:27" ht="36" hidden="1" customHeight="1" x14ac:dyDescent="0.35">
      <c r="A86" s="40" t="str">
        <f>IF($AA86=0,"",IF(LEN(INDEX(Jobs!$A$9:$A$258,$AA86)&amp;"")=0,"",INDEX(Jobs!$A$9:$A$258,$AA86)))</f>
        <v/>
      </c>
      <c r="B86" s="39"/>
      <c r="C86" s="40" t="str">
        <f>IF($AA86=0,"",IF(LEN(INDEX(Jobs!$B$9:$B$258,$AA86)&amp;"")=0,"",INDEX(Jobs!$B$9:$B$258,$AA86)))</f>
        <v/>
      </c>
      <c r="D86" s="39"/>
      <c r="E86" s="39"/>
      <c r="F86" s="39"/>
      <c r="G86" s="39"/>
      <c r="H86" s="39"/>
      <c r="I86" s="39"/>
      <c r="J86" s="39"/>
      <c r="K86" s="39"/>
      <c r="L86" s="40" t="str">
        <f>IF($AA86=0,"",IF(LEN(INDEX(Jobs!$D$9:$D$258,$AA86)&amp;"")=0,"",INDEX(Jobs!$D$9:$D$258,$AA86)))</f>
        <v/>
      </c>
      <c r="M86" s="39"/>
      <c r="N86" s="39"/>
      <c r="O86" s="41" t="str">
        <f>IF($AA86=0,"",IF(LEN(INDEX(Jobs!$G$9:$G$258,$AA86)&amp;"")=0,"",INDEX(Jobs!$G$9:$G$258,$AA86)))</f>
        <v/>
      </c>
      <c r="P86" s="39"/>
      <c r="Q86" s="39"/>
      <c r="R86" s="41" t="str">
        <f>IF($AA86=0,"",IF(LEN(INDEX(Jobs!$H$9:$H$258,$AA86)&amp;"")=0,"",INDEX(Jobs!$H$9:$H$258,$AA86)))</f>
        <v/>
      </c>
      <c r="S86" s="39"/>
      <c r="T86" s="39"/>
      <c r="U86" s="44" t="str">
        <f>IF($AA86=0,"",HYPERLINK("#'"&amp;INDEX(Jobs!$P$9:$P$258,$AA86)&amp;"'!A1","Open job"))</f>
        <v/>
      </c>
      <c r="V86" s="39"/>
      <c r="AA86">
        <f>IFERROR(MATCH(69,Jobs!$Q$9:$Q$258,0),0)</f>
        <v>0</v>
      </c>
    </row>
    <row r="87" spans="1:27" ht="36" hidden="1" customHeight="1" x14ac:dyDescent="0.35">
      <c r="A87" s="38" t="str">
        <f>IF($AA87=0,"",IF(LEN(INDEX(Jobs!$A$9:$A$258,$AA87)&amp;"")=0,"",INDEX(Jobs!$A$9:$A$258,$AA87)))</f>
        <v/>
      </c>
      <c r="B87" s="39"/>
      <c r="C87" s="38" t="str">
        <f>IF($AA87=0,"",IF(LEN(INDEX(Jobs!$B$9:$B$258,$AA87)&amp;"")=0,"",INDEX(Jobs!$B$9:$B$258,$AA87)))</f>
        <v/>
      </c>
      <c r="D87" s="39"/>
      <c r="E87" s="39"/>
      <c r="F87" s="39"/>
      <c r="G87" s="39"/>
      <c r="H87" s="39"/>
      <c r="I87" s="39"/>
      <c r="J87" s="39"/>
      <c r="K87" s="39"/>
      <c r="L87" s="38" t="str">
        <f>IF($AA87=0,"",IF(LEN(INDEX(Jobs!$D$9:$D$258,$AA87)&amp;"")=0,"",INDEX(Jobs!$D$9:$D$258,$AA87)))</f>
        <v/>
      </c>
      <c r="M87" s="39"/>
      <c r="N87" s="39"/>
      <c r="O87" s="42" t="str">
        <f>IF($AA87=0,"",IF(LEN(INDEX(Jobs!$G$9:$G$258,$AA87)&amp;"")=0,"",INDEX(Jobs!$G$9:$G$258,$AA87)))</f>
        <v/>
      </c>
      <c r="P87" s="39"/>
      <c r="Q87" s="39"/>
      <c r="R87" s="42" t="str">
        <f>IF($AA87=0,"",IF(LEN(INDEX(Jobs!$H$9:$H$258,$AA87)&amp;"")=0,"",INDEX(Jobs!$H$9:$H$258,$AA87)))</f>
        <v/>
      </c>
      <c r="S87" s="39"/>
      <c r="T87" s="39"/>
      <c r="U87" s="43" t="str">
        <f>IF($AA87=0,"",HYPERLINK("#'"&amp;INDEX(Jobs!$P$9:$P$258,$AA87)&amp;"'!A1","Open job"))</f>
        <v/>
      </c>
      <c r="V87" s="39"/>
      <c r="AA87">
        <f>IFERROR(MATCH(70,Jobs!$Q$9:$Q$258,0),0)</f>
        <v>0</v>
      </c>
    </row>
    <row r="88" spans="1:27" ht="36" hidden="1" customHeight="1" x14ac:dyDescent="0.35">
      <c r="A88" s="40" t="str">
        <f>IF($AA88=0,"",IF(LEN(INDEX(Jobs!$A$9:$A$258,$AA88)&amp;"")=0,"",INDEX(Jobs!$A$9:$A$258,$AA88)))</f>
        <v/>
      </c>
      <c r="B88" s="39"/>
      <c r="C88" s="40" t="str">
        <f>IF($AA88=0,"",IF(LEN(INDEX(Jobs!$B$9:$B$258,$AA88)&amp;"")=0,"",INDEX(Jobs!$B$9:$B$258,$AA88)))</f>
        <v/>
      </c>
      <c r="D88" s="39"/>
      <c r="E88" s="39"/>
      <c r="F88" s="39"/>
      <c r="G88" s="39"/>
      <c r="H88" s="39"/>
      <c r="I88" s="39"/>
      <c r="J88" s="39"/>
      <c r="K88" s="39"/>
      <c r="L88" s="40" t="str">
        <f>IF($AA88=0,"",IF(LEN(INDEX(Jobs!$D$9:$D$258,$AA88)&amp;"")=0,"",INDEX(Jobs!$D$9:$D$258,$AA88)))</f>
        <v/>
      </c>
      <c r="M88" s="39"/>
      <c r="N88" s="39"/>
      <c r="O88" s="41" t="str">
        <f>IF($AA88=0,"",IF(LEN(INDEX(Jobs!$G$9:$G$258,$AA88)&amp;"")=0,"",INDEX(Jobs!$G$9:$G$258,$AA88)))</f>
        <v/>
      </c>
      <c r="P88" s="39"/>
      <c r="Q88" s="39"/>
      <c r="R88" s="41" t="str">
        <f>IF($AA88=0,"",IF(LEN(INDEX(Jobs!$H$9:$H$258,$AA88)&amp;"")=0,"",INDEX(Jobs!$H$9:$H$258,$AA88)))</f>
        <v/>
      </c>
      <c r="S88" s="39"/>
      <c r="T88" s="39"/>
      <c r="U88" s="44" t="str">
        <f>IF($AA88=0,"",HYPERLINK("#'"&amp;INDEX(Jobs!$P$9:$P$258,$AA88)&amp;"'!A1","Open job"))</f>
        <v/>
      </c>
      <c r="V88" s="39"/>
      <c r="AA88">
        <f>IFERROR(MATCH(71,Jobs!$Q$9:$Q$258,0),0)</f>
        <v>0</v>
      </c>
    </row>
    <row r="89" spans="1:27" ht="36" hidden="1" customHeight="1" x14ac:dyDescent="0.35">
      <c r="A89" s="38" t="str">
        <f>IF($AA89=0,"",IF(LEN(INDEX(Jobs!$A$9:$A$258,$AA89)&amp;"")=0,"",INDEX(Jobs!$A$9:$A$258,$AA89)))</f>
        <v/>
      </c>
      <c r="B89" s="39"/>
      <c r="C89" s="38" t="str">
        <f>IF($AA89=0,"",IF(LEN(INDEX(Jobs!$B$9:$B$258,$AA89)&amp;"")=0,"",INDEX(Jobs!$B$9:$B$258,$AA89)))</f>
        <v/>
      </c>
      <c r="D89" s="39"/>
      <c r="E89" s="39"/>
      <c r="F89" s="39"/>
      <c r="G89" s="39"/>
      <c r="H89" s="39"/>
      <c r="I89" s="39"/>
      <c r="J89" s="39"/>
      <c r="K89" s="39"/>
      <c r="L89" s="38" t="str">
        <f>IF($AA89=0,"",IF(LEN(INDEX(Jobs!$D$9:$D$258,$AA89)&amp;"")=0,"",INDEX(Jobs!$D$9:$D$258,$AA89)))</f>
        <v/>
      </c>
      <c r="M89" s="39"/>
      <c r="N89" s="39"/>
      <c r="O89" s="42" t="str">
        <f>IF($AA89=0,"",IF(LEN(INDEX(Jobs!$G$9:$G$258,$AA89)&amp;"")=0,"",INDEX(Jobs!$G$9:$G$258,$AA89)))</f>
        <v/>
      </c>
      <c r="P89" s="39"/>
      <c r="Q89" s="39"/>
      <c r="R89" s="42" t="str">
        <f>IF($AA89=0,"",IF(LEN(INDEX(Jobs!$H$9:$H$258,$AA89)&amp;"")=0,"",INDEX(Jobs!$H$9:$H$258,$AA89)))</f>
        <v/>
      </c>
      <c r="S89" s="39"/>
      <c r="T89" s="39"/>
      <c r="U89" s="43" t="str">
        <f>IF($AA89=0,"",HYPERLINK("#'"&amp;INDEX(Jobs!$P$9:$P$258,$AA89)&amp;"'!A1","Open job"))</f>
        <v/>
      </c>
      <c r="V89" s="39"/>
      <c r="AA89">
        <f>IFERROR(MATCH(72,Jobs!$Q$9:$Q$258,0),0)</f>
        <v>0</v>
      </c>
    </row>
    <row r="90" spans="1:27" ht="36" hidden="1" customHeight="1" x14ac:dyDescent="0.35">
      <c r="A90" s="40" t="str">
        <f>IF($AA90=0,"",IF(LEN(INDEX(Jobs!$A$9:$A$258,$AA90)&amp;"")=0,"",INDEX(Jobs!$A$9:$A$258,$AA90)))</f>
        <v/>
      </c>
      <c r="B90" s="39"/>
      <c r="C90" s="40" t="str">
        <f>IF($AA90=0,"",IF(LEN(INDEX(Jobs!$B$9:$B$258,$AA90)&amp;"")=0,"",INDEX(Jobs!$B$9:$B$258,$AA90)))</f>
        <v/>
      </c>
      <c r="D90" s="39"/>
      <c r="E90" s="39"/>
      <c r="F90" s="39"/>
      <c r="G90" s="39"/>
      <c r="H90" s="39"/>
      <c r="I90" s="39"/>
      <c r="J90" s="39"/>
      <c r="K90" s="39"/>
      <c r="L90" s="40" t="str">
        <f>IF($AA90=0,"",IF(LEN(INDEX(Jobs!$D$9:$D$258,$AA90)&amp;"")=0,"",INDEX(Jobs!$D$9:$D$258,$AA90)))</f>
        <v/>
      </c>
      <c r="M90" s="39"/>
      <c r="N90" s="39"/>
      <c r="O90" s="41" t="str">
        <f>IF($AA90=0,"",IF(LEN(INDEX(Jobs!$G$9:$G$258,$AA90)&amp;"")=0,"",INDEX(Jobs!$G$9:$G$258,$AA90)))</f>
        <v/>
      </c>
      <c r="P90" s="39"/>
      <c r="Q90" s="39"/>
      <c r="R90" s="41" t="str">
        <f>IF($AA90=0,"",IF(LEN(INDEX(Jobs!$H$9:$H$258,$AA90)&amp;"")=0,"",INDEX(Jobs!$H$9:$H$258,$AA90)))</f>
        <v/>
      </c>
      <c r="S90" s="39"/>
      <c r="T90" s="39"/>
      <c r="U90" s="44" t="str">
        <f>IF($AA90=0,"",HYPERLINK("#'"&amp;INDEX(Jobs!$P$9:$P$258,$AA90)&amp;"'!A1","Open job"))</f>
        <v/>
      </c>
      <c r="V90" s="39"/>
      <c r="AA90">
        <f>IFERROR(MATCH(73,Jobs!$Q$9:$Q$258,0),0)</f>
        <v>0</v>
      </c>
    </row>
    <row r="91" spans="1:27" ht="36" hidden="1" customHeight="1" x14ac:dyDescent="0.35">
      <c r="A91" s="38" t="str">
        <f>IF($AA91=0,"",IF(LEN(INDEX(Jobs!$A$9:$A$258,$AA91)&amp;"")=0,"",INDEX(Jobs!$A$9:$A$258,$AA91)))</f>
        <v/>
      </c>
      <c r="B91" s="39"/>
      <c r="C91" s="38" t="str">
        <f>IF($AA91=0,"",IF(LEN(INDEX(Jobs!$B$9:$B$258,$AA91)&amp;"")=0,"",INDEX(Jobs!$B$9:$B$258,$AA91)))</f>
        <v/>
      </c>
      <c r="D91" s="39"/>
      <c r="E91" s="39"/>
      <c r="F91" s="39"/>
      <c r="G91" s="39"/>
      <c r="H91" s="39"/>
      <c r="I91" s="39"/>
      <c r="J91" s="39"/>
      <c r="K91" s="39"/>
      <c r="L91" s="38" t="str">
        <f>IF($AA91=0,"",IF(LEN(INDEX(Jobs!$D$9:$D$258,$AA91)&amp;"")=0,"",INDEX(Jobs!$D$9:$D$258,$AA91)))</f>
        <v/>
      </c>
      <c r="M91" s="39"/>
      <c r="N91" s="39"/>
      <c r="O91" s="42" t="str">
        <f>IF($AA91=0,"",IF(LEN(INDEX(Jobs!$G$9:$G$258,$AA91)&amp;"")=0,"",INDEX(Jobs!$G$9:$G$258,$AA91)))</f>
        <v/>
      </c>
      <c r="P91" s="39"/>
      <c r="Q91" s="39"/>
      <c r="R91" s="42" t="str">
        <f>IF($AA91=0,"",IF(LEN(INDEX(Jobs!$H$9:$H$258,$AA91)&amp;"")=0,"",INDEX(Jobs!$H$9:$H$258,$AA91)))</f>
        <v/>
      </c>
      <c r="S91" s="39"/>
      <c r="T91" s="39"/>
      <c r="U91" s="43" t="str">
        <f>IF($AA91=0,"",HYPERLINK("#'"&amp;INDEX(Jobs!$P$9:$P$258,$AA91)&amp;"'!A1","Open job"))</f>
        <v/>
      </c>
      <c r="V91" s="39"/>
      <c r="AA91">
        <f>IFERROR(MATCH(74,Jobs!$Q$9:$Q$258,0),0)</f>
        <v>0</v>
      </c>
    </row>
    <row r="92" spans="1:27" ht="36" hidden="1" customHeight="1" x14ac:dyDescent="0.35">
      <c r="A92" s="40" t="str">
        <f>IF($AA92=0,"",IF(LEN(INDEX(Jobs!$A$9:$A$258,$AA92)&amp;"")=0,"",INDEX(Jobs!$A$9:$A$258,$AA92)))</f>
        <v/>
      </c>
      <c r="B92" s="39"/>
      <c r="C92" s="40" t="str">
        <f>IF($AA92=0,"",IF(LEN(INDEX(Jobs!$B$9:$B$258,$AA92)&amp;"")=0,"",INDEX(Jobs!$B$9:$B$258,$AA92)))</f>
        <v/>
      </c>
      <c r="D92" s="39"/>
      <c r="E92" s="39"/>
      <c r="F92" s="39"/>
      <c r="G92" s="39"/>
      <c r="H92" s="39"/>
      <c r="I92" s="39"/>
      <c r="J92" s="39"/>
      <c r="K92" s="39"/>
      <c r="L92" s="40" t="str">
        <f>IF($AA92=0,"",IF(LEN(INDEX(Jobs!$D$9:$D$258,$AA92)&amp;"")=0,"",INDEX(Jobs!$D$9:$D$258,$AA92)))</f>
        <v/>
      </c>
      <c r="M92" s="39"/>
      <c r="N92" s="39"/>
      <c r="O92" s="41" t="str">
        <f>IF($AA92=0,"",IF(LEN(INDEX(Jobs!$G$9:$G$258,$AA92)&amp;"")=0,"",INDEX(Jobs!$G$9:$G$258,$AA92)))</f>
        <v/>
      </c>
      <c r="P92" s="39"/>
      <c r="Q92" s="39"/>
      <c r="R92" s="41" t="str">
        <f>IF($AA92=0,"",IF(LEN(INDEX(Jobs!$H$9:$H$258,$AA92)&amp;"")=0,"",INDEX(Jobs!$H$9:$H$258,$AA92)))</f>
        <v/>
      </c>
      <c r="S92" s="39"/>
      <c r="T92" s="39"/>
      <c r="U92" s="44" t="str">
        <f>IF($AA92=0,"",HYPERLINK("#'"&amp;INDEX(Jobs!$P$9:$P$258,$AA92)&amp;"'!A1","Open job"))</f>
        <v/>
      </c>
      <c r="V92" s="39"/>
      <c r="AA92">
        <f>IFERROR(MATCH(75,Jobs!$Q$9:$Q$258,0),0)</f>
        <v>0</v>
      </c>
    </row>
    <row r="93" spans="1:27" ht="36" hidden="1" customHeight="1" x14ac:dyDescent="0.35">
      <c r="A93" s="38" t="str">
        <f>IF($AA93=0,"",IF(LEN(INDEX(Jobs!$A$9:$A$258,$AA93)&amp;"")=0,"",INDEX(Jobs!$A$9:$A$258,$AA93)))</f>
        <v/>
      </c>
      <c r="B93" s="39"/>
      <c r="C93" s="38" t="str">
        <f>IF($AA93=0,"",IF(LEN(INDEX(Jobs!$B$9:$B$258,$AA93)&amp;"")=0,"",INDEX(Jobs!$B$9:$B$258,$AA93)))</f>
        <v/>
      </c>
      <c r="D93" s="39"/>
      <c r="E93" s="39"/>
      <c r="F93" s="39"/>
      <c r="G93" s="39"/>
      <c r="H93" s="39"/>
      <c r="I93" s="39"/>
      <c r="J93" s="39"/>
      <c r="K93" s="39"/>
      <c r="L93" s="38" t="str">
        <f>IF($AA93=0,"",IF(LEN(INDEX(Jobs!$D$9:$D$258,$AA93)&amp;"")=0,"",INDEX(Jobs!$D$9:$D$258,$AA93)))</f>
        <v/>
      </c>
      <c r="M93" s="39"/>
      <c r="N93" s="39"/>
      <c r="O93" s="42" t="str">
        <f>IF($AA93=0,"",IF(LEN(INDEX(Jobs!$G$9:$G$258,$AA93)&amp;"")=0,"",INDEX(Jobs!$G$9:$G$258,$AA93)))</f>
        <v/>
      </c>
      <c r="P93" s="39"/>
      <c r="Q93" s="39"/>
      <c r="R93" s="42" t="str">
        <f>IF($AA93=0,"",IF(LEN(INDEX(Jobs!$H$9:$H$258,$AA93)&amp;"")=0,"",INDEX(Jobs!$H$9:$H$258,$AA93)))</f>
        <v/>
      </c>
      <c r="S93" s="39"/>
      <c r="T93" s="39"/>
      <c r="U93" s="43" t="str">
        <f>IF($AA93=0,"",HYPERLINK("#'"&amp;INDEX(Jobs!$P$9:$P$258,$AA93)&amp;"'!A1","Open job"))</f>
        <v/>
      </c>
      <c r="V93" s="39"/>
      <c r="AA93">
        <f>IFERROR(MATCH(76,Jobs!$Q$9:$Q$258,0),0)</f>
        <v>0</v>
      </c>
    </row>
    <row r="94" spans="1:27" ht="36" hidden="1" customHeight="1" x14ac:dyDescent="0.35">
      <c r="A94" s="40" t="str">
        <f>IF($AA94=0,"",IF(LEN(INDEX(Jobs!$A$9:$A$258,$AA94)&amp;"")=0,"",INDEX(Jobs!$A$9:$A$258,$AA94)))</f>
        <v/>
      </c>
      <c r="B94" s="39"/>
      <c r="C94" s="40" t="str">
        <f>IF($AA94=0,"",IF(LEN(INDEX(Jobs!$B$9:$B$258,$AA94)&amp;"")=0,"",INDEX(Jobs!$B$9:$B$258,$AA94)))</f>
        <v/>
      </c>
      <c r="D94" s="39"/>
      <c r="E94" s="39"/>
      <c r="F94" s="39"/>
      <c r="G94" s="39"/>
      <c r="H94" s="39"/>
      <c r="I94" s="39"/>
      <c r="J94" s="39"/>
      <c r="K94" s="39"/>
      <c r="L94" s="40" t="str">
        <f>IF($AA94=0,"",IF(LEN(INDEX(Jobs!$D$9:$D$258,$AA94)&amp;"")=0,"",INDEX(Jobs!$D$9:$D$258,$AA94)))</f>
        <v/>
      </c>
      <c r="M94" s="39"/>
      <c r="N94" s="39"/>
      <c r="O94" s="41" t="str">
        <f>IF($AA94=0,"",IF(LEN(INDEX(Jobs!$G$9:$G$258,$AA94)&amp;"")=0,"",INDEX(Jobs!$G$9:$G$258,$AA94)))</f>
        <v/>
      </c>
      <c r="P94" s="39"/>
      <c r="Q94" s="39"/>
      <c r="R94" s="41" t="str">
        <f>IF($AA94=0,"",IF(LEN(INDEX(Jobs!$H$9:$H$258,$AA94)&amp;"")=0,"",INDEX(Jobs!$H$9:$H$258,$AA94)))</f>
        <v/>
      </c>
      <c r="S94" s="39"/>
      <c r="T94" s="39"/>
      <c r="U94" s="44" t="str">
        <f>IF($AA94=0,"",HYPERLINK("#'"&amp;INDEX(Jobs!$P$9:$P$258,$AA94)&amp;"'!A1","Open job"))</f>
        <v/>
      </c>
      <c r="V94" s="39"/>
      <c r="AA94">
        <f>IFERROR(MATCH(77,Jobs!$Q$9:$Q$258,0),0)</f>
        <v>0</v>
      </c>
    </row>
    <row r="95" spans="1:27" ht="36" hidden="1" customHeight="1" x14ac:dyDescent="0.35">
      <c r="A95" s="38" t="str">
        <f>IF($AA95=0,"",IF(LEN(INDEX(Jobs!$A$9:$A$258,$AA95)&amp;"")=0,"",INDEX(Jobs!$A$9:$A$258,$AA95)))</f>
        <v/>
      </c>
      <c r="B95" s="39"/>
      <c r="C95" s="38" t="str">
        <f>IF($AA95=0,"",IF(LEN(INDEX(Jobs!$B$9:$B$258,$AA95)&amp;"")=0,"",INDEX(Jobs!$B$9:$B$258,$AA95)))</f>
        <v/>
      </c>
      <c r="D95" s="39"/>
      <c r="E95" s="39"/>
      <c r="F95" s="39"/>
      <c r="G95" s="39"/>
      <c r="H95" s="39"/>
      <c r="I95" s="39"/>
      <c r="J95" s="39"/>
      <c r="K95" s="39"/>
      <c r="L95" s="38" t="str">
        <f>IF($AA95=0,"",IF(LEN(INDEX(Jobs!$D$9:$D$258,$AA95)&amp;"")=0,"",INDEX(Jobs!$D$9:$D$258,$AA95)))</f>
        <v/>
      </c>
      <c r="M95" s="39"/>
      <c r="N95" s="39"/>
      <c r="O95" s="42" t="str">
        <f>IF($AA95=0,"",IF(LEN(INDEX(Jobs!$G$9:$G$258,$AA95)&amp;"")=0,"",INDEX(Jobs!$G$9:$G$258,$AA95)))</f>
        <v/>
      </c>
      <c r="P95" s="39"/>
      <c r="Q95" s="39"/>
      <c r="R95" s="42" t="str">
        <f>IF($AA95=0,"",IF(LEN(INDEX(Jobs!$H$9:$H$258,$AA95)&amp;"")=0,"",INDEX(Jobs!$H$9:$H$258,$AA95)))</f>
        <v/>
      </c>
      <c r="S95" s="39"/>
      <c r="T95" s="39"/>
      <c r="U95" s="43" t="str">
        <f>IF($AA95=0,"",HYPERLINK("#'"&amp;INDEX(Jobs!$P$9:$P$258,$AA95)&amp;"'!A1","Open job"))</f>
        <v/>
      </c>
      <c r="V95" s="39"/>
      <c r="AA95">
        <f>IFERROR(MATCH(78,Jobs!$Q$9:$Q$258,0),0)</f>
        <v>0</v>
      </c>
    </row>
    <row r="96" spans="1:27" ht="36" hidden="1" customHeight="1" x14ac:dyDescent="0.35">
      <c r="A96" s="40" t="str">
        <f>IF($AA96=0,"",IF(LEN(INDEX(Jobs!$A$9:$A$258,$AA96)&amp;"")=0,"",INDEX(Jobs!$A$9:$A$258,$AA96)))</f>
        <v/>
      </c>
      <c r="B96" s="39"/>
      <c r="C96" s="40" t="str">
        <f>IF($AA96=0,"",IF(LEN(INDEX(Jobs!$B$9:$B$258,$AA96)&amp;"")=0,"",INDEX(Jobs!$B$9:$B$258,$AA96)))</f>
        <v/>
      </c>
      <c r="D96" s="39"/>
      <c r="E96" s="39"/>
      <c r="F96" s="39"/>
      <c r="G96" s="39"/>
      <c r="H96" s="39"/>
      <c r="I96" s="39"/>
      <c r="J96" s="39"/>
      <c r="K96" s="39"/>
      <c r="L96" s="40" t="str">
        <f>IF($AA96=0,"",IF(LEN(INDEX(Jobs!$D$9:$D$258,$AA96)&amp;"")=0,"",INDEX(Jobs!$D$9:$D$258,$AA96)))</f>
        <v/>
      </c>
      <c r="M96" s="39"/>
      <c r="N96" s="39"/>
      <c r="O96" s="41" t="str">
        <f>IF($AA96=0,"",IF(LEN(INDEX(Jobs!$G$9:$G$258,$AA96)&amp;"")=0,"",INDEX(Jobs!$G$9:$G$258,$AA96)))</f>
        <v/>
      </c>
      <c r="P96" s="39"/>
      <c r="Q96" s="39"/>
      <c r="R96" s="41" t="str">
        <f>IF($AA96=0,"",IF(LEN(INDEX(Jobs!$H$9:$H$258,$AA96)&amp;"")=0,"",INDEX(Jobs!$H$9:$H$258,$AA96)))</f>
        <v/>
      </c>
      <c r="S96" s="39"/>
      <c r="T96" s="39"/>
      <c r="U96" s="44" t="str">
        <f>IF($AA96=0,"",HYPERLINK("#'"&amp;INDEX(Jobs!$P$9:$P$258,$AA96)&amp;"'!A1","Open job"))</f>
        <v/>
      </c>
      <c r="V96" s="39"/>
      <c r="AA96">
        <f>IFERROR(MATCH(79,Jobs!$Q$9:$Q$258,0),0)</f>
        <v>0</v>
      </c>
    </row>
    <row r="97" spans="1:27" ht="36" hidden="1" customHeight="1" x14ac:dyDescent="0.35">
      <c r="A97" s="38" t="str">
        <f>IF($AA97=0,"",IF(LEN(INDEX(Jobs!$A$9:$A$258,$AA97)&amp;"")=0,"",INDEX(Jobs!$A$9:$A$258,$AA97)))</f>
        <v/>
      </c>
      <c r="B97" s="39"/>
      <c r="C97" s="38" t="str">
        <f>IF($AA97=0,"",IF(LEN(INDEX(Jobs!$B$9:$B$258,$AA97)&amp;"")=0,"",INDEX(Jobs!$B$9:$B$258,$AA97)))</f>
        <v/>
      </c>
      <c r="D97" s="39"/>
      <c r="E97" s="39"/>
      <c r="F97" s="39"/>
      <c r="G97" s="39"/>
      <c r="H97" s="39"/>
      <c r="I97" s="39"/>
      <c r="J97" s="39"/>
      <c r="K97" s="39"/>
      <c r="L97" s="38" t="str">
        <f>IF($AA97=0,"",IF(LEN(INDEX(Jobs!$D$9:$D$258,$AA97)&amp;"")=0,"",INDEX(Jobs!$D$9:$D$258,$AA97)))</f>
        <v/>
      </c>
      <c r="M97" s="39"/>
      <c r="N97" s="39"/>
      <c r="O97" s="42" t="str">
        <f>IF($AA97=0,"",IF(LEN(INDEX(Jobs!$G$9:$G$258,$AA97)&amp;"")=0,"",INDEX(Jobs!$G$9:$G$258,$AA97)))</f>
        <v/>
      </c>
      <c r="P97" s="39"/>
      <c r="Q97" s="39"/>
      <c r="R97" s="42" t="str">
        <f>IF($AA97=0,"",IF(LEN(INDEX(Jobs!$H$9:$H$258,$AA97)&amp;"")=0,"",INDEX(Jobs!$H$9:$H$258,$AA97)))</f>
        <v/>
      </c>
      <c r="S97" s="39"/>
      <c r="T97" s="39"/>
      <c r="U97" s="43" t="str">
        <f>IF($AA97=0,"",HYPERLINK("#'"&amp;INDEX(Jobs!$P$9:$P$258,$AA97)&amp;"'!A1","Open job"))</f>
        <v/>
      </c>
      <c r="V97" s="39"/>
      <c r="AA97">
        <f>IFERROR(MATCH(80,Jobs!$Q$9:$Q$258,0),0)</f>
        <v>0</v>
      </c>
    </row>
    <row r="98" spans="1:27" ht="36" hidden="1" customHeight="1" x14ac:dyDescent="0.35">
      <c r="A98" s="40" t="str">
        <f>IF($AA98=0,"",IF(LEN(INDEX(Jobs!$A$9:$A$258,$AA98)&amp;"")=0,"",INDEX(Jobs!$A$9:$A$258,$AA98)))</f>
        <v/>
      </c>
      <c r="B98" s="39"/>
      <c r="C98" s="40" t="str">
        <f>IF($AA98=0,"",IF(LEN(INDEX(Jobs!$B$9:$B$258,$AA98)&amp;"")=0,"",INDEX(Jobs!$B$9:$B$258,$AA98)))</f>
        <v/>
      </c>
      <c r="D98" s="39"/>
      <c r="E98" s="39"/>
      <c r="F98" s="39"/>
      <c r="G98" s="39"/>
      <c r="H98" s="39"/>
      <c r="I98" s="39"/>
      <c r="J98" s="39"/>
      <c r="K98" s="39"/>
      <c r="L98" s="40" t="str">
        <f>IF($AA98=0,"",IF(LEN(INDEX(Jobs!$D$9:$D$258,$AA98)&amp;"")=0,"",INDEX(Jobs!$D$9:$D$258,$AA98)))</f>
        <v/>
      </c>
      <c r="M98" s="39"/>
      <c r="N98" s="39"/>
      <c r="O98" s="41" t="str">
        <f>IF($AA98=0,"",IF(LEN(INDEX(Jobs!$G$9:$G$258,$AA98)&amp;"")=0,"",INDEX(Jobs!$G$9:$G$258,$AA98)))</f>
        <v/>
      </c>
      <c r="P98" s="39"/>
      <c r="Q98" s="39"/>
      <c r="R98" s="41" t="str">
        <f>IF($AA98=0,"",IF(LEN(INDEX(Jobs!$H$9:$H$258,$AA98)&amp;"")=0,"",INDEX(Jobs!$H$9:$H$258,$AA98)))</f>
        <v/>
      </c>
      <c r="S98" s="39"/>
      <c r="T98" s="39"/>
      <c r="U98" s="44" t="str">
        <f>IF($AA98=0,"",HYPERLINK("#'"&amp;INDEX(Jobs!$P$9:$P$258,$AA98)&amp;"'!A1","Open job"))</f>
        <v/>
      </c>
      <c r="V98" s="39"/>
      <c r="AA98">
        <f>IFERROR(MATCH(81,Jobs!$Q$9:$Q$258,0),0)</f>
        <v>0</v>
      </c>
    </row>
    <row r="99" spans="1:27" ht="36" hidden="1" customHeight="1" x14ac:dyDescent="0.35">
      <c r="A99" s="38" t="str">
        <f>IF($AA99=0,"",IF(LEN(INDEX(Jobs!$A$9:$A$258,$AA99)&amp;"")=0,"",INDEX(Jobs!$A$9:$A$258,$AA99)))</f>
        <v/>
      </c>
      <c r="B99" s="39"/>
      <c r="C99" s="38" t="str">
        <f>IF($AA99=0,"",IF(LEN(INDEX(Jobs!$B$9:$B$258,$AA99)&amp;"")=0,"",INDEX(Jobs!$B$9:$B$258,$AA99)))</f>
        <v/>
      </c>
      <c r="D99" s="39"/>
      <c r="E99" s="39"/>
      <c r="F99" s="39"/>
      <c r="G99" s="39"/>
      <c r="H99" s="39"/>
      <c r="I99" s="39"/>
      <c r="J99" s="39"/>
      <c r="K99" s="39"/>
      <c r="L99" s="38" t="str">
        <f>IF($AA99=0,"",IF(LEN(INDEX(Jobs!$D$9:$D$258,$AA99)&amp;"")=0,"",INDEX(Jobs!$D$9:$D$258,$AA99)))</f>
        <v/>
      </c>
      <c r="M99" s="39"/>
      <c r="N99" s="39"/>
      <c r="O99" s="42" t="str">
        <f>IF($AA99=0,"",IF(LEN(INDEX(Jobs!$G$9:$G$258,$AA99)&amp;"")=0,"",INDEX(Jobs!$G$9:$G$258,$AA99)))</f>
        <v/>
      </c>
      <c r="P99" s="39"/>
      <c r="Q99" s="39"/>
      <c r="R99" s="42" t="str">
        <f>IF($AA99=0,"",IF(LEN(INDEX(Jobs!$H$9:$H$258,$AA99)&amp;"")=0,"",INDEX(Jobs!$H$9:$H$258,$AA99)))</f>
        <v/>
      </c>
      <c r="S99" s="39"/>
      <c r="T99" s="39"/>
      <c r="U99" s="43" t="str">
        <f>IF($AA99=0,"",HYPERLINK("#'"&amp;INDEX(Jobs!$P$9:$P$258,$AA99)&amp;"'!A1","Open job"))</f>
        <v/>
      </c>
      <c r="V99" s="39"/>
      <c r="AA99">
        <f>IFERROR(MATCH(82,Jobs!$Q$9:$Q$258,0),0)</f>
        <v>0</v>
      </c>
    </row>
    <row r="100" spans="1:27" ht="36" hidden="1" customHeight="1" x14ac:dyDescent="0.35">
      <c r="A100" s="40" t="str">
        <f>IF($AA100=0,"",IF(LEN(INDEX(Jobs!$A$9:$A$258,$AA100)&amp;"")=0,"",INDEX(Jobs!$A$9:$A$258,$AA100)))</f>
        <v/>
      </c>
      <c r="B100" s="39"/>
      <c r="C100" s="40" t="str">
        <f>IF($AA100=0,"",IF(LEN(INDEX(Jobs!$B$9:$B$258,$AA100)&amp;"")=0,"",INDEX(Jobs!$B$9:$B$258,$AA100)))</f>
        <v/>
      </c>
      <c r="D100" s="39"/>
      <c r="E100" s="39"/>
      <c r="F100" s="39"/>
      <c r="G100" s="39"/>
      <c r="H100" s="39"/>
      <c r="I100" s="39"/>
      <c r="J100" s="39"/>
      <c r="K100" s="39"/>
      <c r="L100" s="40" t="str">
        <f>IF($AA100=0,"",IF(LEN(INDEX(Jobs!$D$9:$D$258,$AA100)&amp;"")=0,"",INDEX(Jobs!$D$9:$D$258,$AA100)))</f>
        <v/>
      </c>
      <c r="M100" s="39"/>
      <c r="N100" s="39"/>
      <c r="O100" s="41" t="str">
        <f>IF($AA100=0,"",IF(LEN(INDEX(Jobs!$G$9:$G$258,$AA100)&amp;"")=0,"",INDEX(Jobs!$G$9:$G$258,$AA100)))</f>
        <v/>
      </c>
      <c r="P100" s="39"/>
      <c r="Q100" s="39"/>
      <c r="R100" s="41" t="str">
        <f>IF($AA100=0,"",IF(LEN(INDEX(Jobs!$H$9:$H$258,$AA100)&amp;"")=0,"",INDEX(Jobs!$H$9:$H$258,$AA100)))</f>
        <v/>
      </c>
      <c r="S100" s="39"/>
      <c r="T100" s="39"/>
      <c r="U100" s="44" t="str">
        <f>IF($AA100=0,"",HYPERLINK("#'"&amp;INDEX(Jobs!$P$9:$P$258,$AA100)&amp;"'!A1","Open job"))</f>
        <v/>
      </c>
      <c r="V100" s="39"/>
      <c r="AA100">
        <f>IFERROR(MATCH(83,Jobs!$Q$9:$Q$258,0),0)</f>
        <v>0</v>
      </c>
    </row>
    <row r="101" spans="1:27" ht="36" hidden="1" customHeight="1" x14ac:dyDescent="0.35">
      <c r="A101" s="38" t="str">
        <f>IF($AA101=0,"",IF(LEN(INDEX(Jobs!$A$9:$A$258,$AA101)&amp;"")=0,"",INDEX(Jobs!$A$9:$A$258,$AA101)))</f>
        <v/>
      </c>
      <c r="B101" s="39"/>
      <c r="C101" s="38" t="str">
        <f>IF($AA101=0,"",IF(LEN(INDEX(Jobs!$B$9:$B$258,$AA101)&amp;"")=0,"",INDEX(Jobs!$B$9:$B$258,$AA101)))</f>
        <v/>
      </c>
      <c r="D101" s="39"/>
      <c r="E101" s="39"/>
      <c r="F101" s="39"/>
      <c r="G101" s="39"/>
      <c r="H101" s="39"/>
      <c r="I101" s="39"/>
      <c r="J101" s="39"/>
      <c r="K101" s="39"/>
      <c r="L101" s="38" t="str">
        <f>IF($AA101=0,"",IF(LEN(INDEX(Jobs!$D$9:$D$258,$AA101)&amp;"")=0,"",INDEX(Jobs!$D$9:$D$258,$AA101)))</f>
        <v/>
      </c>
      <c r="M101" s="39"/>
      <c r="N101" s="39"/>
      <c r="O101" s="42" t="str">
        <f>IF($AA101=0,"",IF(LEN(INDEX(Jobs!$G$9:$G$258,$AA101)&amp;"")=0,"",INDEX(Jobs!$G$9:$G$258,$AA101)))</f>
        <v/>
      </c>
      <c r="P101" s="39"/>
      <c r="Q101" s="39"/>
      <c r="R101" s="42" t="str">
        <f>IF($AA101=0,"",IF(LEN(INDEX(Jobs!$H$9:$H$258,$AA101)&amp;"")=0,"",INDEX(Jobs!$H$9:$H$258,$AA101)))</f>
        <v/>
      </c>
      <c r="S101" s="39"/>
      <c r="T101" s="39"/>
      <c r="U101" s="43" t="str">
        <f>IF($AA101=0,"",HYPERLINK("#'"&amp;INDEX(Jobs!$P$9:$P$258,$AA101)&amp;"'!A1","Open job"))</f>
        <v/>
      </c>
      <c r="V101" s="39"/>
      <c r="AA101">
        <f>IFERROR(MATCH(84,Jobs!$Q$9:$Q$258,0),0)</f>
        <v>0</v>
      </c>
    </row>
    <row r="102" spans="1:27" ht="36" hidden="1" customHeight="1" x14ac:dyDescent="0.35">
      <c r="A102" s="40" t="str">
        <f>IF($AA102=0,"",IF(LEN(INDEX(Jobs!$A$9:$A$258,$AA102)&amp;"")=0,"",INDEX(Jobs!$A$9:$A$258,$AA102)))</f>
        <v/>
      </c>
      <c r="B102" s="39"/>
      <c r="C102" s="40" t="str">
        <f>IF($AA102=0,"",IF(LEN(INDEX(Jobs!$B$9:$B$258,$AA102)&amp;"")=0,"",INDEX(Jobs!$B$9:$B$258,$AA102)))</f>
        <v/>
      </c>
      <c r="D102" s="39"/>
      <c r="E102" s="39"/>
      <c r="F102" s="39"/>
      <c r="G102" s="39"/>
      <c r="H102" s="39"/>
      <c r="I102" s="39"/>
      <c r="J102" s="39"/>
      <c r="K102" s="39"/>
      <c r="L102" s="40" t="str">
        <f>IF($AA102=0,"",IF(LEN(INDEX(Jobs!$D$9:$D$258,$AA102)&amp;"")=0,"",INDEX(Jobs!$D$9:$D$258,$AA102)))</f>
        <v/>
      </c>
      <c r="M102" s="39"/>
      <c r="N102" s="39"/>
      <c r="O102" s="41" t="str">
        <f>IF($AA102=0,"",IF(LEN(INDEX(Jobs!$G$9:$G$258,$AA102)&amp;"")=0,"",INDEX(Jobs!$G$9:$G$258,$AA102)))</f>
        <v/>
      </c>
      <c r="P102" s="39"/>
      <c r="Q102" s="39"/>
      <c r="R102" s="41" t="str">
        <f>IF($AA102=0,"",IF(LEN(INDEX(Jobs!$H$9:$H$258,$AA102)&amp;"")=0,"",INDEX(Jobs!$H$9:$H$258,$AA102)))</f>
        <v/>
      </c>
      <c r="S102" s="39"/>
      <c r="T102" s="39"/>
      <c r="U102" s="44" t="str">
        <f>IF($AA102=0,"",HYPERLINK("#'"&amp;INDEX(Jobs!$P$9:$P$258,$AA102)&amp;"'!A1","Open job"))</f>
        <v/>
      </c>
      <c r="V102" s="39"/>
      <c r="AA102">
        <f>IFERROR(MATCH(85,Jobs!$Q$9:$Q$258,0),0)</f>
        <v>0</v>
      </c>
    </row>
    <row r="103" spans="1:27" ht="36" hidden="1" customHeight="1" x14ac:dyDescent="0.35">
      <c r="A103" s="38" t="str">
        <f>IF($AA103=0,"",IF(LEN(INDEX(Jobs!$A$9:$A$258,$AA103)&amp;"")=0,"",INDEX(Jobs!$A$9:$A$258,$AA103)))</f>
        <v/>
      </c>
      <c r="B103" s="39"/>
      <c r="C103" s="38" t="str">
        <f>IF($AA103=0,"",IF(LEN(INDEX(Jobs!$B$9:$B$258,$AA103)&amp;"")=0,"",INDEX(Jobs!$B$9:$B$258,$AA103)))</f>
        <v/>
      </c>
      <c r="D103" s="39"/>
      <c r="E103" s="39"/>
      <c r="F103" s="39"/>
      <c r="G103" s="39"/>
      <c r="H103" s="39"/>
      <c r="I103" s="39"/>
      <c r="J103" s="39"/>
      <c r="K103" s="39"/>
      <c r="L103" s="38" t="str">
        <f>IF($AA103=0,"",IF(LEN(INDEX(Jobs!$D$9:$D$258,$AA103)&amp;"")=0,"",INDEX(Jobs!$D$9:$D$258,$AA103)))</f>
        <v/>
      </c>
      <c r="M103" s="39"/>
      <c r="N103" s="39"/>
      <c r="O103" s="42" t="str">
        <f>IF($AA103=0,"",IF(LEN(INDEX(Jobs!$G$9:$G$258,$AA103)&amp;"")=0,"",INDEX(Jobs!$G$9:$G$258,$AA103)))</f>
        <v/>
      </c>
      <c r="P103" s="39"/>
      <c r="Q103" s="39"/>
      <c r="R103" s="42" t="str">
        <f>IF($AA103=0,"",IF(LEN(INDEX(Jobs!$H$9:$H$258,$AA103)&amp;"")=0,"",INDEX(Jobs!$H$9:$H$258,$AA103)))</f>
        <v/>
      </c>
      <c r="S103" s="39"/>
      <c r="T103" s="39"/>
      <c r="U103" s="43" t="str">
        <f>IF($AA103=0,"",HYPERLINK("#'"&amp;INDEX(Jobs!$P$9:$P$258,$AA103)&amp;"'!A1","Open job"))</f>
        <v/>
      </c>
      <c r="V103" s="39"/>
      <c r="AA103">
        <f>IFERROR(MATCH(86,Jobs!$Q$9:$Q$258,0),0)</f>
        <v>0</v>
      </c>
    </row>
    <row r="104" spans="1:27" ht="36" hidden="1" customHeight="1" x14ac:dyDescent="0.35">
      <c r="A104" s="40" t="str">
        <f>IF($AA104=0,"",IF(LEN(INDEX(Jobs!$A$9:$A$258,$AA104)&amp;"")=0,"",INDEX(Jobs!$A$9:$A$258,$AA104)))</f>
        <v/>
      </c>
      <c r="B104" s="39"/>
      <c r="C104" s="40" t="str">
        <f>IF($AA104=0,"",IF(LEN(INDEX(Jobs!$B$9:$B$258,$AA104)&amp;"")=0,"",INDEX(Jobs!$B$9:$B$258,$AA104)))</f>
        <v/>
      </c>
      <c r="D104" s="39"/>
      <c r="E104" s="39"/>
      <c r="F104" s="39"/>
      <c r="G104" s="39"/>
      <c r="H104" s="39"/>
      <c r="I104" s="39"/>
      <c r="J104" s="39"/>
      <c r="K104" s="39"/>
      <c r="L104" s="40" t="str">
        <f>IF($AA104=0,"",IF(LEN(INDEX(Jobs!$D$9:$D$258,$AA104)&amp;"")=0,"",INDEX(Jobs!$D$9:$D$258,$AA104)))</f>
        <v/>
      </c>
      <c r="M104" s="39"/>
      <c r="N104" s="39"/>
      <c r="O104" s="41" t="str">
        <f>IF($AA104=0,"",IF(LEN(INDEX(Jobs!$G$9:$G$258,$AA104)&amp;"")=0,"",INDEX(Jobs!$G$9:$G$258,$AA104)))</f>
        <v/>
      </c>
      <c r="P104" s="39"/>
      <c r="Q104" s="39"/>
      <c r="R104" s="41" t="str">
        <f>IF($AA104=0,"",IF(LEN(INDEX(Jobs!$H$9:$H$258,$AA104)&amp;"")=0,"",INDEX(Jobs!$H$9:$H$258,$AA104)))</f>
        <v/>
      </c>
      <c r="S104" s="39"/>
      <c r="T104" s="39"/>
      <c r="U104" s="44" t="str">
        <f>IF($AA104=0,"",HYPERLINK("#'"&amp;INDEX(Jobs!$P$9:$P$258,$AA104)&amp;"'!A1","Open job"))</f>
        <v/>
      </c>
      <c r="V104" s="39"/>
      <c r="AA104">
        <f>IFERROR(MATCH(87,Jobs!$Q$9:$Q$258,0),0)</f>
        <v>0</v>
      </c>
    </row>
    <row r="105" spans="1:27" ht="36" hidden="1" customHeight="1" x14ac:dyDescent="0.35">
      <c r="A105" s="38" t="str">
        <f>IF($AA105=0,"",IF(LEN(INDEX(Jobs!$A$9:$A$258,$AA105)&amp;"")=0,"",INDEX(Jobs!$A$9:$A$258,$AA105)))</f>
        <v/>
      </c>
      <c r="B105" s="39"/>
      <c r="C105" s="38" t="str">
        <f>IF($AA105=0,"",IF(LEN(INDEX(Jobs!$B$9:$B$258,$AA105)&amp;"")=0,"",INDEX(Jobs!$B$9:$B$258,$AA105)))</f>
        <v/>
      </c>
      <c r="D105" s="39"/>
      <c r="E105" s="39"/>
      <c r="F105" s="39"/>
      <c r="G105" s="39"/>
      <c r="H105" s="39"/>
      <c r="I105" s="39"/>
      <c r="J105" s="39"/>
      <c r="K105" s="39"/>
      <c r="L105" s="38" t="str">
        <f>IF($AA105=0,"",IF(LEN(INDEX(Jobs!$D$9:$D$258,$AA105)&amp;"")=0,"",INDEX(Jobs!$D$9:$D$258,$AA105)))</f>
        <v/>
      </c>
      <c r="M105" s="39"/>
      <c r="N105" s="39"/>
      <c r="O105" s="42" t="str">
        <f>IF($AA105=0,"",IF(LEN(INDEX(Jobs!$G$9:$G$258,$AA105)&amp;"")=0,"",INDEX(Jobs!$G$9:$G$258,$AA105)))</f>
        <v/>
      </c>
      <c r="P105" s="39"/>
      <c r="Q105" s="39"/>
      <c r="R105" s="42" t="str">
        <f>IF($AA105=0,"",IF(LEN(INDEX(Jobs!$H$9:$H$258,$AA105)&amp;"")=0,"",INDEX(Jobs!$H$9:$H$258,$AA105)))</f>
        <v/>
      </c>
      <c r="S105" s="39"/>
      <c r="T105" s="39"/>
      <c r="U105" s="43" t="str">
        <f>IF($AA105=0,"",HYPERLINK("#'"&amp;INDEX(Jobs!$P$9:$P$258,$AA105)&amp;"'!A1","Open job"))</f>
        <v/>
      </c>
      <c r="V105" s="39"/>
      <c r="AA105">
        <f>IFERROR(MATCH(88,Jobs!$Q$9:$Q$258,0),0)</f>
        <v>0</v>
      </c>
    </row>
    <row r="106" spans="1:27" ht="36" hidden="1" customHeight="1" x14ac:dyDescent="0.35">
      <c r="A106" s="40" t="str">
        <f>IF($AA106=0,"",IF(LEN(INDEX(Jobs!$A$9:$A$258,$AA106)&amp;"")=0,"",INDEX(Jobs!$A$9:$A$258,$AA106)))</f>
        <v/>
      </c>
      <c r="B106" s="39"/>
      <c r="C106" s="40" t="str">
        <f>IF($AA106=0,"",IF(LEN(INDEX(Jobs!$B$9:$B$258,$AA106)&amp;"")=0,"",INDEX(Jobs!$B$9:$B$258,$AA106)))</f>
        <v/>
      </c>
      <c r="D106" s="39"/>
      <c r="E106" s="39"/>
      <c r="F106" s="39"/>
      <c r="G106" s="39"/>
      <c r="H106" s="39"/>
      <c r="I106" s="39"/>
      <c r="J106" s="39"/>
      <c r="K106" s="39"/>
      <c r="L106" s="40" t="str">
        <f>IF($AA106=0,"",IF(LEN(INDEX(Jobs!$D$9:$D$258,$AA106)&amp;"")=0,"",INDEX(Jobs!$D$9:$D$258,$AA106)))</f>
        <v/>
      </c>
      <c r="M106" s="39"/>
      <c r="N106" s="39"/>
      <c r="O106" s="41" t="str">
        <f>IF($AA106=0,"",IF(LEN(INDEX(Jobs!$G$9:$G$258,$AA106)&amp;"")=0,"",INDEX(Jobs!$G$9:$G$258,$AA106)))</f>
        <v/>
      </c>
      <c r="P106" s="39"/>
      <c r="Q106" s="39"/>
      <c r="R106" s="41" t="str">
        <f>IF($AA106=0,"",IF(LEN(INDEX(Jobs!$H$9:$H$258,$AA106)&amp;"")=0,"",INDEX(Jobs!$H$9:$H$258,$AA106)))</f>
        <v/>
      </c>
      <c r="S106" s="39"/>
      <c r="T106" s="39"/>
      <c r="U106" s="44" t="str">
        <f>IF($AA106=0,"",HYPERLINK("#'"&amp;INDEX(Jobs!$P$9:$P$258,$AA106)&amp;"'!A1","Open job"))</f>
        <v/>
      </c>
      <c r="V106" s="39"/>
      <c r="AA106">
        <f>IFERROR(MATCH(89,Jobs!$Q$9:$Q$258,0),0)</f>
        <v>0</v>
      </c>
    </row>
    <row r="107" spans="1:27" ht="36" hidden="1" customHeight="1" x14ac:dyDescent="0.35">
      <c r="A107" s="38" t="str">
        <f>IF($AA107=0,"",IF(LEN(INDEX(Jobs!$A$9:$A$258,$AA107)&amp;"")=0,"",INDEX(Jobs!$A$9:$A$258,$AA107)))</f>
        <v/>
      </c>
      <c r="B107" s="39"/>
      <c r="C107" s="38" t="str">
        <f>IF($AA107=0,"",IF(LEN(INDEX(Jobs!$B$9:$B$258,$AA107)&amp;"")=0,"",INDEX(Jobs!$B$9:$B$258,$AA107)))</f>
        <v/>
      </c>
      <c r="D107" s="39"/>
      <c r="E107" s="39"/>
      <c r="F107" s="39"/>
      <c r="G107" s="39"/>
      <c r="H107" s="39"/>
      <c r="I107" s="39"/>
      <c r="J107" s="39"/>
      <c r="K107" s="39"/>
      <c r="L107" s="38" t="str">
        <f>IF($AA107=0,"",IF(LEN(INDEX(Jobs!$D$9:$D$258,$AA107)&amp;"")=0,"",INDEX(Jobs!$D$9:$D$258,$AA107)))</f>
        <v/>
      </c>
      <c r="M107" s="39"/>
      <c r="N107" s="39"/>
      <c r="O107" s="42" t="str">
        <f>IF($AA107=0,"",IF(LEN(INDEX(Jobs!$G$9:$G$258,$AA107)&amp;"")=0,"",INDEX(Jobs!$G$9:$G$258,$AA107)))</f>
        <v/>
      </c>
      <c r="P107" s="39"/>
      <c r="Q107" s="39"/>
      <c r="R107" s="42" t="str">
        <f>IF($AA107=0,"",IF(LEN(INDEX(Jobs!$H$9:$H$258,$AA107)&amp;"")=0,"",INDEX(Jobs!$H$9:$H$258,$AA107)))</f>
        <v/>
      </c>
      <c r="S107" s="39"/>
      <c r="T107" s="39"/>
      <c r="U107" s="43" t="str">
        <f>IF($AA107=0,"",HYPERLINK("#'"&amp;INDEX(Jobs!$P$9:$P$258,$AA107)&amp;"'!A1","Open job"))</f>
        <v/>
      </c>
      <c r="V107" s="39"/>
      <c r="AA107">
        <f>IFERROR(MATCH(90,Jobs!$Q$9:$Q$258,0),0)</f>
        <v>0</v>
      </c>
    </row>
    <row r="108" spans="1:27" ht="36" hidden="1" customHeight="1" x14ac:dyDescent="0.35">
      <c r="A108" s="40" t="str">
        <f>IF($AA108=0,"",IF(LEN(INDEX(Jobs!$A$9:$A$258,$AA108)&amp;"")=0,"",INDEX(Jobs!$A$9:$A$258,$AA108)))</f>
        <v/>
      </c>
      <c r="B108" s="39"/>
      <c r="C108" s="40" t="str">
        <f>IF($AA108=0,"",IF(LEN(INDEX(Jobs!$B$9:$B$258,$AA108)&amp;"")=0,"",INDEX(Jobs!$B$9:$B$258,$AA108)))</f>
        <v/>
      </c>
      <c r="D108" s="39"/>
      <c r="E108" s="39"/>
      <c r="F108" s="39"/>
      <c r="G108" s="39"/>
      <c r="H108" s="39"/>
      <c r="I108" s="39"/>
      <c r="J108" s="39"/>
      <c r="K108" s="39"/>
      <c r="L108" s="40" t="str">
        <f>IF($AA108=0,"",IF(LEN(INDEX(Jobs!$D$9:$D$258,$AA108)&amp;"")=0,"",INDEX(Jobs!$D$9:$D$258,$AA108)))</f>
        <v/>
      </c>
      <c r="M108" s="39"/>
      <c r="N108" s="39"/>
      <c r="O108" s="41" t="str">
        <f>IF($AA108=0,"",IF(LEN(INDEX(Jobs!$G$9:$G$258,$AA108)&amp;"")=0,"",INDEX(Jobs!$G$9:$G$258,$AA108)))</f>
        <v/>
      </c>
      <c r="P108" s="39"/>
      <c r="Q108" s="39"/>
      <c r="R108" s="41" t="str">
        <f>IF($AA108=0,"",IF(LEN(INDEX(Jobs!$H$9:$H$258,$AA108)&amp;"")=0,"",INDEX(Jobs!$H$9:$H$258,$AA108)))</f>
        <v/>
      </c>
      <c r="S108" s="39"/>
      <c r="T108" s="39"/>
      <c r="U108" s="44" t="str">
        <f>IF($AA108=0,"",HYPERLINK("#'"&amp;INDEX(Jobs!$P$9:$P$258,$AA108)&amp;"'!A1","Open job"))</f>
        <v/>
      </c>
      <c r="V108" s="39"/>
      <c r="AA108">
        <f>IFERROR(MATCH(91,Jobs!$Q$9:$Q$258,0),0)</f>
        <v>0</v>
      </c>
    </row>
    <row r="109" spans="1:27" ht="36" hidden="1" customHeight="1" x14ac:dyDescent="0.35">
      <c r="A109" s="38" t="str">
        <f>IF($AA109=0,"",IF(LEN(INDEX(Jobs!$A$9:$A$258,$AA109)&amp;"")=0,"",INDEX(Jobs!$A$9:$A$258,$AA109)))</f>
        <v/>
      </c>
      <c r="B109" s="39"/>
      <c r="C109" s="38" t="str">
        <f>IF($AA109=0,"",IF(LEN(INDEX(Jobs!$B$9:$B$258,$AA109)&amp;"")=0,"",INDEX(Jobs!$B$9:$B$258,$AA109)))</f>
        <v/>
      </c>
      <c r="D109" s="39"/>
      <c r="E109" s="39"/>
      <c r="F109" s="39"/>
      <c r="G109" s="39"/>
      <c r="H109" s="39"/>
      <c r="I109" s="39"/>
      <c r="J109" s="39"/>
      <c r="K109" s="39"/>
      <c r="L109" s="38" t="str">
        <f>IF($AA109=0,"",IF(LEN(INDEX(Jobs!$D$9:$D$258,$AA109)&amp;"")=0,"",INDEX(Jobs!$D$9:$D$258,$AA109)))</f>
        <v/>
      </c>
      <c r="M109" s="39"/>
      <c r="N109" s="39"/>
      <c r="O109" s="42" t="str">
        <f>IF($AA109=0,"",IF(LEN(INDEX(Jobs!$G$9:$G$258,$AA109)&amp;"")=0,"",INDEX(Jobs!$G$9:$G$258,$AA109)))</f>
        <v/>
      </c>
      <c r="P109" s="39"/>
      <c r="Q109" s="39"/>
      <c r="R109" s="42" t="str">
        <f>IF($AA109=0,"",IF(LEN(INDEX(Jobs!$H$9:$H$258,$AA109)&amp;"")=0,"",INDEX(Jobs!$H$9:$H$258,$AA109)))</f>
        <v/>
      </c>
      <c r="S109" s="39"/>
      <c r="T109" s="39"/>
      <c r="U109" s="43" t="str">
        <f>IF($AA109=0,"",HYPERLINK("#'"&amp;INDEX(Jobs!$P$9:$P$258,$AA109)&amp;"'!A1","Open job"))</f>
        <v/>
      </c>
      <c r="V109" s="39"/>
      <c r="AA109">
        <f>IFERROR(MATCH(92,Jobs!$Q$9:$Q$258,0),0)</f>
        <v>0</v>
      </c>
    </row>
    <row r="110" spans="1:27" ht="36" hidden="1" customHeight="1" x14ac:dyDescent="0.35">
      <c r="A110" s="40" t="str">
        <f>IF($AA110=0,"",IF(LEN(INDEX(Jobs!$A$9:$A$258,$AA110)&amp;"")=0,"",INDEX(Jobs!$A$9:$A$258,$AA110)))</f>
        <v/>
      </c>
      <c r="B110" s="39"/>
      <c r="C110" s="40" t="str">
        <f>IF($AA110=0,"",IF(LEN(INDEX(Jobs!$B$9:$B$258,$AA110)&amp;"")=0,"",INDEX(Jobs!$B$9:$B$258,$AA110)))</f>
        <v/>
      </c>
      <c r="D110" s="39"/>
      <c r="E110" s="39"/>
      <c r="F110" s="39"/>
      <c r="G110" s="39"/>
      <c r="H110" s="39"/>
      <c r="I110" s="39"/>
      <c r="J110" s="39"/>
      <c r="K110" s="39"/>
      <c r="L110" s="40" t="str">
        <f>IF($AA110=0,"",IF(LEN(INDEX(Jobs!$D$9:$D$258,$AA110)&amp;"")=0,"",INDEX(Jobs!$D$9:$D$258,$AA110)))</f>
        <v/>
      </c>
      <c r="M110" s="39"/>
      <c r="N110" s="39"/>
      <c r="O110" s="41" t="str">
        <f>IF($AA110=0,"",IF(LEN(INDEX(Jobs!$G$9:$G$258,$AA110)&amp;"")=0,"",INDEX(Jobs!$G$9:$G$258,$AA110)))</f>
        <v/>
      </c>
      <c r="P110" s="39"/>
      <c r="Q110" s="39"/>
      <c r="R110" s="41" t="str">
        <f>IF($AA110=0,"",IF(LEN(INDEX(Jobs!$H$9:$H$258,$AA110)&amp;"")=0,"",INDEX(Jobs!$H$9:$H$258,$AA110)))</f>
        <v/>
      </c>
      <c r="S110" s="39"/>
      <c r="T110" s="39"/>
      <c r="U110" s="44" t="str">
        <f>IF($AA110=0,"",HYPERLINK("#'"&amp;INDEX(Jobs!$P$9:$P$258,$AA110)&amp;"'!A1","Open job"))</f>
        <v/>
      </c>
      <c r="V110" s="39"/>
      <c r="AA110">
        <f>IFERROR(MATCH(93,Jobs!$Q$9:$Q$258,0),0)</f>
        <v>0</v>
      </c>
    </row>
    <row r="111" spans="1:27" ht="36" hidden="1" customHeight="1" x14ac:dyDescent="0.35">
      <c r="A111" s="38" t="str">
        <f>IF($AA111=0,"",IF(LEN(INDEX(Jobs!$A$9:$A$258,$AA111)&amp;"")=0,"",INDEX(Jobs!$A$9:$A$258,$AA111)))</f>
        <v/>
      </c>
      <c r="B111" s="39"/>
      <c r="C111" s="38" t="str">
        <f>IF($AA111=0,"",IF(LEN(INDEX(Jobs!$B$9:$B$258,$AA111)&amp;"")=0,"",INDEX(Jobs!$B$9:$B$258,$AA111)))</f>
        <v/>
      </c>
      <c r="D111" s="39"/>
      <c r="E111" s="39"/>
      <c r="F111" s="39"/>
      <c r="G111" s="39"/>
      <c r="H111" s="39"/>
      <c r="I111" s="39"/>
      <c r="J111" s="39"/>
      <c r="K111" s="39"/>
      <c r="L111" s="38" t="str">
        <f>IF($AA111=0,"",IF(LEN(INDEX(Jobs!$D$9:$D$258,$AA111)&amp;"")=0,"",INDEX(Jobs!$D$9:$D$258,$AA111)))</f>
        <v/>
      </c>
      <c r="M111" s="39"/>
      <c r="N111" s="39"/>
      <c r="O111" s="42" t="str">
        <f>IF($AA111=0,"",IF(LEN(INDEX(Jobs!$G$9:$G$258,$AA111)&amp;"")=0,"",INDEX(Jobs!$G$9:$G$258,$AA111)))</f>
        <v/>
      </c>
      <c r="P111" s="39"/>
      <c r="Q111" s="39"/>
      <c r="R111" s="42" t="str">
        <f>IF($AA111=0,"",IF(LEN(INDEX(Jobs!$H$9:$H$258,$AA111)&amp;"")=0,"",INDEX(Jobs!$H$9:$H$258,$AA111)))</f>
        <v/>
      </c>
      <c r="S111" s="39"/>
      <c r="T111" s="39"/>
      <c r="U111" s="43" t="str">
        <f>IF($AA111=0,"",HYPERLINK("#'"&amp;INDEX(Jobs!$P$9:$P$258,$AA111)&amp;"'!A1","Open job"))</f>
        <v/>
      </c>
      <c r="V111" s="39"/>
      <c r="AA111">
        <f>IFERROR(MATCH(94,Jobs!$Q$9:$Q$258,0),0)</f>
        <v>0</v>
      </c>
    </row>
    <row r="112" spans="1:27" ht="36" hidden="1" customHeight="1" x14ac:dyDescent="0.35">
      <c r="A112" s="40" t="str">
        <f>IF($AA112=0,"",IF(LEN(INDEX(Jobs!$A$9:$A$258,$AA112)&amp;"")=0,"",INDEX(Jobs!$A$9:$A$258,$AA112)))</f>
        <v/>
      </c>
      <c r="B112" s="39"/>
      <c r="C112" s="40" t="str">
        <f>IF($AA112=0,"",IF(LEN(INDEX(Jobs!$B$9:$B$258,$AA112)&amp;"")=0,"",INDEX(Jobs!$B$9:$B$258,$AA112)))</f>
        <v/>
      </c>
      <c r="D112" s="39"/>
      <c r="E112" s="39"/>
      <c r="F112" s="39"/>
      <c r="G112" s="39"/>
      <c r="H112" s="39"/>
      <c r="I112" s="39"/>
      <c r="J112" s="39"/>
      <c r="K112" s="39"/>
      <c r="L112" s="40" t="str">
        <f>IF($AA112=0,"",IF(LEN(INDEX(Jobs!$D$9:$D$258,$AA112)&amp;"")=0,"",INDEX(Jobs!$D$9:$D$258,$AA112)))</f>
        <v/>
      </c>
      <c r="M112" s="39"/>
      <c r="N112" s="39"/>
      <c r="O112" s="41" t="str">
        <f>IF($AA112=0,"",IF(LEN(INDEX(Jobs!$G$9:$G$258,$AA112)&amp;"")=0,"",INDEX(Jobs!$G$9:$G$258,$AA112)))</f>
        <v/>
      </c>
      <c r="P112" s="39"/>
      <c r="Q112" s="39"/>
      <c r="R112" s="41" t="str">
        <f>IF($AA112=0,"",IF(LEN(INDEX(Jobs!$H$9:$H$258,$AA112)&amp;"")=0,"",INDEX(Jobs!$H$9:$H$258,$AA112)))</f>
        <v/>
      </c>
      <c r="S112" s="39"/>
      <c r="T112" s="39"/>
      <c r="U112" s="44" t="str">
        <f>IF($AA112=0,"",HYPERLINK("#'"&amp;INDEX(Jobs!$P$9:$P$258,$AA112)&amp;"'!A1","Open job"))</f>
        <v/>
      </c>
      <c r="V112" s="39"/>
      <c r="AA112">
        <f>IFERROR(MATCH(95,Jobs!$Q$9:$Q$258,0),0)</f>
        <v>0</v>
      </c>
    </row>
    <row r="113" spans="1:27" ht="36" hidden="1" customHeight="1" x14ac:dyDescent="0.35">
      <c r="A113" s="38" t="str">
        <f>IF($AA113=0,"",IF(LEN(INDEX(Jobs!$A$9:$A$258,$AA113)&amp;"")=0,"",INDEX(Jobs!$A$9:$A$258,$AA113)))</f>
        <v/>
      </c>
      <c r="B113" s="39"/>
      <c r="C113" s="38" t="str">
        <f>IF($AA113=0,"",IF(LEN(INDEX(Jobs!$B$9:$B$258,$AA113)&amp;"")=0,"",INDEX(Jobs!$B$9:$B$258,$AA113)))</f>
        <v/>
      </c>
      <c r="D113" s="39"/>
      <c r="E113" s="39"/>
      <c r="F113" s="39"/>
      <c r="G113" s="39"/>
      <c r="H113" s="39"/>
      <c r="I113" s="39"/>
      <c r="J113" s="39"/>
      <c r="K113" s="39"/>
      <c r="L113" s="38" t="str">
        <f>IF($AA113=0,"",IF(LEN(INDEX(Jobs!$D$9:$D$258,$AA113)&amp;"")=0,"",INDEX(Jobs!$D$9:$D$258,$AA113)))</f>
        <v/>
      </c>
      <c r="M113" s="39"/>
      <c r="N113" s="39"/>
      <c r="O113" s="42" t="str">
        <f>IF($AA113=0,"",IF(LEN(INDEX(Jobs!$G$9:$G$258,$AA113)&amp;"")=0,"",INDEX(Jobs!$G$9:$G$258,$AA113)))</f>
        <v/>
      </c>
      <c r="P113" s="39"/>
      <c r="Q113" s="39"/>
      <c r="R113" s="42" t="str">
        <f>IF($AA113=0,"",IF(LEN(INDEX(Jobs!$H$9:$H$258,$AA113)&amp;"")=0,"",INDEX(Jobs!$H$9:$H$258,$AA113)))</f>
        <v/>
      </c>
      <c r="S113" s="39"/>
      <c r="T113" s="39"/>
      <c r="U113" s="43" t="str">
        <f>IF($AA113=0,"",HYPERLINK("#'"&amp;INDEX(Jobs!$P$9:$P$258,$AA113)&amp;"'!A1","Open job"))</f>
        <v/>
      </c>
      <c r="V113" s="39"/>
      <c r="AA113">
        <f>IFERROR(MATCH(96,Jobs!$Q$9:$Q$258,0),0)</f>
        <v>0</v>
      </c>
    </row>
    <row r="114" spans="1:27" ht="36" hidden="1" customHeight="1" x14ac:dyDescent="0.35">
      <c r="A114" s="40" t="str">
        <f>IF($AA114=0,"",IF(LEN(INDEX(Jobs!$A$9:$A$258,$AA114)&amp;"")=0,"",INDEX(Jobs!$A$9:$A$258,$AA114)))</f>
        <v/>
      </c>
      <c r="B114" s="39"/>
      <c r="C114" s="40" t="str">
        <f>IF($AA114=0,"",IF(LEN(INDEX(Jobs!$B$9:$B$258,$AA114)&amp;"")=0,"",INDEX(Jobs!$B$9:$B$258,$AA114)))</f>
        <v/>
      </c>
      <c r="D114" s="39"/>
      <c r="E114" s="39"/>
      <c r="F114" s="39"/>
      <c r="G114" s="39"/>
      <c r="H114" s="39"/>
      <c r="I114" s="39"/>
      <c r="J114" s="39"/>
      <c r="K114" s="39"/>
      <c r="L114" s="40" t="str">
        <f>IF($AA114=0,"",IF(LEN(INDEX(Jobs!$D$9:$D$258,$AA114)&amp;"")=0,"",INDEX(Jobs!$D$9:$D$258,$AA114)))</f>
        <v/>
      </c>
      <c r="M114" s="39"/>
      <c r="N114" s="39"/>
      <c r="O114" s="41" t="str">
        <f>IF($AA114=0,"",IF(LEN(INDEX(Jobs!$G$9:$G$258,$AA114)&amp;"")=0,"",INDEX(Jobs!$G$9:$G$258,$AA114)))</f>
        <v/>
      </c>
      <c r="P114" s="39"/>
      <c r="Q114" s="39"/>
      <c r="R114" s="41" t="str">
        <f>IF($AA114=0,"",IF(LEN(INDEX(Jobs!$H$9:$H$258,$AA114)&amp;"")=0,"",INDEX(Jobs!$H$9:$H$258,$AA114)))</f>
        <v/>
      </c>
      <c r="S114" s="39"/>
      <c r="T114" s="39"/>
      <c r="U114" s="44" t="str">
        <f>IF($AA114=0,"",HYPERLINK("#'"&amp;INDEX(Jobs!$P$9:$P$258,$AA114)&amp;"'!A1","Open job"))</f>
        <v/>
      </c>
      <c r="V114" s="39"/>
      <c r="AA114">
        <f>IFERROR(MATCH(97,Jobs!$Q$9:$Q$258,0),0)</f>
        <v>0</v>
      </c>
    </row>
    <row r="115" spans="1:27" ht="36" hidden="1" customHeight="1" x14ac:dyDescent="0.35">
      <c r="A115" s="38" t="str">
        <f>IF($AA115=0,"",IF(LEN(INDEX(Jobs!$A$9:$A$258,$AA115)&amp;"")=0,"",INDEX(Jobs!$A$9:$A$258,$AA115)))</f>
        <v/>
      </c>
      <c r="B115" s="39"/>
      <c r="C115" s="38" t="str">
        <f>IF($AA115=0,"",IF(LEN(INDEX(Jobs!$B$9:$B$258,$AA115)&amp;"")=0,"",INDEX(Jobs!$B$9:$B$258,$AA115)))</f>
        <v/>
      </c>
      <c r="D115" s="39"/>
      <c r="E115" s="39"/>
      <c r="F115" s="39"/>
      <c r="G115" s="39"/>
      <c r="H115" s="39"/>
      <c r="I115" s="39"/>
      <c r="J115" s="39"/>
      <c r="K115" s="39"/>
      <c r="L115" s="38" t="str">
        <f>IF($AA115=0,"",IF(LEN(INDEX(Jobs!$D$9:$D$258,$AA115)&amp;"")=0,"",INDEX(Jobs!$D$9:$D$258,$AA115)))</f>
        <v/>
      </c>
      <c r="M115" s="39"/>
      <c r="N115" s="39"/>
      <c r="O115" s="42" t="str">
        <f>IF($AA115=0,"",IF(LEN(INDEX(Jobs!$G$9:$G$258,$AA115)&amp;"")=0,"",INDEX(Jobs!$G$9:$G$258,$AA115)))</f>
        <v/>
      </c>
      <c r="P115" s="39"/>
      <c r="Q115" s="39"/>
      <c r="R115" s="42" t="str">
        <f>IF($AA115=0,"",IF(LEN(INDEX(Jobs!$H$9:$H$258,$AA115)&amp;"")=0,"",INDEX(Jobs!$H$9:$H$258,$AA115)))</f>
        <v/>
      </c>
      <c r="S115" s="39"/>
      <c r="T115" s="39"/>
      <c r="U115" s="43" t="str">
        <f>IF($AA115=0,"",HYPERLINK("#'"&amp;INDEX(Jobs!$P$9:$P$258,$AA115)&amp;"'!A1","Open job"))</f>
        <v/>
      </c>
      <c r="V115" s="39"/>
      <c r="AA115">
        <f>IFERROR(MATCH(98,Jobs!$Q$9:$Q$258,0),0)</f>
        <v>0</v>
      </c>
    </row>
    <row r="116" spans="1:27" ht="36" hidden="1" customHeight="1" x14ac:dyDescent="0.35">
      <c r="A116" s="40" t="str">
        <f>IF($AA116=0,"",IF(LEN(INDEX(Jobs!$A$9:$A$258,$AA116)&amp;"")=0,"",INDEX(Jobs!$A$9:$A$258,$AA116)))</f>
        <v/>
      </c>
      <c r="B116" s="39"/>
      <c r="C116" s="40" t="str">
        <f>IF($AA116=0,"",IF(LEN(INDEX(Jobs!$B$9:$B$258,$AA116)&amp;"")=0,"",INDEX(Jobs!$B$9:$B$258,$AA116)))</f>
        <v/>
      </c>
      <c r="D116" s="39"/>
      <c r="E116" s="39"/>
      <c r="F116" s="39"/>
      <c r="G116" s="39"/>
      <c r="H116" s="39"/>
      <c r="I116" s="39"/>
      <c r="J116" s="39"/>
      <c r="K116" s="39"/>
      <c r="L116" s="40" t="str">
        <f>IF($AA116=0,"",IF(LEN(INDEX(Jobs!$D$9:$D$258,$AA116)&amp;"")=0,"",INDEX(Jobs!$D$9:$D$258,$AA116)))</f>
        <v/>
      </c>
      <c r="M116" s="39"/>
      <c r="N116" s="39"/>
      <c r="O116" s="41" t="str">
        <f>IF($AA116=0,"",IF(LEN(INDEX(Jobs!$G$9:$G$258,$AA116)&amp;"")=0,"",INDEX(Jobs!$G$9:$G$258,$AA116)))</f>
        <v/>
      </c>
      <c r="P116" s="39"/>
      <c r="Q116" s="39"/>
      <c r="R116" s="41" t="str">
        <f>IF($AA116=0,"",IF(LEN(INDEX(Jobs!$H$9:$H$258,$AA116)&amp;"")=0,"",INDEX(Jobs!$H$9:$H$258,$AA116)))</f>
        <v/>
      </c>
      <c r="S116" s="39"/>
      <c r="T116" s="39"/>
      <c r="U116" s="44" t="str">
        <f>IF($AA116=0,"",HYPERLINK("#'"&amp;INDEX(Jobs!$P$9:$P$258,$AA116)&amp;"'!A1","Open job"))</f>
        <v/>
      </c>
      <c r="V116" s="39"/>
      <c r="AA116">
        <f>IFERROR(MATCH(99,Jobs!$Q$9:$Q$258,0),0)</f>
        <v>0</v>
      </c>
    </row>
    <row r="117" spans="1:27" ht="36" hidden="1" customHeight="1" x14ac:dyDescent="0.35">
      <c r="A117" s="38" t="str">
        <f>IF($AA117=0,"",IF(LEN(INDEX(Jobs!$A$9:$A$258,$AA117)&amp;"")=0,"",INDEX(Jobs!$A$9:$A$258,$AA117)))</f>
        <v/>
      </c>
      <c r="B117" s="39"/>
      <c r="C117" s="38" t="str">
        <f>IF($AA117=0,"",IF(LEN(INDEX(Jobs!$B$9:$B$258,$AA117)&amp;"")=0,"",INDEX(Jobs!$B$9:$B$258,$AA117)))</f>
        <v/>
      </c>
      <c r="D117" s="39"/>
      <c r="E117" s="39"/>
      <c r="F117" s="39"/>
      <c r="G117" s="39"/>
      <c r="H117" s="39"/>
      <c r="I117" s="39"/>
      <c r="J117" s="39"/>
      <c r="K117" s="39"/>
      <c r="L117" s="38" t="str">
        <f>IF($AA117=0,"",IF(LEN(INDEX(Jobs!$D$9:$D$258,$AA117)&amp;"")=0,"",INDEX(Jobs!$D$9:$D$258,$AA117)))</f>
        <v/>
      </c>
      <c r="M117" s="39"/>
      <c r="N117" s="39"/>
      <c r="O117" s="42" t="str">
        <f>IF($AA117=0,"",IF(LEN(INDEX(Jobs!$G$9:$G$258,$AA117)&amp;"")=0,"",INDEX(Jobs!$G$9:$G$258,$AA117)))</f>
        <v/>
      </c>
      <c r="P117" s="39"/>
      <c r="Q117" s="39"/>
      <c r="R117" s="42" t="str">
        <f>IF($AA117=0,"",IF(LEN(INDEX(Jobs!$H$9:$H$258,$AA117)&amp;"")=0,"",INDEX(Jobs!$H$9:$H$258,$AA117)))</f>
        <v/>
      </c>
      <c r="S117" s="39"/>
      <c r="T117" s="39"/>
      <c r="U117" s="43" t="str">
        <f>IF($AA117=0,"",HYPERLINK("#'"&amp;INDEX(Jobs!$P$9:$P$258,$AA117)&amp;"'!A1","Open job"))</f>
        <v/>
      </c>
      <c r="V117" s="39"/>
      <c r="AA117">
        <f>IFERROR(MATCH(100,Jobs!$Q$9:$Q$258,0),0)</f>
        <v>0</v>
      </c>
    </row>
    <row r="118" spans="1:27" ht="36" hidden="1" customHeight="1" x14ac:dyDescent="0.35">
      <c r="A118" s="40" t="str">
        <f>IF($AA118=0,"",IF(LEN(INDEX(Jobs!$A$9:$A$258,$AA118)&amp;"")=0,"",INDEX(Jobs!$A$9:$A$258,$AA118)))</f>
        <v/>
      </c>
      <c r="B118" s="39"/>
      <c r="C118" s="40" t="str">
        <f>IF($AA118=0,"",IF(LEN(INDEX(Jobs!$B$9:$B$258,$AA118)&amp;"")=0,"",INDEX(Jobs!$B$9:$B$258,$AA118)))</f>
        <v/>
      </c>
      <c r="D118" s="39"/>
      <c r="E118" s="39"/>
      <c r="F118" s="39"/>
      <c r="G118" s="39"/>
      <c r="H118" s="39"/>
      <c r="I118" s="39"/>
      <c r="J118" s="39"/>
      <c r="K118" s="39"/>
      <c r="L118" s="40" t="str">
        <f>IF($AA118=0,"",IF(LEN(INDEX(Jobs!$D$9:$D$258,$AA118)&amp;"")=0,"",INDEX(Jobs!$D$9:$D$258,$AA118)))</f>
        <v/>
      </c>
      <c r="M118" s="39"/>
      <c r="N118" s="39"/>
      <c r="O118" s="41" t="str">
        <f>IF($AA118=0,"",IF(LEN(INDEX(Jobs!$G$9:$G$258,$AA118)&amp;"")=0,"",INDEX(Jobs!$G$9:$G$258,$AA118)))</f>
        <v/>
      </c>
      <c r="P118" s="39"/>
      <c r="Q118" s="39"/>
      <c r="R118" s="41" t="str">
        <f>IF($AA118=0,"",IF(LEN(INDEX(Jobs!$H$9:$H$258,$AA118)&amp;"")=0,"",INDEX(Jobs!$H$9:$H$258,$AA118)))</f>
        <v/>
      </c>
      <c r="S118" s="39"/>
      <c r="T118" s="39"/>
      <c r="U118" s="44" t="str">
        <f>IF($AA118=0,"",HYPERLINK("#'"&amp;INDEX(Jobs!$P$9:$P$258,$AA118)&amp;"'!A1","Open job"))</f>
        <v/>
      </c>
      <c r="V118" s="39"/>
      <c r="AA118">
        <f>IFERROR(MATCH(101,Jobs!$Q$9:$Q$258,0),0)</f>
        <v>0</v>
      </c>
    </row>
    <row r="119" spans="1:27" ht="36" hidden="1" customHeight="1" x14ac:dyDescent="0.35">
      <c r="A119" s="38" t="str">
        <f>IF($AA119=0,"",IF(LEN(INDEX(Jobs!$A$9:$A$258,$AA119)&amp;"")=0,"",INDEX(Jobs!$A$9:$A$258,$AA119)))</f>
        <v/>
      </c>
      <c r="B119" s="39"/>
      <c r="C119" s="38" t="str">
        <f>IF($AA119=0,"",IF(LEN(INDEX(Jobs!$B$9:$B$258,$AA119)&amp;"")=0,"",INDEX(Jobs!$B$9:$B$258,$AA119)))</f>
        <v/>
      </c>
      <c r="D119" s="39"/>
      <c r="E119" s="39"/>
      <c r="F119" s="39"/>
      <c r="G119" s="39"/>
      <c r="H119" s="39"/>
      <c r="I119" s="39"/>
      <c r="J119" s="39"/>
      <c r="K119" s="39"/>
      <c r="L119" s="38" t="str">
        <f>IF($AA119=0,"",IF(LEN(INDEX(Jobs!$D$9:$D$258,$AA119)&amp;"")=0,"",INDEX(Jobs!$D$9:$D$258,$AA119)))</f>
        <v/>
      </c>
      <c r="M119" s="39"/>
      <c r="N119" s="39"/>
      <c r="O119" s="42" t="str">
        <f>IF($AA119=0,"",IF(LEN(INDEX(Jobs!$G$9:$G$258,$AA119)&amp;"")=0,"",INDEX(Jobs!$G$9:$G$258,$AA119)))</f>
        <v/>
      </c>
      <c r="P119" s="39"/>
      <c r="Q119" s="39"/>
      <c r="R119" s="42" t="str">
        <f>IF($AA119=0,"",IF(LEN(INDEX(Jobs!$H$9:$H$258,$AA119)&amp;"")=0,"",INDEX(Jobs!$H$9:$H$258,$AA119)))</f>
        <v/>
      </c>
      <c r="S119" s="39"/>
      <c r="T119" s="39"/>
      <c r="U119" s="43" t="str">
        <f>IF($AA119=0,"",HYPERLINK("#'"&amp;INDEX(Jobs!$P$9:$P$258,$AA119)&amp;"'!A1","Open job"))</f>
        <v/>
      </c>
      <c r="V119" s="39"/>
      <c r="AA119">
        <f>IFERROR(MATCH(102,Jobs!$Q$9:$Q$258,0),0)</f>
        <v>0</v>
      </c>
    </row>
    <row r="120" spans="1:27" ht="36" hidden="1" customHeight="1" x14ac:dyDescent="0.35">
      <c r="A120" s="40" t="str">
        <f>IF($AA120=0,"",IF(LEN(INDEX(Jobs!$A$9:$A$258,$AA120)&amp;"")=0,"",INDEX(Jobs!$A$9:$A$258,$AA120)))</f>
        <v/>
      </c>
      <c r="B120" s="39"/>
      <c r="C120" s="40" t="str">
        <f>IF($AA120=0,"",IF(LEN(INDEX(Jobs!$B$9:$B$258,$AA120)&amp;"")=0,"",INDEX(Jobs!$B$9:$B$258,$AA120)))</f>
        <v/>
      </c>
      <c r="D120" s="39"/>
      <c r="E120" s="39"/>
      <c r="F120" s="39"/>
      <c r="G120" s="39"/>
      <c r="H120" s="39"/>
      <c r="I120" s="39"/>
      <c r="J120" s="39"/>
      <c r="K120" s="39"/>
      <c r="L120" s="40" t="str">
        <f>IF($AA120=0,"",IF(LEN(INDEX(Jobs!$D$9:$D$258,$AA120)&amp;"")=0,"",INDEX(Jobs!$D$9:$D$258,$AA120)))</f>
        <v/>
      </c>
      <c r="M120" s="39"/>
      <c r="N120" s="39"/>
      <c r="O120" s="41" t="str">
        <f>IF($AA120=0,"",IF(LEN(INDEX(Jobs!$G$9:$G$258,$AA120)&amp;"")=0,"",INDEX(Jobs!$G$9:$G$258,$AA120)))</f>
        <v/>
      </c>
      <c r="P120" s="39"/>
      <c r="Q120" s="39"/>
      <c r="R120" s="41" t="str">
        <f>IF($AA120=0,"",IF(LEN(INDEX(Jobs!$H$9:$H$258,$AA120)&amp;"")=0,"",INDEX(Jobs!$H$9:$H$258,$AA120)))</f>
        <v/>
      </c>
      <c r="S120" s="39"/>
      <c r="T120" s="39"/>
      <c r="U120" s="44" t="str">
        <f>IF($AA120=0,"",HYPERLINK("#'"&amp;INDEX(Jobs!$P$9:$P$258,$AA120)&amp;"'!A1","Open job"))</f>
        <v/>
      </c>
      <c r="V120" s="39"/>
      <c r="AA120">
        <f>IFERROR(MATCH(103,Jobs!$Q$9:$Q$258,0),0)</f>
        <v>0</v>
      </c>
    </row>
    <row r="121" spans="1:27" ht="36" hidden="1" customHeight="1" x14ac:dyDescent="0.35">
      <c r="A121" s="38" t="str">
        <f>IF($AA121=0,"",IF(LEN(INDEX(Jobs!$A$9:$A$258,$AA121)&amp;"")=0,"",INDEX(Jobs!$A$9:$A$258,$AA121)))</f>
        <v/>
      </c>
      <c r="B121" s="39"/>
      <c r="C121" s="38" t="str">
        <f>IF($AA121=0,"",IF(LEN(INDEX(Jobs!$B$9:$B$258,$AA121)&amp;"")=0,"",INDEX(Jobs!$B$9:$B$258,$AA121)))</f>
        <v/>
      </c>
      <c r="D121" s="39"/>
      <c r="E121" s="39"/>
      <c r="F121" s="39"/>
      <c r="G121" s="39"/>
      <c r="H121" s="39"/>
      <c r="I121" s="39"/>
      <c r="J121" s="39"/>
      <c r="K121" s="39"/>
      <c r="L121" s="38" t="str">
        <f>IF($AA121=0,"",IF(LEN(INDEX(Jobs!$D$9:$D$258,$AA121)&amp;"")=0,"",INDEX(Jobs!$D$9:$D$258,$AA121)))</f>
        <v/>
      </c>
      <c r="M121" s="39"/>
      <c r="N121" s="39"/>
      <c r="O121" s="42" t="str">
        <f>IF($AA121=0,"",IF(LEN(INDEX(Jobs!$G$9:$G$258,$AA121)&amp;"")=0,"",INDEX(Jobs!$G$9:$G$258,$AA121)))</f>
        <v/>
      </c>
      <c r="P121" s="39"/>
      <c r="Q121" s="39"/>
      <c r="R121" s="42" t="str">
        <f>IF($AA121=0,"",IF(LEN(INDEX(Jobs!$H$9:$H$258,$AA121)&amp;"")=0,"",INDEX(Jobs!$H$9:$H$258,$AA121)))</f>
        <v/>
      </c>
      <c r="S121" s="39"/>
      <c r="T121" s="39"/>
      <c r="U121" s="43" t="str">
        <f>IF($AA121=0,"",HYPERLINK("#'"&amp;INDEX(Jobs!$P$9:$P$258,$AA121)&amp;"'!A1","Open job"))</f>
        <v/>
      </c>
      <c r="V121" s="39"/>
      <c r="AA121">
        <f>IFERROR(MATCH(104,Jobs!$Q$9:$Q$258,0),0)</f>
        <v>0</v>
      </c>
    </row>
    <row r="122" spans="1:27" ht="36" hidden="1" customHeight="1" x14ac:dyDescent="0.35">
      <c r="A122" s="40" t="str">
        <f>IF($AA122=0,"",IF(LEN(INDEX(Jobs!$A$9:$A$258,$AA122)&amp;"")=0,"",INDEX(Jobs!$A$9:$A$258,$AA122)))</f>
        <v/>
      </c>
      <c r="B122" s="39"/>
      <c r="C122" s="40" t="str">
        <f>IF($AA122=0,"",IF(LEN(INDEX(Jobs!$B$9:$B$258,$AA122)&amp;"")=0,"",INDEX(Jobs!$B$9:$B$258,$AA122)))</f>
        <v/>
      </c>
      <c r="D122" s="39"/>
      <c r="E122" s="39"/>
      <c r="F122" s="39"/>
      <c r="G122" s="39"/>
      <c r="H122" s="39"/>
      <c r="I122" s="39"/>
      <c r="J122" s="39"/>
      <c r="K122" s="39"/>
      <c r="L122" s="40" t="str">
        <f>IF($AA122=0,"",IF(LEN(INDEX(Jobs!$D$9:$D$258,$AA122)&amp;"")=0,"",INDEX(Jobs!$D$9:$D$258,$AA122)))</f>
        <v/>
      </c>
      <c r="M122" s="39"/>
      <c r="N122" s="39"/>
      <c r="O122" s="41" t="str">
        <f>IF($AA122=0,"",IF(LEN(INDEX(Jobs!$G$9:$G$258,$AA122)&amp;"")=0,"",INDEX(Jobs!$G$9:$G$258,$AA122)))</f>
        <v/>
      </c>
      <c r="P122" s="39"/>
      <c r="Q122" s="39"/>
      <c r="R122" s="41" t="str">
        <f>IF($AA122=0,"",IF(LEN(INDEX(Jobs!$H$9:$H$258,$AA122)&amp;"")=0,"",INDEX(Jobs!$H$9:$H$258,$AA122)))</f>
        <v/>
      </c>
      <c r="S122" s="39"/>
      <c r="T122" s="39"/>
      <c r="U122" s="44" t="str">
        <f>IF($AA122=0,"",HYPERLINK("#'"&amp;INDEX(Jobs!$P$9:$P$258,$AA122)&amp;"'!A1","Open job"))</f>
        <v/>
      </c>
      <c r="V122" s="39"/>
      <c r="AA122">
        <f>IFERROR(MATCH(105,Jobs!$Q$9:$Q$258,0),0)</f>
        <v>0</v>
      </c>
    </row>
    <row r="123" spans="1:27" ht="36" hidden="1" customHeight="1" x14ac:dyDescent="0.35">
      <c r="A123" s="38" t="str">
        <f>IF($AA123=0,"",IF(LEN(INDEX(Jobs!$A$9:$A$258,$AA123)&amp;"")=0,"",INDEX(Jobs!$A$9:$A$258,$AA123)))</f>
        <v/>
      </c>
      <c r="B123" s="39"/>
      <c r="C123" s="38" t="str">
        <f>IF($AA123=0,"",IF(LEN(INDEX(Jobs!$B$9:$B$258,$AA123)&amp;"")=0,"",INDEX(Jobs!$B$9:$B$258,$AA123)))</f>
        <v/>
      </c>
      <c r="D123" s="39"/>
      <c r="E123" s="39"/>
      <c r="F123" s="39"/>
      <c r="G123" s="39"/>
      <c r="H123" s="39"/>
      <c r="I123" s="39"/>
      <c r="J123" s="39"/>
      <c r="K123" s="39"/>
      <c r="L123" s="38" t="str">
        <f>IF($AA123=0,"",IF(LEN(INDEX(Jobs!$D$9:$D$258,$AA123)&amp;"")=0,"",INDEX(Jobs!$D$9:$D$258,$AA123)))</f>
        <v/>
      </c>
      <c r="M123" s="39"/>
      <c r="N123" s="39"/>
      <c r="O123" s="42" t="str">
        <f>IF($AA123=0,"",IF(LEN(INDEX(Jobs!$G$9:$G$258,$AA123)&amp;"")=0,"",INDEX(Jobs!$G$9:$G$258,$AA123)))</f>
        <v/>
      </c>
      <c r="P123" s="39"/>
      <c r="Q123" s="39"/>
      <c r="R123" s="42" t="str">
        <f>IF($AA123=0,"",IF(LEN(INDEX(Jobs!$H$9:$H$258,$AA123)&amp;"")=0,"",INDEX(Jobs!$H$9:$H$258,$AA123)))</f>
        <v/>
      </c>
      <c r="S123" s="39"/>
      <c r="T123" s="39"/>
      <c r="U123" s="43" t="str">
        <f>IF($AA123=0,"",HYPERLINK("#'"&amp;INDEX(Jobs!$P$9:$P$258,$AA123)&amp;"'!A1","Open job"))</f>
        <v/>
      </c>
      <c r="V123" s="39"/>
      <c r="AA123">
        <f>IFERROR(MATCH(106,Jobs!$Q$9:$Q$258,0),0)</f>
        <v>0</v>
      </c>
    </row>
    <row r="124" spans="1:27" ht="36" hidden="1" customHeight="1" x14ac:dyDescent="0.35">
      <c r="A124" s="40" t="str">
        <f>IF($AA124=0,"",IF(LEN(INDEX(Jobs!$A$9:$A$258,$AA124)&amp;"")=0,"",INDEX(Jobs!$A$9:$A$258,$AA124)))</f>
        <v/>
      </c>
      <c r="B124" s="39"/>
      <c r="C124" s="40" t="str">
        <f>IF($AA124=0,"",IF(LEN(INDEX(Jobs!$B$9:$B$258,$AA124)&amp;"")=0,"",INDEX(Jobs!$B$9:$B$258,$AA124)))</f>
        <v/>
      </c>
      <c r="D124" s="39"/>
      <c r="E124" s="39"/>
      <c r="F124" s="39"/>
      <c r="G124" s="39"/>
      <c r="H124" s="39"/>
      <c r="I124" s="39"/>
      <c r="J124" s="39"/>
      <c r="K124" s="39"/>
      <c r="L124" s="40" t="str">
        <f>IF($AA124=0,"",IF(LEN(INDEX(Jobs!$D$9:$D$258,$AA124)&amp;"")=0,"",INDEX(Jobs!$D$9:$D$258,$AA124)))</f>
        <v/>
      </c>
      <c r="M124" s="39"/>
      <c r="N124" s="39"/>
      <c r="O124" s="41" t="str">
        <f>IF($AA124=0,"",IF(LEN(INDEX(Jobs!$G$9:$G$258,$AA124)&amp;"")=0,"",INDEX(Jobs!$G$9:$G$258,$AA124)))</f>
        <v/>
      </c>
      <c r="P124" s="39"/>
      <c r="Q124" s="39"/>
      <c r="R124" s="41" t="str">
        <f>IF($AA124=0,"",IF(LEN(INDEX(Jobs!$H$9:$H$258,$AA124)&amp;"")=0,"",INDEX(Jobs!$H$9:$H$258,$AA124)))</f>
        <v/>
      </c>
      <c r="S124" s="39"/>
      <c r="T124" s="39"/>
      <c r="U124" s="44" t="str">
        <f>IF($AA124=0,"",HYPERLINK("#'"&amp;INDEX(Jobs!$P$9:$P$258,$AA124)&amp;"'!A1","Open job"))</f>
        <v/>
      </c>
      <c r="V124" s="39"/>
      <c r="AA124">
        <f>IFERROR(MATCH(107,Jobs!$Q$9:$Q$258,0),0)</f>
        <v>0</v>
      </c>
    </row>
    <row r="125" spans="1:27" ht="36" hidden="1" customHeight="1" x14ac:dyDescent="0.35">
      <c r="A125" s="38" t="str">
        <f>IF($AA125=0,"",IF(LEN(INDEX(Jobs!$A$9:$A$258,$AA125)&amp;"")=0,"",INDEX(Jobs!$A$9:$A$258,$AA125)))</f>
        <v/>
      </c>
      <c r="B125" s="39"/>
      <c r="C125" s="38" t="str">
        <f>IF($AA125=0,"",IF(LEN(INDEX(Jobs!$B$9:$B$258,$AA125)&amp;"")=0,"",INDEX(Jobs!$B$9:$B$258,$AA125)))</f>
        <v/>
      </c>
      <c r="D125" s="39"/>
      <c r="E125" s="39"/>
      <c r="F125" s="39"/>
      <c r="G125" s="39"/>
      <c r="H125" s="39"/>
      <c r="I125" s="39"/>
      <c r="J125" s="39"/>
      <c r="K125" s="39"/>
      <c r="L125" s="38" t="str">
        <f>IF($AA125=0,"",IF(LEN(INDEX(Jobs!$D$9:$D$258,$AA125)&amp;"")=0,"",INDEX(Jobs!$D$9:$D$258,$AA125)))</f>
        <v/>
      </c>
      <c r="M125" s="39"/>
      <c r="N125" s="39"/>
      <c r="O125" s="42" t="str">
        <f>IF($AA125=0,"",IF(LEN(INDEX(Jobs!$G$9:$G$258,$AA125)&amp;"")=0,"",INDEX(Jobs!$G$9:$G$258,$AA125)))</f>
        <v/>
      </c>
      <c r="P125" s="39"/>
      <c r="Q125" s="39"/>
      <c r="R125" s="42" t="str">
        <f>IF($AA125=0,"",IF(LEN(INDEX(Jobs!$H$9:$H$258,$AA125)&amp;"")=0,"",INDEX(Jobs!$H$9:$H$258,$AA125)))</f>
        <v/>
      </c>
      <c r="S125" s="39"/>
      <c r="T125" s="39"/>
      <c r="U125" s="43" t="str">
        <f>IF($AA125=0,"",HYPERLINK("#'"&amp;INDEX(Jobs!$P$9:$P$258,$AA125)&amp;"'!A1","Open job"))</f>
        <v/>
      </c>
      <c r="V125" s="39"/>
      <c r="AA125">
        <f>IFERROR(MATCH(108,Jobs!$Q$9:$Q$258,0),0)</f>
        <v>0</v>
      </c>
    </row>
    <row r="126" spans="1:27" ht="36" hidden="1" customHeight="1" x14ac:dyDescent="0.35">
      <c r="A126" s="40" t="str">
        <f>IF($AA126=0,"",IF(LEN(INDEX(Jobs!$A$9:$A$258,$AA126)&amp;"")=0,"",INDEX(Jobs!$A$9:$A$258,$AA126)))</f>
        <v/>
      </c>
      <c r="B126" s="39"/>
      <c r="C126" s="40" t="str">
        <f>IF($AA126=0,"",IF(LEN(INDEX(Jobs!$B$9:$B$258,$AA126)&amp;"")=0,"",INDEX(Jobs!$B$9:$B$258,$AA126)))</f>
        <v/>
      </c>
      <c r="D126" s="39"/>
      <c r="E126" s="39"/>
      <c r="F126" s="39"/>
      <c r="G126" s="39"/>
      <c r="H126" s="39"/>
      <c r="I126" s="39"/>
      <c r="J126" s="39"/>
      <c r="K126" s="39"/>
      <c r="L126" s="40" t="str">
        <f>IF($AA126=0,"",IF(LEN(INDEX(Jobs!$D$9:$D$258,$AA126)&amp;"")=0,"",INDEX(Jobs!$D$9:$D$258,$AA126)))</f>
        <v/>
      </c>
      <c r="M126" s="39"/>
      <c r="N126" s="39"/>
      <c r="O126" s="41" t="str">
        <f>IF($AA126=0,"",IF(LEN(INDEX(Jobs!$G$9:$G$258,$AA126)&amp;"")=0,"",INDEX(Jobs!$G$9:$G$258,$AA126)))</f>
        <v/>
      </c>
      <c r="P126" s="39"/>
      <c r="Q126" s="39"/>
      <c r="R126" s="41" t="str">
        <f>IF($AA126=0,"",IF(LEN(INDEX(Jobs!$H$9:$H$258,$AA126)&amp;"")=0,"",INDEX(Jobs!$H$9:$H$258,$AA126)))</f>
        <v/>
      </c>
      <c r="S126" s="39"/>
      <c r="T126" s="39"/>
      <c r="U126" s="44" t="str">
        <f>IF($AA126=0,"",HYPERLINK("#'"&amp;INDEX(Jobs!$P$9:$P$258,$AA126)&amp;"'!A1","Open job"))</f>
        <v/>
      </c>
      <c r="V126" s="39"/>
      <c r="AA126">
        <f>IFERROR(MATCH(109,Jobs!$Q$9:$Q$258,0),0)</f>
        <v>0</v>
      </c>
    </row>
    <row r="127" spans="1:27" ht="36" hidden="1" customHeight="1" x14ac:dyDescent="0.35">
      <c r="A127" s="38" t="str">
        <f>IF($AA127=0,"",IF(LEN(INDEX(Jobs!$A$9:$A$258,$AA127)&amp;"")=0,"",INDEX(Jobs!$A$9:$A$258,$AA127)))</f>
        <v/>
      </c>
      <c r="B127" s="39"/>
      <c r="C127" s="38" t="str">
        <f>IF($AA127=0,"",IF(LEN(INDEX(Jobs!$B$9:$B$258,$AA127)&amp;"")=0,"",INDEX(Jobs!$B$9:$B$258,$AA127)))</f>
        <v/>
      </c>
      <c r="D127" s="39"/>
      <c r="E127" s="39"/>
      <c r="F127" s="39"/>
      <c r="G127" s="39"/>
      <c r="H127" s="39"/>
      <c r="I127" s="39"/>
      <c r="J127" s="39"/>
      <c r="K127" s="39"/>
      <c r="L127" s="38" t="str">
        <f>IF($AA127=0,"",IF(LEN(INDEX(Jobs!$D$9:$D$258,$AA127)&amp;"")=0,"",INDEX(Jobs!$D$9:$D$258,$AA127)))</f>
        <v/>
      </c>
      <c r="M127" s="39"/>
      <c r="N127" s="39"/>
      <c r="O127" s="42" t="str">
        <f>IF($AA127=0,"",IF(LEN(INDEX(Jobs!$G$9:$G$258,$AA127)&amp;"")=0,"",INDEX(Jobs!$G$9:$G$258,$AA127)))</f>
        <v/>
      </c>
      <c r="P127" s="39"/>
      <c r="Q127" s="39"/>
      <c r="R127" s="42" t="str">
        <f>IF($AA127=0,"",IF(LEN(INDEX(Jobs!$H$9:$H$258,$AA127)&amp;"")=0,"",INDEX(Jobs!$H$9:$H$258,$AA127)))</f>
        <v/>
      </c>
      <c r="S127" s="39"/>
      <c r="T127" s="39"/>
      <c r="U127" s="43" t="str">
        <f>IF($AA127=0,"",HYPERLINK("#'"&amp;INDEX(Jobs!$P$9:$P$258,$AA127)&amp;"'!A1","Open job"))</f>
        <v/>
      </c>
      <c r="V127" s="39"/>
      <c r="AA127">
        <f>IFERROR(MATCH(110,Jobs!$Q$9:$Q$258,0),0)</f>
        <v>0</v>
      </c>
    </row>
    <row r="128" spans="1:27" ht="36" hidden="1" customHeight="1" x14ac:dyDescent="0.35">
      <c r="A128" s="40" t="str">
        <f>IF($AA128=0,"",IF(LEN(INDEX(Jobs!$A$9:$A$258,$AA128)&amp;"")=0,"",INDEX(Jobs!$A$9:$A$258,$AA128)))</f>
        <v/>
      </c>
      <c r="B128" s="39"/>
      <c r="C128" s="40" t="str">
        <f>IF($AA128=0,"",IF(LEN(INDEX(Jobs!$B$9:$B$258,$AA128)&amp;"")=0,"",INDEX(Jobs!$B$9:$B$258,$AA128)))</f>
        <v/>
      </c>
      <c r="D128" s="39"/>
      <c r="E128" s="39"/>
      <c r="F128" s="39"/>
      <c r="G128" s="39"/>
      <c r="H128" s="39"/>
      <c r="I128" s="39"/>
      <c r="J128" s="39"/>
      <c r="K128" s="39"/>
      <c r="L128" s="40" t="str">
        <f>IF($AA128=0,"",IF(LEN(INDEX(Jobs!$D$9:$D$258,$AA128)&amp;"")=0,"",INDEX(Jobs!$D$9:$D$258,$AA128)))</f>
        <v/>
      </c>
      <c r="M128" s="39"/>
      <c r="N128" s="39"/>
      <c r="O128" s="41" t="str">
        <f>IF($AA128=0,"",IF(LEN(INDEX(Jobs!$G$9:$G$258,$AA128)&amp;"")=0,"",INDEX(Jobs!$G$9:$G$258,$AA128)))</f>
        <v/>
      </c>
      <c r="P128" s="39"/>
      <c r="Q128" s="39"/>
      <c r="R128" s="41" t="str">
        <f>IF($AA128=0,"",IF(LEN(INDEX(Jobs!$H$9:$H$258,$AA128)&amp;"")=0,"",INDEX(Jobs!$H$9:$H$258,$AA128)))</f>
        <v/>
      </c>
      <c r="S128" s="39"/>
      <c r="T128" s="39"/>
      <c r="U128" s="44" t="str">
        <f>IF($AA128=0,"",HYPERLINK("#'"&amp;INDEX(Jobs!$P$9:$P$258,$AA128)&amp;"'!A1","Open job"))</f>
        <v/>
      </c>
      <c r="V128" s="39"/>
      <c r="AA128">
        <f>IFERROR(MATCH(111,Jobs!$Q$9:$Q$258,0),0)</f>
        <v>0</v>
      </c>
    </row>
    <row r="129" spans="1:27" ht="36" hidden="1" customHeight="1" x14ac:dyDescent="0.35">
      <c r="A129" s="38" t="str">
        <f>IF($AA129=0,"",IF(LEN(INDEX(Jobs!$A$9:$A$258,$AA129)&amp;"")=0,"",INDEX(Jobs!$A$9:$A$258,$AA129)))</f>
        <v/>
      </c>
      <c r="B129" s="39"/>
      <c r="C129" s="38" t="str">
        <f>IF($AA129=0,"",IF(LEN(INDEX(Jobs!$B$9:$B$258,$AA129)&amp;"")=0,"",INDEX(Jobs!$B$9:$B$258,$AA129)))</f>
        <v/>
      </c>
      <c r="D129" s="39"/>
      <c r="E129" s="39"/>
      <c r="F129" s="39"/>
      <c r="G129" s="39"/>
      <c r="H129" s="39"/>
      <c r="I129" s="39"/>
      <c r="J129" s="39"/>
      <c r="K129" s="39"/>
      <c r="L129" s="38" t="str">
        <f>IF($AA129=0,"",IF(LEN(INDEX(Jobs!$D$9:$D$258,$AA129)&amp;"")=0,"",INDEX(Jobs!$D$9:$D$258,$AA129)))</f>
        <v/>
      </c>
      <c r="M129" s="39"/>
      <c r="N129" s="39"/>
      <c r="O129" s="42" t="str">
        <f>IF($AA129=0,"",IF(LEN(INDEX(Jobs!$G$9:$G$258,$AA129)&amp;"")=0,"",INDEX(Jobs!$G$9:$G$258,$AA129)))</f>
        <v/>
      </c>
      <c r="P129" s="39"/>
      <c r="Q129" s="39"/>
      <c r="R129" s="42" t="str">
        <f>IF($AA129=0,"",IF(LEN(INDEX(Jobs!$H$9:$H$258,$AA129)&amp;"")=0,"",INDEX(Jobs!$H$9:$H$258,$AA129)))</f>
        <v/>
      </c>
      <c r="S129" s="39"/>
      <c r="T129" s="39"/>
      <c r="U129" s="43" t="str">
        <f>IF($AA129=0,"",HYPERLINK("#'"&amp;INDEX(Jobs!$P$9:$P$258,$AA129)&amp;"'!A1","Open job"))</f>
        <v/>
      </c>
      <c r="V129" s="39"/>
      <c r="AA129">
        <f>IFERROR(MATCH(112,Jobs!$Q$9:$Q$258,0),0)</f>
        <v>0</v>
      </c>
    </row>
    <row r="130" spans="1:27" ht="36" hidden="1" customHeight="1" x14ac:dyDescent="0.35">
      <c r="A130" s="40" t="str">
        <f>IF($AA130=0,"",IF(LEN(INDEX(Jobs!$A$9:$A$258,$AA130)&amp;"")=0,"",INDEX(Jobs!$A$9:$A$258,$AA130)))</f>
        <v/>
      </c>
      <c r="B130" s="39"/>
      <c r="C130" s="40" t="str">
        <f>IF($AA130=0,"",IF(LEN(INDEX(Jobs!$B$9:$B$258,$AA130)&amp;"")=0,"",INDEX(Jobs!$B$9:$B$258,$AA130)))</f>
        <v/>
      </c>
      <c r="D130" s="39"/>
      <c r="E130" s="39"/>
      <c r="F130" s="39"/>
      <c r="G130" s="39"/>
      <c r="H130" s="39"/>
      <c r="I130" s="39"/>
      <c r="J130" s="39"/>
      <c r="K130" s="39"/>
      <c r="L130" s="40" t="str">
        <f>IF($AA130=0,"",IF(LEN(INDEX(Jobs!$D$9:$D$258,$AA130)&amp;"")=0,"",INDEX(Jobs!$D$9:$D$258,$AA130)))</f>
        <v/>
      </c>
      <c r="M130" s="39"/>
      <c r="N130" s="39"/>
      <c r="O130" s="41" t="str">
        <f>IF($AA130=0,"",IF(LEN(INDEX(Jobs!$G$9:$G$258,$AA130)&amp;"")=0,"",INDEX(Jobs!$G$9:$G$258,$AA130)))</f>
        <v/>
      </c>
      <c r="P130" s="39"/>
      <c r="Q130" s="39"/>
      <c r="R130" s="41" t="str">
        <f>IF($AA130=0,"",IF(LEN(INDEX(Jobs!$H$9:$H$258,$AA130)&amp;"")=0,"",INDEX(Jobs!$H$9:$H$258,$AA130)))</f>
        <v/>
      </c>
      <c r="S130" s="39"/>
      <c r="T130" s="39"/>
      <c r="U130" s="44" t="str">
        <f>IF($AA130=0,"",HYPERLINK("#'"&amp;INDEX(Jobs!$P$9:$P$258,$AA130)&amp;"'!A1","Open job"))</f>
        <v/>
      </c>
      <c r="V130" s="39"/>
      <c r="AA130">
        <f>IFERROR(MATCH(113,Jobs!$Q$9:$Q$258,0),0)</f>
        <v>0</v>
      </c>
    </row>
    <row r="131" spans="1:27" ht="36" hidden="1" customHeight="1" x14ac:dyDescent="0.35">
      <c r="A131" s="38" t="str">
        <f>IF($AA131=0,"",IF(LEN(INDEX(Jobs!$A$9:$A$258,$AA131)&amp;"")=0,"",INDEX(Jobs!$A$9:$A$258,$AA131)))</f>
        <v/>
      </c>
      <c r="B131" s="39"/>
      <c r="C131" s="38" t="str">
        <f>IF($AA131=0,"",IF(LEN(INDEX(Jobs!$B$9:$B$258,$AA131)&amp;"")=0,"",INDEX(Jobs!$B$9:$B$258,$AA131)))</f>
        <v/>
      </c>
      <c r="D131" s="39"/>
      <c r="E131" s="39"/>
      <c r="F131" s="39"/>
      <c r="G131" s="39"/>
      <c r="H131" s="39"/>
      <c r="I131" s="39"/>
      <c r="J131" s="39"/>
      <c r="K131" s="39"/>
      <c r="L131" s="38" t="str">
        <f>IF($AA131=0,"",IF(LEN(INDEX(Jobs!$D$9:$D$258,$AA131)&amp;"")=0,"",INDEX(Jobs!$D$9:$D$258,$AA131)))</f>
        <v/>
      </c>
      <c r="M131" s="39"/>
      <c r="N131" s="39"/>
      <c r="O131" s="42" t="str">
        <f>IF($AA131=0,"",IF(LEN(INDEX(Jobs!$G$9:$G$258,$AA131)&amp;"")=0,"",INDEX(Jobs!$G$9:$G$258,$AA131)))</f>
        <v/>
      </c>
      <c r="P131" s="39"/>
      <c r="Q131" s="39"/>
      <c r="R131" s="42" t="str">
        <f>IF($AA131=0,"",IF(LEN(INDEX(Jobs!$H$9:$H$258,$AA131)&amp;"")=0,"",INDEX(Jobs!$H$9:$H$258,$AA131)))</f>
        <v/>
      </c>
      <c r="S131" s="39"/>
      <c r="T131" s="39"/>
      <c r="U131" s="43" t="str">
        <f>IF($AA131=0,"",HYPERLINK("#'"&amp;INDEX(Jobs!$P$9:$P$258,$AA131)&amp;"'!A1","Open job"))</f>
        <v/>
      </c>
      <c r="V131" s="39"/>
      <c r="AA131">
        <f>IFERROR(MATCH(114,Jobs!$Q$9:$Q$258,0),0)</f>
        <v>0</v>
      </c>
    </row>
    <row r="132" spans="1:27" ht="36" hidden="1" customHeight="1" x14ac:dyDescent="0.35">
      <c r="A132" s="40" t="str">
        <f>IF($AA132=0,"",IF(LEN(INDEX(Jobs!$A$9:$A$258,$AA132)&amp;"")=0,"",INDEX(Jobs!$A$9:$A$258,$AA132)))</f>
        <v/>
      </c>
      <c r="B132" s="39"/>
      <c r="C132" s="40" t="str">
        <f>IF($AA132=0,"",IF(LEN(INDEX(Jobs!$B$9:$B$258,$AA132)&amp;"")=0,"",INDEX(Jobs!$B$9:$B$258,$AA132)))</f>
        <v/>
      </c>
      <c r="D132" s="39"/>
      <c r="E132" s="39"/>
      <c r="F132" s="39"/>
      <c r="G132" s="39"/>
      <c r="H132" s="39"/>
      <c r="I132" s="39"/>
      <c r="J132" s="39"/>
      <c r="K132" s="39"/>
      <c r="L132" s="40" t="str">
        <f>IF($AA132=0,"",IF(LEN(INDEX(Jobs!$D$9:$D$258,$AA132)&amp;"")=0,"",INDEX(Jobs!$D$9:$D$258,$AA132)))</f>
        <v/>
      </c>
      <c r="M132" s="39"/>
      <c r="N132" s="39"/>
      <c r="O132" s="41" t="str">
        <f>IF($AA132=0,"",IF(LEN(INDEX(Jobs!$G$9:$G$258,$AA132)&amp;"")=0,"",INDEX(Jobs!$G$9:$G$258,$AA132)))</f>
        <v/>
      </c>
      <c r="P132" s="39"/>
      <c r="Q132" s="39"/>
      <c r="R132" s="41" t="str">
        <f>IF($AA132=0,"",IF(LEN(INDEX(Jobs!$H$9:$H$258,$AA132)&amp;"")=0,"",INDEX(Jobs!$H$9:$H$258,$AA132)))</f>
        <v/>
      </c>
      <c r="S132" s="39"/>
      <c r="T132" s="39"/>
      <c r="U132" s="44" t="str">
        <f>IF($AA132=0,"",HYPERLINK("#'"&amp;INDEX(Jobs!$P$9:$P$258,$AA132)&amp;"'!A1","Open job"))</f>
        <v/>
      </c>
      <c r="V132" s="39"/>
      <c r="AA132">
        <f>IFERROR(MATCH(115,Jobs!$Q$9:$Q$258,0),0)</f>
        <v>0</v>
      </c>
    </row>
    <row r="133" spans="1:27" ht="36" hidden="1" customHeight="1" x14ac:dyDescent="0.35">
      <c r="A133" s="38" t="str">
        <f>IF($AA133=0,"",IF(LEN(INDEX(Jobs!$A$9:$A$258,$AA133)&amp;"")=0,"",INDEX(Jobs!$A$9:$A$258,$AA133)))</f>
        <v/>
      </c>
      <c r="B133" s="39"/>
      <c r="C133" s="38" t="str">
        <f>IF($AA133=0,"",IF(LEN(INDEX(Jobs!$B$9:$B$258,$AA133)&amp;"")=0,"",INDEX(Jobs!$B$9:$B$258,$AA133)))</f>
        <v/>
      </c>
      <c r="D133" s="39"/>
      <c r="E133" s="39"/>
      <c r="F133" s="39"/>
      <c r="G133" s="39"/>
      <c r="H133" s="39"/>
      <c r="I133" s="39"/>
      <c r="J133" s="39"/>
      <c r="K133" s="39"/>
      <c r="L133" s="38" t="str">
        <f>IF($AA133=0,"",IF(LEN(INDEX(Jobs!$D$9:$D$258,$AA133)&amp;"")=0,"",INDEX(Jobs!$D$9:$D$258,$AA133)))</f>
        <v/>
      </c>
      <c r="M133" s="39"/>
      <c r="N133" s="39"/>
      <c r="O133" s="42" t="str">
        <f>IF($AA133=0,"",IF(LEN(INDEX(Jobs!$G$9:$G$258,$AA133)&amp;"")=0,"",INDEX(Jobs!$G$9:$G$258,$AA133)))</f>
        <v/>
      </c>
      <c r="P133" s="39"/>
      <c r="Q133" s="39"/>
      <c r="R133" s="42" t="str">
        <f>IF($AA133=0,"",IF(LEN(INDEX(Jobs!$H$9:$H$258,$AA133)&amp;"")=0,"",INDEX(Jobs!$H$9:$H$258,$AA133)))</f>
        <v/>
      </c>
      <c r="S133" s="39"/>
      <c r="T133" s="39"/>
      <c r="U133" s="43" t="str">
        <f>IF($AA133=0,"",HYPERLINK("#'"&amp;INDEX(Jobs!$P$9:$P$258,$AA133)&amp;"'!A1","Open job"))</f>
        <v/>
      </c>
      <c r="V133" s="39"/>
      <c r="AA133">
        <f>IFERROR(MATCH(116,Jobs!$Q$9:$Q$258,0),0)</f>
        <v>0</v>
      </c>
    </row>
    <row r="134" spans="1:27" ht="36" hidden="1" customHeight="1" x14ac:dyDescent="0.35">
      <c r="A134" s="40" t="str">
        <f>IF($AA134=0,"",IF(LEN(INDEX(Jobs!$A$9:$A$258,$AA134)&amp;"")=0,"",INDEX(Jobs!$A$9:$A$258,$AA134)))</f>
        <v/>
      </c>
      <c r="B134" s="39"/>
      <c r="C134" s="40" t="str">
        <f>IF($AA134=0,"",IF(LEN(INDEX(Jobs!$B$9:$B$258,$AA134)&amp;"")=0,"",INDEX(Jobs!$B$9:$B$258,$AA134)))</f>
        <v/>
      </c>
      <c r="D134" s="39"/>
      <c r="E134" s="39"/>
      <c r="F134" s="39"/>
      <c r="G134" s="39"/>
      <c r="H134" s="39"/>
      <c r="I134" s="39"/>
      <c r="J134" s="39"/>
      <c r="K134" s="39"/>
      <c r="L134" s="40" t="str">
        <f>IF($AA134=0,"",IF(LEN(INDEX(Jobs!$D$9:$D$258,$AA134)&amp;"")=0,"",INDEX(Jobs!$D$9:$D$258,$AA134)))</f>
        <v/>
      </c>
      <c r="M134" s="39"/>
      <c r="N134" s="39"/>
      <c r="O134" s="41" t="str">
        <f>IF($AA134=0,"",IF(LEN(INDEX(Jobs!$G$9:$G$258,$AA134)&amp;"")=0,"",INDEX(Jobs!$G$9:$G$258,$AA134)))</f>
        <v/>
      </c>
      <c r="P134" s="39"/>
      <c r="Q134" s="39"/>
      <c r="R134" s="41" t="str">
        <f>IF($AA134=0,"",IF(LEN(INDEX(Jobs!$H$9:$H$258,$AA134)&amp;"")=0,"",INDEX(Jobs!$H$9:$H$258,$AA134)))</f>
        <v/>
      </c>
      <c r="S134" s="39"/>
      <c r="T134" s="39"/>
      <c r="U134" s="44" t="str">
        <f>IF($AA134=0,"",HYPERLINK("#'"&amp;INDEX(Jobs!$P$9:$P$258,$AA134)&amp;"'!A1","Open job"))</f>
        <v/>
      </c>
      <c r="V134" s="39"/>
      <c r="AA134">
        <f>IFERROR(MATCH(117,Jobs!$Q$9:$Q$258,0),0)</f>
        <v>0</v>
      </c>
    </row>
    <row r="135" spans="1:27" ht="36" hidden="1" customHeight="1" x14ac:dyDescent="0.35">
      <c r="A135" s="38" t="str">
        <f>IF($AA135=0,"",IF(LEN(INDEX(Jobs!$A$9:$A$258,$AA135)&amp;"")=0,"",INDEX(Jobs!$A$9:$A$258,$AA135)))</f>
        <v/>
      </c>
      <c r="B135" s="39"/>
      <c r="C135" s="38" t="str">
        <f>IF($AA135=0,"",IF(LEN(INDEX(Jobs!$B$9:$B$258,$AA135)&amp;"")=0,"",INDEX(Jobs!$B$9:$B$258,$AA135)))</f>
        <v/>
      </c>
      <c r="D135" s="39"/>
      <c r="E135" s="39"/>
      <c r="F135" s="39"/>
      <c r="G135" s="39"/>
      <c r="H135" s="39"/>
      <c r="I135" s="39"/>
      <c r="J135" s="39"/>
      <c r="K135" s="39"/>
      <c r="L135" s="38" t="str">
        <f>IF($AA135=0,"",IF(LEN(INDEX(Jobs!$D$9:$D$258,$AA135)&amp;"")=0,"",INDEX(Jobs!$D$9:$D$258,$AA135)))</f>
        <v/>
      </c>
      <c r="M135" s="39"/>
      <c r="N135" s="39"/>
      <c r="O135" s="42" t="str">
        <f>IF($AA135=0,"",IF(LEN(INDEX(Jobs!$G$9:$G$258,$AA135)&amp;"")=0,"",INDEX(Jobs!$G$9:$G$258,$AA135)))</f>
        <v/>
      </c>
      <c r="P135" s="39"/>
      <c r="Q135" s="39"/>
      <c r="R135" s="42" t="str">
        <f>IF($AA135=0,"",IF(LEN(INDEX(Jobs!$H$9:$H$258,$AA135)&amp;"")=0,"",INDEX(Jobs!$H$9:$H$258,$AA135)))</f>
        <v/>
      </c>
      <c r="S135" s="39"/>
      <c r="T135" s="39"/>
      <c r="U135" s="43" t="str">
        <f>IF($AA135=0,"",HYPERLINK("#'"&amp;INDEX(Jobs!$P$9:$P$258,$AA135)&amp;"'!A1","Open job"))</f>
        <v/>
      </c>
      <c r="V135" s="39"/>
      <c r="AA135">
        <f>IFERROR(MATCH(118,Jobs!$Q$9:$Q$258,0),0)</f>
        <v>0</v>
      </c>
    </row>
    <row r="136" spans="1:27" ht="36" hidden="1" customHeight="1" x14ac:dyDescent="0.35">
      <c r="A136" s="40" t="str">
        <f>IF($AA136=0,"",IF(LEN(INDEX(Jobs!$A$9:$A$258,$AA136)&amp;"")=0,"",INDEX(Jobs!$A$9:$A$258,$AA136)))</f>
        <v/>
      </c>
      <c r="B136" s="39"/>
      <c r="C136" s="40" t="str">
        <f>IF($AA136=0,"",IF(LEN(INDEX(Jobs!$B$9:$B$258,$AA136)&amp;"")=0,"",INDEX(Jobs!$B$9:$B$258,$AA136)))</f>
        <v/>
      </c>
      <c r="D136" s="39"/>
      <c r="E136" s="39"/>
      <c r="F136" s="39"/>
      <c r="G136" s="39"/>
      <c r="H136" s="39"/>
      <c r="I136" s="39"/>
      <c r="J136" s="39"/>
      <c r="K136" s="39"/>
      <c r="L136" s="40" t="str">
        <f>IF($AA136=0,"",IF(LEN(INDEX(Jobs!$D$9:$D$258,$AA136)&amp;"")=0,"",INDEX(Jobs!$D$9:$D$258,$AA136)))</f>
        <v/>
      </c>
      <c r="M136" s="39"/>
      <c r="N136" s="39"/>
      <c r="O136" s="41" t="str">
        <f>IF($AA136=0,"",IF(LEN(INDEX(Jobs!$G$9:$G$258,$AA136)&amp;"")=0,"",INDEX(Jobs!$G$9:$G$258,$AA136)))</f>
        <v/>
      </c>
      <c r="P136" s="39"/>
      <c r="Q136" s="39"/>
      <c r="R136" s="41" t="str">
        <f>IF($AA136=0,"",IF(LEN(INDEX(Jobs!$H$9:$H$258,$AA136)&amp;"")=0,"",INDEX(Jobs!$H$9:$H$258,$AA136)))</f>
        <v/>
      </c>
      <c r="S136" s="39"/>
      <c r="T136" s="39"/>
      <c r="U136" s="44" t="str">
        <f>IF($AA136=0,"",HYPERLINK("#'"&amp;INDEX(Jobs!$P$9:$P$258,$AA136)&amp;"'!A1","Open job"))</f>
        <v/>
      </c>
      <c r="V136" s="39"/>
      <c r="AA136">
        <f>IFERROR(MATCH(119,Jobs!$Q$9:$Q$258,0),0)</f>
        <v>0</v>
      </c>
    </row>
    <row r="137" spans="1:27" ht="36" hidden="1" customHeight="1" x14ac:dyDescent="0.35">
      <c r="A137" s="38" t="str">
        <f>IF($AA137=0,"",IF(LEN(INDEX(Jobs!$A$9:$A$258,$AA137)&amp;"")=0,"",INDEX(Jobs!$A$9:$A$258,$AA137)))</f>
        <v/>
      </c>
      <c r="B137" s="39"/>
      <c r="C137" s="38" t="str">
        <f>IF($AA137=0,"",IF(LEN(INDEX(Jobs!$B$9:$B$258,$AA137)&amp;"")=0,"",INDEX(Jobs!$B$9:$B$258,$AA137)))</f>
        <v/>
      </c>
      <c r="D137" s="39"/>
      <c r="E137" s="39"/>
      <c r="F137" s="39"/>
      <c r="G137" s="39"/>
      <c r="H137" s="39"/>
      <c r="I137" s="39"/>
      <c r="J137" s="39"/>
      <c r="K137" s="39"/>
      <c r="L137" s="38" t="str">
        <f>IF($AA137=0,"",IF(LEN(INDEX(Jobs!$D$9:$D$258,$AA137)&amp;"")=0,"",INDEX(Jobs!$D$9:$D$258,$AA137)))</f>
        <v/>
      </c>
      <c r="M137" s="39"/>
      <c r="N137" s="39"/>
      <c r="O137" s="42" t="str">
        <f>IF($AA137=0,"",IF(LEN(INDEX(Jobs!$G$9:$G$258,$AA137)&amp;"")=0,"",INDEX(Jobs!$G$9:$G$258,$AA137)))</f>
        <v/>
      </c>
      <c r="P137" s="39"/>
      <c r="Q137" s="39"/>
      <c r="R137" s="42" t="str">
        <f>IF($AA137=0,"",IF(LEN(INDEX(Jobs!$H$9:$H$258,$AA137)&amp;"")=0,"",INDEX(Jobs!$H$9:$H$258,$AA137)))</f>
        <v/>
      </c>
      <c r="S137" s="39"/>
      <c r="T137" s="39"/>
      <c r="U137" s="43" t="str">
        <f>IF($AA137=0,"",HYPERLINK("#'"&amp;INDEX(Jobs!$P$9:$P$258,$AA137)&amp;"'!A1","Open job"))</f>
        <v/>
      </c>
      <c r="V137" s="39"/>
      <c r="AA137">
        <f>IFERROR(MATCH(120,Jobs!$Q$9:$Q$258,0),0)</f>
        <v>0</v>
      </c>
    </row>
    <row r="138" spans="1:27" ht="36" hidden="1" customHeight="1" x14ac:dyDescent="0.35">
      <c r="A138" s="40" t="str">
        <f>IF($AA138=0,"",IF(LEN(INDEX(Jobs!$A$9:$A$258,$AA138)&amp;"")=0,"",INDEX(Jobs!$A$9:$A$258,$AA138)))</f>
        <v/>
      </c>
      <c r="B138" s="39"/>
      <c r="C138" s="40" t="str">
        <f>IF($AA138=0,"",IF(LEN(INDEX(Jobs!$B$9:$B$258,$AA138)&amp;"")=0,"",INDEX(Jobs!$B$9:$B$258,$AA138)))</f>
        <v/>
      </c>
      <c r="D138" s="39"/>
      <c r="E138" s="39"/>
      <c r="F138" s="39"/>
      <c r="G138" s="39"/>
      <c r="H138" s="39"/>
      <c r="I138" s="39"/>
      <c r="J138" s="39"/>
      <c r="K138" s="39"/>
      <c r="L138" s="40" t="str">
        <f>IF($AA138=0,"",IF(LEN(INDEX(Jobs!$D$9:$D$258,$AA138)&amp;"")=0,"",INDEX(Jobs!$D$9:$D$258,$AA138)))</f>
        <v/>
      </c>
      <c r="M138" s="39"/>
      <c r="N138" s="39"/>
      <c r="O138" s="41" t="str">
        <f>IF($AA138=0,"",IF(LEN(INDEX(Jobs!$G$9:$G$258,$AA138)&amp;"")=0,"",INDEX(Jobs!$G$9:$G$258,$AA138)))</f>
        <v/>
      </c>
      <c r="P138" s="39"/>
      <c r="Q138" s="39"/>
      <c r="R138" s="41" t="str">
        <f>IF($AA138=0,"",IF(LEN(INDEX(Jobs!$H$9:$H$258,$AA138)&amp;"")=0,"",INDEX(Jobs!$H$9:$H$258,$AA138)))</f>
        <v/>
      </c>
      <c r="S138" s="39"/>
      <c r="T138" s="39"/>
      <c r="U138" s="44" t="str">
        <f>IF($AA138=0,"",HYPERLINK("#'"&amp;INDEX(Jobs!$P$9:$P$258,$AA138)&amp;"'!A1","Open job"))</f>
        <v/>
      </c>
      <c r="V138" s="39"/>
      <c r="AA138">
        <f>IFERROR(MATCH(121,Jobs!$Q$9:$Q$258,0),0)</f>
        <v>0</v>
      </c>
    </row>
    <row r="139" spans="1:27" ht="36" hidden="1" customHeight="1" x14ac:dyDescent="0.35">
      <c r="A139" s="38" t="str">
        <f>IF($AA139=0,"",IF(LEN(INDEX(Jobs!$A$9:$A$258,$AA139)&amp;"")=0,"",INDEX(Jobs!$A$9:$A$258,$AA139)))</f>
        <v/>
      </c>
      <c r="B139" s="39"/>
      <c r="C139" s="38" t="str">
        <f>IF($AA139=0,"",IF(LEN(INDEX(Jobs!$B$9:$B$258,$AA139)&amp;"")=0,"",INDEX(Jobs!$B$9:$B$258,$AA139)))</f>
        <v/>
      </c>
      <c r="D139" s="39"/>
      <c r="E139" s="39"/>
      <c r="F139" s="39"/>
      <c r="G139" s="39"/>
      <c r="H139" s="39"/>
      <c r="I139" s="39"/>
      <c r="J139" s="39"/>
      <c r="K139" s="39"/>
      <c r="L139" s="38" t="str">
        <f>IF($AA139=0,"",IF(LEN(INDEX(Jobs!$D$9:$D$258,$AA139)&amp;"")=0,"",INDEX(Jobs!$D$9:$D$258,$AA139)))</f>
        <v/>
      </c>
      <c r="M139" s="39"/>
      <c r="N139" s="39"/>
      <c r="O139" s="42" t="str">
        <f>IF($AA139=0,"",IF(LEN(INDEX(Jobs!$G$9:$G$258,$AA139)&amp;"")=0,"",INDEX(Jobs!$G$9:$G$258,$AA139)))</f>
        <v/>
      </c>
      <c r="P139" s="39"/>
      <c r="Q139" s="39"/>
      <c r="R139" s="42" t="str">
        <f>IF($AA139=0,"",IF(LEN(INDEX(Jobs!$H$9:$H$258,$AA139)&amp;"")=0,"",INDEX(Jobs!$H$9:$H$258,$AA139)))</f>
        <v/>
      </c>
      <c r="S139" s="39"/>
      <c r="T139" s="39"/>
      <c r="U139" s="43" t="str">
        <f>IF($AA139=0,"",HYPERLINK("#'"&amp;INDEX(Jobs!$P$9:$P$258,$AA139)&amp;"'!A1","Open job"))</f>
        <v/>
      </c>
      <c r="V139" s="39"/>
      <c r="AA139">
        <f>IFERROR(MATCH(122,Jobs!$Q$9:$Q$258,0),0)</f>
        <v>0</v>
      </c>
    </row>
    <row r="140" spans="1:27" ht="36" hidden="1" customHeight="1" x14ac:dyDescent="0.35">
      <c r="A140" s="40" t="str">
        <f>IF($AA140=0,"",IF(LEN(INDEX(Jobs!$A$9:$A$258,$AA140)&amp;"")=0,"",INDEX(Jobs!$A$9:$A$258,$AA140)))</f>
        <v/>
      </c>
      <c r="B140" s="39"/>
      <c r="C140" s="40" t="str">
        <f>IF($AA140=0,"",IF(LEN(INDEX(Jobs!$B$9:$B$258,$AA140)&amp;"")=0,"",INDEX(Jobs!$B$9:$B$258,$AA140)))</f>
        <v/>
      </c>
      <c r="D140" s="39"/>
      <c r="E140" s="39"/>
      <c r="F140" s="39"/>
      <c r="G140" s="39"/>
      <c r="H140" s="39"/>
      <c r="I140" s="39"/>
      <c r="J140" s="39"/>
      <c r="K140" s="39"/>
      <c r="L140" s="40" t="str">
        <f>IF($AA140=0,"",IF(LEN(INDEX(Jobs!$D$9:$D$258,$AA140)&amp;"")=0,"",INDEX(Jobs!$D$9:$D$258,$AA140)))</f>
        <v/>
      </c>
      <c r="M140" s="39"/>
      <c r="N140" s="39"/>
      <c r="O140" s="41" t="str">
        <f>IF($AA140=0,"",IF(LEN(INDEX(Jobs!$G$9:$G$258,$AA140)&amp;"")=0,"",INDEX(Jobs!$G$9:$G$258,$AA140)))</f>
        <v/>
      </c>
      <c r="P140" s="39"/>
      <c r="Q140" s="39"/>
      <c r="R140" s="41" t="str">
        <f>IF($AA140=0,"",IF(LEN(INDEX(Jobs!$H$9:$H$258,$AA140)&amp;"")=0,"",INDEX(Jobs!$H$9:$H$258,$AA140)))</f>
        <v/>
      </c>
      <c r="S140" s="39"/>
      <c r="T140" s="39"/>
      <c r="U140" s="44" t="str">
        <f>IF($AA140=0,"",HYPERLINK("#'"&amp;INDEX(Jobs!$P$9:$P$258,$AA140)&amp;"'!A1","Open job"))</f>
        <v/>
      </c>
      <c r="V140" s="39"/>
      <c r="AA140">
        <f>IFERROR(MATCH(123,Jobs!$Q$9:$Q$258,0),0)</f>
        <v>0</v>
      </c>
    </row>
    <row r="141" spans="1:27" ht="36" hidden="1" customHeight="1" x14ac:dyDescent="0.35">
      <c r="A141" s="38" t="str">
        <f>IF($AA141=0,"",IF(LEN(INDEX(Jobs!$A$9:$A$258,$AA141)&amp;"")=0,"",INDEX(Jobs!$A$9:$A$258,$AA141)))</f>
        <v/>
      </c>
      <c r="B141" s="39"/>
      <c r="C141" s="38" t="str">
        <f>IF($AA141=0,"",IF(LEN(INDEX(Jobs!$B$9:$B$258,$AA141)&amp;"")=0,"",INDEX(Jobs!$B$9:$B$258,$AA141)))</f>
        <v/>
      </c>
      <c r="D141" s="39"/>
      <c r="E141" s="39"/>
      <c r="F141" s="39"/>
      <c r="G141" s="39"/>
      <c r="H141" s="39"/>
      <c r="I141" s="39"/>
      <c r="J141" s="39"/>
      <c r="K141" s="39"/>
      <c r="L141" s="38" t="str">
        <f>IF($AA141=0,"",IF(LEN(INDEX(Jobs!$D$9:$D$258,$AA141)&amp;"")=0,"",INDEX(Jobs!$D$9:$D$258,$AA141)))</f>
        <v/>
      </c>
      <c r="M141" s="39"/>
      <c r="N141" s="39"/>
      <c r="O141" s="42" t="str">
        <f>IF($AA141=0,"",IF(LEN(INDEX(Jobs!$G$9:$G$258,$AA141)&amp;"")=0,"",INDEX(Jobs!$G$9:$G$258,$AA141)))</f>
        <v/>
      </c>
      <c r="P141" s="39"/>
      <c r="Q141" s="39"/>
      <c r="R141" s="42" t="str">
        <f>IF($AA141=0,"",IF(LEN(INDEX(Jobs!$H$9:$H$258,$AA141)&amp;"")=0,"",INDEX(Jobs!$H$9:$H$258,$AA141)))</f>
        <v/>
      </c>
      <c r="S141" s="39"/>
      <c r="T141" s="39"/>
      <c r="U141" s="43" t="str">
        <f>IF($AA141=0,"",HYPERLINK("#'"&amp;INDEX(Jobs!$P$9:$P$258,$AA141)&amp;"'!A1","Open job"))</f>
        <v/>
      </c>
      <c r="V141" s="39"/>
      <c r="AA141">
        <f>IFERROR(MATCH(124,Jobs!$Q$9:$Q$258,0),0)</f>
        <v>0</v>
      </c>
    </row>
    <row r="142" spans="1:27" ht="36" hidden="1" customHeight="1" x14ac:dyDescent="0.35">
      <c r="A142" s="40" t="str">
        <f>IF($AA142=0,"",IF(LEN(INDEX(Jobs!$A$9:$A$258,$AA142)&amp;"")=0,"",INDEX(Jobs!$A$9:$A$258,$AA142)))</f>
        <v/>
      </c>
      <c r="B142" s="39"/>
      <c r="C142" s="40" t="str">
        <f>IF($AA142=0,"",IF(LEN(INDEX(Jobs!$B$9:$B$258,$AA142)&amp;"")=0,"",INDEX(Jobs!$B$9:$B$258,$AA142)))</f>
        <v/>
      </c>
      <c r="D142" s="39"/>
      <c r="E142" s="39"/>
      <c r="F142" s="39"/>
      <c r="G142" s="39"/>
      <c r="H142" s="39"/>
      <c r="I142" s="39"/>
      <c r="J142" s="39"/>
      <c r="K142" s="39"/>
      <c r="L142" s="40" t="str">
        <f>IF($AA142=0,"",IF(LEN(INDEX(Jobs!$D$9:$D$258,$AA142)&amp;"")=0,"",INDEX(Jobs!$D$9:$D$258,$AA142)))</f>
        <v/>
      </c>
      <c r="M142" s="39"/>
      <c r="N142" s="39"/>
      <c r="O142" s="41" t="str">
        <f>IF($AA142=0,"",IF(LEN(INDEX(Jobs!$G$9:$G$258,$AA142)&amp;"")=0,"",INDEX(Jobs!$G$9:$G$258,$AA142)))</f>
        <v/>
      </c>
      <c r="P142" s="39"/>
      <c r="Q142" s="39"/>
      <c r="R142" s="41" t="str">
        <f>IF($AA142=0,"",IF(LEN(INDEX(Jobs!$H$9:$H$258,$AA142)&amp;"")=0,"",INDEX(Jobs!$H$9:$H$258,$AA142)))</f>
        <v/>
      </c>
      <c r="S142" s="39"/>
      <c r="T142" s="39"/>
      <c r="U142" s="44" t="str">
        <f>IF($AA142=0,"",HYPERLINK("#'"&amp;INDEX(Jobs!$P$9:$P$258,$AA142)&amp;"'!A1","Open job"))</f>
        <v/>
      </c>
      <c r="V142" s="39"/>
      <c r="AA142">
        <f>IFERROR(MATCH(125,Jobs!$Q$9:$Q$258,0),0)</f>
        <v>0</v>
      </c>
    </row>
    <row r="143" spans="1:27" ht="36" hidden="1" customHeight="1" x14ac:dyDescent="0.35">
      <c r="A143" s="38" t="str">
        <f>IF($AA143=0,"",IF(LEN(INDEX(Jobs!$A$9:$A$258,$AA143)&amp;"")=0,"",INDEX(Jobs!$A$9:$A$258,$AA143)))</f>
        <v/>
      </c>
      <c r="B143" s="39"/>
      <c r="C143" s="38" t="str">
        <f>IF($AA143=0,"",IF(LEN(INDEX(Jobs!$B$9:$B$258,$AA143)&amp;"")=0,"",INDEX(Jobs!$B$9:$B$258,$AA143)))</f>
        <v/>
      </c>
      <c r="D143" s="39"/>
      <c r="E143" s="39"/>
      <c r="F143" s="39"/>
      <c r="G143" s="39"/>
      <c r="H143" s="39"/>
      <c r="I143" s="39"/>
      <c r="J143" s="39"/>
      <c r="K143" s="39"/>
      <c r="L143" s="38" t="str">
        <f>IF($AA143=0,"",IF(LEN(INDEX(Jobs!$D$9:$D$258,$AA143)&amp;"")=0,"",INDEX(Jobs!$D$9:$D$258,$AA143)))</f>
        <v/>
      </c>
      <c r="M143" s="39"/>
      <c r="N143" s="39"/>
      <c r="O143" s="42" t="str">
        <f>IF($AA143=0,"",IF(LEN(INDEX(Jobs!$G$9:$G$258,$AA143)&amp;"")=0,"",INDEX(Jobs!$G$9:$G$258,$AA143)))</f>
        <v/>
      </c>
      <c r="P143" s="39"/>
      <c r="Q143" s="39"/>
      <c r="R143" s="42" t="str">
        <f>IF($AA143=0,"",IF(LEN(INDEX(Jobs!$H$9:$H$258,$AA143)&amp;"")=0,"",INDEX(Jobs!$H$9:$H$258,$AA143)))</f>
        <v/>
      </c>
      <c r="S143" s="39"/>
      <c r="T143" s="39"/>
      <c r="U143" s="43" t="str">
        <f>IF($AA143=0,"",HYPERLINK("#'"&amp;INDEX(Jobs!$P$9:$P$258,$AA143)&amp;"'!A1","Open job"))</f>
        <v/>
      </c>
      <c r="V143" s="39"/>
      <c r="AA143">
        <f>IFERROR(MATCH(126,Jobs!$Q$9:$Q$258,0),0)</f>
        <v>0</v>
      </c>
    </row>
    <row r="144" spans="1:27" ht="36" hidden="1" customHeight="1" x14ac:dyDescent="0.35">
      <c r="A144" s="40" t="str">
        <f>IF($AA144=0,"",IF(LEN(INDEX(Jobs!$A$9:$A$258,$AA144)&amp;"")=0,"",INDEX(Jobs!$A$9:$A$258,$AA144)))</f>
        <v/>
      </c>
      <c r="B144" s="39"/>
      <c r="C144" s="40" t="str">
        <f>IF($AA144=0,"",IF(LEN(INDEX(Jobs!$B$9:$B$258,$AA144)&amp;"")=0,"",INDEX(Jobs!$B$9:$B$258,$AA144)))</f>
        <v/>
      </c>
      <c r="D144" s="39"/>
      <c r="E144" s="39"/>
      <c r="F144" s="39"/>
      <c r="G144" s="39"/>
      <c r="H144" s="39"/>
      <c r="I144" s="39"/>
      <c r="J144" s="39"/>
      <c r="K144" s="39"/>
      <c r="L144" s="40" t="str">
        <f>IF($AA144=0,"",IF(LEN(INDEX(Jobs!$D$9:$D$258,$AA144)&amp;"")=0,"",INDEX(Jobs!$D$9:$D$258,$AA144)))</f>
        <v/>
      </c>
      <c r="M144" s="39"/>
      <c r="N144" s="39"/>
      <c r="O144" s="41" t="str">
        <f>IF($AA144=0,"",IF(LEN(INDEX(Jobs!$G$9:$G$258,$AA144)&amp;"")=0,"",INDEX(Jobs!$G$9:$G$258,$AA144)))</f>
        <v/>
      </c>
      <c r="P144" s="39"/>
      <c r="Q144" s="39"/>
      <c r="R144" s="41" t="str">
        <f>IF($AA144=0,"",IF(LEN(INDEX(Jobs!$H$9:$H$258,$AA144)&amp;"")=0,"",INDEX(Jobs!$H$9:$H$258,$AA144)))</f>
        <v/>
      </c>
      <c r="S144" s="39"/>
      <c r="T144" s="39"/>
      <c r="U144" s="44" t="str">
        <f>IF($AA144=0,"",HYPERLINK("#'"&amp;INDEX(Jobs!$P$9:$P$258,$AA144)&amp;"'!A1","Open job"))</f>
        <v/>
      </c>
      <c r="V144" s="39"/>
      <c r="AA144">
        <f>IFERROR(MATCH(127,Jobs!$Q$9:$Q$258,0),0)</f>
        <v>0</v>
      </c>
    </row>
    <row r="145" spans="1:27" ht="36" hidden="1" customHeight="1" x14ac:dyDescent="0.35">
      <c r="A145" s="38" t="str">
        <f>IF($AA145=0,"",IF(LEN(INDEX(Jobs!$A$9:$A$258,$AA145)&amp;"")=0,"",INDEX(Jobs!$A$9:$A$258,$AA145)))</f>
        <v/>
      </c>
      <c r="B145" s="39"/>
      <c r="C145" s="38" t="str">
        <f>IF($AA145=0,"",IF(LEN(INDEX(Jobs!$B$9:$B$258,$AA145)&amp;"")=0,"",INDEX(Jobs!$B$9:$B$258,$AA145)))</f>
        <v/>
      </c>
      <c r="D145" s="39"/>
      <c r="E145" s="39"/>
      <c r="F145" s="39"/>
      <c r="G145" s="39"/>
      <c r="H145" s="39"/>
      <c r="I145" s="39"/>
      <c r="J145" s="39"/>
      <c r="K145" s="39"/>
      <c r="L145" s="38" t="str">
        <f>IF($AA145=0,"",IF(LEN(INDEX(Jobs!$D$9:$D$258,$AA145)&amp;"")=0,"",INDEX(Jobs!$D$9:$D$258,$AA145)))</f>
        <v/>
      </c>
      <c r="M145" s="39"/>
      <c r="N145" s="39"/>
      <c r="O145" s="42" t="str">
        <f>IF($AA145=0,"",IF(LEN(INDEX(Jobs!$G$9:$G$258,$AA145)&amp;"")=0,"",INDEX(Jobs!$G$9:$G$258,$AA145)))</f>
        <v/>
      </c>
      <c r="P145" s="39"/>
      <c r="Q145" s="39"/>
      <c r="R145" s="42" t="str">
        <f>IF($AA145=0,"",IF(LEN(INDEX(Jobs!$H$9:$H$258,$AA145)&amp;"")=0,"",INDEX(Jobs!$H$9:$H$258,$AA145)))</f>
        <v/>
      </c>
      <c r="S145" s="39"/>
      <c r="T145" s="39"/>
      <c r="U145" s="43" t="str">
        <f>IF($AA145=0,"",HYPERLINK("#'"&amp;INDEX(Jobs!$P$9:$P$258,$AA145)&amp;"'!A1","Open job"))</f>
        <v/>
      </c>
      <c r="V145" s="39"/>
      <c r="AA145">
        <f>IFERROR(MATCH(128,Jobs!$Q$9:$Q$258,0),0)</f>
        <v>0</v>
      </c>
    </row>
    <row r="146" spans="1:27" ht="36" hidden="1" customHeight="1" x14ac:dyDescent="0.35">
      <c r="A146" s="40" t="str">
        <f>IF($AA146=0,"",IF(LEN(INDEX(Jobs!$A$9:$A$258,$AA146)&amp;"")=0,"",INDEX(Jobs!$A$9:$A$258,$AA146)))</f>
        <v/>
      </c>
      <c r="B146" s="39"/>
      <c r="C146" s="40" t="str">
        <f>IF($AA146=0,"",IF(LEN(INDEX(Jobs!$B$9:$B$258,$AA146)&amp;"")=0,"",INDEX(Jobs!$B$9:$B$258,$AA146)))</f>
        <v/>
      </c>
      <c r="D146" s="39"/>
      <c r="E146" s="39"/>
      <c r="F146" s="39"/>
      <c r="G146" s="39"/>
      <c r="H146" s="39"/>
      <c r="I146" s="39"/>
      <c r="J146" s="39"/>
      <c r="K146" s="39"/>
      <c r="L146" s="40" t="str">
        <f>IF($AA146=0,"",IF(LEN(INDEX(Jobs!$D$9:$D$258,$AA146)&amp;"")=0,"",INDEX(Jobs!$D$9:$D$258,$AA146)))</f>
        <v/>
      </c>
      <c r="M146" s="39"/>
      <c r="N146" s="39"/>
      <c r="O146" s="41" t="str">
        <f>IF($AA146=0,"",IF(LEN(INDEX(Jobs!$G$9:$G$258,$AA146)&amp;"")=0,"",INDEX(Jobs!$G$9:$G$258,$AA146)))</f>
        <v/>
      </c>
      <c r="P146" s="39"/>
      <c r="Q146" s="39"/>
      <c r="R146" s="41" t="str">
        <f>IF($AA146=0,"",IF(LEN(INDEX(Jobs!$H$9:$H$258,$AA146)&amp;"")=0,"",INDEX(Jobs!$H$9:$H$258,$AA146)))</f>
        <v/>
      </c>
      <c r="S146" s="39"/>
      <c r="T146" s="39"/>
      <c r="U146" s="44" t="str">
        <f>IF($AA146=0,"",HYPERLINK("#'"&amp;INDEX(Jobs!$P$9:$P$258,$AA146)&amp;"'!A1","Open job"))</f>
        <v/>
      </c>
      <c r="V146" s="39"/>
      <c r="AA146">
        <f>IFERROR(MATCH(129,Jobs!$Q$9:$Q$258,0),0)</f>
        <v>0</v>
      </c>
    </row>
    <row r="147" spans="1:27" ht="36" hidden="1" customHeight="1" x14ac:dyDescent="0.35">
      <c r="A147" s="38" t="str">
        <f>IF($AA147=0,"",IF(LEN(INDEX(Jobs!$A$9:$A$258,$AA147)&amp;"")=0,"",INDEX(Jobs!$A$9:$A$258,$AA147)))</f>
        <v/>
      </c>
      <c r="B147" s="39"/>
      <c r="C147" s="38" t="str">
        <f>IF($AA147=0,"",IF(LEN(INDEX(Jobs!$B$9:$B$258,$AA147)&amp;"")=0,"",INDEX(Jobs!$B$9:$B$258,$AA147)))</f>
        <v/>
      </c>
      <c r="D147" s="39"/>
      <c r="E147" s="39"/>
      <c r="F147" s="39"/>
      <c r="G147" s="39"/>
      <c r="H147" s="39"/>
      <c r="I147" s="39"/>
      <c r="J147" s="39"/>
      <c r="K147" s="39"/>
      <c r="L147" s="38" t="str">
        <f>IF($AA147=0,"",IF(LEN(INDEX(Jobs!$D$9:$D$258,$AA147)&amp;"")=0,"",INDEX(Jobs!$D$9:$D$258,$AA147)))</f>
        <v/>
      </c>
      <c r="M147" s="39"/>
      <c r="N147" s="39"/>
      <c r="O147" s="42" t="str">
        <f>IF($AA147=0,"",IF(LEN(INDEX(Jobs!$G$9:$G$258,$AA147)&amp;"")=0,"",INDEX(Jobs!$G$9:$G$258,$AA147)))</f>
        <v/>
      </c>
      <c r="P147" s="39"/>
      <c r="Q147" s="39"/>
      <c r="R147" s="42" t="str">
        <f>IF($AA147=0,"",IF(LEN(INDEX(Jobs!$H$9:$H$258,$AA147)&amp;"")=0,"",INDEX(Jobs!$H$9:$H$258,$AA147)))</f>
        <v/>
      </c>
      <c r="S147" s="39"/>
      <c r="T147" s="39"/>
      <c r="U147" s="43" t="str">
        <f>IF($AA147=0,"",HYPERLINK("#'"&amp;INDEX(Jobs!$P$9:$P$258,$AA147)&amp;"'!A1","Open job"))</f>
        <v/>
      </c>
      <c r="V147" s="39"/>
      <c r="AA147">
        <f>IFERROR(MATCH(130,Jobs!$Q$9:$Q$258,0),0)</f>
        <v>0</v>
      </c>
    </row>
    <row r="148" spans="1:27" ht="36" hidden="1" customHeight="1" x14ac:dyDescent="0.35">
      <c r="A148" s="40" t="str">
        <f>IF($AA148=0,"",IF(LEN(INDEX(Jobs!$A$9:$A$258,$AA148)&amp;"")=0,"",INDEX(Jobs!$A$9:$A$258,$AA148)))</f>
        <v/>
      </c>
      <c r="B148" s="39"/>
      <c r="C148" s="40" t="str">
        <f>IF($AA148=0,"",IF(LEN(INDEX(Jobs!$B$9:$B$258,$AA148)&amp;"")=0,"",INDEX(Jobs!$B$9:$B$258,$AA148)))</f>
        <v/>
      </c>
      <c r="D148" s="39"/>
      <c r="E148" s="39"/>
      <c r="F148" s="39"/>
      <c r="G148" s="39"/>
      <c r="H148" s="39"/>
      <c r="I148" s="39"/>
      <c r="J148" s="39"/>
      <c r="K148" s="39"/>
      <c r="L148" s="40" t="str">
        <f>IF($AA148=0,"",IF(LEN(INDEX(Jobs!$D$9:$D$258,$AA148)&amp;"")=0,"",INDEX(Jobs!$D$9:$D$258,$AA148)))</f>
        <v/>
      </c>
      <c r="M148" s="39"/>
      <c r="N148" s="39"/>
      <c r="O148" s="41" t="str">
        <f>IF($AA148=0,"",IF(LEN(INDEX(Jobs!$G$9:$G$258,$AA148)&amp;"")=0,"",INDEX(Jobs!$G$9:$G$258,$AA148)))</f>
        <v/>
      </c>
      <c r="P148" s="39"/>
      <c r="Q148" s="39"/>
      <c r="R148" s="41" t="str">
        <f>IF($AA148=0,"",IF(LEN(INDEX(Jobs!$H$9:$H$258,$AA148)&amp;"")=0,"",INDEX(Jobs!$H$9:$H$258,$AA148)))</f>
        <v/>
      </c>
      <c r="S148" s="39"/>
      <c r="T148" s="39"/>
      <c r="U148" s="44" t="str">
        <f>IF($AA148=0,"",HYPERLINK("#'"&amp;INDEX(Jobs!$P$9:$P$258,$AA148)&amp;"'!A1","Open job"))</f>
        <v/>
      </c>
      <c r="V148" s="39"/>
      <c r="AA148">
        <f>IFERROR(MATCH(131,Jobs!$Q$9:$Q$258,0),0)</f>
        <v>0</v>
      </c>
    </row>
    <row r="149" spans="1:27" ht="36" hidden="1" customHeight="1" x14ac:dyDescent="0.35">
      <c r="A149" s="38" t="str">
        <f>IF($AA149=0,"",IF(LEN(INDEX(Jobs!$A$9:$A$258,$AA149)&amp;"")=0,"",INDEX(Jobs!$A$9:$A$258,$AA149)))</f>
        <v/>
      </c>
      <c r="B149" s="39"/>
      <c r="C149" s="38" t="str">
        <f>IF($AA149=0,"",IF(LEN(INDEX(Jobs!$B$9:$B$258,$AA149)&amp;"")=0,"",INDEX(Jobs!$B$9:$B$258,$AA149)))</f>
        <v/>
      </c>
      <c r="D149" s="39"/>
      <c r="E149" s="39"/>
      <c r="F149" s="39"/>
      <c r="G149" s="39"/>
      <c r="H149" s="39"/>
      <c r="I149" s="39"/>
      <c r="J149" s="39"/>
      <c r="K149" s="39"/>
      <c r="L149" s="38" t="str">
        <f>IF($AA149=0,"",IF(LEN(INDEX(Jobs!$D$9:$D$258,$AA149)&amp;"")=0,"",INDEX(Jobs!$D$9:$D$258,$AA149)))</f>
        <v/>
      </c>
      <c r="M149" s="39"/>
      <c r="N149" s="39"/>
      <c r="O149" s="42" t="str">
        <f>IF($AA149=0,"",IF(LEN(INDEX(Jobs!$G$9:$G$258,$AA149)&amp;"")=0,"",INDEX(Jobs!$G$9:$G$258,$AA149)))</f>
        <v/>
      </c>
      <c r="P149" s="39"/>
      <c r="Q149" s="39"/>
      <c r="R149" s="42" t="str">
        <f>IF($AA149=0,"",IF(LEN(INDEX(Jobs!$H$9:$H$258,$AA149)&amp;"")=0,"",INDEX(Jobs!$H$9:$H$258,$AA149)))</f>
        <v/>
      </c>
      <c r="S149" s="39"/>
      <c r="T149" s="39"/>
      <c r="U149" s="43" t="str">
        <f>IF($AA149=0,"",HYPERLINK("#'"&amp;INDEX(Jobs!$P$9:$P$258,$AA149)&amp;"'!A1","Open job"))</f>
        <v/>
      </c>
      <c r="V149" s="39"/>
      <c r="AA149">
        <f>IFERROR(MATCH(132,Jobs!$Q$9:$Q$258,0),0)</f>
        <v>0</v>
      </c>
    </row>
    <row r="150" spans="1:27" ht="36" hidden="1" customHeight="1" x14ac:dyDescent="0.35">
      <c r="A150" s="40" t="str">
        <f>IF($AA150=0,"",IF(LEN(INDEX(Jobs!$A$9:$A$258,$AA150)&amp;"")=0,"",INDEX(Jobs!$A$9:$A$258,$AA150)))</f>
        <v/>
      </c>
      <c r="B150" s="39"/>
      <c r="C150" s="40" t="str">
        <f>IF($AA150=0,"",IF(LEN(INDEX(Jobs!$B$9:$B$258,$AA150)&amp;"")=0,"",INDEX(Jobs!$B$9:$B$258,$AA150)))</f>
        <v/>
      </c>
      <c r="D150" s="39"/>
      <c r="E150" s="39"/>
      <c r="F150" s="39"/>
      <c r="G150" s="39"/>
      <c r="H150" s="39"/>
      <c r="I150" s="39"/>
      <c r="J150" s="39"/>
      <c r="K150" s="39"/>
      <c r="L150" s="40" t="str">
        <f>IF($AA150=0,"",IF(LEN(INDEX(Jobs!$D$9:$D$258,$AA150)&amp;"")=0,"",INDEX(Jobs!$D$9:$D$258,$AA150)))</f>
        <v/>
      </c>
      <c r="M150" s="39"/>
      <c r="N150" s="39"/>
      <c r="O150" s="41" t="str">
        <f>IF($AA150=0,"",IF(LEN(INDEX(Jobs!$G$9:$G$258,$AA150)&amp;"")=0,"",INDEX(Jobs!$G$9:$G$258,$AA150)))</f>
        <v/>
      </c>
      <c r="P150" s="39"/>
      <c r="Q150" s="39"/>
      <c r="R150" s="41" t="str">
        <f>IF($AA150=0,"",IF(LEN(INDEX(Jobs!$H$9:$H$258,$AA150)&amp;"")=0,"",INDEX(Jobs!$H$9:$H$258,$AA150)))</f>
        <v/>
      </c>
      <c r="S150" s="39"/>
      <c r="T150" s="39"/>
      <c r="U150" s="44" t="str">
        <f>IF($AA150=0,"",HYPERLINK("#'"&amp;INDEX(Jobs!$P$9:$P$258,$AA150)&amp;"'!A1","Open job"))</f>
        <v/>
      </c>
      <c r="V150" s="39"/>
      <c r="AA150">
        <f>IFERROR(MATCH(133,Jobs!$Q$9:$Q$258,0),0)</f>
        <v>0</v>
      </c>
    </row>
    <row r="151" spans="1:27" ht="36" hidden="1" customHeight="1" x14ac:dyDescent="0.35">
      <c r="A151" s="38" t="str">
        <f>IF($AA151=0,"",IF(LEN(INDEX(Jobs!$A$9:$A$258,$AA151)&amp;"")=0,"",INDEX(Jobs!$A$9:$A$258,$AA151)))</f>
        <v/>
      </c>
      <c r="B151" s="39"/>
      <c r="C151" s="38" t="str">
        <f>IF($AA151=0,"",IF(LEN(INDEX(Jobs!$B$9:$B$258,$AA151)&amp;"")=0,"",INDEX(Jobs!$B$9:$B$258,$AA151)))</f>
        <v/>
      </c>
      <c r="D151" s="39"/>
      <c r="E151" s="39"/>
      <c r="F151" s="39"/>
      <c r="G151" s="39"/>
      <c r="H151" s="39"/>
      <c r="I151" s="39"/>
      <c r="J151" s="39"/>
      <c r="K151" s="39"/>
      <c r="L151" s="38" t="str">
        <f>IF($AA151=0,"",IF(LEN(INDEX(Jobs!$D$9:$D$258,$AA151)&amp;"")=0,"",INDEX(Jobs!$D$9:$D$258,$AA151)))</f>
        <v/>
      </c>
      <c r="M151" s="39"/>
      <c r="N151" s="39"/>
      <c r="O151" s="42" t="str">
        <f>IF($AA151=0,"",IF(LEN(INDEX(Jobs!$G$9:$G$258,$AA151)&amp;"")=0,"",INDEX(Jobs!$G$9:$G$258,$AA151)))</f>
        <v/>
      </c>
      <c r="P151" s="39"/>
      <c r="Q151" s="39"/>
      <c r="R151" s="42" t="str">
        <f>IF($AA151=0,"",IF(LEN(INDEX(Jobs!$H$9:$H$258,$AA151)&amp;"")=0,"",INDEX(Jobs!$H$9:$H$258,$AA151)))</f>
        <v/>
      </c>
      <c r="S151" s="39"/>
      <c r="T151" s="39"/>
      <c r="U151" s="43" t="str">
        <f>IF($AA151=0,"",HYPERLINK("#'"&amp;INDEX(Jobs!$P$9:$P$258,$AA151)&amp;"'!A1","Open job"))</f>
        <v/>
      </c>
      <c r="V151" s="39"/>
      <c r="AA151">
        <f>IFERROR(MATCH(134,Jobs!$Q$9:$Q$258,0),0)</f>
        <v>0</v>
      </c>
    </row>
    <row r="152" spans="1:27" ht="36" hidden="1" customHeight="1" x14ac:dyDescent="0.35">
      <c r="A152" s="40" t="str">
        <f>IF($AA152=0,"",IF(LEN(INDEX(Jobs!$A$9:$A$258,$AA152)&amp;"")=0,"",INDEX(Jobs!$A$9:$A$258,$AA152)))</f>
        <v/>
      </c>
      <c r="B152" s="39"/>
      <c r="C152" s="40" t="str">
        <f>IF($AA152=0,"",IF(LEN(INDEX(Jobs!$B$9:$B$258,$AA152)&amp;"")=0,"",INDEX(Jobs!$B$9:$B$258,$AA152)))</f>
        <v/>
      </c>
      <c r="D152" s="39"/>
      <c r="E152" s="39"/>
      <c r="F152" s="39"/>
      <c r="G152" s="39"/>
      <c r="H152" s="39"/>
      <c r="I152" s="39"/>
      <c r="J152" s="39"/>
      <c r="K152" s="39"/>
      <c r="L152" s="40" t="str">
        <f>IF($AA152=0,"",IF(LEN(INDEX(Jobs!$D$9:$D$258,$AA152)&amp;"")=0,"",INDEX(Jobs!$D$9:$D$258,$AA152)))</f>
        <v/>
      </c>
      <c r="M152" s="39"/>
      <c r="N152" s="39"/>
      <c r="O152" s="41" t="str">
        <f>IF($AA152=0,"",IF(LEN(INDEX(Jobs!$G$9:$G$258,$AA152)&amp;"")=0,"",INDEX(Jobs!$G$9:$G$258,$AA152)))</f>
        <v/>
      </c>
      <c r="P152" s="39"/>
      <c r="Q152" s="39"/>
      <c r="R152" s="41" t="str">
        <f>IF($AA152=0,"",IF(LEN(INDEX(Jobs!$H$9:$H$258,$AA152)&amp;"")=0,"",INDEX(Jobs!$H$9:$H$258,$AA152)))</f>
        <v/>
      </c>
      <c r="S152" s="39"/>
      <c r="T152" s="39"/>
      <c r="U152" s="44" t="str">
        <f>IF($AA152=0,"",HYPERLINK("#'"&amp;INDEX(Jobs!$P$9:$P$258,$AA152)&amp;"'!A1","Open job"))</f>
        <v/>
      </c>
      <c r="V152" s="39"/>
      <c r="AA152">
        <f>IFERROR(MATCH(135,Jobs!$Q$9:$Q$258,0),0)</f>
        <v>0</v>
      </c>
    </row>
    <row r="153" spans="1:27" ht="36" hidden="1" customHeight="1" x14ac:dyDescent="0.35">
      <c r="A153" s="38" t="str">
        <f>IF($AA153=0,"",IF(LEN(INDEX(Jobs!$A$9:$A$258,$AA153)&amp;"")=0,"",INDEX(Jobs!$A$9:$A$258,$AA153)))</f>
        <v/>
      </c>
      <c r="B153" s="39"/>
      <c r="C153" s="38" t="str">
        <f>IF($AA153=0,"",IF(LEN(INDEX(Jobs!$B$9:$B$258,$AA153)&amp;"")=0,"",INDEX(Jobs!$B$9:$B$258,$AA153)))</f>
        <v/>
      </c>
      <c r="D153" s="39"/>
      <c r="E153" s="39"/>
      <c r="F153" s="39"/>
      <c r="G153" s="39"/>
      <c r="H153" s="39"/>
      <c r="I153" s="39"/>
      <c r="J153" s="39"/>
      <c r="K153" s="39"/>
      <c r="L153" s="38" t="str">
        <f>IF($AA153=0,"",IF(LEN(INDEX(Jobs!$D$9:$D$258,$AA153)&amp;"")=0,"",INDEX(Jobs!$D$9:$D$258,$AA153)))</f>
        <v/>
      </c>
      <c r="M153" s="39"/>
      <c r="N153" s="39"/>
      <c r="O153" s="42" t="str">
        <f>IF($AA153=0,"",IF(LEN(INDEX(Jobs!$G$9:$G$258,$AA153)&amp;"")=0,"",INDEX(Jobs!$G$9:$G$258,$AA153)))</f>
        <v/>
      </c>
      <c r="P153" s="39"/>
      <c r="Q153" s="39"/>
      <c r="R153" s="42" t="str">
        <f>IF($AA153=0,"",IF(LEN(INDEX(Jobs!$H$9:$H$258,$AA153)&amp;"")=0,"",INDEX(Jobs!$H$9:$H$258,$AA153)))</f>
        <v/>
      </c>
      <c r="S153" s="39"/>
      <c r="T153" s="39"/>
      <c r="U153" s="43" t="str">
        <f>IF($AA153=0,"",HYPERLINK("#'"&amp;INDEX(Jobs!$P$9:$P$258,$AA153)&amp;"'!A1","Open job"))</f>
        <v/>
      </c>
      <c r="V153" s="39"/>
      <c r="AA153">
        <f>IFERROR(MATCH(136,Jobs!$Q$9:$Q$258,0),0)</f>
        <v>0</v>
      </c>
    </row>
    <row r="154" spans="1:27" ht="36" hidden="1" customHeight="1" x14ac:dyDescent="0.35">
      <c r="A154" s="40" t="str">
        <f>IF($AA154=0,"",IF(LEN(INDEX(Jobs!$A$9:$A$258,$AA154)&amp;"")=0,"",INDEX(Jobs!$A$9:$A$258,$AA154)))</f>
        <v/>
      </c>
      <c r="B154" s="39"/>
      <c r="C154" s="40" t="str">
        <f>IF($AA154=0,"",IF(LEN(INDEX(Jobs!$B$9:$B$258,$AA154)&amp;"")=0,"",INDEX(Jobs!$B$9:$B$258,$AA154)))</f>
        <v/>
      </c>
      <c r="D154" s="39"/>
      <c r="E154" s="39"/>
      <c r="F154" s="39"/>
      <c r="G154" s="39"/>
      <c r="H154" s="39"/>
      <c r="I154" s="39"/>
      <c r="J154" s="39"/>
      <c r="K154" s="39"/>
      <c r="L154" s="40" t="str">
        <f>IF($AA154=0,"",IF(LEN(INDEX(Jobs!$D$9:$D$258,$AA154)&amp;"")=0,"",INDEX(Jobs!$D$9:$D$258,$AA154)))</f>
        <v/>
      </c>
      <c r="M154" s="39"/>
      <c r="N154" s="39"/>
      <c r="O154" s="41" t="str">
        <f>IF($AA154=0,"",IF(LEN(INDEX(Jobs!$G$9:$G$258,$AA154)&amp;"")=0,"",INDEX(Jobs!$G$9:$G$258,$AA154)))</f>
        <v/>
      </c>
      <c r="P154" s="39"/>
      <c r="Q154" s="39"/>
      <c r="R154" s="41" t="str">
        <f>IF($AA154=0,"",IF(LEN(INDEX(Jobs!$H$9:$H$258,$AA154)&amp;"")=0,"",INDEX(Jobs!$H$9:$H$258,$AA154)))</f>
        <v/>
      </c>
      <c r="S154" s="39"/>
      <c r="T154" s="39"/>
      <c r="U154" s="44" t="str">
        <f>IF($AA154=0,"",HYPERLINK("#'"&amp;INDEX(Jobs!$P$9:$P$258,$AA154)&amp;"'!A1","Open job"))</f>
        <v/>
      </c>
      <c r="V154" s="39"/>
      <c r="AA154">
        <f>IFERROR(MATCH(137,Jobs!$Q$9:$Q$258,0),0)</f>
        <v>0</v>
      </c>
    </row>
    <row r="155" spans="1:27" ht="36" hidden="1" customHeight="1" x14ac:dyDescent="0.35">
      <c r="A155" s="38" t="str">
        <f>IF($AA155=0,"",IF(LEN(INDEX(Jobs!$A$9:$A$258,$AA155)&amp;"")=0,"",INDEX(Jobs!$A$9:$A$258,$AA155)))</f>
        <v/>
      </c>
      <c r="B155" s="39"/>
      <c r="C155" s="38" t="str">
        <f>IF($AA155=0,"",IF(LEN(INDEX(Jobs!$B$9:$B$258,$AA155)&amp;"")=0,"",INDEX(Jobs!$B$9:$B$258,$AA155)))</f>
        <v/>
      </c>
      <c r="D155" s="39"/>
      <c r="E155" s="39"/>
      <c r="F155" s="39"/>
      <c r="G155" s="39"/>
      <c r="H155" s="39"/>
      <c r="I155" s="39"/>
      <c r="J155" s="39"/>
      <c r="K155" s="39"/>
      <c r="L155" s="38" t="str">
        <f>IF($AA155=0,"",IF(LEN(INDEX(Jobs!$D$9:$D$258,$AA155)&amp;"")=0,"",INDEX(Jobs!$D$9:$D$258,$AA155)))</f>
        <v/>
      </c>
      <c r="M155" s="39"/>
      <c r="N155" s="39"/>
      <c r="O155" s="42" t="str">
        <f>IF($AA155=0,"",IF(LEN(INDEX(Jobs!$G$9:$G$258,$AA155)&amp;"")=0,"",INDEX(Jobs!$G$9:$G$258,$AA155)))</f>
        <v/>
      </c>
      <c r="P155" s="39"/>
      <c r="Q155" s="39"/>
      <c r="R155" s="42" t="str">
        <f>IF($AA155=0,"",IF(LEN(INDEX(Jobs!$H$9:$H$258,$AA155)&amp;"")=0,"",INDEX(Jobs!$H$9:$H$258,$AA155)))</f>
        <v/>
      </c>
      <c r="S155" s="39"/>
      <c r="T155" s="39"/>
      <c r="U155" s="43" t="str">
        <f>IF($AA155=0,"",HYPERLINK("#'"&amp;INDEX(Jobs!$P$9:$P$258,$AA155)&amp;"'!A1","Open job"))</f>
        <v/>
      </c>
      <c r="V155" s="39"/>
      <c r="AA155">
        <f>IFERROR(MATCH(138,Jobs!$Q$9:$Q$258,0),0)</f>
        <v>0</v>
      </c>
    </row>
    <row r="156" spans="1:27" ht="36" hidden="1" customHeight="1" x14ac:dyDescent="0.35">
      <c r="A156" s="40" t="str">
        <f>IF($AA156=0,"",IF(LEN(INDEX(Jobs!$A$9:$A$258,$AA156)&amp;"")=0,"",INDEX(Jobs!$A$9:$A$258,$AA156)))</f>
        <v/>
      </c>
      <c r="B156" s="39"/>
      <c r="C156" s="40" t="str">
        <f>IF($AA156=0,"",IF(LEN(INDEX(Jobs!$B$9:$B$258,$AA156)&amp;"")=0,"",INDEX(Jobs!$B$9:$B$258,$AA156)))</f>
        <v/>
      </c>
      <c r="D156" s="39"/>
      <c r="E156" s="39"/>
      <c r="F156" s="39"/>
      <c r="G156" s="39"/>
      <c r="H156" s="39"/>
      <c r="I156" s="39"/>
      <c r="J156" s="39"/>
      <c r="K156" s="39"/>
      <c r="L156" s="40" t="str">
        <f>IF($AA156=0,"",IF(LEN(INDEX(Jobs!$D$9:$D$258,$AA156)&amp;"")=0,"",INDEX(Jobs!$D$9:$D$258,$AA156)))</f>
        <v/>
      </c>
      <c r="M156" s="39"/>
      <c r="N156" s="39"/>
      <c r="O156" s="41" t="str">
        <f>IF($AA156=0,"",IF(LEN(INDEX(Jobs!$G$9:$G$258,$AA156)&amp;"")=0,"",INDEX(Jobs!$G$9:$G$258,$AA156)))</f>
        <v/>
      </c>
      <c r="P156" s="39"/>
      <c r="Q156" s="39"/>
      <c r="R156" s="41" t="str">
        <f>IF($AA156=0,"",IF(LEN(INDEX(Jobs!$H$9:$H$258,$AA156)&amp;"")=0,"",INDEX(Jobs!$H$9:$H$258,$AA156)))</f>
        <v/>
      </c>
      <c r="S156" s="39"/>
      <c r="T156" s="39"/>
      <c r="U156" s="44" t="str">
        <f>IF($AA156=0,"",HYPERLINK("#'"&amp;INDEX(Jobs!$P$9:$P$258,$AA156)&amp;"'!A1","Open job"))</f>
        <v/>
      </c>
      <c r="V156" s="39"/>
      <c r="AA156">
        <f>IFERROR(MATCH(139,Jobs!$Q$9:$Q$258,0),0)</f>
        <v>0</v>
      </c>
    </row>
    <row r="157" spans="1:27" ht="36" hidden="1" customHeight="1" x14ac:dyDescent="0.35">
      <c r="A157" s="38" t="str">
        <f>IF($AA157=0,"",IF(LEN(INDEX(Jobs!$A$9:$A$258,$AA157)&amp;"")=0,"",INDEX(Jobs!$A$9:$A$258,$AA157)))</f>
        <v/>
      </c>
      <c r="B157" s="39"/>
      <c r="C157" s="38" t="str">
        <f>IF($AA157=0,"",IF(LEN(INDEX(Jobs!$B$9:$B$258,$AA157)&amp;"")=0,"",INDEX(Jobs!$B$9:$B$258,$AA157)))</f>
        <v/>
      </c>
      <c r="D157" s="39"/>
      <c r="E157" s="39"/>
      <c r="F157" s="39"/>
      <c r="G157" s="39"/>
      <c r="H157" s="39"/>
      <c r="I157" s="39"/>
      <c r="J157" s="39"/>
      <c r="K157" s="39"/>
      <c r="L157" s="38" t="str">
        <f>IF($AA157=0,"",IF(LEN(INDEX(Jobs!$D$9:$D$258,$AA157)&amp;"")=0,"",INDEX(Jobs!$D$9:$D$258,$AA157)))</f>
        <v/>
      </c>
      <c r="M157" s="39"/>
      <c r="N157" s="39"/>
      <c r="O157" s="42" t="str">
        <f>IF($AA157=0,"",IF(LEN(INDEX(Jobs!$G$9:$G$258,$AA157)&amp;"")=0,"",INDEX(Jobs!$G$9:$G$258,$AA157)))</f>
        <v/>
      </c>
      <c r="P157" s="39"/>
      <c r="Q157" s="39"/>
      <c r="R157" s="42" t="str">
        <f>IF($AA157=0,"",IF(LEN(INDEX(Jobs!$H$9:$H$258,$AA157)&amp;"")=0,"",INDEX(Jobs!$H$9:$H$258,$AA157)))</f>
        <v/>
      </c>
      <c r="S157" s="39"/>
      <c r="T157" s="39"/>
      <c r="U157" s="43" t="str">
        <f>IF($AA157=0,"",HYPERLINK("#'"&amp;INDEX(Jobs!$P$9:$P$258,$AA157)&amp;"'!A1","Open job"))</f>
        <v/>
      </c>
      <c r="V157" s="39"/>
      <c r="AA157">
        <f>IFERROR(MATCH(140,Jobs!$Q$9:$Q$258,0),0)</f>
        <v>0</v>
      </c>
    </row>
    <row r="158" spans="1:27" ht="36" hidden="1" customHeight="1" x14ac:dyDescent="0.35">
      <c r="A158" s="40" t="str">
        <f>IF($AA158=0,"",IF(LEN(INDEX(Jobs!$A$9:$A$258,$AA158)&amp;"")=0,"",INDEX(Jobs!$A$9:$A$258,$AA158)))</f>
        <v/>
      </c>
      <c r="B158" s="39"/>
      <c r="C158" s="40" t="str">
        <f>IF($AA158=0,"",IF(LEN(INDEX(Jobs!$B$9:$B$258,$AA158)&amp;"")=0,"",INDEX(Jobs!$B$9:$B$258,$AA158)))</f>
        <v/>
      </c>
      <c r="D158" s="39"/>
      <c r="E158" s="39"/>
      <c r="F158" s="39"/>
      <c r="G158" s="39"/>
      <c r="H158" s="39"/>
      <c r="I158" s="39"/>
      <c r="J158" s="39"/>
      <c r="K158" s="39"/>
      <c r="L158" s="40" t="str">
        <f>IF($AA158=0,"",IF(LEN(INDEX(Jobs!$D$9:$D$258,$AA158)&amp;"")=0,"",INDEX(Jobs!$D$9:$D$258,$AA158)))</f>
        <v/>
      </c>
      <c r="M158" s="39"/>
      <c r="N158" s="39"/>
      <c r="O158" s="41" t="str">
        <f>IF($AA158=0,"",IF(LEN(INDEX(Jobs!$G$9:$G$258,$AA158)&amp;"")=0,"",INDEX(Jobs!$G$9:$G$258,$AA158)))</f>
        <v/>
      </c>
      <c r="P158" s="39"/>
      <c r="Q158" s="39"/>
      <c r="R158" s="41" t="str">
        <f>IF($AA158=0,"",IF(LEN(INDEX(Jobs!$H$9:$H$258,$AA158)&amp;"")=0,"",INDEX(Jobs!$H$9:$H$258,$AA158)))</f>
        <v/>
      </c>
      <c r="S158" s="39"/>
      <c r="T158" s="39"/>
      <c r="U158" s="44" t="str">
        <f>IF($AA158=0,"",HYPERLINK("#'"&amp;INDEX(Jobs!$P$9:$P$258,$AA158)&amp;"'!A1","Open job"))</f>
        <v/>
      </c>
      <c r="V158" s="39"/>
      <c r="AA158">
        <f>IFERROR(MATCH(141,Jobs!$Q$9:$Q$258,0),0)</f>
        <v>0</v>
      </c>
    </row>
    <row r="159" spans="1:27" ht="36" hidden="1" customHeight="1" x14ac:dyDescent="0.35">
      <c r="A159" s="38" t="str">
        <f>IF($AA159=0,"",IF(LEN(INDEX(Jobs!$A$9:$A$258,$AA159)&amp;"")=0,"",INDEX(Jobs!$A$9:$A$258,$AA159)))</f>
        <v/>
      </c>
      <c r="B159" s="39"/>
      <c r="C159" s="38" t="str">
        <f>IF($AA159=0,"",IF(LEN(INDEX(Jobs!$B$9:$B$258,$AA159)&amp;"")=0,"",INDEX(Jobs!$B$9:$B$258,$AA159)))</f>
        <v/>
      </c>
      <c r="D159" s="39"/>
      <c r="E159" s="39"/>
      <c r="F159" s="39"/>
      <c r="G159" s="39"/>
      <c r="H159" s="39"/>
      <c r="I159" s="39"/>
      <c r="J159" s="39"/>
      <c r="K159" s="39"/>
      <c r="L159" s="38" t="str">
        <f>IF($AA159=0,"",IF(LEN(INDEX(Jobs!$D$9:$D$258,$AA159)&amp;"")=0,"",INDEX(Jobs!$D$9:$D$258,$AA159)))</f>
        <v/>
      </c>
      <c r="M159" s="39"/>
      <c r="N159" s="39"/>
      <c r="O159" s="42" t="str">
        <f>IF($AA159=0,"",IF(LEN(INDEX(Jobs!$G$9:$G$258,$AA159)&amp;"")=0,"",INDEX(Jobs!$G$9:$G$258,$AA159)))</f>
        <v/>
      </c>
      <c r="P159" s="39"/>
      <c r="Q159" s="39"/>
      <c r="R159" s="42" t="str">
        <f>IF($AA159=0,"",IF(LEN(INDEX(Jobs!$H$9:$H$258,$AA159)&amp;"")=0,"",INDEX(Jobs!$H$9:$H$258,$AA159)))</f>
        <v/>
      </c>
      <c r="S159" s="39"/>
      <c r="T159" s="39"/>
      <c r="U159" s="43" t="str">
        <f>IF($AA159=0,"",HYPERLINK("#'"&amp;INDEX(Jobs!$P$9:$P$258,$AA159)&amp;"'!A1","Open job"))</f>
        <v/>
      </c>
      <c r="V159" s="39"/>
      <c r="AA159">
        <f>IFERROR(MATCH(142,Jobs!$Q$9:$Q$258,0),0)</f>
        <v>0</v>
      </c>
    </row>
    <row r="160" spans="1:27" ht="36" hidden="1" customHeight="1" x14ac:dyDescent="0.35">
      <c r="A160" s="40" t="str">
        <f>IF($AA160=0,"",IF(LEN(INDEX(Jobs!$A$9:$A$258,$AA160)&amp;"")=0,"",INDEX(Jobs!$A$9:$A$258,$AA160)))</f>
        <v/>
      </c>
      <c r="B160" s="39"/>
      <c r="C160" s="40" t="str">
        <f>IF($AA160=0,"",IF(LEN(INDEX(Jobs!$B$9:$B$258,$AA160)&amp;"")=0,"",INDEX(Jobs!$B$9:$B$258,$AA160)))</f>
        <v/>
      </c>
      <c r="D160" s="39"/>
      <c r="E160" s="39"/>
      <c r="F160" s="39"/>
      <c r="G160" s="39"/>
      <c r="H160" s="39"/>
      <c r="I160" s="39"/>
      <c r="J160" s="39"/>
      <c r="K160" s="39"/>
      <c r="L160" s="40" t="str">
        <f>IF($AA160=0,"",IF(LEN(INDEX(Jobs!$D$9:$D$258,$AA160)&amp;"")=0,"",INDEX(Jobs!$D$9:$D$258,$AA160)))</f>
        <v/>
      </c>
      <c r="M160" s="39"/>
      <c r="N160" s="39"/>
      <c r="O160" s="41" t="str">
        <f>IF($AA160=0,"",IF(LEN(INDEX(Jobs!$G$9:$G$258,$AA160)&amp;"")=0,"",INDEX(Jobs!$G$9:$G$258,$AA160)))</f>
        <v/>
      </c>
      <c r="P160" s="39"/>
      <c r="Q160" s="39"/>
      <c r="R160" s="41" t="str">
        <f>IF($AA160=0,"",IF(LEN(INDEX(Jobs!$H$9:$H$258,$AA160)&amp;"")=0,"",INDEX(Jobs!$H$9:$H$258,$AA160)))</f>
        <v/>
      </c>
      <c r="S160" s="39"/>
      <c r="T160" s="39"/>
      <c r="U160" s="44" t="str">
        <f>IF($AA160=0,"",HYPERLINK("#'"&amp;INDEX(Jobs!$P$9:$P$258,$AA160)&amp;"'!A1","Open job"))</f>
        <v/>
      </c>
      <c r="V160" s="39"/>
      <c r="AA160">
        <f>IFERROR(MATCH(143,Jobs!$Q$9:$Q$258,0),0)</f>
        <v>0</v>
      </c>
    </row>
    <row r="161" spans="1:27" ht="36" hidden="1" customHeight="1" x14ac:dyDescent="0.35">
      <c r="A161" s="38" t="str">
        <f>IF($AA161=0,"",IF(LEN(INDEX(Jobs!$A$9:$A$258,$AA161)&amp;"")=0,"",INDEX(Jobs!$A$9:$A$258,$AA161)))</f>
        <v/>
      </c>
      <c r="B161" s="39"/>
      <c r="C161" s="38" t="str">
        <f>IF($AA161=0,"",IF(LEN(INDEX(Jobs!$B$9:$B$258,$AA161)&amp;"")=0,"",INDEX(Jobs!$B$9:$B$258,$AA161)))</f>
        <v/>
      </c>
      <c r="D161" s="39"/>
      <c r="E161" s="39"/>
      <c r="F161" s="39"/>
      <c r="G161" s="39"/>
      <c r="H161" s="39"/>
      <c r="I161" s="39"/>
      <c r="J161" s="39"/>
      <c r="K161" s="39"/>
      <c r="L161" s="38" t="str">
        <f>IF($AA161=0,"",IF(LEN(INDEX(Jobs!$D$9:$D$258,$AA161)&amp;"")=0,"",INDEX(Jobs!$D$9:$D$258,$AA161)))</f>
        <v/>
      </c>
      <c r="M161" s="39"/>
      <c r="N161" s="39"/>
      <c r="O161" s="42" t="str">
        <f>IF($AA161=0,"",IF(LEN(INDEX(Jobs!$G$9:$G$258,$AA161)&amp;"")=0,"",INDEX(Jobs!$G$9:$G$258,$AA161)))</f>
        <v/>
      </c>
      <c r="P161" s="39"/>
      <c r="Q161" s="39"/>
      <c r="R161" s="42" t="str">
        <f>IF($AA161=0,"",IF(LEN(INDEX(Jobs!$H$9:$H$258,$AA161)&amp;"")=0,"",INDEX(Jobs!$H$9:$H$258,$AA161)))</f>
        <v/>
      </c>
      <c r="S161" s="39"/>
      <c r="T161" s="39"/>
      <c r="U161" s="43" t="str">
        <f>IF($AA161=0,"",HYPERLINK("#'"&amp;INDEX(Jobs!$P$9:$P$258,$AA161)&amp;"'!A1","Open job"))</f>
        <v/>
      </c>
      <c r="V161" s="39"/>
      <c r="AA161">
        <f>IFERROR(MATCH(144,Jobs!$Q$9:$Q$258,0),0)</f>
        <v>0</v>
      </c>
    </row>
    <row r="162" spans="1:27" ht="36" hidden="1" customHeight="1" x14ac:dyDescent="0.35">
      <c r="A162" s="40" t="str">
        <f>IF($AA162=0,"",IF(LEN(INDEX(Jobs!$A$9:$A$258,$AA162)&amp;"")=0,"",INDEX(Jobs!$A$9:$A$258,$AA162)))</f>
        <v/>
      </c>
      <c r="B162" s="39"/>
      <c r="C162" s="40" t="str">
        <f>IF($AA162=0,"",IF(LEN(INDEX(Jobs!$B$9:$B$258,$AA162)&amp;"")=0,"",INDEX(Jobs!$B$9:$B$258,$AA162)))</f>
        <v/>
      </c>
      <c r="D162" s="39"/>
      <c r="E162" s="39"/>
      <c r="F162" s="39"/>
      <c r="G162" s="39"/>
      <c r="H162" s="39"/>
      <c r="I162" s="39"/>
      <c r="J162" s="39"/>
      <c r="K162" s="39"/>
      <c r="L162" s="40" t="str">
        <f>IF($AA162=0,"",IF(LEN(INDEX(Jobs!$D$9:$D$258,$AA162)&amp;"")=0,"",INDEX(Jobs!$D$9:$D$258,$AA162)))</f>
        <v/>
      </c>
      <c r="M162" s="39"/>
      <c r="N162" s="39"/>
      <c r="O162" s="41" t="str">
        <f>IF($AA162=0,"",IF(LEN(INDEX(Jobs!$G$9:$G$258,$AA162)&amp;"")=0,"",INDEX(Jobs!$G$9:$G$258,$AA162)))</f>
        <v/>
      </c>
      <c r="P162" s="39"/>
      <c r="Q162" s="39"/>
      <c r="R162" s="41" t="str">
        <f>IF($AA162=0,"",IF(LEN(INDEX(Jobs!$H$9:$H$258,$AA162)&amp;"")=0,"",INDEX(Jobs!$H$9:$H$258,$AA162)))</f>
        <v/>
      </c>
      <c r="S162" s="39"/>
      <c r="T162" s="39"/>
      <c r="U162" s="44" t="str">
        <f>IF($AA162=0,"",HYPERLINK("#'"&amp;INDEX(Jobs!$P$9:$P$258,$AA162)&amp;"'!A1","Open job"))</f>
        <v/>
      </c>
      <c r="V162" s="39"/>
      <c r="AA162">
        <f>IFERROR(MATCH(145,Jobs!$Q$9:$Q$258,0),0)</f>
        <v>0</v>
      </c>
    </row>
    <row r="163" spans="1:27" ht="36" hidden="1" customHeight="1" x14ac:dyDescent="0.35">
      <c r="A163" s="38" t="str">
        <f>IF($AA163=0,"",IF(LEN(INDEX(Jobs!$A$9:$A$258,$AA163)&amp;"")=0,"",INDEX(Jobs!$A$9:$A$258,$AA163)))</f>
        <v/>
      </c>
      <c r="B163" s="39"/>
      <c r="C163" s="38" t="str">
        <f>IF($AA163=0,"",IF(LEN(INDEX(Jobs!$B$9:$B$258,$AA163)&amp;"")=0,"",INDEX(Jobs!$B$9:$B$258,$AA163)))</f>
        <v/>
      </c>
      <c r="D163" s="39"/>
      <c r="E163" s="39"/>
      <c r="F163" s="39"/>
      <c r="G163" s="39"/>
      <c r="H163" s="39"/>
      <c r="I163" s="39"/>
      <c r="J163" s="39"/>
      <c r="K163" s="39"/>
      <c r="L163" s="38" t="str">
        <f>IF($AA163=0,"",IF(LEN(INDEX(Jobs!$D$9:$D$258,$AA163)&amp;"")=0,"",INDEX(Jobs!$D$9:$D$258,$AA163)))</f>
        <v/>
      </c>
      <c r="M163" s="39"/>
      <c r="N163" s="39"/>
      <c r="O163" s="42" t="str">
        <f>IF($AA163=0,"",IF(LEN(INDEX(Jobs!$G$9:$G$258,$AA163)&amp;"")=0,"",INDEX(Jobs!$G$9:$G$258,$AA163)))</f>
        <v/>
      </c>
      <c r="P163" s="39"/>
      <c r="Q163" s="39"/>
      <c r="R163" s="42" t="str">
        <f>IF($AA163=0,"",IF(LEN(INDEX(Jobs!$H$9:$H$258,$AA163)&amp;"")=0,"",INDEX(Jobs!$H$9:$H$258,$AA163)))</f>
        <v/>
      </c>
      <c r="S163" s="39"/>
      <c r="T163" s="39"/>
      <c r="U163" s="43" t="str">
        <f>IF($AA163=0,"",HYPERLINK("#'"&amp;INDEX(Jobs!$P$9:$P$258,$AA163)&amp;"'!A1","Open job"))</f>
        <v/>
      </c>
      <c r="V163" s="39"/>
      <c r="AA163">
        <f>IFERROR(MATCH(146,Jobs!$Q$9:$Q$258,0),0)</f>
        <v>0</v>
      </c>
    </row>
    <row r="164" spans="1:27" ht="36" hidden="1" customHeight="1" x14ac:dyDescent="0.35">
      <c r="A164" s="40" t="str">
        <f>IF($AA164=0,"",IF(LEN(INDEX(Jobs!$A$9:$A$258,$AA164)&amp;"")=0,"",INDEX(Jobs!$A$9:$A$258,$AA164)))</f>
        <v/>
      </c>
      <c r="B164" s="39"/>
      <c r="C164" s="40" t="str">
        <f>IF($AA164=0,"",IF(LEN(INDEX(Jobs!$B$9:$B$258,$AA164)&amp;"")=0,"",INDEX(Jobs!$B$9:$B$258,$AA164)))</f>
        <v/>
      </c>
      <c r="D164" s="39"/>
      <c r="E164" s="39"/>
      <c r="F164" s="39"/>
      <c r="G164" s="39"/>
      <c r="H164" s="39"/>
      <c r="I164" s="39"/>
      <c r="J164" s="39"/>
      <c r="K164" s="39"/>
      <c r="L164" s="40" t="str">
        <f>IF($AA164=0,"",IF(LEN(INDEX(Jobs!$D$9:$D$258,$AA164)&amp;"")=0,"",INDEX(Jobs!$D$9:$D$258,$AA164)))</f>
        <v/>
      </c>
      <c r="M164" s="39"/>
      <c r="N164" s="39"/>
      <c r="O164" s="41" t="str">
        <f>IF($AA164=0,"",IF(LEN(INDEX(Jobs!$G$9:$G$258,$AA164)&amp;"")=0,"",INDEX(Jobs!$G$9:$G$258,$AA164)))</f>
        <v/>
      </c>
      <c r="P164" s="39"/>
      <c r="Q164" s="39"/>
      <c r="R164" s="41" t="str">
        <f>IF($AA164=0,"",IF(LEN(INDEX(Jobs!$H$9:$H$258,$AA164)&amp;"")=0,"",INDEX(Jobs!$H$9:$H$258,$AA164)))</f>
        <v/>
      </c>
      <c r="S164" s="39"/>
      <c r="T164" s="39"/>
      <c r="U164" s="44" t="str">
        <f>IF($AA164=0,"",HYPERLINK("#'"&amp;INDEX(Jobs!$P$9:$P$258,$AA164)&amp;"'!A1","Open job"))</f>
        <v/>
      </c>
      <c r="V164" s="39"/>
      <c r="AA164">
        <f>IFERROR(MATCH(147,Jobs!$Q$9:$Q$258,0),0)</f>
        <v>0</v>
      </c>
    </row>
    <row r="165" spans="1:27" ht="36" hidden="1" customHeight="1" x14ac:dyDescent="0.35">
      <c r="A165" s="38" t="str">
        <f>IF($AA165=0,"",IF(LEN(INDEX(Jobs!$A$9:$A$258,$AA165)&amp;"")=0,"",INDEX(Jobs!$A$9:$A$258,$AA165)))</f>
        <v/>
      </c>
      <c r="B165" s="39"/>
      <c r="C165" s="38" t="str">
        <f>IF($AA165=0,"",IF(LEN(INDEX(Jobs!$B$9:$B$258,$AA165)&amp;"")=0,"",INDEX(Jobs!$B$9:$B$258,$AA165)))</f>
        <v/>
      </c>
      <c r="D165" s="39"/>
      <c r="E165" s="39"/>
      <c r="F165" s="39"/>
      <c r="G165" s="39"/>
      <c r="H165" s="39"/>
      <c r="I165" s="39"/>
      <c r="J165" s="39"/>
      <c r="K165" s="39"/>
      <c r="L165" s="38" t="str">
        <f>IF($AA165=0,"",IF(LEN(INDEX(Jobs!$D$9:$D$258,$AA165)&amp;"")=0,"",INDEX(Jobs!$D$9:$D$258,$AA165)))</f>
        <v/>
      </c>
      <c r="M165" s="39"/>
      <c r="N165" s="39"/>
      <c r="O165" s="42" t="str">
        <f>IF($AA165=0,"",IF(LEN(INDEX(Jobs!$G$9:$G$258,$AA165)&amp;"")=0,"",INDEX(Jobs!$G$9:$G$258,$AA165)))</f>
        <v/>
      </c>
      <c r="P165" s="39"/>
      <c r="Q165" s="39"/>
      <c r="R165" s="42" t="str">
        <f>IF($AA165=0,"",IF(LEN(INDEX(Jobs!$H$9:$H$258,$AA165)&amp;"")=0,"",INDEX(Jobs!$H$9:$H$258,$AA165)))</f>
        <v/>
      </c>
      <c r="S165" s="39"/>
      <c r="T165" s="39"/>
      <c r="U165" s="43" t="str">
        <f>IF($AA165=0,"",HYPERLINK("#'"&amp;INDEX(Jobs!$P$9:$P$258,$AA165)&amp;"'!A1","Open job"))</f>
        <v/>
      </c>
      <c r="V165" s="39"/>
      <c r="AA165">
        <f>IFERROR(MATCH(148,Jobs!$Q$9:$Q$258,0),0)</f>
        <v>0</v>
      </c>
    </row>
    <row r="166" spans="1:27" ht="36" hidden="1" customHeight="1" x14ac:dyDescent="0.35">
      <c r="A166" s="40" t="str">
        <f>IF($AA166=0,"",IF(LEN(INDEX(Jobs!$A$9:$A$258,$AA166)&amp;"")=0,"",INDEX(Jobs!$A$9:$A$258,$AA166)))</f>
        <v/>
      </c>
      <c r="B166" s="39"/>
      <c r="C166" s="40" t="str">
        <f>IF($AA166=0,"",IF(LEN(INDEX(Jobs!$B$9:$B$258,$AA166)&amp;"")=0,"",INDEX(Jobs!$B$9:$B$258,$AA166)))</f>
        <v/>
      </c>
      <c r="D166" s="39"/>
      <c r="E166" s="39"/>
      <c r="F166" s="39"/>
      <c r="G166" s="39"/>
      <c r="H166" s="39"/>
      <c r="I166" s="39"/>
      <c r="J166" s="39"/>
      <c r="K166" s="39"/>
      <c r="L166" s="40" t="str">
        <f>IF($AA166=0,"",IF(LEN(INDEX(Jobs!$D$9:$D$258,$AA166)&amp;"")=0,"",INDEX(Jobs!$D$9:$D$258,$AA166)))</f>
        <v/>
      </c>
      <c r="M166" s="39"/>
      <c r="N166" s="39"/>
      <c r="O166" s="41" t="str">
        <f>IF($AA166=0,"",IF(LEN(INDEX(Jobs!$G$9:$G$258,$AA166)&amp;"")=0,"",INDEX(Jobs!$G$9:$G$258,$AA166)))</f>
        <v/>
      </c>
      <c r="P166" s="39"/>
      <c r="Q166" s="39"/>
      <c r="R166" s="41" t="str">
        <f>IF($AA166=0,"",IF(LEN(INDEX(Jobs!$H$9:$H$258,$AA166)&amp;"")=0,"",INDEX(Jobs!$H$9:$H$258,$AA166)))</f>
        <v/>
      </c>
      <c r="S166" s="39"/>
      <c r="T166" s="39"/>
      <c r="U166" s="44" t="str">
        <f>IF($AA166=0,"",HYPERLINK("#'"&amp;INDEX(Jobs!$P$9:$P$258,$AA166)&amp;"'!A1","Open job"))</f>
        <v/>
      </c>
      <c r="V166" s="39"/>
      <c r="AA166">
        <f>IFERROR(MATCH(149,Jobs!$Q$9:$Q$258,0),0)</f>
        <v>0</v>
      </c>
    </row>
    <row r="167" spans="1:27" ht="36" hidden="1" customHeight="1" x14ac:dyDescent="0.35">
      <c r="A167" s="38" t="str">
        <f>IF($AA167=0,"",IF(LEN(INDEX(Jobs!$A$9:$A$258,$AA167)&amp;"")=0,"",INDEX(Jobs!$A$9:$A$258,$AA167)))</f>
        <v/>
      </c>
      <c r="B167" s="39"/>
      <c r="C167" s="38" t="str">
        <f>IF($AA167=0,"",IF(LEN(INDEX(Jobs!$B$9:$B$258,$AA167)&amp;"")=0,"",INDEX(Jobs!$B$9:$B$258,$AA167)))</f>
        <v/>
      </c>
      <c r="D167" s="39"/>
      <c r="E167" s="39"/>
      <c r="F167" s="39"/>
      <c r="G167" s="39"/>
      <c r="H167" s="39"/>
      <c r="I167" s="39"/>
      <c r="J167" s="39"/>
      <c r="K167" s="39"/>
      <c r="L167" s="38" t="str">
        <f>IF($AA167=0,"",IF(LEN(INDEX(Jobs!$D$9:$D$258,$AA167)&amp;"")=0,"",INDEX(Jobs!$D$9:$D$258,$AA167)))</f>
        <v/>
      </c>
      <c r="M167" s="39"/>
      <c r="N167" s="39"/>
      <c r="O167" s="42" t="str">
        <f>IF($AA167=0,"",IF(LEN(INDEX(Jobs!$G$9:$G$258,$AA167)&amp;"")=0,"",INDEX(Jobs!$G$9:$G$258,$AA167)))</f>
        <v/>
      </c>
      <c r="P167" s="39"/>
      <c r="Q167" s="39"/>
      <c r="R167" s="42" t="str">
        <f>IF($AA167=0,"",IF(LEN(INDEX(Jobs!$H$9:$H$258,$AA167)&amp;"")=0,"",INDEX(Jobs!$H$9:$H$258,$AA167)))</f>
        <v/>
      </c>
      <c r="S167" s="39"/>
      <c r="T167" s="39"/>
      <c r="U167" s="43" t="str">
        <f>IF($AA167=0,"",HYPERLINK("#'"&amp;INDEX(Jobs!$P$9:$P$258,$AA167)&amp;"'!A1","Open job"))</f>
        <v/>
      </c>
      <c r="V167" s="39"/>
      <c r="AA167">
        <f>IFERROR(MATCH(150,Jobs!$Q$9:$Q$258,0),0)</f>
        <v>0</v>
      </c>
    </row>
    <row r="168" spans="1:27" ht="36" hidden="1" customHeight="1" x14ac:dyDescent="0.35">
      <c r="A168" s="40" t="str">
        <f>IF($AA168=0,"",IF(LEN(INDEX(Jobs!$A$9:$A$258,$AA168)&amp;"")=0,"",INDEX(Jobs!$A$9:$A$258,$AA168)))</f>
        <v/>
      </c>
      <c r="B168" s="39"/>
      <c r="C168" s="40" t="str">
        <f>IF($AA168=0,"",IF(LEN(INDEX(Jobs!$B$9:$B$258,$AA168)&amp;"")=0,"",INDEX(Jobs!$B$9:$B$258,$AA168)))</f>
        <v/>
      </c>
      <c r="D168" s="39"/>
      <c r="E168" s="39"/>
      <c r="F168" s="39"/>
      <c r="G168" s="39"/>
      <c r="H168" s="39"/>
      <c r="I168" s="39"/>
      <c r="J168" s="39"/>
      <c r="K168" s="39"/>
      <c r="L168" s="40" t="str">
        <f>IF($AA168=0,"",IF(LEN(INDEX(Jobs!$D$9:$D$258,$AA168)&amp;"")=0,"",INDEX(Jobs!$D$9:$D$258,$AA168)))</f>
        <v/>
      </c>
      <c r="M168" s="39"/>
      <c r="N168" s="39"/>
      <c r="O168" s="41" t="str">
        <f>IF($AA168=0,"",IF(LEN(INDEX(Jobs!$G$9:$G$258,$AA168)&amp;"")=0,"",INDEX(Jobs!$G$9:$G$258,$AA168)))</f>
        <v/>
      </c>
      <c r="P168" s="39"/>
      <c r="Q168" s="39"/>
      <c r="R168" s="41" t="str">
        <f>IF($AA168=0,"",IF(LEN(INDEX(Jobs!$H$9:$H$258,$AA168)&amp;"")=0,"",INDEX(Jobs!$H$9:$H$258,$AA168)))</f>
        <v/>
      </c>
      <c r="S168" s="39"/>
      <c r="T168" s="39"/>
      <c r="U168" s="44" t="str">
        <f>IF($AA168=0,"",HYPERLINK("#'"&amp;INDEX(Jobs!$P$9:$P$258,$AA168)&amp;"'!A1","Open job"))</f>
        <v/>
      </c>
      <c r="V168" s="39"/>
      <c r="AA168">
        <f>IFERROR(MATCH(151,Jobs!$Q$9:$Q$258,0),0)</f>
        <v>0</v>
      </c>
    </row>
    <row r="169" spans="1:27" ht="36" hidden="1" customHeight="1" x14ac:dyDescent="0.35">
      <c r="A169" s="38" t="str">
        <f>IF($AA169=0,"",IF(LEN(INDEX(Jobs!$A$9:$A$258,$AA169)&amp;"")=0,"",INDEX(Jobs!$A$9:$A$258,$AA169)))</f>
        <v/>
      </c>
      <c r="B169" s="39"/>
      <c r="C169" s="38" t="str">
        <f>IF($AA169=0,"",IF(LEN(INDEX(Jobs!$B$9:$B$258,$AA169)&amp;"")=0,"",INDEX(Jobs!$B$9:$B$258,$AA169)))</f>
        <v/>
      </c>
      <c r="D169" s="39"/>
      <c r="E169" s="39"/>
      <c r="F169" s="39"/>
      <c r="G169" s="39"/>
      <c r="H169" s="39"/>
      <c r="I169" s="39"/>
      <c r="J169" s="39"/>
      <c r="K169" s="39"/>
      <c r="L169" s="38" t="str">
        <f>IF($AA169=0,"",IF(LEN(INDEX(Jobs!$D$9:$D$258,$AA169)&amp;"")=0,"",INDEX(Jobs!$D$9:$D$258,$AA169)))</f>
        <v/>
      </c>
      <c r="M169" s="39"/>
      <c r="N169" s="39"/>
      <c r="O169" s="42" t="str">
        <f>IF($AA169=0,"",IF(LEN(INDEX(Jobs!$G$9:$G$258,$AA169)&amp;"")=0,"",INDEX(Jobs!$G$9:$G$258,$AA169)))</f>
        <v/>
      </c>
      <c r="P169" s="39"/>
      <c r="Q169" s="39"/>
      <c r="R169" s="42" t="str">
        <f>IF($AA169=0,"",IF(LEN(INDEX(Jobs!$H$9:$H$258,$AA169)&amp;"")=0,"",INDEX(Jobs!$H$9:$H$258,$AA169)))</f>
        <v/>
      </c>
      <c r="S169" s="39"/>
      <c r="T169" s="39"/>
      <c r="U169" s="43" t="str">
        <f>IF($AA169=0,"",HYPERLINK("#'"&amp;INDEX(Jobs!$P$9:$P$258,$AA169)&amp;"'!A1","Open job"))</f>
        <v/>
      </c>
      <c r="V169" s="39"/>
      <c r="AA169">
        <f>IFERROR(MATCH(152,Jobs!$Q$9:$Q$258,0),0)</f>
        <v>0</v>
      </c>
    </row>
    <row r="170" spans="1:27" ht="36" hidden="1" customHeight="1" x14ac:dyDescent="0.35">
      <c r="A170" s="40" t="str">
        <f>IF($AA170=0,"",IF(LEN(INDEX(Jobs!$A$9:$A$258,$AA170)&amp;"")=0,"",INDEX(Jobs!$A$9:$A$258,$AA170)))</f>
        <v/>
      </c>
      <c r="B170" s="39"/>
      <c r="C170" s="40" t="str">
        <f>IF($AA170=0,"",IF(LEN(INDEX(Jobs!$B$9:$B$258,$AA170)&amp;"")=0,"",INDEX(Jobs!$B$9:$B$258,$AA170)))</f>
        <v/>
      </c>
      <c r="D170" s="39"/>
      <c r="E170" s="39"/>
      <c r="F170" s="39"/>
      <c r="G170" s="39"/>
      <c r="H170" s="39"/>
      <c r="I170" s="39"/>
      <c r="J170" s="39"/>
      <c r="K170" s="39"/>
      <c r="L170" s="40" t="str">
        <f>IF($AA170=0,"",IF(LEN(INDEX(Jobs!$D$9:$D$258,$AA170)&amp;"")=0,"",INDEX(Jobs!$D$9:$D$258,$AA170)))</f>
        <v/>
      </c>
      <c r="M170" s="39"/>
      <c r="N170" s="39"/>
      <c r="O170" s="41" t="str">
        <f>IF($AA170=0,"",IF(LEN(INDEX(Jobs!$G$9:$G$258,$AA170)&amp;"")=0,"",INDEX(Jobs!$G$9:$G$258,$AA170)))</f>
        <v/>
      </c>
      <c r="P170" s="39"/>
      <c r="Q170" s="39"/>
      <c r="R170" s="41" t="str">
        <f>IF($AA170=0,"",IF(LEN(INDEX(Jobs!$H$9:$H$258,$AA170)&amp;"")=0,"",INDEX(Jobs!$H$9:$H$258,$AA170)))</f>
        <v/>
      </c>
      <c r="S170" s="39"/>
      <c r="T170" s="39"/>
      <c r="U170" s="44" t="str">
        <f>IF($AA170=0,"",HYPERLINK("#'"&amp;INDEX(Jobs!$P$9:$P$258,$AA170)&amp;"'!A1","Open job"))</f>
        <v/>
      </c>
      <c r="V170" s="39"/>
      <c r="AA170">
        <f>IFERROR(MATCH(153,Jobs!$Q$9:$Q$258,0),0)</f>
        <v>0</v>
      </c>
    </row>
    <row r="171" spans="1:27" ht="36" hidden="1" customHeight="1" x14ac:dyDescent="0.35">
      <c r="A171" s="38" t="str">
        <f>IF($AA171=0,"",IF(LEN(INDEX(Jobs!$A$9:$A$258,$AA171)&amp;"")=0,"",INDEX(Jobs!$A$9:$A$258,$AA171)))</f>
        <v/>
      </c>
      <c r="B171" s="39"/>
      <c r="C171" s="38" t="str">
        <f>IF($AA171=0,"",IF(LEN(INDEX(Jobs!$B$9:$B$258,$AA171)&amp;"")=0,"",INDEX(Jobs!$B$9:$B$258,$AA171)))</f>
        <v/>
      </c>
      <c r="D171" s="39"/>
      <c r="E171" s="39"/>
      <c r="F171" s="39"/>
      <c r="G171" s="39"/>
      <c r="H171" s="39"/>
      <c r="I171" s="39"/>
      <c r="J171" s="39"/>
      <c r="K171" s="39"/>
      <c r="L171" s="38" t="str">
        <f>IF($AA171=0,"",IF(LEN(INDEX(Jobs!$D$9:$D$258,$AA171)&amp;"")=0,"",INDEX(Jobs!$D$9:$D$258,$AA171)))</f>
        <v/>
      </c>
      <c r="M171" s="39"/>
      <c r="N171" s="39"/>
      <c r="O171" s="42" t="str">
        <f>IF($AA171=0,"",IF(LEN(INDEX(Jobs!$G$9:$G$258,$AA171)&amp;"")=0,"",INDEX(Jobs!$G$9:$G$258,$AA171)))</f>
        <v/>
      </c>
      <c r="P171" s="39"/>
      <c r="Q171" s="39"/>
      <c r="R171" s="42" t="str">
        <f>IF($AA171=0,"",IF(LEN(INDEX(Jobs!$H$9:$H$258,$AA171)&amp;"")=0,"",INDEX(Jobs!$H$9:$H$258,$AA171)))</f>
        <v/>
      </c>
      <c r="S171" s="39"/>
      <c r="T171" s="39"/>
      <c r="U171" s="43" t="str">
        <f>IF($AA171=0,"",HYPERLINK("#'"&amp;INDEX(Jobs!$P$9:$P$258,$AA171)&amp;"'!A1","Open job"))</f>
        <v/>
      </c>
      <c r="V171" s="39"/>
      <c r="AA171">
        <f>IFERROR(MATCH(154,Jobs!$Q$9:$Q$258,0),0)</f>
        <v>0</v>
      </c>
    </row>
    <row r="172" spans="1:27" ht="36" hidden="1" customHeight="1" x14ac:dyDescent="0.35">
      <c r="A172" s="40" t="str">
        <f>IF($AA172=0,"",IF(LEN(INDEX(Jobs!$A$9:$A$258,$AA172)&amp;"")=0,"",INDEX(Jobs!$A$9:$A$258,$AA172)))</f>
        <v/>
      </c>
      <c r="B172" s="39"/>
      <c r="C172" s="40" t="str">
        <f>IF($AA172=0,"",IF(LEN(INDEX(Jobs!$B$9:$B$258,$AA172)&amp;"")=0,"",INDEX(Jobs!$B$9:$B$258,$AA172)))</f>
        <v/>
      </c>
      <c r="D172" s="39"/>
      <c r="E172" s="39"/>
      <c r="F172" s="39"/>
      <c r="G172" s="39"/>
      <c r="H172" s="39"/>
      <c r="I172" s="39"/>
      <c r="J172" s="39"/>
      <c r="K172" s="39"/>
      <c r="L172" s="40" t="str">
        <f>IF($AA172=0,"",IF(LEN(INDEX(Jobs!$D$9:$D$258,$AA172)&amp;"")=0,"",INDEX(Jobs!$D$9:$D$258,$AA172)))</f>
        <v/>
      </c>
      <c r="M172" s="39"/>
      <c r="N172" s="39"/>
      <c r="O172" s="41" t="str">
        <f>IF($AA172=0,"",IF(LEN(INDEX(Jobs!$G$9:$G$258,$AA172)&amp;"")=0,"",INDEX(Jobs!$G$9:$G$258,$AA172)))</f>
        <v/>
      </c>
      <c r="P172" s="39"/>
      <c r="Q172" s="39"/>
      <c r="R172" s="41" t="str">
        <f>IF($AA172=0,"",IF(LEN(INDEX(Jobs!$H$9:$H$258,$AA172)&amp;"")=0,"",INDEX(Jobs!$H$9:$H$258,$AA172)))</f>
        <v/>
      </c>
      <c r="S172" s="39"/>
      <c r="T172" s="39"/>
      <c r="U172" s="44" t="str">
        <f>IF($AA172=0,"",HYPERLINK("#'"&amp;INDEX(Jobs!$P$9:$P$258,$AA172)&amp;"'!A1","Open job"))</f>
        <v/>
      </c>
      <c r="V172" s="39"/>
      <c r="AA172">
        <f>IFERROR(MATCH(155,Jobs!$Q$9:$Q$258,0),0)</f>
        <v>0</v>
      </c>
    </row>
    <row r="173" spans="1:27" ht="36" hidden="1" customHeight="1" x14ac:dyDescent="0.35">
      <c r="A173" s="38" t="str">
        <f>IF($AA173=0,"",IF(LEN(INDEX(Jobs!$A$9:$A$258,$AA173)&amp;"")=0,"",INDEX(Jobs!$A$9:$A$258,$AA173)))</f>
        <v/>
      </c>
      <c r="B173" s="39"/>
      <c r="C173" s="38" t="str">
        <f>IF($AA173=0,"",IF(LEN(INDEX(Jobs!$B$9:$B$258,$AA173)&amp;"")=0,"",INDEX(Jobs!$B$9:$B$258,$AA173)))</f>
        <v/>
      </c>
      <c r="D173" s="39"/>
      <c r="E173" s="39"/>
      <c r="F173" s="39"/>
      <c r="G173" s="39"/>
      <c r="H173" s="39"/>
      <c r="I173" s="39"/>
      <c r="J173" s="39"/>
      <c r="K173" s="39"/>
      <c r="L173" s="38" t="str">
        <f>IF($AA173=0,"",IF(LEN(INDEX(Jobs!$D$9:$D$258,$AA173)&amp;"")=0,"",INDEX(Jobs!$D$9:$D$258,$AA173)))</f>
        <v/>
      </c>
      <c r="M173" s="39"/>
      <c r="N173" s="39"/>
      <c r="O173" s="42" t="str">
        <f>IF($AA173=0,"",IF(LEN(INDEX(Jobs!$G$9:$G$258,$AA173)&amp;"")=0,"",INDEX(Jobs!$G$9:$G$258,$AA173)))</f>
        <v/>
      </c>
      <c r="P173" s="39"/>
      <c r="Q173" s="39"/>
      <c r="R173" s="42" t="str">
        <f>IF($AA173=0,"",IF(LEN(INDEX(Jobs!$H$9:$H$258,$AA173)&amp;"")=0,"",INDEX(Jobs!$H$9:$H$258,$AA173)))</f>
        <v/>
      </c>
      <c r="S173" s="39"/>
      <c r="T173" s="39"/>
      <c r="U173" s="43" t="str">
        <f>IF($AA173=0,"",HYPERLINK("#'"&amp;INDEX(Jobs!$P$9:$P$258,$AA173)&amp;"'!A1","Open job"))</f>
        <v/>
      </c>
      <c r="V173" s="39"/>
      <c r="AA173">
        <f>IFERROR(MATCH(156,Jobs!$Q$9:$Q$258,0),0)</f>
        <v>0</v>
      </c>
    </row>
    <row r="174" spans="1:27" ht="36" hidden="1" customHeight="1" x14ac:dyDescent="0.35">
      <c r="A174" s="40" t="str">
        <f>IF($AA174=0,"",IF(LEN(INDEX(Jobs!$A$9:$A$258,$AA174)&amp;"")=0,"",INDEX(Jobs!$A$9:$A$258,$AA174)))</f>
        <v/>
      </c>
      <c r="B174" s="39"/>
      <c r="C174" s="40" t="str">
        <f>IF($AA174=0,"",IF(LEN(INDEX(Jobs!$B$9:$B$258,$AA174)&amp;"")=0,"",INDEX(Jobs!$B$9:$B$258,$AA174)))</f>
        <v/>
      </c>
      <c r="D174" s="39"/>
      <c r="E174" s="39"/>
      <c r="F174" s="39"/>
      <c r="G174" s="39"/>
      <c r="H174" s="39"/>
      <c r="I174" s="39"/>
      <c r="J174" s="39"/>
      <c r="K174" s="39"/>
      <c r="L174" s="40" t="str">
        <f>IF($AA174=0,"",IF(LEN(INDEX(Jobs!$D$9:$D$258,$AA174)&amp;"")=0,"",INDEX(Jobs!$D$9:$D$258,$AA174)))</f>
        <v/>
      </c>
      <c r="M174" s="39"/>
      <c r="N174" s="39"/>
      <c r="O174" s="41" t="str">
        <f>IF($AA174=0,"",IF(LEN(INDEX(Jobs!$G$9:$G$258,$AA174)&amp;"")=0,"",INDEX(Jobs!$G$9:$G$258,$AA174)))</f>
        <v/>
      </c>
      <c r="P174" s="39"/>
      <c r="Q174" s="39"/>
      <c r="R174" s="41" t="str">
        <f>IF($AA174=0,"",IF(LEN(INDEX(Jobs!$H$9:$H$258,$AA174)&amp;"")=0,"",INDEX(Jobs!$H$9:$H$258,$AA174)))</f>
        <v/>
      </c>
      <c r="S174" s="39"/>
      <c r="T174" s="39"/>
      <c r="U174" s="44" t="str">
        <f>IF($AA174=0,"",HYPERLINK("#'"&amp;INDEX(Jobs!$P$9:$P$258,$AA174)&amp;"'!A1","Open job"))</f>
        <v/>
      </c>
      <c r="V174" s="39"/>
      <c r="AA174">
        <f>IFERROR(MATCH(157,Jobs!$Q$9:$Q$258,0),0)</f>
        <v>0</v>
      </c>
    </row>
    <row r="175" spans="1:27" ht="36" hidden="1" customHeight="1" x14ac:dyDescent="0.35">
      <c r="A175" s="38" t="str">
        <f>IF($AA175=0,"",IF(LEN(INDEX(Jobs!$A$9:$A$258,$AA175)&amp;"")=0,"",INDEX(Jobs!$A$9:$A$258,$AA175)))</f>
        <v/>
      </c>
      <c r="B175" s="39"/>
      <c r="C175" s="38" t="str">
        <f>IF($AA175=0,"",IF(LEN(INDEX(Jobs!$B$9:$B$258,$AA175)&amp;"")=0,"",INDEX(Jobs!$B$9:$B$258,$AA175)))</f>
        <v/>
      </c>
      <c r="D175" s="39"/>
      <c r="E175" s="39"/>
      <c r="F175" s="39"/>
      <c r="G175" s="39"/>
      <c r="H175" s="39"/>
      <c r="I175" s="39"/>
      <c r="J175" s="39"/>
      <c r="K175" s="39"/>
      <c r="L175" s="38" t="str">
        <f>IF($AA175=0,"",IF(LEN(INDEX(Jobs!$D$9:$D$258,$AA175)&amp;"")=0,"",INDEX(Jobs!$D$9:$D$258,$AA175)))</f>
        <v/>
      </c>
      <c r="M175" s="39"/>
      <c r="N175" s="39"/>
      <c r="O175" s="42" t="str">
        <f>IF($AA175=0,"",IF(LEN(INDEX(Jobs!$G$9:$G$258,$AA175)&amp;"")=0,"",INDEX(Jobs!$G$9:$G$258,$AA175)))</f>
        <v/>
      </c>
      <c r="P175" s="39"/>
      <c r="Q175" s="39"/>
      <c r="R175" s="42" t="str">
        <f>IF($AA175=0,"",IF(LEN(INDEX(Jobs!$H$9:$H$258,$AA175)&amp;"")=0,"",INDEX(Jobs!$H$9:$H$258,$AA175)))</f>
        <v/>
      </c>
      <c r="S175" s="39"/>
      <c r="T175" s="39"/>
      <c r="U175" s="43" t="str">
        <f>IF($AA175=0,"",HYPERLINK("#'"&amp;INDEX(Jobs!$P$9:$P$258,$AA175)&amp;"'!A1","Open job"))</f>
        <v/>
      </c>
      <c r="V175" s="39"/>
      <c r="AA175">
        <f>IFERROR(MATCH(158,Jobs!$Q$9:$Q$258,0),0)</f>
        <v>0</v>
      </c>
    </row>
    <row r="176" spans="1:27" ht="36" hidden="1" customHeight="1" x14ac:dyDescent="0.35">
      <c r="A176" s="40" t="str">
        <f>IF($AA176=0,"",IF(LEN(INDEX(Jobs!$A$9:$A$258,$AA176)&amp;"")=0,"",INDEX(Jobs!$A$9:$A$258,$AA176)))</f>
        <v/>
      </c>
      <c r="B176" s="39"/>
      <c r="C176" s="40" t="str">
        <f>IF($AA176=0,"",IF(LEN(INDEX(Jobs!$B$9:$B$258,$AA176)&amp;"")=0,"",INDEX(Jobs!$B$9:$B$258,$AA176)))</f>
        <v/>
      </c>
      <c r="D176" s="39"/>
      <c r="E176" s="39"/>
      <c r="F176" s="39"/>
      <c r="G176" s="39"/>
      <c r="H176" s="39"/>
      <c r="I176" s="39"/>
      <c r="J176" s="39"/>
      <c r="K176" s="39"/>
      <c r="L176" s="40" t="str">
        <f>IF($AA176=0,"",IF(LEN(INDEX(Jobs!$D$9:$D$258,$AA176)&amp;"")=0,"",INDEX(Jobs!$D$9:$D$258,$AA176)))</f>
        <v/>
      </c>
      <c r="M176" s="39"/>
      <c r="N176" s="39"/>
      <c r="O176" s="41" t="str">
        <f>IF($AA176=0,"",IF(LEN(INDEX(Jobs!$G$9:$G$258,$AA176)&amp;"")=0,"",INDEX(Jobs!$G$9:$G$258,$AA176)))</f>
        <v/>
      </c>
      <c r="P176" s="39"/>
      <c r="Q176" s="39"/>
      <c r="R176" s="41" t="str">
        <f>IF($AA176=0,"",IF(LEN(INDEX(Jobs!$H$9:$H$258,$AA176)&amp;"")=0,"",INDEX(Jobs!$H$9:$H$258,$AA176)))</f>
        <v/>
      </c>
      <c r="S176" s="39"/>
      <c r="T176" s="39"/>
      <c r="U176" s="44" t="str">
        <f>IF($AA176=0,"",HYPERLINK("#'"&amp;INDEX(Jobs!$P$9:$P$258,$AA176)&amp;"'!A1","Open job"))</f>
        <v/>
      </c>
      <c r="V176" s="39"/>
      <c r="AA176">
        <f>IFERROR(MATCH(159,Jobs!$Q$9:$Q$258,0),0)</f>
        <v>0</v>
      </c>
    </row>
    <row r="177" spans="1:27" ht="36" hidden="1" customHeight="1" x14ac:dyDescent="0.35">
      <c r="A177" s="38" t="str">
        <f>IF($AA177=0,"",IF(LEN(INDEX(Jobs!$A$9:$A$258,$AA177)&amp;"")=0,"",INDEX(Jobs!$A$9:$A$258,$AA177)))</f>
        <v/>
      </c>
      <c r="B177" s="39"/>
      <c r="C177" s="38" t="str">
        <f>IF($AA177=0,"",IF(LEN(INDEX(Jobs!$B$9:$B$258,$AA177)&amp;"")=0,"",INDEX(Jobs!$B$9:$B$258,$AA177)))</f>
        <v/>
      </c>
      <c r="D177" s="39"/>
      <c r="E177" s="39"/>
      <c r="F177" s="39"/>
      <c r="G177" s="39"/>
      <c r="H177" s="39"/>
      <c r="I177" s="39"/>
      <c r="J177" s="39"/>
      <c r="K177" s="39"/>
      <c r="L177" s="38" t="str">
        <f>IF($AA177=0,"",IF(LEN(INDEX(Jobs!$D$9:$D$258,$AA177)&amp;"")=0,"",INDEX(Jobs!$D$9:$D$258,$AA177)))</f>
        <v/>
      </c>
      <c r="M177" s="39"/>
      <c r="N177" s="39"/>
      <c r="O177" s="42" t="str">
        <f>IF($AA177=0,"",IF(LEN(INDEX(Jobs!$G$9:$G$258,$AA177)&amp;"")=0,"",INDEX(Jobs!$G$9:$G$258,$AA177)))</f>
        <v/>
      </c>
      <c r="P177" s="39"/>
      <c r="Q177" s="39"/>
      <c r="R177" s="42" t="str">
        <f>IF($AA177=0,"",IF(LEN(INDEX(Jobs!$H$9:$H$258,$AA177)&amp;"")=0,"",INDEX(Jobs!$H$9:$H$258,$AA177)))</f>
        <v/>
      </c>
      <c r="S177" s="39"/>
      <c r="T177" s="39"/>
      <c r="U177" s="43" t="str">
        <f>IF($AA177=0,"",HYPERLINK("#'"&amp;INDEX(Jobs!$P$9:$P$258,$AA177)&amp;"'!A1","Open job"))</f>
        <v/>
      </c>
      <c r="V177" s="39"/>
      <c r="AA177">
        <f>IFERROR(MATCH(160,Jobs!$Q$9:$Q$258,0),0)</f>
        <v>0</v>
      </c>
    </row>
    <row r="178" spans="1:27" ht="36" hidden="1" customHeight="1" x14ac:dyDescent="0.35">
      <c r="A178" s="40" t="str">
        <f>IF($AA178=0,"",IF(LEN(INDEX(Jobs!$A$9:$A$258,$AA178)&amp;"")=0,"",INDEX(Jobs!$A$9:$A$258,$AA178)))</f>
        <v/>
      </c>
      <c r="B178" s="39"/>
      <c r="C178" s="40" t="str">
        <f>IF($AA178=0,"",IF(LEN(INDEX(Jobs!$B$9:$B$258,$AA178)&amp;"")=0,"",INDEX(Jobs!$B$9:$B$258,$AA178)))</f>
        <v/>
      </c>
      <c r="D178" s="39"/>
      <c r="E178" s="39"/>
      <c r="F178" s="39"/>
      <c r="G178" s="39"/>
      <c r="H178" s="39"/>
      <c r="I178" s="39"/>
      <c r="J178" s="39"/>
      <c r="K178" s="39"/>
      <c r="L178" s="40" t="str">
        <f>IF($AA178=0,"",IF(LEN(INDEX(Jobs!$D$9:$D$258,$AA178)&amp;"")=0,"",INDEX(Jobs!$D$9:$D$258,$AA178)))</f>
        <v/>
      </c>
      <c r="M178" s="39"/>
      <c r="N178" s="39"/>
      <c r="O178" s="41" t="str">
        <f>IF($AA178=0,"",IF(LEN(INDEX(Jobs!$G$9:$G$258,$AA178)&amp;"")=0,"",INDEX(Jobs!$G$9:$G$258,$AA178)))</f>
        <v/>
      </c>
      <c r="P178" s="39"/>
      <c r="Q178" s="39"/>
      <c r="R178" s="41" t="str">
        <f>IF($AA178=0,"",IF(LEN(INDEX(Jobs!$H$9:$H$258,$AA178)&amp;"")=0,"",INDEX(Jobs!$H$9:$H$258,$AA178)))</f>
        <v/>
      </c>
      <c r="S178" s="39"/>
      <c r="T178" s="39"/>
      <c r="U178" s="44" t="str">
        <f>IF($AA178=0,"",HYPERLINK("#'"&amp;INDEX(Jobs!$P$9:$P$258,$AA178)&amp;"'!A1","Open job"))</f>
        <v/>
      </c>
      <c r="V178" s="39"/>
      <c r="AA178">
        <f>IFERROR(MATCH(161,Jobs!$Q$9:$Q$258,0),0)</f>
        <v>0</v>
      </c>
    </row>
    <row r="179" spans="1:27" ht="36" hidden="1" customHeight="1" x14ac:dyDescent="0.35">
      <c r="A179" s="38" t="str">
        <f>IF($AA179=0,"",IF(LEN(INDEX(Jobs!$A$9:$A$258,$AA179)&amp;"")=0,"",INDEX(Jobs!$A$9:$A$258,$AA179)))</f>
        <v/>
      </c>
      <c r="B179" s="39"/>
      <c r="C179" s="38" t="str">
        <f>IF($AA179=0,"",IF(LEN(INDEX(Jobs!$B$9:$B$258,$AA179)&amp;"")=0,"",INDEX(Jobs!$B$9:$B$258,$AA179)))</f>
        <v/>
      </c>
      <c r="D179" s="39"/>
      <c r="E179" s="39"/>
      <c r="F179" s="39"/>
      <c r="G179" s="39"/>
      <c r="H179" s="39"/>
      <c r="I179" s="39"/>
      <c r="J179" s="39"/>
      <c r="K179" s="39"/>
      <c r="L179" s="38" t="str">
        <f>IF($AA179=0,"",IF(LEN(INDEX(Jobs!$D$9:$D$258,$AA179)&amp;"")=0,"",INDEX(Jobs!$D$9:$D$258,$AA179)))</f>
        <v/>
      </c>
      <c r="M179" s="39"/>
      <c r="N179" s="39"/>
      <c r="O179" s="42" t="str">
        <f>IF($AA179=0,"",IF(LEN(INDEX(Jobs!$G$9:$G$258,$AA179)&amp;"")=0,"",INDEX(Jobs!$G$9:$G$258,$AA179)))</f>
        <v/>
      </c>
      <c r="P179" s="39"/>
      <c r="Q179" s="39"/>
      <c r="R179" s="42" t="str">
        <f>IF($AA179=0,"",IF(LEN(INDEX(Jobs!$H$9:$H$258,$AA179)&amp;"")=0,"",INDEX(Jobs!$H$9:$H$258,$AA179)))</f>
        <v/>
      </c>
      <c r="S179" s="39"/>
      <c r="T179" s="39"/>
      <c r="U179" s="43" t="str">
        <f>IF($AA179=0,"",HYPERLINK("#'"&amp;INDEX(Jobs!$P$9:$P$258,$AA179)&amp;"'!A1","Open job"))</f>
        <v/>
      </c>
      <c r="V179" s="39"/>
      <c r="AA179">
        <f>IFERROR(MATCH(162,Jobs!$Q$9:$Q$258,0),0)</f>
        <v>0</v>
      </c>
    </row>
    <row r="180" spans="1:27" ht="36" hidden="1" customHeight="1" x14ac:dyDescent="0.35">
      <c r="A180" s="40" t="str">
        <f>IF($AA180=0,"",IF(LEN(INDEX(Jobs!$A$9:$A$258,$AA180)&amp;"")=0,"",INDEX(Jobs!$A$9:$A$258,$AA180)))</f>
        <v/>
      </c>
      <c r="B180" s="39"/>
      <c r="C180" s="40" t="str">
        <f>IF($AA180=0,"",IF(LEN(INDEX(Jobs!$B$9:$B$258,$AA180)&amp;"")=0,"",INDEX(Jobs!$B$9:$B$258,$AA180)))</f>
        <v/>
      </c>
      <c r="D180" s="39"/>
      <c r="E180" s="39"/>
      <c r="F180" s="39"/>
      <c r="G180" s="39"/>
      <c r="H180" s="39"/>
      <c r="I180" s="39"/>
      <c r="J180" s="39"/>
      <c r="K180" s="39"/>
      <c r="L180" s="40" t="str">
        <f>IF($AA180=0,"",IF(LEN(INDEX(Jobs!$D$9:$D$258,$AA180)&amp;"")=0,"",INDEX(Jobs!$D$9:$D$258,$AA180)))</f>
        <v/>
      </c>
      <c r="M180" s="39"/>
      <c r="N180" s="39"/>
      <c r="O180" s="41" t="str">
        <f>IF($AA180=0,"",IF(LEN(INDEX(Jobs!$G$9:$G$258,$AA180)&amp;"")=0,"",INDEX(Jobs!$G$9:$G$258,$AA180)))</f>
        <v/>
      </c>
      <c r="P180" s="39"/>
      <c r="Q180" s="39"/>
      <c r="R180" s="41" t="str">
        <f>IF($AA180=0,"",IF(LEN(INDEX(Jobs!$H$9:$H$258,$AA180)&amp;"")=0,"",INDEX(Jobs!$H$9:$H$258,$AA180)))</f>
        <v/>
      </c>
      <c r="S180" s="39"/>
      <c r="T180" s="39"/>
      <c r="U180" s="44" t="str">
        <f>IF($AA180=0,"",HYPERLINK("#'"&amp;INDEX(Jobs!$P$9:$P$258,$AA180)&amp;"'!A1","Open job"))</f>
        <v/>
      </c>
      <c r="V180" s="39"/>
      <c r="AA180">
        <f>IFERROR(MATCH(163,Jobs!$Q$9:$Q$258,0),0)</f>
        <v>0</v>
      </c>
    </row>
    <row r="181" spans="1:27" ht="36" hidden="1" customHeight="1" x14ac:dyDescent="0.35">
      <c r="A181" s="38" t="str">
        <f>IF($AA181=0,"",IF(LEN(INDEX(Jobs!$A$9:$A$258,$AA181)&amp;"")=0,"",INDEX(Jobs!$A$9:$A$258,$AA181)))</f>
        <v/>
      </c>
      <c r="B181" s="39"/>
      <c r="C181" s="38" t="str">
        <f>IF($AA181=0,"",IF(LEN(INDEX(Jobs!$B$9:$B$258,$AA181)&amp;"")=0,"",INDEX(Jobs!$B$9:$B$258,$AA181)))</f>
        <v/>
      </c>
      <c r="D181" s="39"/>
      <c r="E181" s="39"/>
      <c r="F181" s="39"/>
      <c r="G181" s="39"/>
      <c r="H181" s="39"/>
      <c r="I181" s="39"/>
      <c r="J181" s="39"/>
      <c r="K181" s="39"/>
      <c r="L181" s="38" t="str">
        <f>IF($AA181=0,"",IF(LEN(INDEX(Jobs!$D$9:$D$258,$AA181)&amp;"")=0,"",INDEX(Jobs!$D$9:$D$258,$AA181)))</f>
        <v/>
      </c>
      <c r="M181" s="39"/>
      <c r="N181" s="39"/>
      <c r="O181" s="42" t="str">
        <f>IF($AA181=0,"",IF(LEN(INDEX(Jobs!$G$9:$G$258,$AA181)&amp;"")=0,"",INDEX(Jobs!$G$9:$G$258,$AA181)))</f>
        <v/>
      </c>
      <c r="P181" s="39"/>
      <c r="Q181" s="39"/>
      <c r="R181" s="42" t="str">
        <f>IF($AA181=0,"",IF(LEN(INDEX(Jobs!$H$9:$H$258,$AA181)&amp;"")=0,"",INDEX(Jobs!$H$9:$H$258,$AA181)))</f>
        <v/>
      </c>
      <c r="S181" s="39"/>
      <c r="T181" s="39"/>
      <c r="U181" s="43" t="str">
        <f>IF($AA181=0,"",HYPERLINK("#'"&amp;INDEX(Jobs!$P$9:$P$258,$AA181)&amp;"'!A1","Open job"))</f>
        <v/>
      </c>
      <c r="V181" s="39"/>
      <c r="AA181">
        <f>IFERROR(MATCH(164,Jobs!$Q$9:$Q$258,0),0)</f>
        <v>0</v>
      </c>
    </row>
    <row r="182" spans="1:27" ht="36" hidden="1" customHeight="1" x14ac:dyDescent="0.35">
      <c r="A182" s="40" t="str">
        <f>IF($AA182=0,"",IF(LEN(INDEX(Jobs!$A$9:$A$258,$AA182)&amp;"")=0,"",INDEX(Jobs!$A$9:$A$258,$AA182)))</f>
        <v/>
      </c>
      <c r="B182" s="39"/>
      <c r="C182" s="40" t="str">
        <f>IF($AA182=0,"",IF(LEN(INDEX(Jobs!$B$9:$B$258,$AA182)&amp;"")=0,"",INDEX(Jobs!$B$9:$B$258,$AA182)))</f>
        <v/>
      </c>
      <c r="D182" s="39"/>
      <c r="E182" s="39"/>
      <c r="F182" s="39"/>
      <c r="G182" s="39"/>
      <c r="H182" s="39"/>
      <c r="I182" s="39"/>
      <c r="J182" s="39"/>
      <c r="K182" s="39"/>
      <c r="L182" s="40" t="str">
        <f>IF($AA182=0,"",IF(LEN(INDEX(Jobs!$D$9:$D$258,$AA182)&amp;"")=0,"",INDEX(Jobs!$D$9:$D$258,$AA182)))</f>
        <v/>
      </c>
      <c r="M182" s="39"/>
      <c r="N182" s="39"/>
      <c r="O182" s="41" t="str">
        <f>IF($AA182=0,"",IF(LEN(INDEX(Jobs!$G$9:$G$258,$AA182)&amp;"")=0,"",INDEX(Jobs!$G$9:$G$258,$AA182)))</f>
        <v/>
      </c>
      <c r="P182" s="39"/>
      <c r="Q182" s="39"/>
      <c r="R182" s="41" t="str">
        <f>IF($AA182=0,"",IF(LEN(INDEX(Jobs!$H$9:$H$258,$AA182)&amp;"")=0,"",INDEX(Jobs!$H$9:$H$258,$AA182)))</f>
        <v/>
      </c>
      <c r="S182" s="39"/>
      <c r="T182" s="39"/>
      <c r="U182" s="44" t="str">
        <f>IF($AA182=0,"",HYPERLINK("#'"&amp;INDEX(Jobs!$P$9:$P$258,$AA182)&amp;"'!A1","Open job"))</f>
        <v/>
      </c>
      <c r="V182" s="39"/>
      <c r="AA182">
        <f>IFERROR(MATCH(165,Jobs!$Q$9:$Q$258,0),0)</f>
        <v>0</v>
      </c>
    </row>
    <row r="183" spans="1:27" ht="36" hidden="1" customHeight="1" x14ac:dyDescent="0.35">
      <c r="A183" s="38" t="str">
        <f>IF($AA183=0,"",IF(LEN(INDEX(Jobs!$A$9:$A$258,$AA183)&amp;"")=0,"",INDEX(Jobs!$A$9:$A$258,$AA183)))</f>
        <v/>
      </c>
      <c r="B183" s="39"/>
      <c r="C183" s="38" t="str">
        <f>IF($AA183=0,"",IF(LEN(INDEX(Jobs!$B$9:$B$258,$AA183)&amp;"")=0,"",INDEX(Jobs!$B$9:$B$258,$AA183)))</f>
        <v/>
      </c>
      <c r="D183" s="39"/>
      <c r="E183" s="39"/>
      <c r="F183" s="39"/>
      <c r="G183" s="39"/>
      <c r="H183" s="39"/>
      <c r="I183" s="39"/>
      <c r="J183" s="39"/>
      <c r="K183" s="39"/>
      <c r="L183" s="38" t="str">
        <f>IF($AA183=0,"",IF(LEN(INDEX(Jobs!$D$9:$D$258,$AA183)&amp;"")=0,"",INDEX(Jobs!$D$9:$D$258,$AA183)))</f>
        <v/>
      </c>
      <c r="M183" s="39"/>
      <c r="N183" s="39"/>
      <c r="O183" s="42" t="str">
        <f>IF($AA183=0,"",IF(LEN(INDEX(Jobs!$G$9:$G$258,$AA183)&amp;"")=0,"",INDEX(Jobs!$G$9:$G$258,$AA183)))</f>
        <v/>
      </c>
      <c r="P183" s="39"/>
      <c r="Q183" s="39"/>
      <c r="R183" s="42" t="str">
        <f>IF($AA183=0,"",IF(LEN(INDEX(Jobs!$H$9:$H$258,$AA183)&amp;"")=0,"",INDEX(Jobs!$H$9:$H$258,$AA183)))</f>
        <v/>
      </c>
      <c r="S183" s="39"/>
      <c r="T183" s="39"/>
      <c r="U183" s="43" t="str">
        <f>IF($AA183=0,"",HYPERLINK("#'"&amp;INDEX(Jobs!$P$9:$P$258,$AA183)&amp;"'!A1","Open job"))</f>
        <v/>
      </c>
      <c r="V183" s="39"/>
      <c r="AA183">
        <f>IFERROR(MATCH(166,Jobs!$Q$9:$Q$258,0),0)</f>
        <v>0</v>
      </c>
    </row>
    <row r="184" spans="1:27" ht="36" hidden="1" customHeight="1" x14ac:dyDescent="0.35">
      <c r="A184" s="40" t="str">
        <f>IF($AA184=0,"",IF(LEN(INDEX(Jobs!$A$9:$A$258,$AA184)&amp;"")=0,"",INDEX(Jobs!$A$9:$A$258,$AA184)))</f>
        <v/>
      </c>
      <c r="B184" s="39"/>
      <c r="C184" s="40" t="str">
        <f>IF($AA184=0,"",IF(LEN(INDEX(Jobs!$B$9:$B$258,$AA184)&amp;"")=0,"",INDEX(Jobs!$B$9:$B$258,$AA184)))</f>
        <v/>
      </c>
      <c r="D184" s="39"/>
      <c r="E184" s="39"/>
      <c r="F184" s="39"/>
      <c r="G184" s="39"/>
      <c r="H184" s="39"/>
      <c r="I184" s="39"/>
      <c r="J184" s="39"/>
      <c r="K184" s="39"/>
      <c r="L184" s="40" t="str">
        <f>IF($AA184=0,"",IF(LEN(INDEX(Jobs!$D$9:$D$258,$AA184)&amp;"")=0,"",INDEX(Jobs!$D$9:$D$258,$AA184)))</f>
        <v/>
      </c>
      <c r="M184" s="39"/>
      <c r="N184" s="39"/>
      <c r="O184" s="41" t="str">
        <f>IF($AA184=0,"",IF(LEN(INDEX(Jobs!$G$9:$G$258,$AA184)&amp;"")=0,"",INDEX(Jobs!$G$9:$G$258,$AA184)))</f>
        <v/>
      </c>
      <c r="P184" s="39"/>
      <c r="Q184" s="39"/>
      <c r="R184" s="41" t="str">
        <f>IF($AA184=0,"",IF(LEN(INDEX(Jobs!$H$9:$H$258,$AA184)&amp;"")=0,"",INDEX(Jobs!$H$9:$H$258,$AA184)))</f>
        <v/>
      </c>
      <c r="S184" s="39"/>
      <c r="T184" s="39"/>
      <c r="U184" s="44" t="str">
        <f>IF($AA184=0,"",HYPERLINK("#'"&amp;INDEX(Jobs!$P$9:$P$258,$AA184)&amp;"'!A1","Open job"))</f>
        <v/>
      </c>
      <c r="V184" s="39"/>
      <c r="AA184">
        <f>IFERROR(MATCH(167,Jobs!$Q$9:$Q$258,0),0)</f>
        <v>0</v>
      </c>
    </row>
    <row r="185" spans="1:27" ht="36" hidden="1" customHeight="1" x14ac:dyDescent="0.35">
      <c r="A185" s="38" t="str">
        <f>IF($AA185=0,"",IF(LEN(INDEX(Jobs!$A$9:$A$258,$AA185)&amp;"")=0,"",INDEX(Jobs!$A$9:$A$258,$AA185)))</f>
        <v/>
      </c>
      <c r="B185" s="39"/>
      <c r="C185" s="38" t="str">
        <f>IF($AA185=0,"",IF(LEN(INDEX(Jobs!$B$9:$B$258,$AA185)&amp;"")=0,"",INDEX(Jobs!$B$9:$B$258,$AA185)))</f>
        <v/>
      </c>
      <c r="D185" s="39"/>
      <c r="E185" s="39"/>
      <c r="F185" s="39"/>
      <c r="G185" s="39"/>
      <c r="H185" s="39"/>
      <c r="I185" s="39"/>
      <c r="J185" s="39"/>
      <c r="K185" s="39"/>
      <c r="L185" s="38" t="str">
        <f>IF($AA185=0,"",IF(LEN(INDEX(Jobs!$D$9:$D$258,$AA185)&amp;"")=0,"",INDEX(Jobs!$D$9:$D$258,$AA185)))</f>
        <v/>
      </c>
      <c r="M185" s="39"/>
      <c r="N185" s="39"/>
      <c r="O185" s="42" t="str">
        <f>IF($AA185=0,"",IF(LEN(INDEX(Jobs!$G$9:$G$258,$AA185)&amp;"")=0,"",INDEX(Jobs!$G$9:$G$258,$AA185)))</f>
        <v/>
      </c>
      <c r="P185" s="39"/>
      <c r="Q185" s="39"/>
      <c r="R185" s="42" t="str">
        <f>IF($AA185=0,"",IF(LEN(INDEX(Jobs!$H$9:$H$258,$AA185)&amp;"")=0,"",INDEX(Jobs!$H$9:$H$258,$AA185)))</f>
        <v/>
      </c>
      <c r="S185" s="39"/>
      <c r="T185" s="39"/>
      <c r="U185" s="43" t="str">
        <f>IF($AA185=0,"",HYPERLINK("#'"&amp;INDEX(Jobs!$P$9:$P$258,$AA185)&amp;"'!A1","Open job"))</f>
        <v/>
      </c>
      <c r="V185" s="39"/>
      <c r="AA185">
        <f>IFERROR(MATCH(168,Jobs!$Q$9:$Q$258,0),0)</f>
        <v>0</v>
      </c>
    </row>
    <row r="186" spans="1:27" ht="36" hidden="1" customHeight="1" x14ac:dyDescent="0.35">
      <c r="A186" s="40" t="str">
        <f>IF($AA186=0,"",IF(LEN(INDEX(Jobs!$A$9:$A$258,$AA186)&amp;"")=0,"",INDEX(Jobs!$A$9:$A$258,$AA186)))</f>
        <v/>
      </c>
      <c r="B186" s="39"/>
      <c r="C186" s="40" t="str">
        <f>IF($AA186=0,"",IF(LEN(INDEX(Jobs!$B$9:$B$258,$AA186)&amp;"")=0,"",INDEX(Jobs!$B$9:$B$258,$AA186)))</f>
        <v/>
      </c>
      <c r="D186" s="39"/>
      <c r="E186" s="39"/>
      <c r="F186" s="39"/>
      <c r="G186" s="39"/>
      <c r="H186" s="39"/>
      <c r="I186" s="39"/>
      <c r="J186" s="39"/>
      <c r="K186" s="39"/>
      <c r="L186" s="40" t="str">
        <f>IF($AA186=0,"",IF(LEN(INDEX(Jobs!$D$9:$D$258,$AA186)&amp;"")=0,"",INDEX(Jobs!$D$9:$D$258,$AA186)))</f>
        <v/>
      </c>
      <c r="M186" s="39"/>
      <c r="N186" s="39"/>
      <c r="O186" s="41" t="str">
        <f>IF($AA186=0,"",IF(LEN(INDEX(Jobs!$G$9:$G$258,$AA186)&amp;"")=0,"",INDEX(Jobs!$G$9:$G$258,$AA186)))</f>
        <v/>
      </c>
      <c r="P186" s="39"/>
      <c r="Q186" s="39"/>
      <c r="R186" s="41" t="str">
        <f>IF($AA186=0,"",IF(LEN(INDEX(Jobs!$H$9:$H$258,$AA186)&amp;"")=0,"",INDEX(Jobs!$H$9:$H$258,$AA186)))</f>
        <v/>
      </c>
      <c r="S186" s="39"/>
      <c r="T186" s="39"/>
      <c r="U186" s="44" t="str">
        <f>IF($AA186=0,"",HYPERLINK("#'"&amp;INDEX(Jobs!$P$9:$P$258,$AA186)&amp;"'!A1","Open job"))</f>
        <v/>
      </c>
      <c r="V186" s="39"/>
      <c r="AA186">
        <f>IFERROR(MATCH(169,Jobs!$Q$9:$Q$258,0),0)</f>
        <v>0</v>
      </c>
    </row>
    <row r="187" spans="1:27" ht="36" hidden="1" customHeight="1" x14ac:dyDescent="0.35">
      <c r="A187" s="38" t="str">
        <f>IF($AA187=0,"",IF(LEN(INDEX(Jobs!$A$9:$A$258,$AA187)&amp;"")=0,"",INDEX(Jobs!$A$9:$A$258,$AA187)))</f>
        <v/>
      </c>
      <c r="B187" s="39"/>
      <c r="C187" s="38" t="str">
        <f>IF($AA187=0,"",IF(LEN(INDEX(Jobs!$B$9:$B$258,$AA187)&amp;"")=0,"",INDEX(Jobs!$B$9:$B$258,$AA187)))</f>
        <v/>
      </c>
      <c r="D187" s="39"/>
      <c r="E187" s="39"/>
      <c r="F187" s="39"/>
      <c r="G187" s="39"/>
      <c r="H187" s="39"/>
      <c r="I187" s="39"/>
      <c r="J187" s="39"/>
      <c r="K187" s="39"/>
      <c r="L187" s="38" t="str">
        <f>IF($AA187=0,"",IF(LEN(INDEX(Jobs!$D$9:$D$258,$AA187)&amp;"")=0,"",INDEX(Jobs!$D$9:$D$258,$AA187)))</f>
        <v/>
      </c>
      <c r="M187" s="39"/>
      <c r="N187" s="39"/>
      <c r="O187" s="42" t="str">
        <f>IF($AA187=0,"",IF(LEN(INDEX(Jobs!$G$9:$G$258,$AA187)&amp;"")=0,"",INDEX(Jobs!$G$9:$G$258,$AA187)))</f>
        <v/>
      </c>
      <c r="P187" s="39"/>
      <c r="Q187" s="39"/>
      <c r="R187" s="42" t="str">
        <f>IF($AA187=0,"",IF(LEN(INDEX(Jobs!$H$9:$H$258,$AA187)&amp;"")=0,"",INDEX(Jobs!$H$9:$H$258,$AA187)))</f>
        <v/>
      </c>
      <c r="S187" s="39"/>
      <c r="T187" s="39"/>
      <c r="U187" s="43" t="str">
        <f>IF($AA187=0,"",HYPERLINK("#'"&amp;INDEX(Jobs!$P$9:$P$258,$AA187)&amp;"'!A1","Open job"))</f>
        <v/>
      </c>
      <c r="V187" s="39"/>
      <c r="AA187">
        <f>IFERROR(MATCH(170,Jobs!$Q$9:$Q$258,0),0)</f>
        <v>0</v>
      </c>
    </row>
    <row r="188" spans="1:27" ht="36" hidden="1" customHeight="1" x14ac:dyDescent="0.35">
      <c r="A188" s="40" t="str">
        <f>IF($AA188=0,"",IF(LEN(INDEX(Jobs!$A$9:$A$258,$AA188)&amp;"")=0,"",INDEX(Jobs!$A$9:$A$258,$AA188)))</f>
        <v/>
      </c>
      <c r="B188" s="39"/>
      <c r="C188" s="40" t="str">
        <f>IF($AA188=0,"",IF(LEN(INDEX(Jobs!$B$9:$B$258,$AA188)&amp;"")=0,"",INDEX(Jobs!$B$9:$B$258,$AA188)))</f>
        <v/>
      </c>
      <c r="D188" s="39"/>
      <c r="E188" s="39"/>
      <c r="F188" s="39"/>
      <c r="G188" s="39"/>
      <c r="H188" s="39"/>
      <c r="I188" s="39"/>
      <c r="J188" s="39"/>
      <c r="K188" s="39"/>
      <c r="L188" s="40" t="str">
        <f>IF($AA188=0,"",IF(LEN(INDEX(Jobs!$D$9:$D$258,$AA188)&amp;"")=0,"",INDEX(Jobs!$D$9:$D$258,$AA188)))</f>
        <v/>
      </c>
      <c r="M188" s="39"/>
      <c r="N188" s="39"/>
      <c r="O188" s="41" t="str">
        <f>IF($AA188=0,"",IF(LEN(INDEX(Jobs!$G$9:$G$258,$AA188)&amp;"")=0,"",INDEX(Jobs!$G$9:$G$258,$AA188)))</f>
        <v/>
      </c>
      <c r="P188" s="39"/>
      <c r="Q188" s="39"/>
      <c r="R188" s="41" t="str">
        <f>IF($AA188=0,"",IF(LEN(INDEX(Jobs!$H$9:$H$258,$AA188)&amp;"")=0,"",INDEX(Jobs!$H$9:$H$258,$AA188)))</f>
        <v/>
      </c>
      <c r="S188" s="39"/>
      <c r="T188" s="39"/>
      <c r="U188" s="44" t="str">
        <f>IF($AA188=0,"",HYPERLINK("#'"&amp;INDEX(Jobs!$P$9:$P$258,$AA188)&amp;"'!A1","Open job"))</f>
        <v/>
      </c>
      <c r="V188" s="39"/>
      <c r="AA188">
        <f>IFERROR(MATCH(171,Jobs!$Q$9:$Q$258,0),0)</f>
        <v>0</v>
      </c>
    </row>
    <row r="189" spans="1:27" ht="36" hidden="1" customHeight="1" x14ac:dyDescent="0.35">
      <c r="A189" s="38" t="str">
        <f>IF($AA189=0,"",IF(LEN(INDEX(Jobs!$A$9:$A$258,$AA189)&amp;"")=0,"",INDEX(Jobs!$A$9:$A$258,$AA189)))</f>
        <v/>
      </c>
      <c r="B189" s="39"/>
      <c r="C189" s="38" t="str">
        <f>IF($AA189=0,"",IF(LEN(INDEX(Jobs!$B$9:$B$258,$AA189)&amp;"")=0,"",INDEX(Jobs!$B$9:$B$258,$AA189)))</f>
        <v/>
      </c>
      <c r="D189" s="39"/>
      <c r="E189" s="39"/>
      <c r="F189" s="39"/>
      <c r="G189" s="39"/>
      <c r="H189" s="39"/>
      <c r="I189" s="39"/>
      <c r="J189" s="39"/>
      <c r="K189" s="39"/>
      <c r="L189" s="38" t="str">
        <f>IF($AA189=0,"",IF(LEN(INDEX(Jobs!$D$9:$D$258,$AA189)&amp;"")=0,"",INDEX(Jobs!$D$9:$D$258,$AA189)))</f>
        <v/>
      </c>
      <c r="M189" s="39"/>
      <c r="N189" s="39"/>
      <c r="O189" s="42" t="str">
        <f>IF($AA189=0,"",IF(LEN(INDEX(Jobs!$G$9:$G$258,$AA189)&amp;"")=0,"",INDEX(Jobs!$G$9:$G$258,$AA189)))</f>
        <v/>
      </c>
      <c r="P189" s="39"/>
      <c r="Q189" s="39"/>
      <c r="R189" s="42" t="str">
        <f>IF($AA189=0,"",IF(LEN(INDEX(Jobs!$H$9:$H$258,$AA189)&amp;"")=0,"",INDEX(Jobs!$H$9:$H$258,$AA189)))</f>
        <v/>
      </c>
      <c r="S189" s="39"/>
      <c r="T189" s="39"/>
      <c r="U189" s="43" t="str">
        <f>IF($AA189=0,"",HYPERLINK("#'"&amp;INDEX(Jobs!$P$9:$P$258,$AA189)&amp;"'!A1","Open job"))</f>
        <v/>
      </c>
      <c r="V189" s="39"/>
      <c r="AA189">
        <f>IFERROR(MATCH(172,Jobs!$Q$9:$Q$258,0),0)</f>
        <v>0</v>
      </c>
    </row>
    <row r="190" spans="1:27" ht="36" hidden="1" customHeight="1" x14ac:dyDescent="0.35">
      <c r="A190" s="40" t="str">
        <f>IF($AA190=0,"",IF(LEN(INDEX(Jobs!$A$9:$A$258,$AA190)&amp;"")=0,"",INDEX(Jobs!$A$9:$A$258,$AA190)))</f>
        <v/>
      </c>
      <c r="B190" s="39"/>
      <c r="C190" s="40" t="str">
        <f>IF($AA190=0,"",IF(LEN(INDEX(Jobs!$B$9:$B$258,$AA190)&amp;"")=0,"",INDEX(Jobs!$B$9:$B$258,$AA190)))</f>
        <v/>
      </c>
      <c r="D190" s="39"/>
      <c r="E190" s="39"/>
      <c r="F190" s="39"/>
      <c r="G190" s="39"/>
      <c r="H190" s="39"/>
      <c r="I190" s="39"/>
      <c r="J190" s="39"/>
      <c r="K190" s="39"/>
      <c r="L190" s="40" t="str">
        <f>IF($AA190=0,"",IF(LEN(INDEX(Jobs!$D$9:$D$258,$AA190)&amp;"")=0,"",INDEX(Jobs!$D$9:$D$258,$AA190)))</f>
        <v/>
      </c>
      <c r="M190" s="39"/>
      <c r="N190" s="39"/>
      <c r="O190" s="41" t="str">
        <f>IF($AA190=0,"",IF(LEN(INDEX(Jobs!$G$9:$G$258,$AA190)&amp;"")=0,"",INDEX(Jobs!$G$9:$G$258,$AA190)))</f>
        <v/>
      </c>
      <c r="P190" s="39"/>
      <c r="Q190" s="39"/>
      <c r="R190" s="41" t="str">
        <f>IF($AA190=0,"",IF(LEN(INDEX(Jobs!$H$9:$H$258,$AA190)&amp;"")=0,"",INDEX(Jobs!$H$9:$H$258,$AA190)))</f>
        <v/>
      </c>
      <c r="S190" s="39"/>
      <c r="T190" s="39"/>
      <c r="U190" s="44" t="str">
        <f>IF($AA190=0,"",HYPERLINK("#'"&amp;INDEX(Jobs!$P$9:$P$258,$AA190)&amp;"'!A1","Open job"))</f>
        <v/>
      </c>
      <c r="V190" s="39"/>
      <c r="AA190">
        <f>IFERROR(MATCH(173,Jobs!$Q$9:$Q$258,0),0)</f>
        <v>0</v>
      </c>
    </row>
    <row r="191" spans="1:27" ht="36" hidden="1" customHeight="1" x14ac:dyDescent="0.35">
      <c r="A191" s="38" t="str">
        <f>IF($AA191=0,"",IF(LEN(INDEX(Jobs!$A$9:$A$258,$AA191)&amp;"")=0,"",INDEX(Jobs!$A$9:$A$258,$AA191)))</f>
        <v/>
      </c>
      <c r="B191" s="39"/>
      <c r="C191" s="38" t="str">
        <f>IF($AA191=0,"",IF(LEN(INDEX(Jobs!$B$9:$B$258,$AA191)&amp;"")=0,"",INDEX(Jobs!$B$9:$B$258,$AA191)))</f>
        <v/>
      </c>
      <c r="D191" s="39"/>
      <c r="E191" s="39"/>
      <c r="F191" s="39"/>
      <c r="G191" s="39"/>
      <c r="H191" s="39"/>
      <c r="I191" s="39"/>
      <c r="J191" s="39"/>
      <c r="K191" s="39"/>
      <c r="L191" s="38" t="str">
        <f>IF($AA191=0,"",IF(LEN(INDEX(Jobs!$D$9:$D$258,$AA191)&amp;"")=0,"",INDEX(Jobs!$D$9:$D$258,$AA191)))</f>
        <v/>
      </c>
      <c r="M191" s="39"/>
      <c r="N191" s="39"/>
      <c r="O191" s="42" t="str">
        <f>IF($AA191=0,"",IF(LEN(INDEX(Jobs!$G$9:$G$258,$AA191)&amp;"")=0,"",INDEX(Jobs!$G$9:$G$258,$AA191)))</f>
        <v/>
      </c>
      <c r="P191" s="39"/>
      <c r="Q191" s="39"/>
      <c r="R191" s="42" t="str">
        <f>IF($AA191=0,"",IF(LEN(INDEX(Jobs!$H$9:$H$258,$AA191)&amp;"")=0,"",INDEX(Jobs!$H$9:$H$258,$AA191)))</f>
        <v/>
      </c>
      <c r="S191" s="39"/>
      <c r="T191" s="39"/>
      <c r="U191" s="43" t="str">
        <f>IF($AA191=0,"",HYPERLINK("#'"&amp;INDEX(Jobs!$P$9:$P$258,$AA191)&amp;"'!A1","Open job"))</f>
        <v/>
      </c>
      <c r="V191" s="39"/>
      <c r="AA191">
        <f>IFERROR(MATCH(174,Jobs!$Q$9:$Q$258,0),0)</f>
        <v>0</v>
      </c>
    </row>
    <row r="192" spans="1:27" ht="36" hidden="1" customHeight="1" x14ac:dyDescent="0.35">
      <c r="A192" s="40" t="str">
        <f>IF($AA192=0,"",IF(LEN(INDEX(Jobs!$A$9:$A$258,$AA192)&amp;"")=0,"",INDEX(Jobs!$A$9:$A$258,$AA192)))</f>
        <v/>
      </c>
      <c r="B192" s="39"/>
      <c r="C192" s="40" t="str">
        <f>IF($AA192=0,"",IF(LEN(INDEX(Jobs!$B$9:$B$258,$AA192)&amp;"")=0,"",INDEX(Jobs!$B$9:$B$258,$AA192)))</f>
        <v/>
      </c>
      <c r="D192" s="39"/>
      <c r="E192" s="39"/>
      <c r="F192" s="39"/>
      <c r="G192" s="39"/>
      <c r="H192" s="39"/>
      <c r="I192" s="39"/>
      <c r="J192" s="39"/>
      <c r="K192" s="39"/>
      <c r="L192" s="40" t="str">
        <f>IF($AA192=0,"",IF(LEN(INDEX(Jobs!$D$9:$D$258,$AA192)&amp;"")=0,"",INDEX(Jobs!$D$9:$D$258,$AA192)))</f>
        <v/>
      </c>
      <c r="M192" s="39"/>
      <c r="N192" s="39"/>
      <c r="O192" s="41" t="str">
        <f>IF($AA192=0,"",IF(LEN(INDEX(Jobs!$G$9:$G$258,$AA192)&amp;"")=0,"",INDEX(Jobs!$G$9:$G$258,$AA192)))</f>
        <v/>
      </c>
      <c r="P192" s="39"/>
      <c r="Q192" s="39"/>
      <c r="R192" s="41" t="str">
        <f>IF($AA192=0,"",IF(LEN(INDEX(Jobs!$H$9:$H$258,$AA192)&amp;"")=0,"",INDEX(Jobs!$H$9:$H$258,$AA192)))</f>
        <v/>
      </c>
      <c r="S192" s="39"/>
      <c r="T192" s="39"/>
      <c r="U192" s="44" t="str">
        <f>IF($AA192=0,"",HYPERLINK("#'"&amp;INDEX(Jobs!$P$9:$P$258,$AA192)&amp;"'!A1","Open job"))</f>
        <v/>
      </c>
      <c r="V192" s="39"/>
      <c r="AA192">
        <f>IFERROR(MATCH(175,Jobs!$Q$9:$Q$258,0),0)</f>
        <v>0</v>
      </c>
    </row>
    <row r="193" spans="1:27" ht="36" hidden="1" customHeight="1" x14ac:dyDescent="0.35">
      <c r="A193" s="38" t="str">
        <f>IF($AA193=0,"",IF(LEN(INDEX(Jobs!$A$9:$A$258,$AA193)&amp;"")=0,"",INDEX(Jobs!$A$9:$A$258,$AA193)))</f>
        <v/>
      </c>
      <c r="B193" s="39"/>
      <c r="C193" s="38" t="str">
        <f>IF($AA193=0,"",IF(LEN(INDEX(Jobs!$B$9:$B$258,$AA193)&amp;"")=0,"",INDEX(Jobs!$B$9:$B$258,$AA193)))</f>
        <v/>
      </c>
      <c r="D193" s="39"/>
      <c r="E193" s="39"/>
      <c r="F193" s="39"/>
      <c r="G193" s="39"/>
      <c r="H193" s="39"/>
      <c r="I193" s="39"/>
      <c r="J193" s="39"/>
      <c r="K193" s="39"/>
      <c r="L193" s="38" t="str">
        <f>IF($AA193=0,"",IF(LEN(INDEX(Jobs!$D$9:$D$258,$AA193)&amp;"")=0,"",INDEX(Jobs!$D$9:$D$258,$AA193)))</f>
        <v/>
      </c>
      <c r="M193" s="39"/>
      <c r="N193" s="39"/>
      <c r="O193" s="42" t="str">
        <f>IF($AA193=0,"",IF(LEN(INDEX(Jobs!$G$9:$G$258,$AA193)&amp;"")=0,"",INDEX(Jobs!$G$9:$G$258,$AA193)))</f>
        <v/>
      </c>
      <c r="P193" s="39"/>
      <c r="Q193" s="39"/>
      <c r="R193" s="42" t="str">
        <f>IF($AA193=0,"",IF(LEN(INDEX(Jobs!$H$9:$H$258,$AA193)&amp;"")=0,"",INDEX(Jobs!$H$9:$H$258,$AA193)))</f>
        <v/>
      </c>
      <c r="S193" s="39"/>
      <c r="T193" s="39"/>
      <c r="U193" s="43" t="str">
        <f>IF($AA193=0,"",HYPERLINK("#'"&amp;INDEX(Jobs!$P$9:$P$258,$AA193)&amp;"'!A1","Open job"))</f>
        <v/>
      </c>
      <c r="V193" s="39"/>
      <c r="AA193">
        <f>IFERROR(MATCH(176,Jobs!$Q$9:$Q$258,0),0)</f>
        <v>0</v>
      </c>
    </row>
    <row r="194" spans="1:27" ht="36" hidden="1" customHeight="1" x14ac:dyDescent="0.35">
      <c r="A194" s="40" t="str">
        <f>IF($AA194=0,"",IF(LEN(INDEX(Jobs!$A$9:$A$258,$AA194)&amp;"")=0,"",INDEX(Jobs!$A$9:$A$258,$AA194)))</f>
        <v/>
      </c>
      <c r="B194" s="39"/>
      <c r="C194" s="40" t="str">
        <f>IF($AA194=0,"",IF(LEN(INDEX(Jobs!$B$9:$B$258,$AA194)&amp;"")=0,"",INDEX(Jobs!$B$9:$B$258,$AA194)))</f>
        <v/>
      </c>
      <c r="D194" s="39"/>
      <c r="E194" s="39"/>
      <c r="F194" s="39"/>
      <c r="G194" s="39"/>
      <c r="H194" s="39"/>
      <c r="I194" s="39"/>
      <c r="J194" s="39"/>
      <c r="K194" s="39"/>
      <c r="L194" s="40" t="str">
        <f>IF($AA194=0,"",IF(LEN(INDEX(Jobs!$D$9:$D$258,$AA194)&amp;"")=0,"",INDEX(Jobs!$D$9:$D$258,$AA194)))</f>
        <v/>
      </c>
      <c r="M194" s="39"/>
      <c r="N194" s="39"/>
      <c r="O194" s="41" t="str">
        <f>IF($AA194=0,"",IF(LEN(INDEX(Jobs!$G$9:$G$258,$AA194)&amp;"")=0,"",INDEX(Jobs!$G$9:$G$258,$AA194)))</f>
        <v/>
      </c>
      <c r="P194" s="39"/>
      <c r="Q194" s="39"/>
      <c r="R194" s="41" t="str">
        <f>IF($AA194=0,"",IF(LEN(INDEX(Jobs!$H$9:$H$258,$AA194)&amp;"")=0,"",INDEX(Jobs!$H$9:$H$258,$AA194)))</f>
        <v/>
      </c>
      <c r="S194" s="39"/>
      <c r="T194" s="39"/>
      <c r="U194" s="44" t="str">
        <f>IF($AA194=0,"",HYPERLINK("#'"&amp;INDEX(Jobs!$P$9:$P$258,$AA194)&amp;"'!A1","Open job"))</f>
        <v/>
      </c>
      <c r="V194" s="39"/>
      <c r="AA194">
        <f>IFERROR(MATCH(177,Jobs!$Q$9:$Q$258,0),0)</f>
        <v>0</v>
      </c>
    </row>
    <row r="195" spans="1:27" ht="36" hidden="1" customHeight="1" x14ac:dyDescent="0.35">
      <c r="A195" s="38" t="str">
        <f>IF($AA195=0,"",IF(LEN(INDEX(Jobs!$A$9:$A$258,$AA195)&amp;"")=0,"",INDEX(Jobs!$A$9:$A$258,$AA195)))</f>
        <v/>
      </c>
      <c r="B195" s="39"/>
      <c r="C195" s="38" t="str">
        <f>IF($AA195=0,"",IF(LEN(INDEX(Jobs!$B$9:$B$258,$AA195)&amp;"")=0,"",INDEX(Jobs!$B$9:$B$258,$AA195)))</f>
        <v/>
      </c>
      <c r="D195" s="39"/>
      <c r="E195" s="39"/>
      <c r="F195" s="39"/>
      <c r="G195" s="39"/>
      <c r="H195" s="39"/>
      <c r="I195" s="39"/>
      <c r="J195" s="39"/>
      <c r="K195" s="39"/>
      <c r="L195" s="38" t="str">
        <f>IF($AA195=0,"",IF(LEN(INDEX(Jobs!$D$9:$D$258,$AA195)&amp;"")=0,"",INDEX(Jobs!$D$9:$D$258,$AA195)))</f>
        <v/>
      </c>
      <c r="M195" s="39"/>
      <c r="N195" s="39"/>
      <c r="O195" s="42" t="str">
        <f>IF($AA195=0,"",IF(LEN(INDEX(Jobs!$G$9:$G$258,$AA195)&amp;"")=0,"",INDEX(Jobs!$G$9:$G$258,$AA195)))</f>
        <v/>
      </c>
      <c r="P195" s="39"/>
      <c r="Q195" s="39"/>
      <c r="R195" s="42" t="str">
        <f>IF($AA195=0,"",IF(LEN(INDEX(Jobs!$H$9:$H$258,$AA195)&amp;"")=0,"",INDEX(Jobs!$H$9:$H$258,$AA195)))</f>
        <v/>
      </c>
      <c r="S195" s="39"/>
      <c r="T195" s="39"/>
      <c r="U195" s="43" t="str">
        <f>IF($AA195=0,"",HYPERLINK("#'"&amp;INDEX(Jobs!$P$9:$P$258,$AA195)&amp;"'!A1","Open job"))</f>
        <v/>
      </c>
      <c r="V195" s="39"/>
      <c r="AA195">
        <f>IFERROR(MATCH(178,Jobs!$Q$9:$Q$258,0),0)</f>
        <v>0</v>
      </c>
    </row>
    <row r="196" spans="1:27" ht="36" hidden="1" customHeight="1" x14ac:dyDescent="0.35">
      <c r="A196" s="40" t="str">
        <f>IF($AA196=0,"",IF(LEN(INDEX(Jobs!$A$9:$A$258,$AA196)&amp;"")=0,"",INDEX(Jobs!$A$9:$A$258,$AA196)))</f>
        <v/>
      </c>
      <c r="B196" s="39"/>
      <c r="C196" s="40" t="str">
        <f>IF($AA196=0,"",IF(LEN(INDEX(Jobs!$B$9:$B$258,$AA196)&amp;"")=0,"",INDEX(Jobs!$B$9:$B$258,$AA196)))</f>
        <v/>
      </c>
      <c r="D196" s="39"/>
      <c r="E196" s="39"/>
      <c r="F196" s="39"/>
      <c r="G196" s="39"/>
      <c r="H196" s="39"/>
      <c r="I196" s="39"/>
      <c r="J196" s="39"/>
      <c r="K196" s="39"/>
      <c r="L196" s="40" t="str">
        <f>IF($AA196=0,"",IF(LEN(INDEX(Jobs!$D$9:$D$258,$AA196)&amp;"")=0,"",INDEX(Jobs!$D$9:$D$258,$AA196)))</f>
        <v/>
      </c>
      <c r="M196" s="39"/>
      <c r="N196" s="39"/>
      <c r="O196" s="41" t="str">
        <f>IF($AA196=0,"",IF(LEN(INDEX(Jobs!$G$9:$G$258,$AA196)&amp;"")=0,"",INDEX(Jobs!$G$9:$G$258,$AA196)))</f>
        <v/>
      </c>
      <c r="P196" s="39"/>
      <c r="Q196" s="39"/>
      <c r="R196" s="41" t="str">
        <f>IF($AA196=0,"",IF(LEN(INDEX(Jobs!$H$9:$H$258,$AA196)&amp;"")=0,"",INDEX(Jobs!$H$9:$H$258,$AA196)))</f>
        <v/>
      </c>
      <c r="S196" s="39"/>
      <c r="T196" s="39"/>
      <c r="U196" s="44" t="str">
        <f>IF($AA196=0,"",HYPERLINK("#'"&amp;INDEX(Jobs!$P$9:$P$258,$AA196)&amp;"'!A1","Open job"))</f>
        <v/>
      </c>
      <c r="V196" s="39"/>
      <c r="AA196">
        <f>IFERROR(MATCH(179,Jobs!$Q$9:$Q$258,0),0)</f>
        <v>0</v>
      </c>
    </row>
    <row r="197" spans="1:27" ht="36" hidden="1" customHeight="1" x14ac:dyDescent="0.35">
      <c r="A197" s="38" t="str">
        <f>IF($AA197=0,"",IF(LEN(INDEX(Jobs!$A$9:$A$258,$AA197)&amp;"")=0,"",INDEX(Jobs!$A$9:$A$258,$AA197)))</f>
        <v/>
      </c>
      <c r="B197" s="39"/>
      <c r="C197" s="38" t="str">
        <f>IF($AA197=0,"",IF(LEN(INDEX(Jobs!$B$9:$B$258,$AA197)&amp;"")=0,"",INDEX(Jobs!$B$9:$B$258,$AA197)))</f>
        <v/>
      </c>
      <c r="D197" s="39"/>
      <c r="E197" s="39"/>
      <c r="F197" s="39"/>
      <c r="G197" s="39"/>
      <c r="H197" s="39"/>
      <c r="I197" s="39"/>
      <c r="J197" s="39"/>
      <c r="K197" s="39"/>
      <c r="L197" s="38" t="str">
        <f>IF($AA197=0,"",IF(LEN(INDEX(Jobs!$D$9:$D$258,$AA197)&amp;"")=0,"",INDEX(Jobs!$D$9:$D$258,$AA197)))</f>
        <v/>
      </c>
      <c r="M197" s="39"/>
      <c r="N197" s="39"/>
      <c r="O197" s="42" t="str">
        <f>IF($AA197=0,"",IF(LEN(INDEX(Jobs!$G$9:$G$258,$AA197)&amp;"")=0,"",INDEX(Jobs!$G$9:$G$258,$AA197)))</f>
        <v/>
      </c>
      <c r="P197" s="39"/>
      <c r="Q197" s="39"/>
      <c r="R197" s="42" t="str">
        <f>IF($AA197=0,"",IF(LEN(INDEX(Jobs!$H$9:$H$258,$AA197)&amp;"")=0,"",INDEX(Jobs!$H$9:$H$258,$AA197)))</f>
        <v/>
      </c>
      <c r="S197" s="39"/>
      <c r="T197" s="39"/>
      <c r="U197" s="43" t="str">
        <f>IF($AA197=0,"",HYPERLINK("#'"&amp;INDEX(Jobs!$P$9:$P$258,$AA197)&amp;"'!A1","Open job"))</f>
        <v/>
      </c>
      <c r="V197" s="39"/>
      <c r="AA197">
        <f>IFERROR(MATCH(180,Jobs!$Q$9:$Q$258,0),0)</f>
        <v>0</v>
      </c>
    </row>
    <row r="198" spans="1:27" ht="36" hidden="1" customHeight="1" x14ac:dyDescent="0.35">
      <c r="A198" s="40" t="str">
        <f>IF($AA198=0,"",IF(LEN(INDEX(Jobs!$A$9:$A$258,$AA198)&amp;"")=0,"",INDEX(Jobs!$A$9:$A$258,$AA198)))</f>
        <v/>
      </c>
      <c r="B198" s="39"/>
      <c r="C198" s="40" t="str">
        <f>IF($AA198=0,"",IF(LEN(INDEX(Jobs!$B$9:$B$258,$AA198)&amp;"")=0,"",INDEX(Jobs!$B$9:$B$258,$AA198)))</f>
        <v/>
      </c>
      <c r="D198" s="39"/>
      <c r="E198" s="39"/>
      <c r="F198" s="39"/>
      <c r="G198" s="39"/>
      <c r="H198" s="39"/>
      <c r="I198" s="39"/>
      <c r="J198" s="39"/>
      <c r="K198" s="39"/>
      <c r="L198" s="40" t="str">
        <f>IF($AA198=0,"",IF(LEN(INDEX(Jobs!$D$9:$D$258,$AA198)&amp;"")=0,"",INDEX(Jobs!$D$9:$D$258,$AA198)))</f>
        <v/>
      </c>
      <c r="M198" s="39"/>
      <c r="N198" s="39"/>
      <c r="O198" s="41" t="str">
        <f>IF($AA198=0,"",IF(LEN(INDEX(Jobs!$G$9:$G$258,$AA198)&amp;"")=0,"",INDEX(Jobs!$G$9:$G$258,$AA198)))</f>
        <v/>
      </c>
      <c r="P198" s="39"/>
      <c r="Q198" s="39"/>
      <c r="R198" s="41" t="str">
        <f>IF($AA198=0,"",IF(LEN(INDEX(Jobs!$H$9:$H$258,$AA198)&amp;"")=0,"",INDEX(Jobs!$H$9:$H$258,$AA198)))</f>
        <v/>
      </c>
      <c r="S198" s="39"/>
      <c r="T198" s="39"/>
      <c r="U198" s="44" t="str">
        <f>IF($AA198=0,"",HYPERLINK("#'"&amp;INDEX(Jobs!$P$9:$P$258,$AA198)&amp;"'!A1","Open job"))</f>
        <v/>
      </c>
      <c r="V198" s="39"/>
      <c r="AA198">
        <f>IFERROR(MATCH(181,Jobs!$Q$9:$Q$258,0),0)</f>
        <v>0</v>
      </c>
    </row>
    <row r="199" spans="1:27" ht="36" hidden="1" customHeight="1" x14ac:dyDescent="0.35">
      <c r="A199" s="38" t="str">
        <f>IF($AA199=0,"",IF(LEN(INDEX(Jobs!$A$9:$A$258,$AA199)&amp;"")=0,"",INDEX(Jobs!$A$9:$A$258,$AA199)))</f>
        <v/>
      </c>
      <c r="B199" s="39"/>
      <c r="C199" s="38" t="str">
        <f>IF($AA199=0,"",IF(LEN(INDEX(Jobs!$B$9:$B$258,$AA199)&amp;"")=0,"",INDEX(Jobs!$B$9:$B$258,$AA199)))</f>
        <v/>
      </c>
      <c r="D199" s="39"/>
      <c r="E199" s="39"/>
      <c r="F199" s="39"/>
      <c r="G199" s="39"/>
      <c r="H199" s="39"/>
      <c r="I199" s="39"/>
      <c r="J199" s="39"/>
      <c r="K199" s="39"/>
      <c r="L199" s="38" t="str">
        <f>IF($AA199=0,"",IF(LEN(INDEX(Jobs!$D$9:$D$258,$AA199)&amp;"")=0,"",INDEX(Jobs!$D$9:$D$258,$AA199)))</f>
        <v/>
      </c>
      <c r="M199" s="39"/>
      <c r="N199" s="39"/>
      <c r="O199" s="42" t="str">
        <f>IF($AA199=0,"",IF(LEN(INDEX(Jobs!$G$9:$G$258,$AA199)&amp;"")=0,"",INDEX(Jobs!$G$9:$G$258,$AA199)))</f>
        <v/>
      </c>
      <c r="P199" s="39"/>
      <c r="Q199" s="39"/>
      <c r="R199" s="42" t="str">
        <f>IF($AA199=0,"",IF(LEN(INDEX(Jobs!$H$9:$H$258,$AA199)&amp;"")=0,"",INDEX(Jobs!$H$9:$H$258,$AA199)))</f>
        <v/>
      </c>
      <c r="S199" s="39"/>
      <c r="T199" s="39"/>
      <c r="U199" s="43" t="str">
        <f>IF($AA199=0,"",HYPERLINK("#'"&amp;INDEX(Jobs!$P$9:$P$258,$AA199)&amp;"'!A1","Open job"))</f>
        <v/>
      </c>
      <c r="V199" s="39"/>
      <c r="AA199">
        <f>IFERROR(MATCH(182,Jobs!$Q$9:$Q$258,0),0)</f>
        <v>0</v>
      </c>
    </row>
    <row r="200" spans="1:27" ht="36" hidden="1" customHeight="1" x14ac:dyDescent="0.35">
      <c r="A200" s="40" t="str">
        <f>IF($AA200=0,"",IF(LEN(INDEX(Jobs!$A$9:$A$258,$AA200)&amp;"")=0,"",INDEX(Jobs!$A$9:$A$258,$AA200)))</f>
        <v/>
      </c>
      <c r="B200" s="39"/>
      <c r="C200" s="40" t="str">
        <f>IF($AA200=0,"",IF(LEN(INDEX(Jobs!$B$9:$B$258,$AA200)&amp;"")=0,"",INDEX(Jobs!$B$9:$B$258,$AA200)))</f>
        <v/>
      </c>
      <c r="D200" s="39"/>
      <c r="E200" s="39"/>
      <c r="F200" s="39"/>
      <c r="G200" s="39"/>
      <c r="H200" s="39"/>
      <c r="I200" s="39"/>
      <c r="J200" s="39"/>
      <c r="K200" s="39"/>
      <c r="L200" s="40" t="str">
        <f>IF($AA200=0,"",IF(LEN(INDEX(Jobs!$D$9:$D$258,$AA200)&amp;"")=0,"",INDEX(Jobs!$D$9:$D$258,$AA200)))</f>
        <v/>
      </c>
      <c r="M200" s="39"/>
      <c r="N200" s="39"/>
      <c r="O200" s="41" t="str">
        <f>IF($AA200=0,"",IF(LEN(INDEX(Jobs!$G$9:$G$258,$AA200)&amp;"")=0,"",INDEX(Jobs!$G$9:$G$258,$AA200)))</f>
        <v/>
      </c>
      <c r="P200" s="39"/>
      <c r="Q200" s="39"/>
      <c r="R200" s="41" t="str">
        <f>IF($AA200=0,"",IF(LEN(INDEX(Jobs!$H$9:$H$258,$AA200)&amp;"")=0,"",INDEX(Jobs!$H$9:$H$258,$AA200)))</f>
        <v/>
      </c>
      <c r="S200" s="39"/>
      <c r="T200" s="39"/>
      <c r="U200" s="44" t="str">
        <f>IF($AA200=0,"",HYPERLINK("#'"&amp;INDEX(Jobs!$P$9:$P$258,$AA200)&amp;"'!A1","Open job"))</f>
        <v/>
      </c>
      <c r="V200" s="39"/>
      <c r="AA200">
        <f>IFERROR(MATCH(183,Jobs!$Q$9:$Q$258,0),0)</f>
        <v>0</v>
      </c>
    </row>
    <row r="201" spans="1:27" ht="36" hidden="1" customHeight="1" x14ac:dyDescent="0.35">
      <c r="A201" s="38" t="str">
        <f>IF($AA201=0,"",IF(LEN(INDEX(Jobs!$A$9:$A$258,$AA201)&amp;"")=0,"",INDEX(Jobs!$A$9:$A$258,$AA201)))</f>
        <v/>
      </c>
      <c r="B201" s="39"/>
      <c r="C201" s="38" t="str">
        <f>IF($AA201=0,"",IF(LEN(INDEX(Jobs!$B$9:$B$258,$AA201)&amp;"")=0,"",INDEX(Jobs!$B$9:$B$258,$AA201)))</f>
        <v/>
      </c>
      <c r="D201" s="39"/>
      <c r="E201" s="39"/>
      <c r="F201" s="39"/>
      <c r="G201" s="39"/>
      <c r="H201" s="39"/>
      <c r="I201" s="39"/>
      <c r="J201" s="39"/>
      <c r="K201" s="39"/>
      <c r="L201" s="38" t="str">
        <f>IF($AA201=0,"",IF(LEN(INDEX(Jobs!$D$9:$D$258,$AA201)&amp;"")=0,"",INDEX(Jobs!$D$9:$D$258,$AA201)))</f>
        <v/>
      </c>
      <c r="M201" s="39"/>
      <c r="N201" s="39"/>
      <c r="O201" s="42" t="str">
        <f>IF($AA201=0,"",IF(LEN(INDEX(Jobs!$G$9:$G$258,$AA201)&amp;"")=0,"",INDEX(Jobs!$G$9:$G$258,$AA201)))</f>
        <v/>
      </c>
      <c r="P201" s="39"/>
      <c r="Q201" s="39"/>
      <c r="R201" s="42" t="str">
        <f>IF($AA201=0,"",IF(LEN(INDEX(Jobs!$H$9:$H$258,$AA201)&amp;"")=0,"",INDEX(Jobs!$H$9:$H$258,$AA201)))</f>
        <v/>
      </c>
      <c r="S201" s="39"/>
      <c r="T201" s="39"/>
      <c r="U201" s="43" t="str">
        <f>IF($AA201=0,"",HYPERLINK("#'"&amp;INDEX(Jobs!$P$9:$P$258,$AA201)&amp;"'!A1","Open job"))</f>
        <v/>
      </c>
      <c r="V201" s="39"/>
      <c r="AA201">
        <f>IFERROR(MATCH(184,Jobs!$Q$9:$Q$258,0),0)</f>
        <v>0</v>
      </c>
    </row>
    <row r="202" spans="1:27" ht="36" hidden="1" customHeight="1" x14ac:dyDescent="0.35">
      <c r="A202" s="40" t="str">
        <f>IF($AA202=0,"",IF(LEN(INDEX(Jobs!$A$9:$A$258,$AA202)&amp;"")=0,"",INDEX(Jobs!$A$9:$A$258,$AA202)))</f>
        <v/>
      </c>
      <c r="B202" s="39"/>
      <c r="C202" s="40" t="str">
        <f>IF($AA202=0,"",IF(LEN(INDEX(Jobs!$B$9:$B$258,$AA202)&amp;"")=0,"",INDEX(Jobs!$B$9:$B$258,$AA202)))</f>
        <v/>
      </c>
      <c r="D202" s="39"/>
      <c r="E202" s="39"/>
      <c r="F202" s="39"/>
      <c r="G202" s="39"/>
      <c r="H202" s="39"/>
      <c r="I202" s="39"/>
      <c r="J202" s="39"/>
      <c r="K202" s="39"/>
      <c r="L202" s="40" t="str">
        <f>IF($AA202=0,"",IF(LEN(INDEX(Jobs!$D$9:$D$258,$AA202)&amp;"")=0,"",INDEX(Jobs!$D$9:$D$258,$AA202)))</f>
        <v/>
      </c>
      <c r="M202" s="39"/>
      <c r="N202" s="39"/>
      <c r="O202" s="41" t="str">
        <f>IF($AA202=0,"",IF(LEN(INDEX(Jobs!$G$9:$G$258,$AA202)&amp;"")=0,"",INDEX(Jobs!$G$9:$G$258,$AA202)))</f>
        <v/>
      </c>
      <c r="P202" s="39"/>
      <c r="Q202" s="39"/>
      <c r="R202" s="41" t="str">
        <f>IF($AA202=0,"",IF(LEN(INDEX(Jobs!$H$9:$H$258,$AA202)&amp;"")=0,"",INDEX(Jobs!$H$9:$H$258,$AA202)))</f>
        <v/>
      </c>
      <c r="S202" s="39"/>
      <c r="T202" s="39"/>
      <c r="U202" s="44" t="str">
        <f>IF($AA202=0,"",HYPERLINK("#'"&amp;INDEX(Jobs!$P$9:$P$258,$AA202)&amp;"'!A1","Open job"))</f>
        <v/>
      </c>
      <c r="V202" s="39"/>
      <c r="AA202">
        <f>IFERROR(MATCH(185,Jobs!$Q$9:$Q$258,0),0)</f>
        <v>0</v>
      </c>
    </row>
    <row r="203" spans="1:27" ht="36" hidden="1" customHeight="1" x14ac:dyDescent="0.35">
      <c r="A203" s="38" t="str">
        <f>IF($AA203=0,"",IF(LEN(INDEX(Jobs!$A$9:$A$258,$AA203)&amp;"")=0,"",INDEX(Jobs!$A$9:$A$258,$AA203)))</f>
        <v/>
      </c>
      <c r="B203" s="39"/>
      <c r="C203" s="38" t="str">
        <f>IF($AA203=0,"",IF(LEN(INDEX(Jobs!$B$9:$B$258,$AA203)&amp;"")=0,"",INDEX(Jobs!$B$9:$B$258,$AA203)))</f>
        <v/>
      </c>
      <c r="D203" s="39"/>
      <c r="E203" s="39"/>
      <c r="F203" s="39"/>
      <c r="G203" s="39"/>
      <c r="H203" s="39"/>
      <c r="I203" s="39"/>
      <c r="J203" s="39"/>
      <c r="K203" s="39"/>
      <c r="L203" s="38" t="str">
        <f>IF($AA203=0,"",IF(LEN(INDEX(Jobs!$D$9:$D$258,$AA203)&amp;"")=0,"",INDEX(Jobs!$D$9:$D$258,$AA203)))</f>
        <v/>
      </c>
      <c r="M203" s="39"/>
      <c r="N203" s="39"/>
      <c r="O203" s="42" t="str">
        <f>IF($AA203=0,"",IF(LEN(INDEX(Jobs!$G$9:$G$258,$AA203)&amp;"")=0,"",INDEX(Jobs!$G$9:$G$258,$AA203)))</f>
        <v/>
      </c>
      <c r="P203" s="39"/>
      <c r="Q203" s="39"/>
      <c r="R203" s="42" t="str">
        <f>IF($AA203=0,"",IF(LEN(INDEX(Jobs!$H$9:$H$258,$AA203)&amp;"")=0,"",INDEX(Jobs!$H$9:$H$258,$AA203)))</f>
        <v/>
      </c>
      <c r="S203" s="39"/>
      <c r="T203" s="39"/>
      <c r="U203" s="43" t="str">
        <f>IF($AA203=0,"",HYPERLINK("#'"&amp;INDEX(Jobs!$P$9:$P$258,$AA203)&amp;"'!A1","Open job"))</f>
        <v/>
      </c>
      <c r="V203" s="39"/>
      <c r="AA203">
        <f>IFERROR(MATCH(186,Jobs!$Q$9:$Q$258,0),0)</f>
        <v>0</v>
      </c>
    </row>
    <row r="204" spans="1:27" ht="36" hidden="1" customHeight="1" x14ac:dyDescent="0.35">
      <c r="A204" s="40" t="str">
        <f>IF($AA204=0,"",IF(LEN(INDEX(Jobs!$A$9:$A$258,$AA204)&amp;"")=0,"",INDEX(Jobs!$A$9:$A$258,$AA204)))</f>
        <v/>
      </c>
      <c r="B204" s="39"/>
      <c r="C204" s="40" t="str">
        <f>IF($AA204=0,"",IF(LEN(INDEX(Jobs!$B$9:$B$258,$AA204)&amp;"")=0,"",INDEX(Jobs!$B$9:$B$258,$AA204)))</f>
        <v/>
      </c>
      <c r="D204" s="39"/>
      <c r="E204" s="39"/>
      <c r="F204" s="39"/>
      <c r="G204" s="39"/>
      <c r="H204" s="39"/>
      <c r="I204" s="39"/>
      <c r="J204" s="39"/>
      <c r="K204" s="39"/>
      <c r="L204" s="40" t="str">
        <f>IF($AA204=0,"",IF(LEN(INDEX(Jobs!$D$9:$D$258,$AA204)&amp;"")=0,"",INDEX(Jobs!$D$9:$D$258,$AA204)))</f>
        <v/>
      </c>
      <c r="M204" s="39"/>
      <c r="N204" s="39"/>
      <c r="O204" s="41" t="str">
        <f>IF($AA204=0,"",IF(LEN(INDEX(Jobs!$G$9:$G$258,$AA204)&amp;"")=0,"",INDEX(Jobs!$G$9:$G$258,$AA204)))</f>
        <v/>
      </c>
      <c r="P204" s="39"/>
      <c r="Q204" s="39"/>
      <c r="R204" s="41" t="str">
        <f>IF($AA204=0,"",IF(LEN(INDEX(Jobs!$H$9:$H$258,$AA204)&amp;"")=0,"",INDEX(Jobs!$H$9:$H$258,$AA204)))</f>
        <v/>
      </c>
      <c r="S204" s="39"/>
      <c r="T204" s="39"/>
      <c r="U204" s="44" t="str">
        <f>IF($AA204=0,"",HYPERLINK("#'"&amp;INDEX(Jobs!$P$9:$P$258,$AA204)&amp;"'!A1","Open job"))</f>
        <v/>
      </c>
      <c r="V204" s="39"/>
      <c r="AA204">
        <f>IFERROR(MATCH(187,Jobs!$Q$9:$Q$258,0),0)</f>
        <v>0</v>
      </c>
    </row>
    <row r="205" spans="1:27" ht="36" hidden="1" customHeight="1" x14ac:dyDescent="0.35">
      <c r="A205" s="38" t="str">
        <f>IF($AA205=0,"",IF(LEN(INDEX(Jobs!$A$9:$A$258,$AA205)&amp;"")=0,"",INDEX(Jobs!$A$9:$A$258,$AA205)))</f>
        <v/>
      </c>
      <c r="B205" s="39"/>
      <c r="C205" s="38" t="str">
        <f>IF($AA205=0,"",IF(LEN(INDEX(Jobs!$B$9:$B$258,$AA205)&amp;"")=0,"",INDEX(Jobs!$B$9:$B$258,$AA205)))</f>
        <v/>
      </c>
      <c r="D205" s="39"/>
      <c r="E205" s="39"/>
      <c r="F205" s="39"/>
      <c r="G205" s="39"/>
      <c r="H205" s="39"/>
      <c r="I205" s="39"/>
      <c r="J205" s="39"/>
      <c r="K205" s="39"/>
      <c r="L205" s="38" t="str">
        <f>IF($AA205=0,"",IF(LEN(INDEX(Jobs!$D$9:$D$258,$AA205)&amp;"")=0,"",INDEX(Jobs!$D$9:$D$258,$AA205)))</f>
        <v/>
      </c>
      <c r="M205" s="39"/>
      <c r="N205" s="39"/>
      <c r="O205" s="42" t="str">
        <f>IF($AA205=0,"",IF(LEN(INDEX(Jobs!$G$9:$G$258,$AA205)&amp;"")=0,"",INDEX(Jobs!$G$9:$G$258,$AA205)))</f>
        <v/>
      </c>
      <c r="P205" s="39"/>
      <c r="Q205" s="39"/>
      <c r="R205" s="42" t="str">
        <f>IF($AA205=0,"",IF(LEN(INDEX(Jobs!$H$9:$H$258,$AA205)&amp;"")=0,"",INDEX(Jobs!$H$9:$H$258,$AA205)))</f>
        <v/>
      </c>
      <c r="S205" s="39"/>
      <c r="T205" s="39"/>
      <c r="U205" s="43" t="str">
        <f>IF($AA205=0,"",HYPERLINK("#'"&amp;INDEX(Jobs!$P$9:$P$258,$AA205)&amp;"'!A1","Open job"))</f>
        <v/>
      </c>
      <c r="V205" s="39"/>
      <c r="AA205">
        <f>IFERROR(MATCH(188,Jobs!$Q$9:$Q$258,0),0)</f>
        <v>0</v>
      </c>
    </row>
    <row r="206" spans="1:27" ht="36" hidden="1" customHeight="1" x14ac:dyDescent="0.35">
      <c r="A206" s="40" t="str">
        <f>IF($AA206=0,"",IF(LEN(INDEX(Jobs!$A$9:$A$258,$AA206)&amp;"")=0,"",INDEX(Jobs!$A$9:$A$258,$AA206)))</f>
        <v/>
      </c>
      <c r="B206" s="39"/>
      <c r="C206" s="40" t="str">
        <f>IF($AA206=0,"",IF(LEN(INDEX(Jobs!$B$9:$B$258,$AA206)&amp;"")=0,"",INDEX(Jobs!$B$9:$B$258,$AA206)))</f>
        <v/>
      </c>
      <c r="D206" s="39"/>
      <c r="E206" s="39"/>
      <c r="F206" s="39"/>
      <c r="G206" s="39"/>
      <c r="H206" s="39"/>
      <c r="I206" s="39"/>
      <c r="J206" s="39"/>
      <c r="K206" s="39"/>
      <c r="L206" s="40" t="str">
        <f>IF($AA206=0,"",IF(LEN(INDEX(Jobs!$D$9:$D$258,$AA206)&amp;"")=0,"",INDEX(Jobs!$D$9:$D$258,$AA206)))</f>
        <v/>
      </c>
      <c r="M206" s="39"/>
      <c r="N206" s="39"/>
      <c r="O206" s="41" t="str">
        <f>IF($AA206=0,"",IF(LEN(INDEX(Jobs!$G$9:$G$258,$AA206)&amp;"")=0,"",INDEX(Jobs!$G$9:$G$258,$AA206)))</f>
        <v/>
      </c>
      <c r="P206" s="39"/>
      <c r="Q206" s="39"/>
      <c r="R206" s="41" t="str">
        <f>IF($AA206=0,"",IF(LEN(INDEX(Jobs!$H$9:$H$258,$AA206)&amp;"")=0,"",INDEX(Jobs!$H$9:$H$258,$AA206)))</f>
        <v/>
      </c>
      <c r="S206" s="39"/>
      <c r="T206" s="39"/>
      <c r="U206" s="44" t="str">
        <f>IF($AA206=0,"",HYPERLINK("#'"&amp;INDEX(Jobs!$P$9:$P$258,$AA206)&amp;"'!A1","Open job"))</f>
        <v/>
      </c>
      <c r="V206" s="39"/>
      <c r="AA206">
        <f>IFERROR(MATCH(189,Jobs!$Q$9:$Q$258,0),0)</f>
        <v>0</v>
      </c>
    </row>
    <row r="207" spans="1:27" ht="36" hidden="1" customHeight="1" x14ac:dyDescent="0.35">
      <c r="A207" s="38" t="str">
        <f>IF($AA207=0,"",IF(LEN(INDEX(Jobs!$A$9:$A$258,$AA207)&amp;"")=0,"",INDEX(Jobs!$A$9:$A$258,$AA207)))</f>
        <v/>
      </c>
      <c r="B207" s="39"/>
      <c r="C207" s="38" t="str">
        <f>IF($AA207=0,"",IF(LEN(INDEX(Jobs!$B$9:$B$258,$AA207)&amp;"")=0,"",INDEX(Jobs!$B$9:$B$258,$AA207)))</f>
        <v/>
      </c>
      <c r="D207" s="39"/>
      <c r="E207" s="39"/>
      <c r="F207" s="39"/>
      <c r="G207" s="39"/>
      <c r="H207" s="39"/>
      <c r="I207" s="39"/>
      <c r="J207" s="39"/>
      <c r="K207" s="39"/>
      <c r="L207" s="38" t="str">
        <f>IF($AA207=0,"",IF(LEN(INDEX(Jobs!$D$9:$D$258,$AA207)&amp;"")=0,"",INDEX(Jobs!$D$9:$D$258,$AA207)))</f>
        <v/>
      </c>
      <c r="M207" s="39"/>
      <c r="N207" s="39"/>
      <c r="O207" s="42" t="str">
        <f>IF($AA207=0,"",IF(LEN(INDEX(Jobs!$G$9:$G$258,$AA207)&amp;"")=0,"",INDEX(Jobs!$G$9:$G$258,$AA207)))</f>
        <v/>
      </c>
      <c r="P207" s="39"/>
      <c r="Q207" s="39"/>
      <c r="R207" s="42" t="str">
        <f>IF($AA207=0,"",IF(LEN(INDEX(Jobs!$H$9:$H$258,$AA207)&amp;"")=0,"",INDEX(Jobs!$H$9:$H$258,$AA207)))</f>
        <v/>
      </c>
      <c r="S207" s="39"/>
      <c r="T207" s="39"/>
      <c r="U207" s="43" t="str">
        <f>IF($AA207=0,"",HYPERLINK("#'"&amp;INDEX(Jobs!$P$9:$P$258,$AA207)&amp;"'!A1","Open job"))</f>
        <v/>
      </c>
      <c r="V207" s="39"/>
      <c r="AA207">
        <f>IFERROR(MATCH(190,Jobs!$Q$9:$Q$258,0),0)</f>
        <v>0</v>
      </c>
    </row>
    <row r="208" spans="1:27" ht="36" hidden="1" customHeight="1" x14ac:dyDescent="0.35">
      <c r="A208" s="40" t="str">
        <f>IF($AA208=0,"",IF(LEN(INDEX(Jobs!$A$9:$A$258,$AA208)&amp;"")=0,"",INDEX(Jobs!$A$9:$A$258,$AA208)))</f>
        <v/>
      </c>
      <c r="B208" s="39"/>
      <c r="C208" s="40" t="str">
        <f>IF($AA208=0,"",IF(LEN(INDEX(Jobs!$B$9:$B$258,$AA208)&amp;"")=0,"",INDEX(Jobs!$B$9:$B$258,$AA208)))</f>
        <v/>
      </c>
      <c r="D208" s="39"/>
      <c r="E208" s="39"/>
      <c r="F208" s="39"/>
      <c r="G208" s="39"/>
      <c r="H208" s="39"/>
      <c r="I208" s="39"/>
      <c r="J208" s="39"/>
      <c r="K208" s="39"/>
      <c r="L208" s="40" t="str">
        <f>IF($AA208=0,"",IF(LEN(INDEX(Jobs!$D$9:$D$258,$AA208)&amp;"")=0,"",INDEX(Jobs!$D$9:$D$258,$AA208)))</f>
        <v/>
      </c>
      <c r="M208" s="39"/>
      <c r="N208" s="39"/>
      <c r="O208" s="41" t="str">
        <f>IF($AA208=0,"",IF(LEN(INDEX(Jobs!$G$9:$G$258,$AA208)&amp;"")=0,"",INDEX(Jobs!$G$9:$G$258,$AA208)))</f>
        <v/>
      </c>
      <c r="P208" s="39"/>
      <c r="Q208" s="39"/>
      <c r="R208" s="41" t="str">
        <f>IF($AA208=0,"",IF(LEN(INDEX(Jobs!$H$9:$H$258,$AA208)&amp;"")=0,"",INDEX(Jobs!$H$9:$H$258,$AA208)))</f>
        <v/>
      </c>
      <c r="S208" s="39"/>
      <c r="T208" s="39"/>
      <c r="U208" s="44" t="str">
        <f>IF($AA208=0,"",HYPERLINK("#'"&amp;INDEX(Jobs!$P$9:$P$258,$AA208)&amp;"'!A1","Open job"))</f>
        <v/>
      </c>
      <c r="V208" s="39"/>
      <c r="AA208">
        <f>IFERROR(MATCH(191,Jobs!$Q$9:$Q$258,0),0)</f>
        <v>0</v>
      </c>
    </row>
    <row r="209" spans="1:27" ht="36" hidden="1" customHeight="1" x14ac:dyDescent="0.35">
      <c r="A209" s="38" t="str">
        <f>IF($AA209=0,"",IF(LEN(INDEX(Jobs!$A$9:$A$258,$AA209)&amp;"")=0,"",INDEX(Jobs!$A$9:$A$258,$AA209)))</f>
        <v/>
      </c>
      <c r="B209" s="39"/>
      <c r="C209" s="38" t="str">
        <f>IF($AA209=0,"",IF(LEN(INDEX(Jobs!$B$9:$B$258,$AA209)&amp;"")=0,"",INDEX(Jobs!$B$9:$B$258,$AA209)))</f>
        <v/>
      </c>
      <c r="D209" s="39"/>
      <c r="E209" s="39"/>
      <c r="F209" s="39"/>
      <c r="G209" s="39"/>
      <c r="H209" s="39"/>
      <c r="I209" s="39"/>
      <c r="J209" s="39"/>
      <c r="K209" s="39"/>
      <c r="L209" s="38" t="str">
        <f>IF($AA209=0,"",IF(LEN(INDEX(Jobs!$D$9:$D$258,$AA209)&amp;"")=0,"",INDEX(Jobs!$D$9:$D$258,$AA209)))</f>
        <v/>
      </c>
      <c r="M209" s="39"/>
      <c r="N209" s="39"/>
      <c r="O209" s="42" t="str">
        <f>IF($AA209=0,"",IF(LEN(INDEX(Jobs!$G$9:$G$258,$AA209)&amp;"")=0,"",INDEX(Jobs!$G$9:$G$258,$AA209)))</f>
        <v/>
      </c>
      <c r="P209" s="39"/>
      <c r="Q209" s="39"/>
      <c r="R209" s="42" t="str">
        <f>IF($AA209=0,"",IF(LEN(INDEX(Jobs!$H$9:$H$258,$AA209)&amp;"")=0,"",INDEX(Jobs!$H$9:$H$258,$AA209)))</f>
        <v/>
      </c>
      <c r="S209" s="39"/>
      <c r="T209" s="39"/>
      <c r="U209" s="43" t="str">
        <f>IF($AA209=0,"",HYPERLINK("#'"&amp;INDEX(Jobs!$P$9:$P$258,$AA209)&amp;"'!A1","Open job"))</f>
        <v/>
      </c>
      <c r="V209" s="39"/>
      <c r="AA209">
        <f>IFERROR(MATCH(192,Jobs!$Q$9:$Q$258,0),0)</f>
        <v>0</v>
      </c>
    </row>
    <row r="210" spans="1:27" ht="36" hidden="1" customHeight="1" x14ac:dyDescent="0.35">
      <c r="A210" s="40" t="str">
        <f>IF($AA210=0,"",IF(LEN(INDEX(Jobs!$A$9:$A$258,$AA210)&amp;"")=0,"",INDEX(Jobs!$A$9:$A$258,$AA210)))</f>
        <v/>
      </c>
      <c r="B210" s="39"/>
      <c r="C210" s="40" t="str">
        <f>IF($AA210=0,"",IF(LEN(INDEX(Jobs!$B$9:$B$258,$AA210)&amp;"")=0,"",INDEX(Jobs!$B$9:$B$258,$AA210)))</f>
        <v/>
      </c>
      <c r="D210" s="39"/>
      <c r="E210" s="39"/>
      <c r="F210" s="39"/>
      <c r="G210" s="39"/>
      <c r="H210" s="39"/>
      <c r="I210" s="39"/>
      <c r="J210" s="39"/>
      <c r="K210" s="39"/>
      <c r="L210" s="40" t="str">
        <f>IF($AA210=0,"",IF(LEN(INDEX(Jobs!$D$9:$D$258,$AA210)&amp;"")=0,"",INDEX(Jobs!$D$9:$D$258,$AA210)))</f>
        <v/>
      </c>
      <c r="M210" s="39"/>
      <c r="N210" s="39"/>
      <c r="O210" s="41" t="str">
        <f>IF($AA210=0,"",IF(LEN(INDEX(Jobs!$G$9:$G$258,$AA210)&amp;"")=0,"",INDEX(Jobs!$G$9:$G$258,$AA210)))</f>
        <v/>
      </c>
      <c r="P210" s="39"/>
      <c r="Q210" s="39"/>
      <c r="R210" s="41" t="str">
        <f>IF($AA210=0,"",IF(LEN(INDEX(Jobs!$H$9:$H$258,$AA210)&amp;"")=0,"",INDEX(Jobs!$H$9:$H$258,$AA210)))</f>
        <v/>
      </c>
      <c r="S210" s="39"/>
      <c r="T210" s="39"/>
      <c r="U210" s="44" t="str">
        <f>IF($AA210=0,"",HYPERLINK("#'"&amp;INDEX(Jobs!$P$9:$P$258,$AA210)&amp;"'!A1","Open job"))</f>
        <v/>
      </c>
      <c r="V210" s="39"/>
      <c r="AA210">
        <f>IFERROR(MATCH(193,Jobs!$Q$9:$Q$258,0),0)</f>
        <v>0</v>
      </c>
    </row>
    <row r="211" spans="1:27" ht="36" hidden="1" customHeight="1" x14ac:dyDescent="0.35">
      <c r="A211" s="38" t="str">
        <f>IF($AA211=0,"",IF(LEN(INDEX(Jobs!$A$9:$A$258,$AA211)&amp;"")=0,"",INDEX(Jobs!$A$9:$A$258,$AA211)))</f>
        <v/>
      </c>
      <c r="B211" s="39"/>
      <c r="C211" s="38" t="str">
        <f>IF($AA211=0,"",IF(LEN(INDEX(Jobs!$B$9:$B$258,$AA211)&amp;"")=0,"",INDEX(Jobs!$B$9:$B$258,$AA211)))</f>
        <v/>
      </c>
      <c r="D211" s="39"/>
      <c r="E211" s="39"/>
      <c r="F211" s="39"/>
      <c r="G211" s="39"/>
      <c r="H211" s="39"/>
      <c r="I211" s="39"/>
      <c r="J211" s="39"/>
      <c r="K211" s="39"/>
      <c r="L211" s="38" t="str">
        <f>IF($AA211=0,"",IF(LEN(INDEX(Jobs!$D$9:$D$258,$AA211)&amp;"")=0,"",INDEX(Jobs!$D$9:$D$258,$AA211)))</f>
        <v/>
      </c>
      <c r="M211" s="39"/>
      <c r="N211" s="39"/>
      <c r="O211" s="42" t="str">
        <f>IF($AA211=0,"",IF(LEN(INDEX(Jobs!$G$9:$G$258,$AA211)&amp;"")=0,"",INDEX(Jobs!$G$9:$G$258,$AA211)))</f>
        <v/>
      </c>
      <c r="P211" s="39"/>
      <c r="Q211" s="39"/>
      <c r="R211" s="42" t="str">
        <f>IF($AA211=0,"",IF(LEN(INDEX(Jobs!$H$9:$H$258,$AA211)&amp;"")=0,"",INDEX(Jobs!$H$9:$H$258,$AA211)))</f>
        <v/>
      </c>
      <c r="S211" s="39"/>
      <c r="T211" s="39"/>
      <c r="U211" s="43" t="str">
        <f>IF($AA211=0,"",HYPERLINK("#'"&amp;INDEX(Jobs!$P$9:$P$258,$AA211)&amp;"'!A1","Open job"))</f>
        <v/>
      </c>
      <c r="V211" s="39"/>
      <c r="AA211">
        <f>IFERROR(MATCH(194,Jobs!$Q$9:$Q$258,0),0)</f>
        <v>0</v>
      </c>
    </row>
    <row r="212" spans="1:27" ht="36" hidden="1" customHeight="1" x14ac:dyDescent="0.35">
      <c r="A212" s="40" t="str">
        <f>IF($AA212=0,"",IF(LEN(INDEX(Jobs!$A$9:$A$258,$AA212)&amp;"")=0,"",INDEX(Jobs!$A$9:$A$258,$AA212)))</f>
        <v/>
      </c>
      <c r="B212" s="39"/>
      <c r="C212" s="40" t="str">
        <f>IF($AA212=0,"",IF(LEN(INDEX(Jobs!$B$9:$B$258,$AA212)&amp;"")=0,"",INDEX(Jobs!$B$9:$B$258,$AA212)))</f>
        <v/>
      </c>
      <c r="D212" s="39"/>
      <c r="E212" s="39"/>
      <c r="F212" s="39"/>
      <c r="G212" s="39"/>
      <c r="H212" s="39"/>
      <c r="I212" s="39"/>
      <c r="J212" s="39"/>
      <c r="K212" s="39"/>
      <c r="L212" s="40" t="str">
        <f>IF($AA212=0,"",IF(LEN(INDEX(Jobs!$D$9:$D$258,$AA212)&amp;"")=0,"",INDEX(Jobs!$D$9:$D$258,$AA212)))</f>
        <v/>
      </c>
      <c r="M212" s="39"/>
      <c r="N212" s="39"/>
      <c r="O212" s="41" t="str">
        <f>IF($AA212=0,"",IF(LEN(INDEX(Jobs!$G$9:$G$258,$AA212)&amp;"")=0,"",INDEX(Jobs!$G$9:$G$258,$AA212)))</f>
        <v/>
      </c>
      <c r="P212" s="39"/>
      <c r="Q212" s="39"/>
      <c r="R212" s="41" t="str">
        <f>IF($AA212=0,"",IF(LEN(INDEX(Jobs!$H$9:$H$258,$AA212)&amp;"")=0,"",INDEX(Jobs!$H$9:$H$258,$AA212)))</f>
        <v/>
      </c>
      <c r="S212" s="39"/>
      <c r="T212" s="39"/>
      <c r="U212" s="44" t="str">
        <f>IF($AA212=0,"",HYPERLINK("#'"&amp;INDEX(Jobs!$P$9:$P$258,$AA212)&amp;"'!A1","Open job"))</f>
        <v/>
      </c>
      <c r="V212" s="39"/>
      <c r="AA212">
        <f>IFERROR(MATCH(195,Jobs!$Q$9:$Q$258,0),0)</f>
        <v>0</v>
      </c>
    </row>
    <row r="213" spans="1:27" ht="36" hidden="1" customHeight="1" x14ac:dyDescent="0.35">
      <c r="A213" s="38" t="str">
        <f>IF($AA213=0,"",IF(LEN(INDEX(Jobs!$A$9:$A$258,$AA213)&amp;"")=0,"",INDEX(Jobs!$A$9:$A$258,$AA213)))</f>
        <v/>
      </c>
      <c r="B213" s="39"/>
      <c r="C213" s="38" t="str">
        <f>IF($AA213=0,"",IF(LEN(INDEX(Jobs!$B$9:$B$258,$AA213)&amp;"")=0,"",INDEX(Jobs!$B$9:$B$258,$AA213)))</f>
        <v/>
      </c>
      <c r="D213" s="39"/>
      <c r="E213" s="39"/>
      <c r="F213" s="39"/>
      <c r="G213" s="39"/>
      <c r="H213" s="39"/>
      <c r="I213" s="39"/>
      <c r="J213" s="39"/>
      <c r="K213" s="39"/>
      <c r="L213" s="38" t="str">
        <f>IF($AA213=0,"",IF(LEN(INDEX(Jobs!$D$9:$D$258,$AA213)&amp;"")=0,"",INDEX(Jobs!$D$9:$D$258,$AA213)))</f>
        <v/>
      </c>
      <c r="M213" s="39"/>
      <c r="N213" s="39"/>
      <c r="O213" s="42" t="str">
        <f>IF($AA213=0,"",IF(LEN(INDEX(Jobs!$G$9:$G$258,$AA213)&amp;"")=0,"",INDEX(Jobs!$G$9:$G$258,$AA213)))</f>
        <v/>
      </c>
      <c r="P213" s="39"/>
      <c r="Q213" s="39"/>
      <c r="R213" s="42" t="str">
        <f>IF($AA213=0,"",IF(LEN(INDEX(Jobs!$H$9:$H$258,$AA213)&amp;"")=0,"",INDEX(Jobs!$H$9:$H$258,$AA213)))</f>
        <v/>
      </c>
      <c r="S213" s="39"/>
      <c r="T213" s="39"/>
      <c r="U213" s="43" t="str">
        <f>IF($AA213=0,"",HYPERLINK("#'"&amp;INDEX(Jobs!$P$9:$P$258,$AA213)&amp;"'!A1","Open job"))</f>
        <v/>
      </c>
      <c r="V213" s="39"/>
      <c r="AA213">
        <f>IFERROR(MATCH(196,Jobs!$Q$9:$Q$258,0),0)</f>
        <v>0</v>
      </c>
    </row>
    <row r="214" spans="1:27" ht="36" hidden="1" customHeight="1" x14ac:dyDescent="0.35">
      <c r="A214" s="40" t="str">
        <f>IF($AA214=0,"",IF(LEN(INDEX(Jobs!$A$9:$A$258,$AA214)&amp;"")=0,"",INDEX(Jobs!$A$9:$A$258,$AA214)))</f>
        <v/>
      </c>
      <c r="B214" s="39"/>
      <c r="C214" s="40" t="str">
        <f>IF($AA214=0,"",IF(LEN(INDEX(Jobs!$B$9:$B$258,$AA214)&amp;"")=0,"",INDEX(Jobs!$B$9:$B$258,$AA214)))</f>
        <v/>
      </c>
      <c r="D214" s="39"/>
      <c r="E214" s="39"/>
      <c r="F214" s="39"/>
      <c r="G214" s="39"/>
      <c r="H214" s="39"/>
      <c r="I214" s="39"/>
      <c r="J214" s="39"/>
      <c r="K214" s="39"/>
      <c r="L214" s="40" t="str">
        <f>IF($AA214=0,"",IF(LEN(INDEX(Jobs!$D$9:$D$258,$AA214)&amp;"")=0,"",INDEX(Jobs!$D$9:$D$258,$AA214)))</f>
        <v/>
      </c>
      <c r="M214" s="39"/>
      <c r="N214" s="39"/>
      <c r="O214" s="41" t="str">
        <f>IF($AA214=0,"",IF(LEN(INDEX(Jobs!$G$9:$G$258,$AA214)&amp;"")=0,"",INDEX(Jobs!$G$9:$G$258,$AA214)))</f>
        <v/>
      </c>
      <c r="P214" s="39"/>
      <c r="Q214" s="39"/>
      <c r="R214" s="41" t="str">
        <f>IF($AA214=0,"",IF(LEN(INDEX(Jobs!$H$9:$H$258,$AA214)&amp;"")=0,"",INDEX(Jobs!$H$9:$H$258,$AA214)))</f>
        <v/>
      </c>
      <c r="S214" s="39"/>
      <c r="T214" s="39"/>
      <c r="U214" s="44" t="str">
        <f>IF($AA214=0,"",HYPERLINK("#'"&amp;INDEX(Jobs!$P$9:$P$258,$AA214)&amp;"'!A1","Open job"))</f>
        <v/>
      </c>
      <c r="V214" s="39"/>
      <c r="AA214">
        <f>IFERROR(MATCH(197,Jobs!$Q$9:$Q$258,0),0)</f>
        <v>0</v>
      </c>
    </row>
    <row r="215" spans="1:27" ht="36" hidden="1" customHeight="1" x14ac:dyDescent="0.35">
      <c r="A215" s="38" t="str">
        <f>IF($AA215=0,"",IF(LEN(INDEX(Jobs!$A$9:$A$258,$AA215)&amp;"")=0,"",INDEX(Jobs!$A$9:$A$258,$AA215)))</f>
        <v/>
      </c>
      <c r="B215" s="39"/>
      <c r="C215" s="38" t="str">
        <f>IF($AA215=0,"",IF(LEN(INDEX(Jobs!$B$9:$B$258,$AA215)&amp;"")=0,"",INDEX(Jobs!$B$9:$B$258,$AA215)))</f>
        <v/>
      </c>
      <c r="D215" s="39"/>
      <c r="E215" s="39"/>
      <c r="F215" s="39"/>
      <c r="G215" s="39"/>
      <c r="H215" s="39"/>
      <c r="I215" s="39"/>
      <c r="J215" s="39"/>
      <c r="K215" s="39"/>
      <c r="L215" s="38" t="str">
        <f>IF($AA215=0,"",IF(LEN(INDEX(Jobs!$D$9:$D$258,$AA215)&amp;"")=0,"",INDEX(Jobs!$D$9:$D$258,$AA215)))</f>
        <v/>
      </c>
      <c r="M215" s="39"/>
      <c r="N215" s="39"/>
      <c r="O215" s="42" t="str">
        <f>IF($AA215=0,"",IF(LEN(INDEX(Jobs!$G$9:$G$258,$AA215)&amp;"")=0,"",INDEX(Jobs!$G$9:$G$258,$AA215)))</f>
        <v/>
      </c>
      <c r="P215" s="39"/>
      <c r="Q215" s="39"/>
      <c r="R215" s="42" t="str">
        <f>IF($AA215=0,"",IF(LEN(INDEX(Jobs!$H$9:$H$258,$AA215)&amp;"")=0,"",INDEX(Jobs!$H$9:$H$258,$AA215)))</f>
        <v/>
      </c>
      <c r="S215" s="39"/>
      <c r="T215" s="39"/>
      <c r="U215" s="43" t="str">
        <f>IF($AA215=0,"",HYPERLINK("#'"&amp;INDEX(Jobs!$P$9:$P$258,$AA215)&amp;"'!A1","Open job"))</f>
        <v/>
      </c>
      <c r="V215" s="39"/>
      <c r="AA215">
        <f>IFERROR(MATCH(198,Jobs!$Q$9:$Q$258,0),0)</f>
        <v>0</v>
      </c>
    </row>
    <row r="216" spans="1:27" ht="36" hidden="1" customHeight="1" x14ac:dyDescent="0.35">
      <c r="A216" s="40" t="str">
        <f>IF($AA216=0,"",IF(LEN(INDEX(Jobs!$A$9:$A$258,$AA216)&amp;"")=0,"",INDEX(Jobs!$A$9:$A$258,$AA216)))</f>
        <v/>
      </c>
      <c r="B216" s="39"/>
      <c r="C216" s="40" t="str">
        <f>IF($AA216=0,"",IF(LEN(INDEX(Jobs!$B$9:$B$258,$AA216)&amp;"")=0,"",INDEX(Jobs!$B$9:$B$258,$AA216)))</f>
        <v/>
      </c>
      <c r="D216" s="39"/>
      <c r="E216" s="39"/>
      <c r="F216" s="39"/>
      <c r="G216" s="39"/>
      <c r="H216" s="39"/>
      <c r="I216" s="39"/>
      <c r="J216" s="39"/>
      <c r="K216" s="39"/>
      <c r="L216" s="40" t="str">
        <f>IF($AA216=0,"",IF(LEN(INDEX(Jobs!$D$9:$D$258,$AA216)&amp;"")=0,"",INDEX(Jobs!$D$9:$D$258,$AA216)))</f>
        <v/>
      </c>
      <c r="M216" s="39"/>
      <c r="N216" s="39"/>
      <c r="O216" s="41" t="str">
        <f>IF($AA216=0,"",IF(LEN(INDEX(Jobs!$G$9:$G$258,$AA216)&amp;"")=0,"",INDEX(Jobs!$G$9:$G$258,$AA216)))</f>
        <v/>
      </c>
      <c r="P216" s="39"/>
      <c r="Q216" s="39"/>
      <c r="R216" s="41" t="str">
        <f>IF($AA216=0,"",IF(LEN(INDEX(Jobs!$H$9:$H$258,$AA216)&amp;"")=0,"",INDEX(Jobs!$H$9:$H$258,$AA216)))</f>
        <v/>
      </c>
      <c r="S216" s="39"/>
      <c r="T216" s="39"/>
      <c r="U216" s="44" t="str">
        <f>IF($AA216=0,"",HYPERLINK("#'"&amp;INDEX(Jobs!$P$9:$P$258,$AA216)&amp;"'!A1","Open job"))</f>
        <v/>
      </c>
      <c r="V216" s="39"/>
      <c r="AA216">
        <f>IFERROR(MATCH(199,Jobs!$Q$9:$Q$258,0),0)</f>
        <v>0</v>
      </c>
    </row>
    <row r="217" spans="1:27" ht="36" hidden="1" customHeight="1" x14ac:dyDescent="0.35">
      <c r="A217" s="38" t="str">
        <f>IF($AA217=0,"",IF(LEN(INDEX(Jobs!$A$9:$A$258,$AA217)&amp;"")=0,"",INDEX(Jobs!$A$9:$A$258,$AA217)))</f>
        <v/>
      </c>
      <c r="B217" s="39"/>
      <c r="C217" s="38" t="str">
        <f>IF($AA217=0,"",IF(LEN(INDEX(Jobs!$B$9:$B$258,$AA217)&amp;"")=0,"",INDEX(Jobs!$B$9:$B$258,$AA217)))</f>
        <v/>
      </c>
      <c r="D217" s="39"/>
      <c r="E217" s="39"/>
      <c r="F217" s="39"/>
      <c r="G217" s="39"/>
      <c r="H217" s="39"/>
      <c r="I217" s="39"/>
      <c r="J217" s="39"/>
      <c r="K217" s="39"/>
      <c r="L217" s="38" t="str">
        <f>IF($AA217=0,"",IF(LEN(INDEX(Jobs!$D$9:$D$258,$AA217)&amp;"")=0,"",INDEX(Jobs!$D$9:$D$258,$AA217)))</f>
        <v/>
      </c>
      <c r="M217" s="39"/>
      <c r="N217" s="39"/>
      <c r="O217" s="42" t="str">
        <f>IF($AA217=0,"",IF(LEN(INDEX(Jobs!$G$9:$G$258,$AA217)&amp;"")=0,"",INDEX(Jobs!$G$9:$G$258,$AA217)))</f>
        <v/>
      </c>
      <c r="P217" s="39"/>
      <c r="Q217" s="39"/>
      <c r="R217" s="42" t="str">
        <f>IF($AA217=0,"",IF(LEN(INDEX(Jobs!$H$9:$H$258,$AA217)&amp;"")=0,"",INDEX(Jobs!$H$9:$H$258,$AA217)))</f>
        <v/>
      </c>
      <c r="S217" s="39"/>
      <c r="T217" s="39"/>
      <c r="U217" s="43" t="str">
        <f>IF($AA217=0,"",HYPERLINK("#'"&amp;INDEX(Jobs!$P$9:$P$258,$AA217)&amp;"'!A1","Open job"))</f>
        <v/>
      </c>
      <c r="V217" s="39"/>
      <c r="AA217">
        <f>IFERROR(MATCH(200,Jobs!$Q$9:$Q$258,0),0)</f>
        <v>0</v>
      </c>
    </row>
    <row r="218" spans="1:27" ht="36" hidden="1" customHeight="1" x14ac:dyDescent="0.35">
      <c r="A218" s="40" t="str">
        <f>IF($AA218=0,"",IF(LEN(INDEX(Jobs!$A$9:$A$258,$AA218)&amp;"")=0,"",INDEX(Jobs!$A$9:$A$258,$AA218)))</f>
        <v/>
      </c>
      <c r="B218" s="39"/>
      <c r="C218" s="40" t="str">
        <f>IF($AA218=0,"",IF(LEN(INDEX(Jobs!$B$9:$B$258,$AA218)&amp;"")=0,"",INDEX(Jobs!$B$9:$B$258,$AA218)))</f>
        <v/>
      </c>
      <c r="D218" s="39"/>
      <c r="E218" s="39"/>
      <c r="F218" s="39"/>
      <c r="G218" s="39"/>
      <c r="H218" s="39"/>
      <c r="I218" s="39"/>
      <c r="J218" s="39"/>
      <c r="K218" s="39"/>
      <c r="L218" s="40" t="str">
        <f>IF($AA218=0,"",IF(LEN(INDEX(Jobs!$D$9:$D$258,$AA218)&amp;"")=0,"",INDEX(Jobs!$D$9:$D$258,$AA218)))</f>
        <v/>
      </c>
      <c r="M218" s="39"/>
      <c r="N218" s="39"/>
      <c r="O218" s="41" t="str">
        <f>IF($AA218=0,"",IF(LEN(INDEX(Jobs!$G$9:$G$258,$AA218)&amp;"")=0,"",INDEX(Jobs!$G$9:$G$258,$AA218)))</f>
        <v/>
      </c>
      <c r="P218" s="39"/>
      <c r="Q218" s="39"/>
      <c r="R218" s="41" t="str">
        <f>IF($AA218=0,"",IF(LEN(INDEX(Jobs!$H$9:$H$258,$AA218)&amp;"")=0,"",INDEX(Jobs!$H$9:$H$258,$AA218)))</f>
        <v/>
      </c>
      <c r="S218" s="39"/>
      <c r="T218" s="39"/>
      <c r="U218" s="44" t="str">
        <f>IF($AA218=0,"",HYPERLINK("#'"&amp;INDEX(Jobs!$P$9:$P$258,$AA218)&amp;"'!A1","Open job"))</f>
        <v/>
      </c>
      <c r="V218" s="39"/>
      <c r="AA218">
        <f>IFERROR(MATCH(201,Jobs!$Q$9:$Q$258,0),0)</f>
        <v>0</v>
      </c>
    </row>
    <row r="219" spans="1:27" ht="36" hidden="1" customHeight="1" x14ac:dyDescent="0.35">
      <c r="A219" s="38" t="str">
        <f>IF($AA219=0,"",IF(LEN(INDEX(Jobs!$A$9:$A$258,$AA219)&amp;"")=0,"",INDEX(Jobs!$A$9:$A$258,$AA219)))</f>
        <v/>
      </c>
      <c r="B219" s="39"/>
      <c r="C219" s="38" t="str">
        <f>IF($AA219=0,"",IF(LEN(INDEX(Jobs!$B$9:$B$258,$AA219)&amp;"")=0,"",INDEX(Jobs!$B$9:$B$258,$AA219)))</f>
        <v/>
      </c>
      <c r="D219" s="39"/>
      <c r="E219" s="39"/>
      <c r="F219" s="39"/>
      <c r="G219" s="39"/>
      <c r="H219" s="39"/>
      <c r="I219" s="39"/>
      <c r="J219" s="39"/>
      <c r="K219" s="39"/>
      <c r="L219" s="38" t="str">
        <f>IF($AA219=0,"",IF(LEN(INDEX(Jobs!$D$9:$D$258,$AA219)&amp;"")=0,"",INDEX(Jobs!$D$9:$D$258,$AA219)))</f>
        <v/>
      </c>
      <c r="M219" s="39"/>
      <c r="N219" s="39"/>
      <c r="O219" s="42" t="str">
        <f>IF($AA219=0,"",IF(LEN(INDEX(Jobs!$G$9:$G$258,$AA219)&amp;"")=0,"",INDEX(Jobs!$G$9:$G$258,$AA219)))</f>
        <v/>
      </c>
      <c r="P219" s="39"/>
      <c r="Q219" s="39"/>
      <c r="R219" s="42" t="str">
        <f>IF($AA219=0,"",IF(LEN(INDEX(Jobs!$H$9:$H$258,$AA219)&amp;"")=0,"",INDEX(Jobs!$H$9:$H$258,$AA219)))</f>
        <v/>
      </c>
      <c r="S219" s="39"/>
      <c r="T219" s="39"/>
      <c r="U219" s="43" t="str">
        <f>IF($AA219=0,"",HYPERLINK("#'"&amp;INDEX(Jobs!$P$9:$P$258,$AA219)&amp;"'!A1","Open job"))</f>
        <v/>
      </c>
      <c r="V219" s="39"/>
      <c r="AA219">
        <f>IFERROR(MATCH(202,Jobs!$Q$9:$Q$258,0),0)</f>
        <v>0</v>
      </c>
    </row>
    <row r="220" spans="1:27" ht="36" hidden="1" customHeight="1" x14ac:dyDescent="0.35">
      <c r="A220" s="40" t="str">
        <f>IF($AA220=0,"",IF(LEN(INDEX(Jobs!$A$9:$A$258,$AA220)&amp;"")=0,"",INDEX(Jobs!$A$9:$A$258,$AA220)))</f>
        <v/>
      </c>
      <c r="B220" s="39"/>
      <c r="C220" s="40" t="str">
        <f>IF($AA220=0,"",IF(LEN(INDEX(Jobs!$B$9:$B$258,$AA220)&amp;"")=0,"",INDEX(Jobs!$B$9:$B$258,$AA220)))</f>
        <v/>
      </c>
      <c r="D220" s="39"/>
      <c r="E220" s="39"/>
      <c r="F220" s="39"/>
      <c r="G220" s="39"/>
      <c r="H220" s="39"/>
      <c r="I220" s="39"/>
      <c r="J220" s="39"/>
      <c r="K220" s="39"/>
      <c r="L220" s="40" t="str">
        <f>IF($AA220=0,"",IF(LEN(INDEX(Jobs!$D$9:$D$258,$AA220)&amp;"")=0,"",INDEX(Jobs!$D$9:$D$258,$AA220)))</f>
        <v/>
      </c>
      <c r="M220" s="39"/>
      <c r="N220" s="39"/>
      <c r="O220" s="41" t="str">
        <f>IF($AA220=0,"",IF(LEN(INDEX(Jobs!$G$9:$G$258,$AA220)&amp;"")=0,"",INDEX(Jobs!$G$9:$G$258,$AA220)))</f>
        <v/>
      </c>
      <c r="P220" s="39"/>
      <c r="Q220" s="39"/>
      <c r="R220" s="41" t="str">
        <f>IF($AA220=0,"",IF(LEN(INDEX(Jobs!$H$9:$H$258,$AA220)&amp;"")=0,"",INDEX(Jobs!$H$9:$H$258,$AA220)))</f>
        <v/>
      </c>
      <c r="S220" s="39"/>
      <c r="T220" s="39"/>
      <c r="U220" s="44" t="str">
        <f>IF($AA220=0,"",HYPERLINK("#'"&amp;INDEX(Jobs!$P$9:$P$258,$AA220)&amp;"'!A1","Open job"))</f>
        <v/>
      </c>
      <c r="V220" s="39"/>
      <c r="AA220">
        <f>IFERROR(MATCH(203,Jobs!$Q$9:$Q$258,0),0)</f>
        <v>0</v>
      </c>
    </row>
    <row r="221" spans="1:27" ht="36" hidden="1" customHeight="1" x14ac:dyDescent="0.35">
      <c r="A221" s="38" t="str">
        <f>IF($AA221=0,"",IF(LEN(INDEX(Jobs!$A$9:$A$258,$AA221)&amp;"")=0,"",INDEX(Jobs!$A$9:$A$258,$AA221)))</f>
        <v/>
      </c>
      <c r="B221" s="39"/>
      <c r="C221" s="38" t="str">
        <f>IF($AA221=0,"",IF(LEN(INDEX(Jobs!$B$9:$B$258,$AA221)&amp;"")=0,"",INDEX(Jobs!$B$9:$B$258,$AA221)))</f>
        <v/>
      </c>
      <c r="D221" s="39"/>
      <c r="E221" s="39"/>
      <c r="F221" s="39"/>
      <c r="G221" s="39"/>
      <c r="H221" s="39"/>
      <c r="I221" s="39"/>
      <c r="J221" s="39"/>
      <c r="K221" s="39"/>
      <c r="L221" s="38" t="str">
        <f>IF($AA221=0,"",IF(LEN(INDEX(Jobs!$D$9:$D$258,$AA221)&amp;"")=0,"",INDEX(Jobs!$D$9:$D$258,$AA221)))</f>
        <v/>
      </c>
      <c r="M221" s="39"/>
      <c r="N221" s="39"/>
      <c r="O221" s="42" t="str">
        <f>IF($AA221=0,"",IF(LEN(INDEX(Jobs!$G$9:$G$258,$AA221)&amp;"")=0,"",INDEX(Jobs!$G$9:$G$258,$AA221)))</f>
        <v/>
      </c>
      <c r="P221" s="39"/>
      <c r="Q221" s="39"/>
      <c r="R221" s="42" t="str">
        <f>IF($AA221=0,"",IF(LEN(INDEX(Jobs!$H$9:$H$258,$AA221)&amp;"")=0,"",INDEX(Jobs!$H$9:$H$258,$AA221)))</f>
        <v/>
      </c>
      <c r="S221" s="39"/>
      <c r="T221" s="39"/>
      <c r="U221" s="43" t="str">
        <f>IF($AA221=0,"",HYPERLINK("#'"&amp;INDEX(Jobs!$P$9:$P$258,$AA221)&amp;"'!A1","Open job"))</f>
        <v/>
      </c>
      <c r="V221" s="39"/>
      <c r="AA221">
        <f>IFERROR(MATCH(204,Jobs!$Q$9:$Q$258,0),0)</f>
        <v>0</v>
      </c>
    </row>
    <row r="222" spans="1:27" ht="36" hidden="1" customHeight="1" x14ac:dyDescent="0.35">
      <c r="A222" s="40" t="str">
        <f>IF($AA222=0,"",IF(LEN(INDEX(Jobs!$A$9:$A$258,$AA222)&amp;"")=0,"",INDEX(Jobs!$A$9:$A$258,$AA222)))</f>
        <v/>
      </c>
      <c r="B222" s="39"/>
      <c r="C222" s="40" t="str">
        <f>IF($AA222=0,"",IF(LEN(INDEX(Jobs!$B$9:$B$258,$AA222)&amp;"")=0,"",INDEX(Jobs!$B$9:$B$258,$AA222)))</f>
        <v/>
      </c>
      <c r="D222" s="39"/>
      <c r="E222" s="39"/>
      <c r="F222" s="39"/>
      <c r="G222" s="39"/>
      <c r="H222" s="39"/>
      <c r="I222" s="39"/>
      <c r="J222" s="39"/>
      <c r="K222" s="39"/>
      <c r="L222" s="40" t="str">
        <f>IF($AA222=0,"",IF(LEN(INDEX(Jobs!$D$9:$D$258,$AA222)&amp;"")=0,"",INDEX(Jobs!$D$9:$D$258,$AA222)))</f>
        <v/>
      </c>
      <c r="M222" s="39"/>
      <c r="N222" s="39"/>
      <c r="O222" s="41" t="str">
        <f>IF($AA222=0,"",IF(LEN(INDEX(Jobs!$G$9:$G$258,$AA222)&amp;"")=0,"",INDEX(Jobs!$G$9:$G$258,$AA222)))</f>
        <v/>
      </c>
      <c r="P222" s="39"/>
      <c r="Q222" s="39"/>
      <c r="R222" s="41" t="str">
        <f>IF($AA222=0,"",IF(LEN(INDEX(Jobs!$H$9:$H$258,$AA222)&amp;"")=0,"",INDEX(Jobs!$H$9:$H$258,$AA222)))</f>
        <v/>
      </c>
      <c r="S222" s="39"/>
      <c r="T222" s="39"/>
      <c r="U222" s="44" t="str">
        <f>IF($AA222=0,"",HYPERLINK("#'"&amp;INDEX(Jobs!$P$9:$P$258,$AA222)&amp;"'!A1","Open job"))</f>
        <v/>
      </c>
      <c r="V222" s="39"/>
      <c r="AA222">
        <f>IFERROR(MATCH(205,Jobs!$Q$9:$Q$258,0),0)</f>
        <v>0</v>
      </c>
    </row>
    <row r="223" spans="1:27" ht="36" hidden="1" customHeight="1" x14ac:dyDescent="0.35">
      <c r="A223" s="38" t="str">
        <f>IF($AA223=0,"",IF(LEN(INDEX(Jobs!$A$9:$A$258,$AA223)&amp;"")=0,"",INDEX(Jobs!$A$9:$A$258,$AA223)))</f>
        <v/>
      </c>
      <c r="B223" s="39"/>
      <c r="C223" s="38" t="str">
        <f>IF($AA223=0,"",IF(LEN(INDEX(Jobs!$B$9:$B$258,$AA223)&amp;"")=0,"",INDEX(Jobs!$B$9:$B$258,$AA223)))</f>
        <v/>
      </c>
      <c r="D223" s="39"/>
      <c r="E223" s="39"/>
      <c r="F223" s="39"/>
      <c r="G223" s="39"/>
      <c r="H223" s="39"/>
      <c r="I223" s="39"/>
      <c r="J223" s="39"/>
      <c r="K223" s="39"/>
      <c r="L223" s="38" t="str">
        <f>IF($AA223=0,"",IF(LEN(INDEX(Jobs!$D$9:$D$258,$AA223)&amp;"")=0,"",INDEX(Jobs!$D$9:$D$258,$AA223)))</f>
        <v/>
      </c>
      <c r="M223" s="39"/>
      <c r="N223" s="39"/>
      <c r="O223" s="42" t="str">
        <f>IF($AA223=0,"",IF(LEN(INDEX(Jobs!$G$9:$G$258,$AA223)&amp;"")=0,"",INDEX(Jobs!$G$9:$G$258,$AA223)))</f>
        <v/>
      </c>
      <c r="P223" s="39"/>
      <c r="Q223" s="39"/>
      <c r="R223" s="42" t="str">
        <f>IF($AA223=0,"",IF(LEN(INDEX(Jobs!$H$9:$H$258,$AA223)&amp;"")=0,"",INDEX(Jobs!$H$9:$H$258,$AA223)))</f>
        <v/>
      </c>
      <c r="S223" s="39"/>
      <c r="T223" s="39"/>
      <c r="U223" s="43" t="str">
        <f>IF($AA223=0,"",HYPERLINK("#'"&amp;INDEX(Jobs!$P$9:$P$258,$AA223)&amp;"'!A1","Open job"))</f>
        <v/>
      </c>
      <c r="V223" s="39"/>
      <c r="AA223">
        <f>IFERROR(MATCH(206,Jobs!$Q$9:$Q$258,0),0)</f>
        <v>0</v>
      </c>
    </row>
    <row r="224" spans="1:27" ht="36" hidden="1" customHeight="1" x14ac:dyDescent="0.35">
      <c r="A224" s="40" t="str">
        <f>IF($AA224=0,"",IF(LEN(INDEX(Jobs!$A$9:$A$258,$AA224)&amp;"")=0,"",INDEX(Jobs!$A$9:$A$258,$AA224)))</f>
        <v/>
      </c>
      <c r="B224" s="39"/>
      <c r="C224" s="40" t="str">
        <f>IF($AA224=0,"",IF(LEN(INDEX(Jobs!$B$9:$B$258,$AA224)&amp;"")=0,"",INDEX(Jobs!$B$9:$B$258,$AA224)))</f>
        <v/>
      </c>
      <c r="D224" s="39"/>
      <c r="E224" s="39"/>
      <c r="F224" s="39"/>
      <c r="G224" s="39"/>
      <c r="H224" s="39"/>
      <c r="I224" s="39"/>
      <c r="J224" s="39"/>
      <c r="K224" s="39"/>
      <c r="L224" s="40" t="str">
        <f>IF($AA224=0,"",IF(LEN(INDEX(Jobs!$D$9:$D$258,$AA224)&amp;"")=0,"",INDEX(Jobs!$D$9:$D$258,$AA224)))</f>
        <v/>
      </c>
      <c r="M224" s="39"/>
      <c r="N224" s="39"/>
      <c r="O224" s="41" t="str">
        <f>IF($AA224=0,"",IF(LEN(INDEX(Jobs!$G$9:$G$258,$AA224)&amp;"")=0,"",INDEX(Jobs!$G$9:$G$258,$AA224)))</f>
        <v/>
      </c>
      <c r="P224" s="39"/>
      <c r="Q224" s="39"/>
      <c r="R224" s="41" t="str">
        <f>IF($AA224=0,"",IF(LEN(INDEX(Jobs!$H$9:$H$258,$AA224)&amp;"")=0,"",INDEX(Jobs!$H$9:$H$258,$AA224)))</f>
        <v/>
      </c>
      <c r="S224" s="39"/>
      <c r="T224" s="39"/>
      <c r="U224" s="44" t="str">
        <f>IF($AA224=0,"",HYPERLINK("#'"&amp;INDEX(Jobs!$P$9:$P$258,$AA224)&amp;"'!A1","Open job"))</f>
        <v/>
      </c>
      <c r="V224" s="39"/>
      <c r="AA224">
        <f>IFERROR(MATCH(207,Jobs!$Q$9:$Q$258,0),0)</f>
        <v>0</v>
      </c>
    </row>
    <row r="225" spans="1:27" ht="36" hidden="1" customHeight="1" x14ac:dyDescent="0.35">
      <c r="A225" s="38" t="str">
        <f>IF($AA225=0,"",IF(LEN(INDEX(Jobs!$A$9:$A$258,$AA225)&amp;"")=0,"",INDEX(Jobs!$A$9:$A$258,$AA225)))</f>
        <v/>
      </c>
      <c r="B225" s="39"/>
      <c r="C225" s="38" t="str">
        <f>IF($AA225=0,"",IF(LEN(INDEX(Jobs!$B$9:$B$258,$AA225)&amp;"")=0,"",INDEX(Jobs!$B$9:$B$258,$AA225)))</f>
        <v/>
      </c>
      <c r="D225" s="39"/>
      <c r="E225" s="39"/>
      <c r="F225" s="39"/>
      <c r="G225" s="39"/>
      <c r="H225" s="39"/>
      <c r="I225" s="39"/>
      <c r="J225" s="39"/>
      <c r="K225" s="39"/>
      <c r="L225" s="38" t="str">
        <f>IF($AA225=0,"",IF(LEN(INDEX(Jobs!$D$9:$D$258,$AA225)&amp;"")=0,"",INDEX(Jobs!$D$9:$D$258,$AA225)))</f>
        <v/>
      </c>
      <c r="M225" s="39"/>
      <c r="N225" s="39"/>
      <c r="O225" s="42" t="str">
        <f>IF($AA225=0,"",IF(LEN(INDEX(Jobs!$G$9:$G$258,$AA225)&amp;"")=0,"",INDEX(Jobs!$G$9:$G$258,$AA225)))</f>
        <v/>
      </c>
      <c r="P225" s="39"/>
      <c r="Q225" s="39"/>
      <c r="R225" s="42" t="str">
        <f>IF($AA225=0,"",IF(LEN(INDEX(Jobs!$H$9:$H$258,$AA225)&amp;"")=0,"",INDEX(Jobs!$H$9:$H$258,$AA225)))</f>
        <v/>
      </c>
      <c r="S225" s="39"/>
      <c r="T225" s="39"/>
      <c r="U225" s="43" t="str">
        <f>IF($AA225=0,"",HYPERLINK("#'"&amp;INDEX(Jobs!$P$9:$P$258,$AA225)&amp;"'!A1","Open job"))</f>
        <v/>
      </c>
      <c r="V225" s="39"/>
      <c r="AA225">
        <f>IFERROR(MATCH(208,Jobs!$Q$9:$Q$258,0),0)</f>
        <v>0</v>
      </c>
    </row>
    <row r="226" spans="1:27" ht="36" hidden="1" customHeight="1" x14ac:dyDescent="0.35">
      <c r="A226" s="40" t="str">
        <f>IF($AA226=0,"",IF(LEN(INDEX(Jobs!$A$9:$A$258,$AA226)&amp;"")=0,"",INDEX(Jobs!$A$9:$A$258,$AA226)))</f>
        <v/>
      </c>
      <c r="B226" s="39"/>
      <c r="C226" s="40" t="str">
        <f>IF($AA226=0,"",IF(LEN(INDEX(Jobs!$B$9:$B$258,$AA226)&amp;"")=0,"",INDEX(Jobs!$B$9:$B$258,$AA226)))</f>
        <v/>
      </c>
      <c r="D226" s="39"/>
      <c r="E226" s="39"/>
      <c r="F226" s="39"/>
      <c r="G226" s="39"/>
      <c r="H226" s="39"/>
      <c r="I226" s="39"/>
      <c r="J226" s="39"/>
      <c r="K226" s="39"/>
      <c r="L226" s="40" t="str">
        <f>IF($AA226=0,"",IF(LEN(INDEX(Jobs!$D$9:$D$258,$AA226)&amp;"")=0,"",INDEX(Jobs!$D$9:$D$258,$AA226)))</f>
        <v/>
      </c>
      <c r="M226" s="39"/>
      <c r="N226" s="39"/>
      <c r="O226" s="41" t="str">
        <f>IF($AA226=0,"",IF(LEN(INDEX(Jobs!$G$9:$G$258,$AA226)&amp;"")=0,"",INDEX(Jobs!$G$9:$G$258,$AA226)))</f>
        <v/>
      </c>
      <c r="P226" s="39"/>
      <c r="Q226" s="39"/>
      <c r="R226" s="41" t="str">
        <f>IF($AA226=0,"",IF(LEN(INDEX(Jobs!$H$9:$H$258,$AA226)&amp;"")=0,"",INDEX(Jobs!$H$9:$H$258,$AA226)))</f>
        <v/>
      </c>
      <c r="S226" s="39"/>
      <c r="T226" s="39"/>
      <c r="U226" s="44" t="str">
        <f>IF($AA226=0,"",HYPERLINK("#'"&amp;INDEX(Jobs!$P$9:$P$258,$AA226)&amp;"'!A1","Open job"))</f>
        <v/>
      </c>
      <c r="V226" s="39"/>
      <c r="AA226">
        <f>IFERROR(MATCH(209,Jobs!$Q$9:$Q$258,0),0)</f>
        <v>0</v>
      </c>
    </row>
    <row r="227" spans="1:27" ht="36" hidden="1" customHeight="1" x14ac:dyDescent="0.35">
      <c r="A227" s="38" t="str">
        <f>IF($AA227=0,"",IF(LEN(INDEX(Jobs!$A$9:$A$258,$AA227)&amp;"")=0,"",INDEX(Jobs!$A$9:$A$258,$AA227)))</f>
        <v/>
      </c>
      <c r="B227" s="39"/>
      <c r="C227" s="38" t="str">
        <f>IF($AA227=0,"",IF(LEN(INDEX(Jobs!$B$9:$B$258,$AA227)&amp;"")=0,"",INDEX(Jobs!$B$9:$B$258,$AA227)))</f>
        <v/>
      </c>
      <c r="D227" s="39"/>
      <c r="E227" s="39"/>
      <c r="F227" s="39"/>
      <c r="G227" s="39"/>
      <c r="H227" s="39"/>
      <c r="I227" s="39"/>
      <c r="J227" s="39"/>
      <c r="K227" s="39"/>
      <c r="L227" s="38" t="str">
        <f>IF($AA227=0,"",IF(LEN(INDEX(Jobs!$D$9:$D$258,$AA227)&amp;"")=0,"",INDEX(Jobs!$D$9:$D$258,$AA227)))</f>
        <v/>
      </c>
      <c r="M227" s="39"/>
      <c r="N227" s="39"/>
      <c r="O227" s="42" t="str">
        <f>IF($AA227=0,"",IF(LEN(INDEX(Jobs!$G$9:$G$258,$AA227)&amp;"")=0,"",INDEX(Jobs!$G$9:$G$258,$AA227)))</f>
        <v/>
      </c>
      <c r="P227" s="39"/>
      <c r="Q227" s="39"/>
      <c r="R227" s="42" t="str">
        <f>IF($AA227=0,"",IF(LEN(INDEX(Jobs!$H$9:$H$258,$AA227)&amp;"")=0,"",INDEX(Jobs!$H$9:$H$258,$AA227)))</f>
        <v/>
      </c>
      <c r="S227" s="39"/>
      <c r="T227" s="39"/>
      <c r="U227" s="43" t="str">
        <f>IF($AA227=0,"",HYPERLINK("#'"&amp;INDEX(Jobs!$P$9:$P$258,$AA227)&amp;"'!A1","Open job"))</f>
        <v/>
      </c>
      <c r="V227" s="39"/>
      <c r="AA227">
        <f>IFERROR(MATCH(210,Jobs!$Q$9:$Q$258,0),0)</f>
        <v>0</v>
      </c>
    </row>
    <row r="228" spans="1:27" ht="36" hidden="1" customHeight="1" x14ac:dyDescent="0.35">
      <c r="A228" s="40" t="str">
        <f>IF($AA228=0,"",IF(LEN(INDEX(Jobs!$A$9:$A$258,$AA228)&amp;"")=0,"",INDEX(Jobs!$A$9:$A$258,$AA228)))</f>
        <v/>
      </c>
      <c r="B228" s="39"/>
      <c r="C228" s="40" t="str">
        <f>IF($AA228=0,"",IF(LEN(INDEX(Jobs!$B$9:$B$258,$AA228)&amp;"")=0,"",INDEX(Jobs!$B$9:$B$258,$AA228)))</f>
        <v/>
      </c>
      <c r="D228" s="39"/>
      <c r="E228" s="39"/>
      <c r="F228" s="39"/>
      <c r="G228" s="39"/>
      <c r="H228" s="39"/>
      <c r="I228" s="39"/>
      <c r="J228" s="39"/>
      <c r="K228" s="39"/>
      <c r="L228" s="40" t="str">
        <f>IF($AA228=0,"",IF(LEN(INDEX(Jobs!$D$9:$D$258,$AA228)&amp;"")=0,"",INDEX(Jobs!$D$9:$D$258,$AA228)))</f>
        <v/>
      </c>
      <c r="M228" s="39"/>
      <c r="N228" s="39"/>
      <c r="O228" s="41" t="str">
        <f>IF($AA228=0,"",IF(LEN(INDEX(Jobs!$G$9:$G$258,$AA228)&amp;"")=0,"",INDEX(Jobs!$G$9:$G$258,$AA228)))</f>
        <v/>
      </c>
      <c r="P228" s="39"/>
      <c r="Q228" s="39"/>
      <c r="R228" s="41" t="str">
        <f>IF($AA228=0,"",IF(LEN(INDEX(Jobs!$H$9:$H$258,$AA228)&amp;"")=0,"",INDEX(Jobs!$H$9:$H$258,$AA228)))</f>
        <v/>
      </c>
      <c r="S228" s="39"/>
      <c r="T228" s="39"/>
      <c r="U228" s="44" t="str">
        <f>IF($AA228=0,"",HYPERLINK("#'"&amp;INDEX(Jobs!$P$9:$P$258,$AA228)&amp;"'!A1","Open job"))</f>
        <v/>
      </c>
      <c r="V228" s="39"/>
      <c r="AA228">
        <f>IFERROR(MATCH(211,Jobs!$Q$9:$Q$258,0),0)</f>
        <v>0</v>
      </c>
    </row>
    <row r="229" spans="1:27" ht="36" hidden="1" customHeight="1" x14ac:dyDescent="0.35">
      <c r="A229" s="38" t="str">
        <f>IF($AA229=0,"",IF(LEN(INDEX(Jobs!$A$9:$A$258,$AA229)&amp;"")=0,"",INDEX(Jobs!$A$9:$A$258,$AA229)))</f>
        <v/>
      </c>
      <c r="B229" s="39"/>
      <c r="C229" s="38" t="str">
        <f>IF($AA229=0,"",IF(LEN(INDEX(Jobs!$B$9:$B$258,$AA229)&amp;"")=0,"",INDEX(Jobs!$B$9:$B$258,$AA229)))</f>
        <v/>
      </c>
      <c r="D229" s="39"/>
      <c r="E229" s="39"/>
      <c r="F229" s="39"/>
      <c r="G229" s="39"/>
      <c r="H229" s="39"/>
      <c r="I229" s="39"/>
      <c r="J229" s="39"/>
      <c r="K229" s="39"/>
      <c r="L229" s="38" t="str">
        <f>IF($AA229=0,"",IF(LEN(INDEX(Jobs!$D$9:$D$258,$AA229)&amp;"")=0,"",INDEX(Jobs!$D$9:$D$258,$AA229)))</f>
        <v/>
      </c>
      <c r="M229" s="39"/>
      <c r="N229" s="39"/>
      <c r="O229" s="42" t="str">
        <f>IF($AA229=0,"",IF(LEN(INDEX(Jobs!$G$9:$G$258,$AA229)&amp;"")=0,"",INDEX(Jobs!$G$9:$G$258,$AA229)))</f>
        <v/>
      </c>
      <c r="P229" s="39"/>
      <c r="Q229" s="39"/>
      <c r="R229" s="42" t="str">
        <f>IF($AA229=0,"",IF(LEN(INDEX(Jobs!$H$9:$H$258,$AA229)&amp;"")=0,"",INDEX(Jobs!$H$9:$H$258,$AA229)))</f>
        <v/>
      </c>
      <c r="S229" s="39"/>
      <c r="T229" s="39"/>
      <c r="U229" s="43" t="str">
        <f>IF($AA229=0,"",HYPERLINK("#'"&amp;INDEX(Jobs!$P$9:$P$258,$AA229)&amp;"'!A1","Open job"))</f>
        <v/>
      </c>
      <c r="V229" s="39"/>
      <c r="AA229">
        <f>IFERROR(MATCH(212,Jobs!$Q$9:$Q$258,0),0)</f>
        <v>0</v>
      </c>
    </row>
    <row r="230" spans="1:27" ht="36" hidden="1" customHeight="1" x14ac:dyDescent="0.35">
      <c r="A230" s="40" t="str">
        <f>IF($AA230=0,"",IF(LEN(INDEX(Jobs!$A$9:$A$258,$AA230)&amp;"")=0,"",INDEX(Jobs!$A$9:$A$258,$AA230)))</f>
        <v/>
      </c>
      <c r="B230" s="39"/>
      <c r="C230" s="40" t="str">
        <f>IF($AA230=0,"",IF(LEN(INDEX(Jobs!$B$9:$B$258,$AA230)&amp;"")=0,"",INDEX(Jobs!$B$9:$B$258,$AA230)))</f>
        <v/>
      </c>
      <c r="D230" s="39"/>
      <c r="E230" s="39"/>
      <c r="F230" s="39"/>
      <c r="G230" s="39"/>
      <c r="H230" s="39"/>
      <c r="I230" s="39"/>
      <c r="J230" s="39"/>
      <c r="K230" s="39"/>
      <c r="L230" s="40" t="str">
        <f>IF($AA230=0,"",IF(LEN(INDEX(Jobs!$D$9:$D$258,$AA230)&amp;"")=0,"",INDEX(Jobs!$D$9:$D$258,$AA230)))</f>
        <v/>
      </c>
      <c r="M230" s="39"/>
      <c r="N230" s="39"/>
      <c r="O230" s="41" t="str">
        <f>IF($AA230=0,"",IF(LEN(INDEX(Jobs!$G$9:$G$258,$AA230)&amp;"")=0,"",INDEX(Jobs!$G$9:$G$258,$AA230)))</f>
        <v/>
      </c>
      <c r="P230" s="39"/>
      <c r="Q230" s="39"/>
      <c r="R230" s="41" t="str">
        <f>IF($AA230=0,"",IF(LEN(INDEX(Jobs!$H$9:$H$258,$AA230)&amp;"")=0,"",INDEX(Jobs!$H$9:$H$258,$AA230)))</f>
        <v/>
      </c>
      <c r="S230" s="39"/>
      <c r="T230" s="39"/>
      <c r="U230" s="44" t="str">
        <f>IF($AA230=0,"",HYPERLINK("#'"&amp;INDEX(Jobs!$P$9:$P$258,$AA230)&amp;"'!A1","Open job"))</f>
        <v/>
      </c>
      <c r="V230" s="39"/>
      <c r="AA230">
        <f>IFERROR(MATCH(213,Jobs!$Q$9:$Q$258,0),0)</f>
        <v>0</v>
      </c>
    </row>
    <row r="231" spans="1:27" ht="36" hidden="1" customHeight="1" x14ac:dyDescent="0.35">
      <c r="A231" s="38" t="str">
        <f>IF($AA231=0,"",IF(LEN(INDEX(Jobs!$A$9:$A$258,$AA231)&amp;"")=0,"",INDEX(Jobs!$A$9:$A$258,$AA231)))</f>
        <v/>
      </c>
      <c r="B231" s="39"/>
      <c r="C231" s="38" t="str">
        <f>IF($AA231=0,"",IF(LEN(INDEX(Jobs!$B$9:$B$258,$AA231)&amp;"")=0,"",INDEX(Jobs!$B$9:$B$258,$AA231)))</f>
        <v/>
      </c>
      <c r="D231" s="39"/>
      <c r="E231" s="39"/>
      <c r="F231" s="39"/>
      <c r="G231" s="39"/>
      <c r="H231" s="39"/>
      <c r="I231" s="39"/>
      <c r="J231" s="39"/>
      <c r="K231" s="39"/>
      <c r="L231" s="38" t="str">
        <f>IF($AA231=0,"",IF(LEN(INDEX(Jobs!$D$9:$D$258,$AA231)&amp;"")=0,"",INDEX(Jobs!$D$9:$D$258,$AA231)))</f>
        <v/>
      </c>
      <c r="M231" s="39"/>
      <c r="N231" s="39"/>
      <c r="O231" s="42" t="str">
        <f>IF($AA231=0,"",IF(LEN(INDEX(Jobs!$G$9:$G$258,$AA231)&amp;"")=0,"",INDEX(Jobs!$G$9:$G$258,$AA231)))</f>
        <v/>
      </c>
      <c r="P231" s="39"/>
      <c r="Q231" s="39"/>
      <c r="R231" s="42" t="str">
        <f>IF($AA231=0,"",IF(LEN(INDEX(Jobs!$H$9:$H$258,$AA231)&amp;"")=0,"",INDEX(Jobs!$H$9:$H$258,$AA231)))</f>
        <v/>
      </c>
      <c r="S231" s="39"/>
      <c r="T231" s="39"/>
      <c r="U231" s="43" t="str">
        <f>IF($AA231=0,"",HYPERLINK("#'"&amp;INDEX(Jobs!$P$9:$P$258,$AA231)&amp;"'!A1","Open job"))</f>
        <v/>
      </c>
      <c r="V231" s="39"/>
      <c r="AA231">
        <f>IFERROR(MATCH(214,Jobs!$Q$9:$Q$258,0),0)</f>
        <v>0</v>
      </c>
    </row>
    <row r="232" spans="1:27" ht="36" hidden="1" customHeight="1" x14ac:dyDescent="0.35">
      <c r="A232" s="40" t="str">
        <f>IF($AA232=0,"",IF(LEN(INDEX(Jobs!$A$9:$A$258,$AA232)&amp;"")=0,"",INDEX(Jobs!$A$9:$A$258,$AA232)))</f>
        <v/>
      </c>
      <c r="B232" s="39"/>
      <c r="C232" s="40" t="str">
        <f>IF($AA232=0,"",IF(LEN(INDEX(Jobs!$B$9:$B$258,$AA232)&amp;"")=0,"",INDEX(Jobs!$B$9:$B$258,$AA232)))</f>
        <v/>
      </c>
      <c r="D232" s="39"/>
      <c r="E232" s="39"/>
      <c r="F232" s="39"/>
      <c r="G232" s="39"/>
      <c r="H232" s="39"/>
      <c r="I232" s="39"/>
      <c r="J232" s="39"/>
      <c r="K232" s="39"/>
      <c r="L232" s="40" t="str">
        <f>IF($AA232=0,"",IF(LEN(INDEX(Jobs!$D$9:$D$258,$AA232)&amp;"")=0,"",INDEX(Jobs!$D$9:$D$258,$AA232)))</f>
        <v/>
      </c>
      <c r="M232" s="39"/>
      <c r="N232" s="39"/>
      <c r="O232" s="41" t="str">
        <f>IF($AA232=0,"",IF(LEN(INDEX(Jobs!$G$9:$G$258,$AA232)&amp;"")=0,"",INDEX(Jobs!$G$9:$G$258,$AA232)))</f>
        <v/>
      </c>
      <c r="P232" s="39"/>
      <c r="Q232" s="39"/>
      <c r="R232" s="41" t="str">
        <f>IF($AA232=0,"",IF(LEN(INDEX(Jobs!$H$9:$H$258,$AA232)&amp;"")=0,"",INDEX(Jobs!$H$9:$H$258,$AA232)))</f>
        <v/>
      </c>
      <c r="S232" s="39"/>
      <c r="T232" s="39"/>
      <c r="U232" s="44" t="str">
        <f>IF($AA232=0,"",HYPERLINK("#'"&amp;INDEX(Jobs!$P$9:$P$258,$AA232)&amp;"'!A1","Open job"))</f>
        <v/>
      </c>
      <c r="V232" s="39"/>
      <c r="AA232">
        <f>IFERROR(MATCH(215,Jobs!$Q$9:$Q$258,0),0)</f>
        <v>0</v>
      </c>
    </row>
    <row r="233" spans="1:27" ht="36" hidden="1" customHeight="1" x14ac:dyDescent="0.35">
      <c r="A233" s="38" t="str">
        <f>IF($AA233=0,"",IF(LEN(INDEX(Jobs!$A$9:$A$258,$AA233)&amp;"")=0,"",INDEX(Jobs!$A$9:$A$258,$AA233)))</f>
        <v/>
      </c>
      <c r="B233" s="39"/>
      <c r="C233" s="38" t="str">
        <f>IF($AA233=0,"",IF(LEN(INDEX(Jobs!$B$9:$B$258,$AA233)&amp;"")=0,"",INDEX(Jobs!$B$9:$B$258,$AA233)))</f>
        <v/>
      </c>
      <c r="D233" s="39"/>
      <c r="E233" s="39"/>
      <c r="F233" s="39"/>
      <c r="G233" s="39"/>
      <c r="H233" s="39"/>
      <c r="I233" s="39"/>
      <c r="J233" s="39"/>
      <c r="K233" s="39"/>
      <c r="L233" s="38" t="str">
        <f>IF($AA233=0,"",IF(LEN(INDEX(Jobs!$D$9:$D$258,$AA233)&amp;"")=0,"",INDEX(Jobs!$D$9:$D$258,$AA233)))</f>
        <v/>
      </c>
      <c r="M233" s="39"/>
      <c r="N233" s="39"/>
      <c r="O233" s="42" t="str">
        <f>IF($AA233=0,"",IF(LEN(INDEX(Jobs!$G$9:$G$258,$AA233)&amp;"")=0,"",INDEX(Jobs!$G$9:$G$258,$AA233)))</f>
        <v/>
      </c>
      <c r="P233" s="39"/>
      <c r="Q233" s="39"/>
      <c r="R233" s="42" t="str">
        <f>IF($AA233=0,"",IF(LEN(INDEX(Jobs!$H$9:$H$258,$AA233)&amp;"")=0,"",INDEX(Jobs!$H$9:$H$258,$AA233)))</f>
        <v/>
      </c>
      <c r="S233" s="39"/>
      <c r="T233" s="39"/>
      <c r="U233" s="43" t="str">
        <f>IF($AA233=0,"",HYPERLINK("#'"&amp;INDEX(Jobs!$P$9:$P$258,$AA233)&amp;"'!A1","Open job"))</f>
        <v/>
      </c>
      <c r="V233" s="39"/>
      <c r="AA233">
        <f>IFERROR(MATCH(216,Jobs!$Q$9:$Q$258,0),0)</f>
        <v>0</v>
      </c>
    </row>
    <row r="234" spans="1:27" ht="36" hidden="1" customHeight="1" x14ac:dyDescent="0.35">
      <c r="A234" s="40" t="str">
        <f>IF($AA234=0,"",IF(LEN(INDEX(Jobs!$A$9:$A$258,$AA234)&amp;"")=0,"",INDEX(Jobs!$A$9:$A$258,$AA234)))</f>
        <v/>
      </c>
      <c r="B234" s="39"/>
      <c r="C234" s="40" t="str">
        <f>IF($AA234=0,"",IF(LEN(INDEX(Jobs!$B$9:$B$258,$AA234)&amp;"")=0,"",INDEX(Jobs!$B$9:$B$258,$AA234)))</f>
        <v/>
      </c>
      <c r="D234" s="39"/>
      <c r="E234" s="39"/>
      <c r="F234" s="39"/>
      <c r="G234" s="39"/>
      <c r="H234" s="39"/>
      <c r="I234" s="39"/>
      <c r="J234" s="39"/>
      <c r="K234" s="39"/>
      <c r="L234" s="40" t="str">
        <f>IF($AA234=0,"",IF(LEN(INDEX(Jobs!$D$9:$D$258,$AA234)&amp;"")=0,"",INDEX(Jobs!$D$9:$D$258,$AA234)))</f>
        <v/>
      </c>
      <c r="M234" s="39"/>
      <c r="N234" s="39"/>
      <c r="O234" s="41" t="str">
        <f>IF($AA234=0,"",IF(LEN(INDEX(Jobs!$G$9:$G$258,$AA234)&amp;"")=0,"",INDEX(Jobs!$G$9:$G$258,$AA234)))</f>
        <v/>
      </c>
      <c r="P234" s="39"/>
      <c r="Q234" s="39"/>
      <c r="R234" s="41" t="str">
        <f>IF($AA234=0,"",IF(LEN(INDEX(Jobs!$H$9:$H$258,$AA234)&amp;"")=0,"",INDEX(Jobs!$H$9:$H$258,$AA234)))</f>
        <v/>
      </c>
      <c r="S234" s="39"/>
      <c r="T234" s="39"/>
      <c r="U234" s="44" t="str">
        <f>IF($AA234=0,"",HYPERLINK("#'"&amp;INDEX(Jobs!$P$9:$P$258,$AA234)&amp;"'!A1","Open job"))</f>
        <v/>
      </c>
      <c r="V234" s="39"/>
      <c r="AA234">
        <f>IFERROR(MATCH(217,Jobs!$Q$9:$Q$258,0),0)</f>
        <v>0</v>
      </c>
    </row>
    <row r="235" spans="1:27" ht="36" hidden="1" customHeight="1" x14ac:dyDescent="0.35">
      <c r="A235" s="38" t="str">
        <f>IF($AA235=0,"",IF(LEN(INDEX(Jobs!$A$9:$A$258,$AA235)&amp;"")=0,"",INDEX(Jobs!$A$9:$A$258,$AA235)))</f>
        <v/>
      </c>
      <c r="B235" s="39"/>
      <c r="C235" s="38" t="str">
        <f>IF($AA235=0,"",IF(LEN(INDEX(Jobs!$B$9:$B$258,$AA235)&amp;"")=0,"",INDEX(Jobs!$B$9:$B$258,$AA235)))</f>
        <v/>
      </c>
      <c r="D235" s="39"/>
      <c r="E235" s="39"/>
      <c r="F235" s="39"/>
      <c r="G235" s="39"/>
      <c r="H235" s="39"/>
      <c r="I235" s="39"/>
      <c r="J235" s="39"/>
      <c r="K235" s="39"/>
      <c r="L235" s="38" t="str">
        <f>IF($AA235=0,"",IF(LEN(INDEX(Jobs!$D$9:$D$258,$AA235)&amp;"")=0,"",INDEX(Jobs!$D$9:$D$258,$AA235)))</f>
        <v/>
      </c>
      <c r="M235" s="39"/>
      <c r="N235" s="39"/>
      <c r="O235" s="42" t="str">
        <f>IF($AA235=0,"",IF(LEN(INDEX(Jobs!$G$9:$G$258,$AA235)&amp;"")=0,"",INDEX(Jobs!$G$9:$G$258,$AA235)))</f>
        <v/>
      </c>
      <c r="P235" s="39"/>
      <c r="Q235" s="39"/>
      <c r="R235" s="42" t="str">
        <f>IF($AA235=0,"",IF(LEN(INDEX(Jobs!$H$9:$H$258,$AA235)&amp;"")=0,"",INDEX(Jobs!$H$9:$H$258,$AA235)))</f>
        <v/>
      </c>
      <c r="S235" s="39"/>
      <c r="T235" s="39"/>
      <c r="U235" s="43" t="str">
        <f>IF($AA235=0,"",HYPERLINK("#'"&amp;INDEX(Jobs!$P$9:$P$258,$AA235)&amp;"'!A1","Open job"))</f>
        <v/>
      </c>
      <c r="V235" s="39"/>
      <c r="AA235">
        <f>IFERROR(MATCH(218,Jobs!$Q$9:$Q$258,0),0)</f>
        <v>0</v>
      </c>
    </row>
    <row r="236" spans="1:27" ht="36" hidden="1" customHeight="1" x14ac:dyDescent="0.35">
      <c r="A236" s="40" t="str">
        <f>IF($AA236=0,"",IF(LEN(INDEX(Jobs!$A$9:$A$258,$AA236)&amp;"")=0,"",INDEX(Jobs!$A$9:$A$258,$AA236)))</f>
        <v/>
      </c>
      <c r="B236" s="39"/>
      <c r="C236" s="40" t="str">
        <f>IF($AA236=0,"",IF(LEN(INDEX(Jobs!$B$9:$B$258,$AA236)&amp;"")=0,"",INDEX(Jobs!$B$9:$B$258,$AA236)))</f>
        <v/>
      </c>
      <c r="D236" s="39"/>
      <c r="E236" s="39"/>
      <c r="F236" s="39"/>
      <c r="G236" s="39"/>
      <c r="H236" s="39"/>
      <c r="I236" s="39"/>
      <c r="J236" s="39"/>
      <c r="K236" s="39"/>
      <c r="L236" s="40" t="str">
        <f>IF($AA236=0,"",IF(LEN(INDEX(Jobs!$D$9:$D$258,$AA236)&amp;"")=0,"",INDEX(Jobs!$D$9:$D$258,$AA236)))</f>
        <v/>
      </c>
      <c r="M236" s="39"/>
      <c r="N236" s="39"/>
      <c r="O236" s="41" t="str">
        <f>IF($AA236=0,"",IF(LEN(INDEX(Jobs!$G$9:$G$258,$AA236)&amp;"")=0,"",INDEX(Jobs!$G$9:$G$258,$AA236)))</f>
        <v/>
      </c>
      <c r="P236" s="39"/>
      <c r="Q236" s="39"/>
      <c r="R236" s="41" t="str">
        <f>IF($AA236=0,"",IF(LEN(INDEX(Jobs!$H$9:$H$258,$AA236)&amp;"")=0,"",INDEX(Jobs!$H$9:$H$258,$AA236)))</f>
        <v/>
      </c>
      <c r="S236" s="39"/>
      <c r="T236" s="39"/>
      <c r="U236" s="44" t="str">
        <f>IF($AA236=0,"",HYPERLINK("#'"&amp;INDEX(Jobs!$P$9:$P$258,$AA236)&amp;"'!A1","Open job"))</f>
        <v/>
      </c>
      <c r="V236" s="39"/>
      <c r="AA236">
        <f>IFERROR(MATCH(219,Jobs!$Q$9:$Q$258,0),0)</f>
        <v>0</v>
      </c>
    </row>
    <row r="237" spans="1:27" ht="36" hidden="1" customHeight="1" x14ac:dyDescent="0.35">
      <c r="A237" s="38" t="str">
        <f>IF($AA237=0,"",IF(LEN(INDEX(Jobs!$A$9:$A$258,$AA237)&amp;"")=0,"",INDEX(Jobs!$A$9:$A$258,$AA237)))</f>
        <v/>
      </c>
      <c r="B237" s="39"/>
      <c r="C237" s="38" t="str">
        <f>IF($AA237=0,"",IF(LEN(INDEX(Jobs!$B$9:$B$258,$AA237)&amp;"")=0,"",INDEX(Jobs!$B$9:$B$258,$AA237)))</f>
        <v/>
      </c>
      <c r="D237" s="39"/>
      <c r="E237" s="39"/>
      <c r="F237" s="39"/>
      <c r="G237" s="39"/>
      <c r="H237" s="39"/>
      <c r="I237" s="39"/>
      <c r="J237" s="39"/>
      <c r="K237" s="39"/>
      <c r="L237" s="38" t="str">
        <f>IF($AA237=0,"",IF(LEN(INDEX(Jobs!$D$9:$D$258,$AA237)&amp;"")=0,"",INDEX(Jobs!$D$9:$D$258,$AA237)))</f>
        <v/>
      </c>
      <c r="M237" s="39"/>
      <c r="N237" s="39"/>
      <c r="O237" s="42" t="str">
        <f>IF($AA237=0,"",IF(LEN(INDEX(Jobs!$G$9:$G$258,$AA237)&amp;"")=0,"",INDEX(Jobs!$G$9:$G$258,$AA237)))</f>
        <v/>
      </c>
      <c r="P237" s="39"/>
      <c r="Q237" s="39"/>
      <c r="R237" s="42" t="str">
        <f>IF($AA237=0,"",IF(LEN(INDEX(Jobs!$H$9:$H$258,$AA237)&amp;"")=0,"",INDEX(Jobs!$H$9:$H$258,$AA237)))</f>
        <v/>
      </c>
      <c r="S237" s="39"/>
      <c r="T237" s="39"/>
      <c r="U237" s="43" t="str">
        <f>IF($AA237=0,"",HYPERLINK("#'"&amp;INDEX(Jobs!$P$9:$P$258,$AA237)&amp;"'!A1","Open job"))</f>
        <v/>
      </c>
      <c r="V237" s="39"/>
      <c r="AA237">
        <f>IFERROR(MATCH(220,Jobs!$Q$9:$Q$258,0),0)</f>
        <v>0</v>
      </c>
    </row>
    <row r="238" spans="1:27" ht="36" hidden="1" customHeight="1" x14ac:dyDescent="0.35">
      <c r="A238" s="40" t="str">
        <f>IF($AA238=0,"",IF(LEN(INDEX(Jobs!$A$9:$A$258,$AA238)&amp;"")=0,"",INDEX(Jobs!$A$9:$A$258,$AA238)))</f>
        <v/>
      </c>
      <c r="B238" s="39"/>
      <c r="C238" s="40" t="str">
        <f>IF($AA238=0,"",IF(LEN(INDEX(Jobs!$B$9:$B$258,$AA238)&amp;"")=0,"",INDEX(Jobs!$B$9:$B$258,$AA238)))</f>
        <v/>
      </c>
      <c r="D238" s="39"/>
      <c r="E238" s="39"/>
      <c r="F238" s="39"/>
      <c r="G238" s="39"/>
      <c r="H238" s="39"/>
      <c r="I238" s="39"/>
      <c r="J238" s="39"/>
      <c r="K238" s="39"/>
      <c r="L238" s="40" t="str">
        <f>IF($AA238=0,"",IF(LEN(INDEX(Jobs!$D$9:$D$258,$AA238)&amp;"")=0,"",INDEX(Jobs!$D$9:$D$258,$AA238)))</f>
        <v/>
      </c>
      <c r="M238" s="39"/>
      <c r="N238" s="39"/>
      <c r="O238" s="41" t="str">
        <f>IF($AA238=0,"",IF(LEN(INDEX(Jobs!$G$9:$G$258,$AA238)&amp;"")=0,"",INDEX(Jobs!$G$9:$G$258,$AA238)))</f>
        <v/>
      </c>
      <c r="P238" s="39"/>
      <c r="Q238" s="39"/>
      <c r="R238" s="41" t="str">
        <f>IF($AA238=0,"",IF(LEN(INDEX(Jobs!$H$9:$H$258,$AA238)&amp;"")=0,"",INDEX(Jobs!$H$9:$H$258,$AA238)))</f>
        <v/>
      </c>
      <c r="S238" s="39"/>
      <c r="T238" s="39"/>
      <c r="U238" s="44" t="str">
        <f>IF($AA238=0,"",HYPERLINK("#'"&amp;INDEX(Jobs!$P$9:$P$258,$AA238)&amp;"'!A1","Open job"))</f>
        <v/>
      </c>
      <c r="V238" s="39"/>
      <c r="AA238">
        <f>IFERROR(MATCH(221,Jobs!$Q$9:$Q$258,0),0)</f>
        <v>0</v>
      </c>
    </row>
    <row r="239" spans="1:27" ht="36" hidden="1" customHeight="1" x14ac:dyDescent="0.35">
      <c r="A239" s="38" t="str">
        <f>IF($AA239=0,"",IF(LEN(INDEX(Jobs!$A$9:$A$258,$AA239)&amp;"")=0,"",INDEX(Jobs!$A$9:$A$258,$AA239)))</f>
        <v/>
      </c>
      <c r="B239" s="39"/>
      <c r="C239" s="38" t="str">
        <f>IF($AA239=0,"",IF(LEN(INDEX(Jobs!$B$9:$B$258,$AA239)&amp;"")=0,"",INDEX(Jobs!$B$9:$B$258,$AA239)))</f>
        <v/>
      </c>
      <c r="D239" s="39"/>
      <c r="E239" s="39"/>
      <c r="F239" s="39"/>
      <c r="G239" s="39"/>
      <c r="H239" s="39"/>
      <c r="I239" s="39"/>
      <c r="J239" s="39"/>
      <c r="K239" s="39"/>
      <c r="L239" s="38" t="str">
        <f>IF($AA239=0,"",IF(LEN(INDEX(Jobs!$D$9:$D$258,$AA239)&amp;"")=0,"",INDEX(Jobs!$D$9:$D$258,$AA239)))</f>
        <v/>
      </c>
      <c r="M239" s="39"/>
      <c r="N239" s="39"/>
      <c r="O239" s="42" t="str">
        <f>IF($AA239=0,"",IF(LEN(INDEX(Jobs!$G$9:$G$258,$AA239)&amp;"")=0,"",INDEX(Jobs!$G$9:$G$258,$AA239)))</f>
        <v/>
      </c>
      <c r="P239" s="39"/>
      <c r="Q239" s="39"/>
      <c r="R239" s="42" t="str">
        <f>IF($AA239=0,"",IF(LEN(INDEX(Jobs!$H$9:$H$258,$AA239)&amp;"")=0,"",INDEX(Jobs!$H$9:$H$258,$AA239)))</f>
        <v/>
      </c>
      <c r="S239" s="39"/>
      <c r="T239" s="39"/>
      <c r="U239" s="43" t="str">
        <f>IF($AA239=0,"",HYPERLINK("#'"&amp;INDEX(Jobs!$P$9:$P$258,$AA239)&amp;"'!A1","Open job"))</f>
        <v/>
      </c>
      <c r="V239" s="39"/>
      <c r="AA239">
        <f>IFERROR(MATCH(222,Jobs!$Q$9:$Q$258,0),0)</f>
        <v>0</v>
      </c>
    </row>
    <row r="240" spans="1:27" ht="36" hidden="1" customHeight="1" x14ac:dyDescent="0.35">
      <c r="A240" s="40" t="str">
        <f>IF($AA240=0,"",IF(LEN(INDEX(Jobs!$A$9:$A$258,$AA240)&amp;"")=0,"",INDEX(Jobs!$A$9:$A$258,$AA240)))</f>
        <v/>
      </c>
      <c r="B240" s="39"/>
      <c r="C240" s="40" t="str">
        <f>IF($AA240=0,"",IF(LEN(INDEX(Jobs!$B$9:$B$258,$AA240)&amp;"")=0,"",INDEX(Jobs!$B$9:$B$258,$AA240)))</f>
        <v/>
      </c>
      <c r="D240" s="39"/>
      <c r="E240" s="39"/>
      <c r="F240" s="39"/>
      <c r="G240" s="39"/>
      <c r="H240" s="39"/>
      <c r="I240" s="39"/>
      <c r="J240" s="39"/>
      <c r="K240" s="39"/>
      <c r="L240" s="40" t="str">
        <f>IF($AA240=0,"",IF(LEN(INDEX(Jobs!$D$9:$D$258,$AA240)&amp;"")=0,"",INDEX(Jobs!$D$9:$D$258,$AA240)))</f>
        <v/>
      </c>
      <c r="M240" s="39"/>
      <c r="N240" s="39"/>
      <c r="O240" s="41" t="str">
        <f>IF($AA240=0,"",IF(LEN(INDEX(Jobs!$G$9:$G$258,$AA240)&amp;"")=0,"",INDEX(Jobs!$G$9:$G$258,$AA240)))</f>
        <v/>
      </c>
      <c r="P240" s="39"/>
      <c r="Q240" s="39"/>
      <c r="R240" s="41" t="str">
        <f>IF($AA240=0,"",IF(LEN(INDEX(Jobs!$H$9:$H$258,$AA240)&amp;"")=0,"",INDEX(Jobs!$H$9:$H$258,$AA240)))</f>
        <v/>
      </c>
      <c r="S240" s="39"/>
      <c r="T240" s="39"/>
      <c r="U240" s="44" t="str">
        <f>IF($AA240=0,"",HYPERLINK("#'"&amp;INDEX(Jobs!$P$9:$P$258,$AA240)&amp;"'!A1","Open job"))</f>
        <v/>
      </c>
      <c r="V240" s="39"/>
      <c r="AA240">
        <f>IFERROR(MATCH(223,Jobs!$Q$9:$Q$258,0),0)</f>
        <v>0</v>
      </c>
    </row>
    <row r="241" spans="1:27" ht="36" hidden="1" customHeight="1" x14ac:dyDescent="0.35">
      <c r="A241" s="38" t="str">
        <f>IF($AA241=0,"",IF(LEN(INDEX(Jobs!$A$9:$A$258,$AA241)&amp;"")=0,"",INDEX(Jobs!$A$9:$A$258,$AA241)))</f>
        <v/>
      </c>
      <c r="B241" s="39"/>
      <c r="C241" s="38" t="str">
        <f>IF($AA241=0,"",IF(LEN(INDEX(Jobs!$B$9:$B$258,$AA241)&amp;"")=0,"",INDEX(Jobs!$B$9:$B$258,$AA241)))</f>
        <v/>
      </c>
      <c r="D241" s="39"/>
      <c r="E241" s="39"/>
      <c r="F241" s="39"/>
      <c r="G241" s="39"/>
      <c r="H241" s="39"/>
      <c r="I241" s="39"/>
      <c r="J241" s="39"/>
      <c r="K241" s="39"/>
      <c r="L241" s="38" t="str">
        <f>IF($AA241=0,"",IF(LEN(INDEX(Jobs!$D$9:$D$258,$AA241)&amp;"")=0,"",INDEX(Jobs!$D$9:$D$258,$AA241)))</f>
        <v/>
      </c>
      <c r="M241" s="39"/>
      <c r="N241" s="39"/>
      <c r="O241" s="42" t="str">
        <f>IF($AA241=0,"",IF(LEN(INDEX(Jobs!$G$9:$G$258,$AA241)&amp;"")=0,"",INDEX(Jobs!$G$9:$G$258,$AA241)))</f>
        <v/>
      </c>
      <c r="P241" s="39"/>
      <c r="Q241" s="39"/>
      <c r="R241" s="42" t="str">
        <f>IF($AA241=0,"",IF(LEN(INDEX(Jobs!$H$9:$H$258,$AA241)&amp;"")=0,"",INDEX(Jobs!$H$9:$H$258,$AA241)))</f>
        <v/>
      </c>
      <c r="S241" s="39"/>
      <c r="T241" s="39"/>
      <c r="U241" s="43" t="str">
        <f>IF($AA241=0,"",HYPERLINK("#'"&amp;INDEX(Jobs!$P$9:$P$258,$AA241)&amp;"'!A1","Open job"))</f>
        <v/>
      </c>
      <c r="V241" s="39"/>
      <c r="AA241">
        <f>IFERROR(MATCH(224,Jobs!$Q$9:$Q$258,0),0)</f>
        <v>0</v>
      </c>
    </row>
    <row r="242" spans="1:27" ht="36" hidden="1" customHeight="1" x14ac:dyDescent="0.35">
      <c r="A242" s="40" t="str">
        <f>IF($AA242=0,"",IF(LEN(INDEX(Jobs!$A$9:$A$258,$AA242)&amp;"")=0,"",INDEX(Jobs!$A$9:$A$258,$AA242)))</f>
        <v/>
      </c>
      <c r="B242" s="39"/>
      <c r="C242" s="40" t="str">
        <f>IF($AA242=0,"",IF(LEN(INDEX(Jobs!$B$9:$B$258,$AA242)&amp;"")=0,"",INDEX(Jobs!$B$9:$B$258,$AA242)))</f>
        <v/>
      </c>
      <c r="D242" s="39"/>
      <c r="E242" s="39"/>
      <c r="F242" s="39"/>
      <c r="G242" s="39"/>
      <c r="H242" s="39"/>
      <c r="I242" s="39"/>
      <c r="J242" s="39"/>
      <c r="K242" s="39"/>
      <c r="L242" s="40" t="str">
        <f>IF($AA242=0,"",IF(LEN(INDEX(Jobs!$D$9:$D$258,$AA242)&amp;"")=0,"",INDEX(Jobs!$D$9:$D$258,$AA242)))</f>
        <v/>
      </c>
      <c r="M242" s="39"/>
      <c r="N242" s="39"/>
      <c r="O242" s="41" t="str">
        <f>IF($AA242=0,"",IF(LEN(INDEX(Jobs!$G$9:$G$258,$AA242)&amp;"")=0,"",INDEX(Jobs!$G$9:$G$258,$AA242)))</f>
        <v/>
      </c>
      <c r="P242" s="39"/>
      <c r="Q242" s="39"/>
      <c r="R242" s="41" t="str">
        <f>IF($AA242=0,"",IF(LEN(INDEX(Jobs!$H$9:$H$258,$AA242)&amp;"")=0,"",INDEX(Jobs!$H$9:$H$258,$AA242)))</f>
        <v/>
      </c>
      <c r="S242" s="39"/>
      <c r="T242" s="39"/>
      <c r="U242" s="44" t="str">
        <f>IF($AA242=0,"",HYPERLINK("#'"&amp;INDEX(Jobs!$P$9:$P$258,$AA242)&amp;"'!A1","Open job"))</f>
        <v/>
      </c>
      <c r="V242" s="39"/>
      <c r="AA242">
        <f>IFERROR(MATCH(225,Jobs!$Q$9:$Q$258,0),0)</f>
        <v>0</v>
      </c>
    </row>
    <row r="243" spans="1:27" ht="36" hidden="1" customHeight="1" x14ac:dyDescent="0.35">
      <c r="A243" s="38" t="str">
        <f>IF($AA243=0,"",IF(LEN(INDEX(Jobs!$A$9:$A$258,$AA243)&amp;"")=0,"",INDEX(Jobs!$A$9:$A$258,$AA243)))</f>
        <v/>
      </c>
      <c r="B243" s="39"/>
      <c r="C243" s="38" t="str">
        <f>IF($AA243=0,"",IF(LEN(INDEX(Jobs!$B$9:$B$258,$AA243)&amp;"")=0,"",INDEX(Jobs!$B$9:$B$258,$AA243)))</f>
        <v/>
      </c>
      <c r="D243" s="39"/>
      <c r="E243" s="39"/>
      <c r="F243" s="39"/>
      <c r="G243" s="39"/>
      <c r="H243" s="39"/>
      <c r="I243" s="39"/>
      <c r="J243" s="39"/>
      <c r="K243" s="39"/>
      <c r="L243" s="38" t="str">
        <f>IF($AA243=0,"",IF(LEN(INDEX(Jobs!$D$9:$D$258,$AA243)&amp;"")=0,"",INDEX(Jobs!$D$9:$D$258,$AA243)))</f>
        <v/>
      </c>
      <c r="M243" s="39"/>
      <c r="N243" s="39"/>
      <c r="O243" s="42" t="str">
        <f>IF($AA243=0,"",IF(LEN(INDEX(Jobs!$G$9:$G$258,$AA243)&amp;"")=0,"",INDEX(Jobs!$G$9:$G$258,$AA243)))</f>
        <v/>
      </c>
      <c r="P243" s="39"/>
      <c r="Q243" s="39"/>
      <c r="R243" s="42" t="str">
        <f>IF($AA243=0,"",IF(LEN(INDEX(Jobs!$H$9:$H$258,$AA243)&amp;"")=0,"",INDEX(Jobs!$H$9:$H$258,$AA243)))</f>
        <v/>
      </c>
      <c r="S243" s="39"/>
      <c r="T243" s="39"/>
      <c r="U243" s="43" t="str">
        <f>IF($AA243=0,"",HYPERLINK("#'"&amp;INDEX(Jobs!$P$9:$P$258,$AA243)&amp;"'!A1","Open job"))</f>
        <v/>
      </c>
      <c r="V243" s="39"/>
      <c r="AA243">
        <f>IFERROR(MATCH(226,Jobs!$Q$9:$Q$258,0),0)</f>
        <v>0</v>
      </c>
    </row>
    <row r="244" spans="1:27" ht="36" hidden="1" customHeight="1" x14ac:dyDescent="0.35">
      <c r="A244" s="40" t="str">
        <f>IF($AA244=0,"",IF(LEN(INDEX(Jobs!$A$9:$A$258,$AA244)&amp;"")=0,"",INDEX(Jobs!$A$9:$A$258,$AA244)))</f>
        <v/>
      </c>
      <c r="B244" s="39"/>
      <c r="C244" s="40" t="str">
        <f>IF($AA244=0,"",IF(LEN(INDEX(Jobs!$B$9:$B$258,$AA244)&amp;"")=0,"",INDEX(Jobs!$B$9:$B$258,$AA244)))</f>
        <v/>
      </c>
      <c r="D244" s="39"/>
      <c r="E244" s="39"/>
      <c r="F244" s="39"/>
      <c r="G244" s="39"/>
      <c r="H244" s="39"/>
      <c r="I244" s="39"/>
      <c r="J244" s="39"/>
      <c r="K244" s="39"/>
      <c r="L244" s="40" t="str">
        <f>IF($AA244=0,"",IF(LEN(INDEX(Jobs!$D$9:$D$258,$AA244)&amp;"")=0,"",INDEX(Jobs!$D$9:$D$258,$AA244)))</f>
        <v/>
      </c>
      <c r="M244" s="39"/>
      <c r="N244" s="39"/>
      <c r="O244" s="41" t="str">
        <f>IF($AA244=0,"",IF(LEN(INDEX(Jobs!$G$9:$G$258,$AA244)&amp;"")=0,"",INDEX(Jobs!$G$9:$G$258,$AA244)))</f>
        <v/>
      </c>
      <c r="P244" s="39"/>
      <c r="Q244" s="39"/>
      <c r="R244" s="41" t="str">
        <f>IF($AA244=0,"",IF(LEN(INDEX(Jobs!$H$9:$H$258,$AA244)&amp;"")=0,"",INDEX(Jobs!$H$9:$H$258,$AA244)))</f>
        <v/>
      </c>
      <c r="S244" s="39"/>
      <c r="T244" s="39"/>
      <c r="U244" s="44" t="str">
        <f>IF($AA244=0,"",HYPERLINK("#'"&amp;INDEX(Jobs!$P$9:$P$258,$AA244)&amp;"'!A1","Open job"))</f>
        <v/>
      </c>
      <c r="V244" s="39"/>
      <c r="AA244">
        <f>IFERROR(MATCH(227,Jobs!$Q$9:$Q$258,0),0)</f>
        <v>0</v>
      </c>
    </row>
    <row r="245" spans="1:27" ht="36" hidden="1" customHeight="1" x14ac:dyDescent="0.35">
      <c r="A245" s="38" t="str">
        <f>IF($AA245=0,"",IF(LEN(INDEX(Jobs!$A$9:$A$258,$AA245)&amp;"")=0,"",INDEX(Jobs!$A$9:$A$258,$AA245)))</f>
        <v/>
      </c>
      <c r="B245" s="39"/>
      <c r="C245" s="38" t="str">
        <f>IF($AA245=0,"",IF(LEN(INDEX(Jobs!$B$9:$B$258,$AA245)&amp;"")=0,"",INDEX(Jobs!$B$9:$B$258,$AA245)))</f>
        <v/>
      </c>
      <c r="D245" s="39"/>
      <c r="E245" s="39"/>
      <c r="F245" s="39"/>
      <c r="G245" s="39"/>
      <c r="H245" s="39"/>
      <c r="I245" s="39"/>
      <c r="J245" s="39"/>
      <c r="K245" s="39"/>
      <c r="L245" s="38" t="str">
        <f>IF($AA245=0,"",IF(LEN(INDEX(Jobs!$D$9:$D$258,$AA245)&amp;"")=0,"",INDEX(Jobs!$D$9:$D$258,$AA245)))</f>
        <v/>
      </c>
      <c r="M245" s="39"/>
      <c r="N245" s="39"/>
      <c r="O245" s="42" t="str">
        <f>IF($AA245=0,"",IF(LEN(INDEX(Jobs!$G$9:$G$258,$AA245)&amp;"")=0,"",INDEX(Jobs!$G$9:$G$258,$AA245)))</f>
        <v/>
      </c>
      <c r="P245" s="39"/>
      <c r="Q245" s="39"/>
      <c r="R245" s="42" t="str">
        <f>IF($AA245=0,"",IF(LEN(INDEX(Jobs!$H$9:$H$258,$AA245)&amp;"")=0,"",INDEX(Jobs!$H$9:$H$258,$AA245)))</f>
        <v/>
      </c>
      <c r="S245" s="39"/>
      <c r="T245" s="39"/>
      <c r="U245" s="43" t="str">
        <f>IF($AA245=0,"",HYPERLINK("#'"&amp;INDEX(Jobs!$P$9:$P$258,$AA245)&amp;"'!A1","Open job"))</f>
        <v/>
      </c>
      <c r="V245" s="39"/>
      <c r="AA245">
        <f>IFERROR(MATCH(228,Jobs!$Q$9:$Q$258,0),0)</f>
        <v>0</v>
      </c>
    </row>
    <row r="246" spans="1:27" ht="36" hidden="1" customHeight="1" x14ac:dyDescent="0.35">
      <c r="A246" s="40" t="str">
        <f>IF($AA246=0,"",IF(LEN(INDEX(Jobs!$A$9:$A$258,$AA246)&amp;"")=0,"",INDEX(Jobs!$A$9:$A$258,$AA246)))</f>
        <v/>
      </c>
      <c r="B246" s="39"/>
      <c r="C246" s="40" t="str">
        <f>IF($AA246=0,"",IF(LEN(INDEX(Jobs!$B$9:$B$258,$AA246)&amp;"")=0,"",INDEX(Jobs!$B$9:$B$258,$AA246)))</f>
        <v/>
      </c>
      <c r="D246" s="39"/>
      <c r="E246" s="39"/>
      <c r="F246" s="39"/>
      <c r="G246" s="39"/>
      <c r="H246" s="39"/>
      <c r="I246" s="39"/>
      <c r="J246" s="39"/>
      <c r="K246" s="39"/>
      <c r="L246" s="40" t="str">
        <f>IF($AA246=0,"",IF(LEN(INDEX(Jobs!$D$9:$D$258,$AA246)&amp;"")=0,"",INDEX(Jobs!$D$9:$D$258,$AA246)))</f>
        <v/>
      </c>
      <c r="M246" s="39"/>
      <c r="N246" s="39"/>
      <c r="O246" s="41" t="str">
        <f>IF($AA246=0,"",IF(LEN(INDEX(Jobs!$G$9:$G$258,$AA246)&amp;"")=0,"",INDEX(Jobs!$G$9:$G$258,$AA246)))</f>
        <v/>
      </c>
      <c r="P246" s="39"/>
      <c r="Q246" s="39"/>
      <c r="R246" s="41" t="str">
        <f>IF($AA246=0,"",IF(LEN(INDEX(Jobs!$H$9:$H$258,$AA246)&amp;"")=0,"",INDEX(Jobs!$H$9:$H$258,$AA246)))</f>
        <v/>
      </c>
      <c r="S246" s="39"/>
      <c r="T246" s="39"/>
      <c r="U246" s="44" t="str">
        <f>IF($AA246=0,"",HYPERLINK("#'"&amp;INDEX(Jobs!$P$9:$P$258,$AA246)&amp;"'!A1","Open job"))</f>
        <v/>
      </c>
      <c r="V246" s="39"/>
      <c r="AA246">
        <f>IFERROR(MATCH(229,Jobs!$Q$9:$Q$258,0),0)</f>
        <v>0</v>
      </c>
    </row>
    <row r="247" spans="1:27" ht="36" hidden="1" customHeight="1" x14ac:dyDescent="0.35">
      <c r="A247" s="38" t="str">
        <f>IF($AA247=0,"",IF(LEN(INDEX(Jobs!$A$9:$A$258,$AA247)&amp;"")=0,"",INDEX(Jobs!$A$9:$A$258,$AA247)))</f>
        <v/>
      </c>
      <c r="B247" s="39"/>
      <c r="C247" s="38" t="str">
        <f>IF($AA247=0,"",IF(LEN(INDEX(Jobs!$B$9:$B$258,$AA247)&amp;"")=0,"",INDEX(Jobs!$B$9:$B$258,$AA247)))</f>
        <v/>
      </c>
      <c r="D247" s="39"/>
      <c r="E247" s="39"/>
      <c r="F247" s="39"/>
      <c r="G247" s="39"/>
      <c r="H247" s="39"/>
      <c r="I247" s="39"/>
      <c r="J247" s="39"/>
      <c r="K247" s="39"/>
      <c r="L247" s="38" t="str">
        <f>IF($AA247=0,"",IF(LEN(INDEX(Jobs!$D$9:$D$258,$AA247)&amp;"")=0,"",INDEX(Jobs!$D$9:$D$258,$AA247)))</f>
        <v/>
      </c>
      <c r="M247" s="39"/>
      <c r="N247" s="39"/>
      <c r="O247" s="42" t="str">
        <f>IF($AA247=0,"",IF(LEN(INDEX(Jobs!$G$9:$G$258,$AA247)&amp;"")=0,"",INDEX(Jobs!$G$9:$G$258,$AA247)))</f>
        <v/>
      </c>
      <c r="P247" s="39"/>
      <c r="Q247" s="39"/>
      <c r="R247" s="42" t="str">
        <f>IF($AA247=0,"",IF(LEN(INDEX(Jobs!$H$9:$H$258,$AA247)&amp;"")=0,"",INDEX(Jobs!$H$9:$H$258,$AA247)))</f>
        <v/>
      </c>
      <c r="S247" s="39"/>
      <c r="T247" s="39"/>
      <c r="U247" s="43" t="str">
        <f>IF($AA247=0,"",HYPERLINK("#'"&amp;INDEX(Jobs!$P$9:$P$258,$AA247)&amp;"'!A1","Open job"))</f>
        <v/>
      </c>
      <c r="V247" s="39"/>
      <c r="AA247">
        <f>IFERROR(MATCH(230,Jobs!$Q$9:$Q$258,0),0)</f>
        <v>0</v>
      </c>
    </row>
    <row r="248" spans="1:27" ht="36" hidden="1" customHeight="1" x14ac:dyDescent="0.35">
      <c r="A248" s="40" t="str">
        <f>IF($AA248=0,"",IF(LEN(INDEX(Jobs!$A$9:$A$258,$AA248)&amp;"")=0,"",INDEX(Jobs!$A$9:$A$258,$AA248)))</f>
        <v/>
      </c>
      <c r="B248" s="39"/>
      <c r="C248" s="40" t="str">
        <f>IF($AA248=0,"",IF(LEN(INDEX(Jobs!$B$9:$B$258,$AA248)&amp;"")=0,"",INDEX(Jobs!$B$9:$B$258,$AA248)))</f>
        <v/>
      </c>
      <c r="D248" s="39"/>
      <c r="E248" s="39"/>
      <c r="F248" s="39"/>
      <c r="G248" s="39"/>
      <c r="H248" s="39"/>
      <c r="I248" s="39"/>
      <c r="J248" s="39"/>
      <c r="K248" s="39"/>
      <c r="L248" s="40" t="str">
        <f>IF($AA248=0,"",IF(LEN(INDEX(Jobs!$D$9:$D$258,$AA248)&amp;"")=0,"",INDEX(Jobs!$D$9:$D$258,$AA248)))</f>
        <v/>
      </c>
      <c r="M248" s="39"/>
      <c r="N248" s="39"/>
      <c r="O248" s="41" t="str">
        <f>IF($AA248=0,"",IF(LEN(INDEX(Jobs!$G$9:$G$258,$AA248)&amp;"")=0,"",INDEX(Jobs!$G$9:$G$258,$AA248)))</f>
        <v/>
      </c>
      <c r="P248" s="39"/>
      <c r="Q248" s="39"/>
      <c r="R248" s="41" t="str">
        <f>IF($AA248=0,"",IF(LEN(INDEX(Jobs!$H$9:$H$258,$AA248)&amp;"")=0,"",INDEX(Jobs!$H$9:$H$258,$AA248)))</f>
        <v/>
      </c>
      <c r="S248" s="39"/>
      <c r="T248" s="39"/>
      <c r="U248" s="44" t="str">
        <f>IF($AA248=0,"",HYPERLINK("#'"&amp;INDEX(Jobs!$P$9:$P$258,$AA248)&amp;"'!A1","Open job"))</f>
        <v/>
      </c>
      <c r="V248" s="39"/>
      <c r="AA248">
        <f>IFERROR(MATCH(231,Jobs!$Q$9:$Q$258,0),0)</f>
        <v>0</v>
      </c>
    </row>
    <row r="249" spans="1:27" ht="36" hidden="1" customHeight="1" x14ac:dyDescent="0.35">
      <c r="A249" s="38" t="str">
        <f>IF($AA249=0,"",IF(LEN(INDEX(Jobs!$A$9:$A$258,$AA249)&amp;"")=0,"",INDEX(Jobs!$A$9:$A$258,$AA249)))</f>
        <v/>
      </c>
      <c r="B249" s="39"/>
      <c r="C249" s="38" t="str">
        <f>IF($AA249=0,"",IF(LEN(INDEX(Jobs!$B$9:$B$258,$AA249)&amp;"")=0,"",INDEX(Jobs!$B$9:$B$258,$AA249)))</f>
        <v/>
      </c>
      <c r="D249" s="39"/>
      <c r="E249" s="39"/>
      <c r="F249" s="39"/>
      <c r="G249" s="39"/>
      <c r="H249" s="39"/>
      <c r="I249" s="39"/>
      <c r="J249" s="39"/>
      <c r="K249" s="39"/>
      <c r="L249" s="38" t="str">
        <f>IF($AA249=0,"",IF(LEN(INDEX(Jobs!$D$9:$D$258,$AA249)&amp;"")=0,"",INDEX(Jobs!$D$9:$D$258,$AA249)))</f>
        <v/>
      </c>
      <c r="M249" s="39"/>
      <c r="N249" s="39"/>
      <c r="O249" s="42" t="str">
        <f>IF($AA249=0,"",IF(LEN(INDEX(Jobs!$G$9:$G$258,$AA249)&amp;"")=0,"",INDEX(Jobs!$G$9:$G$258,$AA249)))</f>
        <v/>
      </c>
      <c r="P249" s="39"/>
      <c r="Q249" s="39"/>
      <c r="R249" s="42" t="str">
        <f>IF($AA249=0,"",IF(LEN(INDEX(Jobs!$H$9:$H$258,$AA249)&amp;"")=0,"",INDEX(Jobs!$H$9:$H$258,$AA249)))</f>
        <v/>
      </c>
      <c r="S249" s="39"/>
      <c r="T249" s="39"/>
      <c r="U249" s="43" t="str">
        <f>IF($AA249=0,"",HYPERLINK("#'"&amp;INDEX(Jobs!$P$9:$P$258,$AA249)&amp;"'!A1","Open job"))</f>
        <v/>
      </c>
      <c r="V249" s="39"/>
      <c r="AA249">
        <f>IFERROR(MATCH(232,Jobs!$Q$9:$Q$258,0),0)</f>
        <v>0</v>
      </c>
    </row>
    <row r="250" spans="1:27" ht="36" hidden="1" customHeight="1" x14ac:dyDescent="0.35">
      <c r="A250" s="40" t="str">
        <f>IF($AA250=0,"",IF(LEN(INDEX(Jobs!$A$9:$A$258,$AA250)&amp;"")=0,"",INDEX(Jobs!$A$9:$A$258,$AA250)))</f>
        <v/>
      </c>
      <c r="B250" s="39"/>
      <c r="C250" s="40" t="str">
        <f>IF($AA250=0,"",IF(LEN(INDEX(Jobs!$B$9:$B$258,$AA250)&amp;"")=0,"",INDEX(Jobs!$B$9:$B$258,$AA250)))</f>
        <v/>
      </c>
      <c r="D250" s="39"/>
      <c r="E250" s="39"/>
      <c r="F250" s="39"/>
      <c r="G250" s="39"/>
      <c r="H250" s="39"/>
      <c r="I250" s="39"/>
      <c r="J250" s="39"/>
      <c r="K250" s="39"/>
      <c r="L250" s="40" t="str">
        <f>IF($AA250=0,"",IF(LEN(INDEX(Jobs!$D$9:$D$258,$AA250)&amp;"")=0,"",INDEX(Jobs!$D$9:$D$258,$AA250)))</f>
        <v/>
      </c>
      <c r="M250" s="39"/>
      <c r="N250" s="39"/>
      <c r="O250" s="41" t="str">
        <f>IF($AA250=0,"",IF(LEN(INDEX(Jobs!$G$9:$G$258,$AA250)&amp;"")=0,"",INDEX(Jobs!$G$9:$G$258,$AA250)))</f>
        <v/>
      </c>
      <c r="P250" s="39"/>
      <c r="Q250" s="39"/>
      <c r="R250" s="41" t="str">
        <f>IF($AA250=0,"",IF(LEN(INDEX(Jobs!$H$9:$H$258,$AA250)&amp;"")=0,"",INDEX(Jobs!$H$9:$H$258,$AA250)))</f>
        <v/>
      </c>
      <c r="S250" s="39"/>
      <c r="T250" s="39"/>
      <c r="U250" s="44" t="str">
        <f>IF($AA250=0,"",HYPERLINK("#'"&amp;INDEX(Jobs!$P$9:$P$258,$AA250)&amp;"'!A1","Open job"))</f>
        <v/>
      </c>
      <c r="V250" s="39"/>
      <c r="AA250">
        <f>IFERROR(MATCH(233,Jobs!$Q$9:$Q$258,0),0)</f>
        <v>0</v>
      </c>
    </row>
    <row r="251" spans="1:27" ht="36" hidden="1" customHeight="1" x14ac:dyDescent="0.35">
      <c r="A251" s="38" t="str">
        <f>IF($AA251=0,"",IF(LEN(INDEX(Jobs!$A$9:$A$258,$AA251)&amp;"")=0,"",INDEX(Jobs!$A$9:$A$258,$AA251)))</f>
        <v/>
      </c>
      <c r="B251" s="39"/>
      <c r="C251" s="38" t="str">
        <f>IF($AA251=0,"",IF(LEN(INDEX(Jobs!$B$9:$B$258,$AA251)&amp;"")=0,"",INDEX(Jobs!$B$9:$B$258,$AA251)))</f>
        <v/>
      </c>
      <c r="D251" s="39"/>
      <c r="E251" s="39"/>
      <c r="F251" s="39"/>
      <c r="G251" s="39"/>
      <c r="H251" s="39"/>
      <c r="I251" s="39"/>
      <c r="J251" s="39"/>
      <c r="K251" s="39"/>
      <c r="L251" s="38" t="str">
        <f>IF($AA251=0,"",IF(LEN(INDEX(Jobs!$D$9:$D$258,$AA251)&amp;"")=0,"",INDEX(Jobs!$D$9:$D$258,$AA251)))</f>
        <v/>
      </c>
      <c r="M251" s="39"/>
      <c r="N251" s="39"/>
      <c r="O251" s="42" t="str">
        <f>IF($AA251=0,"",IF(LEN(INDEX(Jobs!$G$9:$G$258,$AA251)&amp;"")=0,"",INDEX(Jobs!$G$9:$G$258,$AA251)))</f>
        <v/>
      </c>
      <c r="P251" s="39"/>
      <c r="Q251" s="39"/>
      <c r="R251" s="42" t="str">
        <f>IF($AA251=0,"",IF(LEN(INDEX(Jobs!$H$9:$H$258,$AA251)&amp;"")=0,"",INDEX(Jobs!$H$9:$H$258,$AA251)))</f>
        <v/>
      </c>
      <c r="S251" s="39"/>
      <c r="T251" s="39"/>
      <c r="U251" s="43" t="str">
        <f>IF($AA251=0,"",HYPERLINK("#'"&amp;INDEX(Jobs!$P$9:$P$258,$AA251)&amp;"'!A1","Open job"))</f>
        <v/>
      </c>
      <c r="V251" s="39"/>
      <c r="AA251">
        <f>IFERROR(MATCH(234,Jobs!$Q$9:$Q$258,0),0)</f>
        <v>0</v>
      </c>
    </row>
    <row r="252" spans="1:27" ht="36" hidden="1" customHeight="1" x14ac:dyDescent="0.35">
      <c r="A252" s="40" t="str">
        <f>IF($AA252=0,"",IF(LEN(INDEX(Jobs!$A$9:$A$258,$AA252)&amp;"")=0,"",INDEX(Jobs!$A$9:$A$258,$AA252)))</f>
        <v/>
      </c>
      <c r="B252" s="39"/>
      <c r="C252" s="40" t="str">
        <f>IF($AA252=0,"",IF(LEN(INDEX(Jobs!$B$9:$B$258,$AA252)&amp;"")=0,"",INDEX(Jobs!$B$9:$B$258,$AA252)))</f>
        <v/>
      </c>
      <c r="D252" s="39"/>
      <c r="E252" s="39"/>
      <c r="F252" s="39"/>
      <c r="G252" s="39"/>
      <c r="H252" s="39"/>
      <c r="I252" s="39"/>
      <c r="J252" s="39"/>
      <c r="K252" s="39"/>
      <c r="L252" s="40" t="str">
        <f>IF($AA252=0,"",IF(LEN(INDEX(Jobs!$D$9:$D$258,$AA252)&amp;"")=0,"",INDEX(Jobs!$D$9:$D$258,$AA252)))</f>
        <v/>
      </c>
      <c r="M252" s="39"/>
      <c r="N252" s="39"/>
      <c r="O252" s="41" t="str">
        <f>IF($AA252=0,"",IF(LEN(INDEX(Jobs!$G$9:$G$258,$AA252)&amp;"")=0,"",INDEX(Jobs!$G$9:$G$258,$AA252)))</f>
        <v/>
      </c>
      <c r="P252" s="39"/>
      <c r="Q252" s="39"/>
      <c r="R252" s="41" t="str">
        <f>IF($AA252=0,"",IF(LEN(INDEX(Jobs!$H$9:$H$258,$AA252)&amp;"")=0,"",INDEX(Jobs!$H$9:$H$258,$AA252)))</f>
        <v/>
      </c>
      <c r="S252" s="39"/>
      <c r="T252" s="39"/>
      <c r="U252" s="44" t="str">
        <f>IF($AA252=0,"",HYPERLINK("#'"&amp;INDEX(Jobs!$P$9:$P$258,$AA252)&amp;"'!A1","Open job"))</f>
        <v/>
      </c>
      <c r="V252" s="39"/>
      <c r="AA252">
        <f>IFERROR(MATCH(235,Jobs!$Q$9:$Q$258,0),0)</f>
        <v>0</v>
      </c>
    </row>
    <row r="253" spans="1:27" ht="36" hidden="1" customHeight="1" x14ac:dyDescent="0.35">
      <c r="A253" s="38" t="str">
        <f>IF($AA253=0,"",IF(LEN(INDEX(Jobs!$A$9:$A$258,$AA253)&amp;"")=0,"",INDEX(Jobs!$A$9:$A$258,$AA253)))</f>
        <v/>
      </c>
      <c r="B253" s="39"/>
      <c r="C253" s="38" t="str">
        <f>IF($AA253=0,"",IF(LEN(INDEX(Jobs!$B$9:$B$258,$AA253)&amp;"")=0,"",INDEX(Jobs!$B$9:$B$258,$AA253)))</f>
        <v/>
      </c>
      <c r="D253" s="39"/>
      <c r="E253" s="39"/>
      <c r="F253" s="39"/>
      <c r="G253" s="39"/>
      <c r="H253" s="39"/>
      <c r="I253" s="39"/>
      <c r="J253" s="39"/>
      <c r="K253" s="39"/>
      <c r="L253" s="38" t="str">
        <f>IF($AA253=0,"",IF(LEN(INDEX(Jobs!$D$9:$D$258,$AA253)&amp;"")=0,"",INDEX(Jobs!$D$9:$D$258,$AA253)))</f>
        <v/>
      </c>
      <c r="M253" s="39"/>
      <c r="N253" s="39"/>
      <c r="O253" s="42" t="str">
        <f>IF($AA253=0,"",IF(LEN(INDEX(Jobs!$G$9:$G$258,$AA253)&amp;"")=0,"",INDEX(Jobs!$G$9:$G$258,$AA253)))</f>
        <v/>
      </c>
      <c r="P253" s="39"/>
      <c r="Q253" s="39"/>
      <c r="R253" s="42" t="str">
        <f>IF($AA253=0,"",IF(LEN(INDEX(Jobs!$H$9:$H$258,$AA253)&amp;"")=0,"",INDEX(Jobs!$H$9:$H$258,$AA253)))</f>
        <v/>
      </c>
      <c r="S253" s="39"/>
      <c r="T253" s="39"/>
      <c r="U253" s="43" t="str">
        <f>IF($AA253=0,"",HYPERLINK("#'"&amp;INDEX(Jobs!$P$9:$P$258,$AA253)&amp;"'!A1","Open job"))</f>
        <v/>
      </c>
      <c r="V253" s="39"/>
      <c r="AA253">
        <f>IFERROR(MATCH(236,Jobs!$Q$9:$Q$258,0),0)</f>
        <v>0</v>
      </c>
    </row>
    <row r="254" spans="1:27" ht="36" hidden="1" customHeight="1" x14ac:dyDescent="0.35">
      <c r="A254" s="40" t="str">
        <f>IF($AA254=0,"",IF(LEN(INDEX(Jobs!$A$9:$A$258,$AA254)&amp;"")=0,"",INDEX(Jobs!$A$9:$A$258,$AA254)))</f>
        <v/>
      </c>
      <c r="B254" s="39"/>
      <c r="C254" s="40" t="str">
        <f>IF($AA254=0,"",IF(LEN(INDEX(Jobs!$B$9:$B$258,$AA254)&amp;"")=0,"",INDEX(Jobs!$B$9:$B$258,$AA254)))</f>
        <v/>
      </c>
      <c r="D254" s="39"/>
      <c r="E254" s="39"/>
      <c r="F254" s="39"/>
      <c r="G254" s="39"/>
      <c r="H254" s="39"/>
      <c r="I254" s="39"/>
      <c r="J254" s="39"/>
      <c r="K254" s="39"/>
      <c r="L254" s="40" t="str">
        <f>IF($AA254=0,"",IF(LEN(INDEX(Jobs!$D$9:$D$258,$AA254)&amp;"")=0,"",INDEX(Jobs!$D$9:$D$258,$AA254)))</f>
        <v/>
      </c>
      <c r="M254" s="39"/>
      <c r="N254" s="39"/>
      <c r="O254" s="41" t="str">
        <f>IF($AA254=0,"",IF(LEN(INDEX(Jobs!$G$9:$G$258,$AA254)&amp;"")=0,"",INDEX(Jobs!$G$9:$G$258,$AA254)))</f>
        <v/>
      </c>
      <c r="P254" s="39"/>
      <c r="Q254" s="39"/>
      <c r="R254" s="41" t="str">
        <f>IF($AA254=0,"",IF(LEN(INDEX(Jobs!$H$9:$H$258,$AA254)&amp;"")=0,"",INDEX(Jobs!$H$9:$H$258,$AA254)))</f>
        <v/>
      </c>
      <c r="S254" s="39"/>
      <c r="T254" s="39"/>
      <c r="U254" s="44" t="str">
        <f>IF($AA254=0,"",HYPERLINK("#'"&amp;INDEX(Jobs!$P$9:$P$258,$AA254)&amp;"'!A1","Open job"))</f>
        <v/>
      </c>
      <c r="V254" s="39"/>
      <c r="AA254">
        <f>IFERROR(MATCH(237,Jobs!$Q$9:$Q$258,0),0)</f>
        <v>0</v>
      </c>
    </row>
    <row r="255" spans="1:27" ht="36" hidden="1" customHeight="1" x14ac:dyDescent="0.35">
      <c r="A255" s="38" t="str">
        <f>IF($AA255=0,"",IF(LEN(INDEX(Jobs!$A$9:$A$258,$AA255)&amp;"")=0,"",INDEX(Jobs!$A$9:$A$258,$AA255)))</f>
        <v/>
      </c>
      <c r="B255" s="39"/>
      <c r="C255" s="38" t="str">
        <f>IF($AA255=0,"",IF(LEN(INDEX(Jobs!$B$9:$B$258,$AA255)&amp;"")=0,"",INDEX(Jobs!$B$9:$B$258,$AA255)))</f>
        <v/>
      </c>
      <c r="D255" s="39"/>
      <c r="E255" s="39"/>
      <c r="F255" s="39"/>
      <c r="G255" s="39"/>
      <c r="H255" s="39"/>
      <c r="I255" s="39"/>
      <c r="J255" s="39"/>
      <c r="K255" s="39"/>
      <c r="L255" s="38" t="str">
        <f>IF($AA255=0,"",IF(LEN(INDEX(Jobs!$D$9:$D$258,$AA255)&amp;"")=0,"",INDEX(Jobs!$D$9:$D$258,$AA255)))</f>
        <v/>
      </c>
      <c r="M255" s="39"/>
      <c r="N255" s="39"/>
      <c r="O255" s="42" t="str">
        <f>IF($AA255=0,"",IF(LEN(INDEX(Jobs!$G$9:$G$258,$AA255)&amp;"")=0,"",INDEX(Jobs!$G$9:$G$258,$AA255)))</f>
        <v/>
      </c>
      <c r="P255" s="39"/>
      <c r="Q255" s="39"/>
      <c r="R255" s="42" t="str">
        <f>IF($AA255=0,"",IF(LEN(INDEX(Jobs!$H$9:$H$258,$AA255)&amp;"")=0,"",INDEX(Jobs!$H$9:$H$258,$AA255)))</f>
        <v/>
      </c>
      <c r="S255" s="39"/>
      <c r="T255" s="39"/>
      <c r="U255" s="43" t="str">
        <f>IF($AA255=0,"",HYPERLINK("#'"&amp;INDEX(Jobs!$P$9:$P$258,$AA255)&amp;"'!A1","Open job"))</f>
        <v/>
      </c>
      <c r="V255" s="39"/>
      <c r="AA255">
        <f>IFERROR(MATCH(238,Jobs!$Q$9:$Q$258,0),0)</f>
        <v>0</v>
      </c>
    </row>
    <row r="256" spans="1:27" ht="36" hidden="1" customHeight="1" x14ac:dyDescent="0.35">
      <c r="A256" s="40" t="str">
        <f>IF($AA256=0,"",IF(LEN(INDEX(Jobs!$A$9:$A$258,$AA256)&amp;"")=0,"",INDEX(Jobs!$A$9:$A$258,$AA256)))</f>
        <v/>
      </c>
      <c r="B256" s="39"/>
      <c r="C256" s="40" t="str">
        <f>IF($AA256=0,"",IF(LEN(INDEX(Jobs!$B$9:$B$258,$AA256)&amp;"")=0,"",INDEX(Jobs!$B$9:$B$258,$AA256)))</f>
        <v/>
      </c>
      <c r="D256" s="39"/>
      <c r="E256" s="39"/>
      <c r="F256" s="39"/>
      <c r="G256" s="39"/>
      <c r="H256" s="39"/>
      <c r="I256" s="39"/>
      <c r="J256" s="39"/>
      <c r="K256" s="39"/>
      <c r="L256" s="40" t="str">
        <f>IF($AA256=0,"",IF(LEN(INDEX(Jobs!$D$9:$D$258,$AA256)&amp;"")=0,"",INDEX(Jobs!$D$9:$D$258,$AA256)))</f>
        <v/>
      </c>
      <c r="M256" s="39"/>
      <c r="N256" s="39"/>
      <c r="O256" s="41" t="str">
        <f>IF($AA256=0,"",IF(LEN(INDEX(Jobs!$G$9:$G$258,$AA256)&amp;"")=0,"",INDEX(Jobs!$G$9:$G$258,$AA256)))</f>
        <v/>
      </c>
      <c r="P256" s="39"/>
      <c r="Q256" s="39"/>
      <c r="R256" s="41" t="str">
        <f>IF($AA256=0,"",IF(LEN(INDEX(Jobs!$H$9:$H$258,$AA256)&amp;"")=0,"",INDEX(Jobs!$H$9:$H$258,$AA256)))</f>
        <v/>
      </c>
      <c r="S256" s="39"/>
      <c r="T256" s="39"/>
      <c r="U256" s="44" t="str">
        <f>IF($AA256=0,"",HYPERLINK("#'"&amp;INDEX(Jobs!$P$9:$P$258,$AA256)&amp;"'!A1","Open job"))</f>
        <v/>
      </c>
      <c r="V256" s="39"/>
      <c r="AA256">
        <f>IFERROR(MATCH(239,Jobs!$Q$9:$Q$258,0),0)</f>
        <v>0</v>
      </c>
    </row>
    <row r="257" spans="1:27" ht="36" hidden="1" customHeight="1" x14ac:dyDescent="0.35">
      <c r="A257" s="38" t="str">
        <f>IF($AA257=0,"",IF(LEN(INDEX(Jobs!$A$9:$A$258,$AA257)&amp;"")=0,"",INDEX(Jobs!$A$9:$A$258,$AA257)))</f>
        <v/>
      </c>
      <c r="B257" s="39"/>
      <c r="C257" s="38" t="str">
        <f>IF($AA257=0,"",IF(LEN(INDEX(Jobs!$B$9:$B$258,$AA257)&amp;"")=0,"",INDEX(Jobs!$B$9:$B$258,$AA257)))</f>
        <v/>
      </c>
      <c r="D257" s="39"/>
      <c r="E257" s="39"/>
      <c r="F257" s="39"/>
      <c r="G257" s="39"/>
      <c r="H257" s="39"/>
      <c r="I257" s="39"/>
      <c r="J257" s="39"/>
      <c r="K257" s="39"/>
      <c r="L257" s="38" t="str">
        <f>IF($AA257=0,"",IF(LEN(INDEX(Jobs!$D$9:$D$258,$AA257)&amp;"")=0,"",INDEX(Jobs!$D$9:$D$258,$AA257)))</f>
        <v/>
      </c>
      <c r="M257" s="39"/>
      <c r="N257" s="39"/>
      <c r="O257" s="42" t="str">
        <f>IF($AA257=0,"",IF(LEN(INDEX(Jobs!$G$9:$G$258,$AA257)&amp;"")=0,"",INDEX(Jobs!$G$9:$G$258,$AA257)))</f>
        <v/>
      </c>
      <c r="P257" s="39"/>
      <c r="Q257" s="39"/>
      <c r="R257" s="42" t="str">
        <f>IF($AA257=0,"",IF(LEN(INDEX(Jobs!$H$9:$H$258,$AA257)&amp;"")=0,"",INDEX(Jobs!$H$9:$H$258,$AA257)))</f>
        <v/>
      </c>
      <c r="S257" s="39"/>
      <c r="T257" s="39"/>
      <c r="U257" s="43" t="str">
        <f>IF($AA257=0,"",HYPERLINK("#'"&amp;INDEX(Jobs!$P$9:$P$258,$AA257)&amp;"'!A1","Open job"))</f>
        <v/>
      </c>
      <c r="V257" s="39"/>
      <c r="AA257">
        <f>IFERROR(MATCH(240,Jobs!$Q$9:$Q$258,0),0)</f>
        <v>0</v>
      </c>
    </row>
    <row r="258" spans="1:27" ht="36" hidden="1" customHeight="1" x14ac:dyDescent="0.35">
      <c r="A258" s="40" t="str">
        <f>IF($AA258=0,"",IF(LEN(INDEX(Jobs!$A$9:$A$258,$AA258)&amp;"")=0,"",INDEX(Jobs!$A$9:$A$258,$AA258)))</f>
        <v/>
      </c>
      <c r="B258" s="39"/>
      <c r="C258" s="40" t="str">
        <f>IF($AA258=0,"",IF(LEN(INDEX(Jobs!$B$9:$B$258,$AA258)&amp;"")=0,"",INDEX(Jobs!$B$9:$B$258,$AA258)))</f>
        <v/>
      </c>
      <c r="D258" s="39"/>
      <c r="E258" s="39"/>
      <c r="F258" s="39"/>
      <c r="G258" s="39"/>
      <c r="H258" s="39"/>
      <c r="I258" s="39"/>
      <c r="J258" s="39"/>
      <c r="K258" s="39"/>
      <c r="L258" s="40" t="str">
        <f>IF($AA258=0,"",IF(LEN(INDEX(Jobs!$D$9:$D$258,$AA258)&amp;"")=0,"",INDEX(Jobs!$D$9:$D$258,$AA258)))</f>
        <v/>
      </c>
      <c r="M258" s="39"/>
      <c r="N258" s="39"/>
      <c r="O258" s="41" t="str">
        <f>IF($AA258=0,"",IF(LEN(INDEX(Jobs!$G$9:$G$258,$AA258)&amp;"")=0,"",INDEX(Jobs!$G$9:$G$258,$AA258)))</f>
        <v/>
      </c>
      <c r="P258" s="39"/>
      <c r="Q258" s="39"/>
      <c r="R258" s="41" t="str">
        <f>IF($AA258=0,"",IF(LEN(INDEX(Jobs!$H$9:$H$258,$AA258)&amp;"")=0,"",INDEX(Jobs!$H$9:$H$258,$AA258)))</f>
        <v/>
      </c>
      <c r="S258" s="39"/>
      <c r="T258" s="39"/>
      <c r="U258" s="44" t="str">
        <f>IF($AA258=0,"",HYPERLINK("#'"&amp;INDEX(Jobs!$P$9:$P$258,$AA258)&amp;"'!A1","Open job"))</f>
        <v/>
      </c>
      <c r="V258" s="39"/>
      <c r="AA258">
        <f>IFERROR(MATCH(241,Jobs!$Q$9:$Q$258,0),0)</f>
        <v>0</v>
      </c>
    </row>
    <row r="259" spans="1:27" ht="36" hidden="1" customHeight="1" x14ac:dyDescent="0.35">
      <c r="A259" s="38" t="str">
        <f>IF($AA259=0,"",IF(LEN(INDEX(Jobs!$A$9:$A$258,$AA259)&amp;"")=0,"",INDEX(Jobs!$A$9:$A$258,$AA259)))</f>
        <v/>
      </c>
      <c r="B259" s="39"/>
      <c r="C259" s="38" t="str">
        <f>IF($AA259=0,"",IF(LEN(INDEX(Jobs!$B$9:$B$258,$AA259)&amp;"")=0,"",INDEX(Jobs!$B$9:$B$258,$AA259)))</f>
        <v/>
      </c>
      <c r="D259" s="39"/>
      <c r="E259" s="39"/>
      <c r="F259" s="39"/>
      <c r="G259" s="39"/>
      <c r="H259" s="39"/>
      <c r="I259" s="39"/>
      <c r="J259" s="39"/>
      <c r="K259" s="39"/>
      <c r="L259" s="38" t="str">
        <f>IF($AA259=0,"",IF(LEN(INDEX(Jobs!$D$9:$D$258,$AA259)&amp;"")=0,"",INDEX(Jobs!$D$9:$D$258,$AA259)))</f>
        <v/>
      </c>
      <c r="M259" s="39"/>
      <c r="N259" s="39"/>
      <c r="O259" s="42" t="str">
        <f>IF($AA259=0,"",IF(LEN(INDEX(Jobs!$G$9:$G$258,$AA259)&amp;"")=0,"",INDEX(Jobs!$G$9:$G$258,$AA259)))</f>
        <v/>
      </c>
      <c r="P259" s="39"/>
      <c r="Q259" s="39"/>
      <c r="R259" s="42" t="str">
        <f>IF($AA259=0,"",IF(LEN(INDEX(Jobs!$H$9:$H$258,$AA259)&amp;"")=0,"",INDEX(Jobs!$H$9:$H$258,$AA259)))</f>
        <v/>
      </c>
      <c r="S259" s="39"/>
      <c r="T259" s="39"/>
      <c r="U259" s="43" t="str">
        <f>IF($AA259=0,"",HYPERLINK("#'"&amp;INDEX(Jobs!$P$9:$P$258,$AA259)&amp;"'!A1","Open job"))</f>
        <v/>
      </c>
      <c r="V259" s="39"/>
      <c r="AA259">
        <f>IFERROR(MATCH(242,Jobs!$Q$9:$Q$258,0),0)</f>
        <v>0</v>
      </c>
    </row>
    <row r="260" spans="1:27" ht="36" hidden="1" customHeight="1" x14ac:dyDescent="0.35">
      <c r="A260" s="40" t="str">
        <f>IF($AA260=0,"",IF(LEN(INDEX(Jobs!$A$9:$A$258,$AA260)&amp;"")=0,"",INDEX(Jobs!$A$9:$A$258,$AA260)))</f>
        <v/>
      </c>
      <c r="B260" s="39"/>
      <c r="C260" s="40" t="str">
        <f>IF($AA260=0,"",IF(LEN(INDEX(Jobs!$B$9:$B$258,$AA260)&amp;"")=0,"",INDEX(Jobs!$B$9:$B$258,$AA260)))</f>
        <v/>
      </c>
      <c r="D260" s="39"/>
      <c r="E260" s="39"/>
      <c r="F260" s="39"/>
      <c r="G260" s="39"/>
      <c r="H260" s="39"/>
      <c r="I260" s="39"/>
      <c r="J260" s="39"/>
      <c r="K260" s="39"/>
      <c r="L260" s="40" t="str">
        <f>IF($AA260=0,"",IF(LEN(INDEX(Jobs!$D$9:$D$258,$AA260)&amp;"")=0,"",INDEX(Jobs!$D$9:$D$258,$AA260)))</f>
        <v/>
      </c>
      <c r="M260" s="39"/>
      <c r="N260" s="39"/>
      <c r="O260" s="41" t="str">
        <f>IF($AA260=0,"",IF(LEN(INDEX(Jobs!$G$9:$G$258,$AA260)&amp;"")=0,"",INDEX(Jobs!$G$9:$G$258,$AA260)))</f>
        <v/>
      </c>
      <c r="P260" s="39"/>
      <c r="Q260" s="39"/>
      <c r="R260" s="41" t="str">
        <f>IF($AA260=0,"",IF(LEN(INDEX(Jobs!$H$9:$H$258,$AA260)&amp;"")=0,"",INDEX(Jobs!$H$9:$H$258,$AA260)))</f>
        <v/>
      </c>
      <c r="S260" s="39"/>
      <c r="T260" s="39"/>
      <c r="U260" s="44" t="str">
        <f>IF($AA260=0,"",HYPERLINK("#'"&amp;INDEX(Jobs!$P$9:$P$258,$AA260)&amp;"'!A1","Open job"))</f>
        <v/>
      </c>
      <c r="V260" s="39"/>
      <c r="AA260">
        <f>IFERROR(MATCH(243,Jobs!$Q$9:$Q$258,0),0)</f>
        <v>0</v>
      </c>
    </row>
    <row r="261" spans="1:27" ht="36" hidden="1" customHeight="1" x14ac:dyDescent="0.35">
      <c r="A261" s="38" t="str">
        <f>IF($AA261=0,"",IF(LEN(INDEX(Jobs!$A$9:$A$258,$AA261)&amp;"")=0,"",INDEX(Jobs!$A$9:$A$258,$AA261)))</f>
        <v/>
      </c>
      <c r="B261" s="39"/>
      <c r="C261" s="38" t="str">
        <f>IF($AA261=0,"",IF(LEN(INDEX(Jobs!$B$9:$B$258,$AA261)&amp;"")=0,"",INDEX(Jobs!$B$9:$B$258,$AA261)))</f>
        <v/>
      </c>
      <c r="D261" s="39"/>
      <c r="E261" s="39"/>
      <c r="F261" s="39"/>
      <c r="G261" s="39"/>
      <c r="H261" s="39"/>
      <c r="I261" s="39"/>
      <c r="J261" s="39"/>
      <c r="K261" s="39"/>
      <c r="L261" s="38" t="str">
        <f>IF($AA261=0,"",IF(LEN(INDEX(Jobs!$D$9:$D$258,$AA261)&amp;"")=0,"",INDEX(Jobs!$D$9:$D$258,$AA261)))</f>
        <v/>
      </c>
      <c r="M261" s="39"/>
      <c r="N261" s="39"/>
      <c r="O261" s="42" t="str">
        <f>IF($AA261=0,"",IF(LEN(INDEX(Jobs!$G$9:$G$258,$AA261)&amp;"")=0,"",INDEX(Jobs!$G$9:$G$258,$AA261)))</f>
        <v/>
      </c>
      <c r="P261" s="39"/>
      <c r="Q261" s="39"/>
      <c r="R261" s="42" t="str">
        <f>IF($AA261=0,"",IF(LEN(INDEX(Jobs!$H$9:$H$258,$AA261)&amp;"")=0,"",INDEX(Jobs!$H$9:$H$258,$AA261)))</f>
        <v/>
      </c>
      <c r="S261" s="39"/>
      <c r="T261" s="39"/>
      <c r="U261" s="43" t="str">
        <f>IF($AA261=0,"",HYPERLINK("#'"&amp;INDEX(Jobs!$P$9:$P$258,$AA261)&amp;"'!A1","Open job"))</f>
        <v/>
      </c>
      <c r="V261" s="39"/>
      <c r="AA261">
        <f>IFERROR(MATCH(244,Jobs!$Q$9:$Q$258,0),0)</f>
        <v>0</v>
      </c>
    </row>
    <row r="262" spans="1:27" ht="36" hidden="1" customHeight="1" x14ac:dyDescent="0.35">
      <c r="A262" s="40" t="str">
        <f>IF($AA262=0,"",IF(LEN(INDEX(Jobs!$A$9:$A$258,$AA262)&amp;"")=0,"",INDEX(Jobs!$A$9:$A$258,$AA262)))</f>
        <v/>
      </c>
      <c r="B262" s="39"/>
      <c r="C262" s="40" t="str">
        <f>IF($AA262=0,"",IF(LEN(INDEX(Jobs!$B$9:$B$258,$AA262)&amp;"")=0,"",INDEX(Jobs!$B$9:$B$258,$AA262)))</f>
        <v/>
      </c>
      <c r="D262" s="39"/>
      <c r="E262" s="39"/>
      <c r="F262" s="39"/>
      <c r="G262" s="39"/>
      <c r="H262" s="39"/>
      <c r="I262" s="39"/>
      <c r="J262" s="39"/>
      <c r="K262" s="39"/>
      <c r="L262" s="40" t="str">
        <f>IF($AA262=0,"",IF(LEN(INDEX(Jobs!$D$9:$D$258,$AA262)&amp;"")=0,"",INDEX(Jobs!$D$9:$D$258,$AA262)))</f>
        <v/>
      </c>
      <c r="M262" s="39"/>
      <c r="N262" s="39"/>
      <c r="O262" s="41" t="str">
        <f>IF($AA262=0,"",IF(LEN(INDEX(Jobs!$G$9:$G$258,$AA262)&amp;"")=0,"",INDEX(Jobs!$G$9:$G$258,$AA262)))</f>
        <v/>
      </c>
      <c r="P262" s="39"/>
      <c r="Q262" s="39"/>
      <c r="R262" s="41" t="str">
        <f>IF($AA262=0,"",IF(LEN(INDEX(Jobs!$H$9:$H$258,$AA262)&amp;"")=0,"",INDEX(Jobs!$H$9:$H$258,$AA262)))</f>
        <v/>
      </c>
      <c r="S262" s="39"/>
      <c r="T262" s="39"/>
      <c r="U262" s="44" t="str">
        <f>IF($AA262=0,"",HYPERLINK("#'"&amp;INDEX(Jobs!$P$9:$P$258,$AA262)&amp;"'!A1","Open job"))</f>
        <v/>
      </c>
      <c r="V262" s="39"/>
      <c r="AA262">
        <f>IFERROR(MATCH(245,Jobs!$Q$9:$Q$258,0),0)</f>
        <v>0</v>
      </c>
    </row>
    <row r="263" spans="1:27" ht="36" hidden="1" customHeight="1" x14ac:dyDescent="0.35">
      <c r="A263" s="38" t="str">
        <f>IF($AA263=0,"",IF(LEN(INDEX(Jobs!$A$9:$A$258,$AA263)&amp;"")=0,"",INDEX(Jobs!$A$9:$A$258,$AA263)))</f>
        <v/>
      </c>
      <c r="B263" s="39"/>
      <c r="C263" s="38" t="str">
        <f>IF($AA263=0,"",IF(LEN(INDEX(Jobs!$B$9:$B$258,$AA263)&amp;"")=0,"",INDEX(Jobs!$B$9:$B$258,$AA263)))</f>
        <v/>
      </c>
      <c r="D263" s="39"/>
      <c r="E263" s="39"/>
      <c r="F263" s="39"/>
      <c r="G263" s="39"/>
      <c r="H263" s="39"/>
      <c r="I263" s="39"/>
      <c r="J263" s="39"/>
      <c r="K263" s="39"/>
      <c r="L263" s="38" t="str">
        <f>IF($AA263=0,"",IF(LEN(INDEX(Jobs!$D$9:$D$258,$AA263)&amp;"")=0,"",INDEX(Jobs!$D$9:$D$258,$AA263)))</f>
        <v/>
      </c>
      <c r="M263" s="39"/>
      <c r="N263" s="39"/>
      <c r="O263" s="42" t="str">
        <f>IF($AA263=0,"",IF(LEN(INDEX(Jobs!$G$9:$G$258,$AA263)&amp;"")=0,"",INDEX(Jobs!$G$9:$G$258,$AA263)))</f>
        <v/>
      </c>
      <c r="P263" s="39"/>
      <c r="Q263" s="39"/>
      <c r="R263" s="42" t="str">
        <f>IF($AA263=0,"",IF(LEN(INDEX(Jobs!$H$9:$H$258,$AA263)&amp;"")=0,"",INDEX(Jobs!$H$9:$H$258,$AA263)))</f>
        <v/>
      </c>
      <c r="S263" s="39"/>
      <c r="T263" s="39"/>
      <c r="U263" s="43" t="str">
        <f>IF($AA263=0,"",HYPERLINK("#'"&amp;INDEX(Jobs!$P$9:$P$258,$AA263)&amp;"'!A1","Open job"))</f>
        <v/>
      </c>
      <c r="V263" s="39"/>
      <c r="AA263">
        <f>IFERROR(MATCH(246,Jobs!$Q$9:$Q$258,0),0)</f>
        <v>0</v>
      </c>
    </row>
    <row r="264" spans="1:27" ht="36" hidden="1" customHeight="1" x14ac:dyDescent="0.35">
      <c r="A264" s="40" t="str">
        <f>IF($AA264=0,"",IF(LEN(INDEX(Jobs!$A$9:$A$258,$AA264)&amp;"")=0,"",INDEX(Jobs!$A$9:$A$258,$AA264)))</f>
        <v/>
      </c>
      <c r="B264" s="39"/>
      <c r="C264" s="40" t="str">
        <f>IF($AA264=0,"",IF(LEN(INDEX(Jobs!$B$9:$B$258,$AA264)&amp;"")=0,"",INDEX(Jobs!$B$9:$B$258,$AA264)))</f>
        <v/>
      </c>
      <c r="D264" s="39"/>
      <c r="E264" s="39"/>
      <c r="F264" s="39"/>
      <c r="G264" s="39"/>
      <c r="H264" s="39"/>
      <c r="I264" s="39"/>
      <c r="J264" s="39"/>
      <c r="K264" s="39"/>
      <c r="L264" s="40" t="str">
        <f>IF($AA264=0,"",IF(LEN(INDEX(Jobs!$D$9:$D$258,$AA264)&amp;"")=0,"",INDEX(Jobs!$D$9:$D$258,$AA264)))</f>
        <v/>
      </c>
      <c r="M264" s="39"/>
      <c r="N264" s="39"/>
      <c r="O264" s="41" t="str">
        <f>IF($AA264=0,"",IF(LEN(INDEX(Jobs!$G$9:$G$258,$AA264)&amp;"")=0,"",INDEX(Jobs!$G$9:$G$258,$AA264)))</f>
        <v/>
      </c>
      <c r="P264" s="39"/>
      <c r="Q264" s="39"/>
      <c r="R264" s="41" t="str">
        <f>IF($AA264=0,"",IF(LEN(INDEX(Jobs!$H$9:$H$258,$AA264)&amp;"")=0,"",INDEX(Jobs!$H$9:$H$258,$AA264)))</f>
        <v/>
      </c>
      <c r="S264" s="39"/>
      <c r="T264" s="39"/>
      <c r="U264" s="44" t="str">
        <f>IF($AA264=0,"",HYPERLINK("#'"&amp;INDEX(Jobs!$P$9:$P$258,$AA264)&amp;"'!A1","Open job"))</f>
        <v/>
      </c>
      <c r="V264" s="39"/>
      <c r="AA264">
        <f>IFERROR(MATCH(247,Jobs!$Q$9:$Q$258,0),0)</f>
        <v>0</v>
      </c>
    </row>
    <row r="265" spans="1:27" ht="36" hidden="1" customHeight="1" x14ac:dyDescent="0.35">
      <c r="A265" s="38" t="str">
        <f>IF($AA265=0,"",IF(LEN(INDEX(Jobs!$A$9:$A$258,$AA265)&amp;"")=0,"",INDEX(Jobs!$A$9:$A$258,$AA265)))</f>
        <v/>
      </c>
      <c r="B265" s="39"/>
      <c r="C265" s="38" t="str">
        <f>IF($AA265=0,"",IF(LEN(INDEX(Jobs!$B$9:$B$258,$AA265)&amp;"")=0,"",INDEX(Jobs!$B$9:$B$258,$AA265)))</f>
        <v/>
      </c>
      <c r="D265" s="39"/>
      <c r="E265" s="39"/>
      <c r="F265" s="39"/>
      <c r="G265" s="39"/>
      <c r="H265" s="39"/>
      <c r="I265" s="39"/>
      <c r="J265" s="39"/>
      <c r="K265" s="39"/>
      <c r="L265" s="38" t="str">
        <f>IF($AA265=0,"",IF(LEN(INDEX(Jobs!$D$9:$D$258,$AA265)&amp;"")=0,"",INDEX(Jobs!$D$9:$D$258,$AA265)))</f>
        <v/>
      </c>
      <c r="M265" s="39"/>
      <c r="N265" s="39"/>
      <c r="O265" s="42" t="str">
        <f>IF($AA265=0,"",IF(LEN(INDEX(Jobs!$G$9:$G$258,$AA265)&amp;"")=0,"",INDEX(Jobs!$G$9:$G$258,$AA265)))</f>
        <v/>
      </c>
      <c r="P265" s="39"/>
      <c r="Q265" s="39"/>
      <c r="R265" s="42" t="str">
        <f>IF($AA265=0,"",IF(LEN(INDEX(Jobs!$H$9:$H$258,$AA265)&amp;"")=0,"",INDEX(Jobs!$H$9:$H$258,$AA265)))</f>
        <v/>
      </c>
      <c r="S265" s="39"/>
      <c r="T265" s="39"/>
      <c r="U265" s="43" t="str">
        <f>IF($AA265=0,"",HYPERLINK("#'"&amp;INDEX(Jobs!$P$9:$P$258,$AA265)&amp;"'!A1","Open job"))</f>
        <v/>
      </c>
      <c r="V265" s="39"/>
      <c r="AA265">
        <f>IFERROR(MATCH(248,Jobs!$Q$9:$Q$258,0),0)</f>
        <v>0</v>
      </c>
    </row>
    <row r="266" spans="1:27" ht="36" hidden="1" customHeight="1" x14ac:dyDescent="0.35">
      <c r="A266" s="40" t="str">
        <f>IF($AA266=0,"",IF(LEN(INDEX(Jobs!$A$9:$A$258,$AA266)&amp;"")=0,"",INDEX(Jobs!$A$9:$A$258,$AA266)))</f>
        <v/>
      </c>
      <c r="B266" s="39"/>
      <c r="C266" s="40" t="str">
        <f>IF($AA266=0,"",IF(LEN(INDEX(Jobs!$B$9:$B$258,$AA266)&amp;"")=0,"",INDEX(Jobs!$B$9:$B$258,$AA266)))</f>
        <v/>
      </c>
      <c r="D266" s="39"/>
      <c r="E266" s="39"/>
      <c r="F266" s="39"/>
      <c r="G266" s="39"/>
      <c r="H266" s="39"/>
      <c r="I266" s="39"/>
      <c r="J266" s="39"/>
      <c r="K266" s="39"/>
      <c r="L266" s="40" t="str">
        <f>IF($AA266=0,"",IF(LEN(INDEX(Jobs!$D$9:$D$258,$AA266)&amp;"")=0,"",INDEX(Jobs!$D$9:$D$258,$AA266)))</f>
        <v/>
      </c>
      <c r="M266" s="39"/>
      <c r="N266" s="39"/>
      <c r="O266" s="41" t="str">
        <f>IF($AA266=0,"",IF(LEN(INDEX(Jobs!$G$9:$G$258,$AA266)&amp;"")=0,"",INDEX(Jobs!$G$9:$G$258,$AA266)))</f>
        <v/>
      </c>
      <c r="P266" s="39"/>
      <c r="Q266" s="39"/>
      <c r="R266" s="41" t="str">
        <f>IF($AA266=0,"",IF(LEN(INDEX(Jobs!$H$9:$H$258,$AA266)&amp;"")=0,"",INDEX(Jobs!$H$9:$H$258,$AA266)))</f>
        <v/>
      </c>
      <c r="S266" s="39"/>
      <c r="T266" s="39"/>
      <c r="U266" s="44" t="str">
        <f>IF($AA266=0,"",HYPERLINK("#'"&amp;INDEX(Jobs!$P$9:$P$258,$AA266)&amp;"'!A1","Open job"))</f>
        <v/>
      </c>
      <c r="V266" s="39"/>
      <c r="AA266">
        <f>IFERROR(MATCH(249,Jobs!$Q$9:$Q$258,0),0)</f>
        <v>0</v>
      </c>
    </row>
    <row r="267" spans="1:27" ht="36" hidden="1" customHeight="1" x14ac:dyDescent="0.35">
      <c r="A267" s="38" t="str">
        <f>IF($AA267=0,"",IF(LEN(INDEX(Jobs!$A$9:$A$258,$AA267)&amp;"")=0,"",INDEX(Jobs!$A$9:$A$258,$AA267)))</f>
        <v/>
      </c>
      <c r="B267" s="39"/>
      <c r="C267" s="38" t="str">
        <f>IF($AA267=0,"",IF(LEN(INDEX(Jobs!$B$9:$B$258,$AA267)&amp;"")=0,"",INDEX(Jobs!$B$9:$B$258,$AA267)))</f>
        <v/>
      </c>
      <c r="D267" s="39"/>
      <c r="E267" s="39"/>
      <c r="F267" s="39"/>
      <c r="G267" s="39"/>
      <c r="H267" s="39"/>
      <c r="I267" s="39"/>
      <c r="J267" s="39"/>
      <c r="K267" s="39"/>
      <c r="L267" s="38" t="str">
        <f>IF($AA267=0,"",IF(LEN(INDEX(Jobs!$D$9:$D$258,$AA267)&amp;"")=0,"",INDEX(Jobs!$D$9:$D$258,$AA267)))</f>
        <v/>
      </c>
      <c r="M267" s="39"/>
      <c r="N267" s="39"/>
      <c r="O267" s="42" t="str">
        <f>IF($AA267=0,"",IF(LEN(INDEX(Jobs!$G$9:$G$258,$AA267)&amp;"")=0,"",INDEX(Jobs!$G$9:$G$258,$AA267)))</f>
        <v/>
      </c>
      <c r="P267" s="39"/>
      <c r="Q267" s="39"/>
      <c r="R267" s="42" t="str">
        <f>IF($AA267=0,"",IF(LEN(INDEX(Jobs!$H$9:$H$258,$AA267)&amp;"")=0,"",INDEX(Jobs!$H$9:$H$258,$AA267)))</f>
        <v/>
      </c>
      <c r="S267" s="39"/>
      <c r="T267" s="39"/>
      <c r="U267" s="43" t="str">
        <f>IF($AA267=0,"",HYPERLINK("#'"&amp;INDEX(Jobs!$P$9:$P$258,$AA267)&amp;"'!A1","Open job"))</f>
        <v/>
      </c>
      <c r="V267" s="39"/>
      <c r="AA267">
        <f>IFERROR(MATCH(250,Jobs!$Q$9:$Q$258,0),0)</f>
        <v>0</v>
      </c>
    </row>
  </sheetData>
  <sheetProtection password="8651" sheet="1" autoFilter="0"/>
  <mergeCells count="1533">
    <mergeCell ref="O256:Q256"/>
    <mergeCell ref="L213:N213"/>
    <mergeCell ref="A257:B257"/>
    <mergeCell ref="C226:K226"/>
    <mergeCell ref="L126:N126"/>
    <mergeCell ref="R110:T110"/>
    <mergeCell ref="L215:N215"/>
    <mergeCell ref="C222:K222"/>
    <mergeCell ref="C251:K251"/>
    <mergeCell ref="R141:T141"/>
    <mergeCell ref="C253:K253"/>
    <mergeCell ref="A267:B267"/>
    <mergeCell ref="R143:T143"/>
    <mergeCell ref="L108:N108"/>
    <mergeCell ref="O267:Q267"/>
    <mergeCell ref="C254:K254"/>
    <mergeCell ref="C248:K248"/>
    <mergeCell ref="A262:B262"/>
    <mergeCell ref="A266:B266"/>
    <mergeCell ref="R191:T191"/>
    <mergeCell ref="R219:T219"/>
    <mergeCell ref="R244:T244"/>
    <mergeCell ref="R263:T263"/>
    <mergeCell ref="R258:T258"/>
    <mergeCell ref="R260:T260"/>
    <mergeCell ref="C265:K265"/>
    <mergeCell ref="A211:B211"/>
    <mergeCell ref="R129:T129"/>
    <mergeCell ref="R252:T252"/>
    <mergeCell ref="O228:Q228"/>
    <mergeCell ref="C225:K225"/>
    <mergeCell ref="R255:T255"/>
    <mergeCell ref="U20:V20"/>
    <mergeCell ref="U22:V22"/>
    <mergeCell ref="R65:T65"/>
    <mergeCell ref="C124:K124"/>
    <mergeCell ref="R154:T154"/>
    <mergeCell ref="C90:K90"/>
    <mergeCell ref="R156:T156"/>
    <mergeCell ref="A192:B192"/>
    <mergeCell ref="A194:B194"/>
    <mergeCell ref="U242:V242"/>
    <mergeCell ref="U58:V58"/>
    <mergeCell ref="C108:K108"/>
    <mergeCell ref="R207:T207"/>
    <mergeCell ref="U244:V244"/>
    <mergeCell ref="R84:T84"/>
    <mergeCell ref="R78:T78"/>
    <mergeCell ref="C20:K20"/>
    <mergeCell ref="A34:B34"/>
    <mergeCell ref="L180:N180"/>
    <mergeCell ref="O41:Q41"/>
    <mergeCell ref="R80:T80"/>
    <mergeCell ref="L216:N216"/>
    <mergeCell ref="O35:Q35"/>
    <mergeCell ref="C22:K22"/>
    <mergeCell ref="A36:B36"/>
    <mergeCell ref="U84:V84"/>
    <mergeCell ref="L209:N209"/>
    <mergeCell ref="O43:Q43"/>
    <mergeCell ref="C51:K51"/>
    <mergeCell ref="A205:B205"/>
    <mergeCell ref="U86:V86"/>
    <mergeCell ref="A65:B65"/>
    <mergeCell ref="U262:V262"/>
    <mergeCell ref="L211:N211"/>
    <mergeCell ref="C38:K38"/>
    <mergeCell ref="O67:Q67"/>
    <mergeCell ref="R226:T226"/>
    <mergeCell ref="R220:T220"/>
    <mergeCell ref="O96:Q96"/>
    <mergeCell ref="R222:T222"/>
    <mergeCell ref="C33:K33"/>
    <mergeCell ref="O98:Q98"/>
    <mergeCell ref="R221:T221"/>
    <mergeCell ref="L53:N53"/>
    <mergeCell ref="L229:N229"/>
    <mergeCell ref="A258:B258"/>
    <mergeCell ref="C35:K35"/>
    <mergeCell ref="L264:N264"/>
    <mergeCell ref="L239:N239"/>
    <mergeCell ref="A260:B260"/>
    <mergeCell ref="U99:V99"/>
    <mergeCell ref="L224:N224"/>
    <mergeCell ref="C59:K59"/>
    <mergeCell ref="U101:V101"/>
    <mergeCell ref="R150:T150"/>
    <mergeCell ref="R125:T125"/>
    <mergeCell ref="L255:N255"/>
    <mergeCell ref="C61:K61"/>
    <mergeCell ref="C122:K122"/>
    <mergeCell ref="R152:T152"/>
    <mergeCell ref="O82:Q82"/>
    <mergeCell ref="L250:N250"/>
    <mergeCell ref="O111:Q111"/>
    <mergeCell ref="C263:K263"/>
    <mergeCell ref="U29:V29"/>
    <mergeCell ref="U23:V23"/>
    <mergeCell ref="A3:V3"/>
    <mergeCell ref="A9:E9"/>
    <mergeCell ref="U31:V31"/>
    <mergeCell ref="O162:Q162"/>
    <mergeCell ref="R163:T163"/>
    <mergeCell ref="C105:K105"/>
    <mergeCell ref="R173:T173"/>
    <mergeCell ref="O164:Q164"/>
    <mergeCell ref="R165:T165"/>
    <mergeCell ref="U57:V57"/>
    <mergeCell ref="R77:T77"/>
    <mergeCell ref="L182:N182"/>
    <mergeCell ref="U171:V171"/>
    <mergeCell ref="U42:V42"/>
    <mergeCell ref="O180:Q180"/>
    <mergeCell ref="P4:R4"/>
    <mergeCell ref="L24:N24"/>
    <mergeCell ref="L18:N18"/>
    <mergeCell ref="A45:B45"/>
    <mergeCell ref="L51:N51"/>
    <mergeCell ref="L26:N26"/>
    <mergeCell ref="C60:K60"/>
    <mergeCell ref="U95:V95"/>
    <mergeCell ref="U70:V70"/>
    <mergeCell ref="A46:B46"/>
    <mergeCell ref="U97:V97"/>
    <mergeCell ref="C91:K91"/>
    <mergeCell ref="A105:B105"/>
    <mergeCell ref="R115:T115"/>
    <mergeCell ref="C57:K57"/>
    <mergeCell ref="R237:T237"/>
    <mergeCell ref="C86:K86"/>
    <mergeCell ref="U121:V121"/>
    <mergeCell ref="A100:B100"/>
    <mergeCell ref="L246:N246"/>
    <mergeCell ref="C58:K58"/>
    <mergeCell ref="O107:Q107"/>
    <mergeCell ref="L37:N37"/>
    <mergeCell ref="U129:V129"/>
    <mergeCell ref="U123:V123"/>
    <mergeCell ref="A102:B102"/>
    <mergeCell ref="L248:N248"/>
    <mergeCell ref="O231:Q231"/>
    <mergeCell ref="C75:K75"/>
    <mergeCell ref="O133:Q133"/>
    <mergeCell ref="R134:T134"/>
    <mergeCell ref="C70:K70"/>
    <mergeCell ref="C106:K106"/>
    <mergeCell ref="C228:K228"/>
    <mergeCell ref="A120:B120"/>
    <mergeCell ref="L96:N96"/>
    <mergeCell ref="O135:Q135"/>
    <mergeCell ref="L90:N90"/>
    <mergeCell ref="U134:V134"/>
    <mergeCell ref="A113:B113"/>
    <mergeCell ref="O44:Q44"/>
    <mergeCell ref="C173:K173"/>
    <mergeCell ref="R42:T42"/>
    <mergeCell ref="O217:Q217"/>
    <mergeCell ref="U237:V237"/>
    <mergeCell ref="A32:B32"/>
    <mergeCell ref="U167:V167"/>
    <mergeCell ref="U142:V142"/>
    <mergeCell ref="C101:K101"/>
    <mergeCell ref="L91:N91"/>
    <mergeCell ref="U55:V55"/>
    <mergeCell ref="U169:V169"/>
    <mergeCell ref="R187:T187"/>
    <mergeCell ref="C246:K246"/>
    <mergeCell ref="R189:T189"/>
    <mergeCell ref="O146:Q146"/>
    <mergeCell ref="L20:N20"/>
    <mergeCell ref="O173:Q173"/>
    <mergeCell ref="L109:N109"/>
    <mergeCell ref="A174:B174"/>
    <mergeCell ref="L22:N22"/>
    <mergeCell ref="A18:B18"/>
    <mergeCell ref="U66:V66"/>
    <mergeCell ref="O60:Q60"/>
    <mergeCell ref="U68:V68"/>
    <mergeCell ref="A47:B47"/>
    <mergeCell ref="R58:T58"/>
    <mergeCell ref="R60:T60"/>
    <mergeCell ref="C172:K172"/>
    <mergeCell ref="O207:Q207"/>
    <mergeCell ref="A44:B44"/>
    <mergeCell ref="C171:K171"/>
    <mergeCell ref="O200:Q200"/>
    <mergeCell ref="L33:N33"/>
    <mergeCell ref="U119:V119"/>
    <mergeCell ref="A98:B98"/>
    <mergeCell ref="A73:B73"/>
    <mergeCell ref="L59:N59"/>
    <mergeCell ref="O131:Q131"/>
    <mergeCell ref="R254:T254"/>
    <mergeCell ref="L61:N61"/>
    <mergeCell ref="A126:B126"/>
    <mergeCell ref="O220:Q220"/>
    <mergeCell ref="A109:B109"/>
    <mergeCell ref="A240:B240"/>
    <mergeCell ref="R256:T256"/>
    <mergeCell ref="U138:V138"/>
    <mergeCell ref="C97:K97"/>
    <mergeCell ref="A117:B117"/>
    <mergeCell ref="U132:V132"/>
    <mergeCell ref="A111:B111"/>
    <mergeCell ref="U233:V233"/>
    <mergeCell ref="U235:V235"/>
    <mergeCell ref="U160:V160"/>
    <mergeCell ref="U195:V195"/>
    <mergeCell ref="C142:K142"/>
    <mergeCell ref="U185:V185"/>
    <mergeCell ref="L181:N181"/>
    <mergeCell ref="A246:B246"/>
    <mergeCell ref="L252:N252"/>
    <mergeCell ref="O253:Q253"/>
    <mergeCell ref="A248:B248"/>
    <mergeCell ref="A245:B245"/>
    <mergeCell ref="A61:B61"/>
    <mergeCell ref="A177:B177"/>
    <mergeCell ref="A247:B247"/>
    <mergeCell ref="L237:N237"/>
    <mergeCell ref="O78:Q78"/>
    <mergeCell ref="O105:Q105"/>
    <mergeCell ref="R44:T44"/>
    <mergeCell ref="C195:K195"/>
    <mergeCell ref="A209:B209"/>
    <mergeCell ref="L57:N57"/>
    <mergeCell ref="O216:Q216"/>
    <mergeCell ref="O210:Q210"/>
    <mergeCell ref="L146:N146"/>
    <mergeCell ref="C197:K197"/>
    <mergeCell ref="A71:B71"/>
    <mergeCell ref="R245:T245"/>
    <mergeCell ref="L77:N77"/>
    <mergeCell ref="G9:K9"/>
    <mergeCell ref="A142:B142"/>
    <mergeCell ref="C242:K242"/>
    <mergeCell ref="C252:K252"/>
    <mergeCell ref="L114:N114"/>
    <mergeCell ref="O142:Q142"/>
    <mergeCell ref="C244:K244"/>
    <mergeCell ref="C123:K123"/>
    <mergeCell ref="A137:B137"/>
    <mergeCell ref="L105:N105"/>
    <mergeCell ref="L143:N143"/>
    <mergeCell ref="O144:Q144"/>
    <mergeCell ref="L99:N99"/>
    <mergeCell ref="A145:B145"/>
    <mergeCell ref="A139:B139"/>
    <mergeCell ref="R29:T29"/>
    <mergeCell ref="R31:T31"/>
    <mergeCell ref="C113:K113"/>
    <mergeCell ref="L133:N133"/>
    <mergeCell ref="O172:Q172"/>
    <mergeCell ref="L127:N127"/>
    <mergeCell ref="R51:T51"/>
    <mergeCell ref="A69:B69"/>
    <mergeCell ref="L162:N162"/>
    <mergeCell ref="L156:N156"/>
    <mergeCell ref="U179:V179"/>
    <mergeCell ref="A183:B183"/>
    <mergeCell ref="L128:N128"/>
    <mergeCell ref="A193:B193"/>
    <mergeCell ref="U259:V259"/>
    <mergeCell ref="A82:B82"/>
    <mergeCell ref="U261:V261"/>
    <mergeCell ref="U217:V217"/>
    <mergeCell ref="R95:T95"/>
    <mergeCell ref="C213:K213"/>
    <mergeCell ref="O58:Q58"/>
    <mergeCell ref="R97:T97"/>
    <mergeCell ref="C39:K39"/>
    <mergeCell ref="R96:T96"/>
    <mergeCell ref="O244:Q244"/>
    <mergeCell ref="L226:N226"/>
    <mergeCell ref="C208:K208"/>
    <mergeCell ref="O115:Q115"/>
    <mergeCell ref="O237:Q237"/>
    <mergeCell ref="L70:N70"/>
    <mergeCell ref="R98:T98"/>
    <mergeCell ref="A141:B141"/>
    <mergeCell ref="A135:B135"/>
    <mergeCell ref="L228:N228"/>
    <mergeCell ref="O229:Q229"/>
    <mergeCell ref="C210:K210"/>
    <mergeCell ref="A224:B224"/>
    <mergeCell ref="O239:Q239"/>
    <mergeCell ref="H6:M6"/>
    <mergeCell ref="U193:V193"/>
    <mergeCell ref="R108:T108"/>
    <mergeCell ref="R27:T27"/>
    <mergeCell ref="C50:K50"/>
    <mergeCell ref="O255:Q255"/>
    <mergeCell ref="C236:K236"/>
    <mergeCell ref="R20:T20"/>
    <mergeCell ref="R109:T109"/>
    <mergeCell ref="C138:K138"/>
    <mergeCell ref="R22:T22"/>
    <mergeCell ref="L152:N152"/>
    <mergeCell ref="U175:V175"/>
    <mergeCell ref="A154:B154"/>
    <mergeCell ref="L124:N124"/>
    <mergeCell ref="C264:K264"/>
    <mergeCell ref="R167:T167"/>
    <mergeCell ref="R38:T38"/>
    <mergeCell ref="R169:T169"/>
    <mergeCell ref="O179:Q179"/>
    <mergeCell ref="U172:V172"/>
    <mergeCell ref="O39:Q39"/>
    <mergeCell ref="R40:T40"/>
    <mergeCell ref="R162:T162"/>
    <mergeCell ref="S9:V9"/>
    <mergeCell ref="L142:N142"/>
    <mergeCell ref="R164:T164"/>
    <mergeCell ref="A182:B182"/>
    <mergeCell ref="U46:V46"/>
    <mergeCell ref="R35:T35"/>
    <mergeCell ref="L171:N171"/>
    <mergeCell ref="U257:V257"/>
    <mergeCell ref="U41:V41"/>
    <mergeCell ref="L139:N139"/>
    <mergeCell ref="R68:T68"/>
    <mergeCell ref="O23:Q23"/>
    <mergeCell ref="U43:V43"/>
    <mergeCell ref="O181:Q181"/>
    <mergeCell ref="R61:T61"/>
    <mergeCell ref="L170:N170"/>
    <mergeCell ref="C179:K179"/>
    <mergeCell ref="O24:Q24"/>
    <mergeCell ref="O18:Q18"/>
    <mergeCell ref="L199:N199"/>
    <mergeCell ref="O235:Q235"/>
    <mergeCell ref="L165:N165"/>
    <mergeCell ref="O49:Q49"/>
    <mergeCell ref="A222:B222"/>
    <mergeCell ref="R208:T208"/>
    <mergeCell ref="R235:T235"/>
    <mergeCell ref="C46:K46"/>
    <mergeCell ref="C21:K21"/>
    <mergeCell ref="R112:T112"/>
    <mergeCell ref="O42:Q42"/>
    <mergeCell ref="C48:K48"/>
    <mergeCell ref="C23:K23"/>
    <mergeCell ref="R122:T122"/>
    <mergeCell ref="R105:T105"/>
    <mergeCell ref="U112:V112"/>
    <mergeCell ref="R107:T107"/>
    <mergeCell ref="U208:V208"/>
    <mergeCell ref="O202:Q202"/>
    <mergeCell ref="L35:N35"/>
    <mergeCell ref="A20:B20"/>
    <mergeCell ref="O218:Q218"/>
    <mergeCell ref="R1:V2"/>
    <mergeCell ref="R138:T138"/>
    <mergeCell ref="C74:K74"/>
    <mergeCell ref="C250:K250"/>
    <mergeCell ref="C103:K103"/>
    <mergeCell ref="R133:T133"/>
    <mergeCell ref="O88:Q88"/>
    <mergeCell ref="L263:N263"/>
    <mergeCell ref="O124:Q124"/>
    <mergeCell ref="U140:V140"/>
    <mergeCell ref="R135:T135"/>
    <mergeCell ref="L265:N265"/>
    <mergeCell ref="U17:V17"/>
    <mergeCell ref="L266:N266"/>
    <mergeCell ref="R64:T64"/>
    <mergeCell ref="C87:K87"/>
    <mergeCell ref="R186:T186"/>
    <mergeCell ref="U39:V39"/>
    <mergeCell ref="R153:T153"/>
    <mergeCell ref="L107:N107"/>
    <mergeCell ref="R57:T57"/>
    <mergeCell ref="C89:K89"/>
    <mergeCell ref="C116:K116"/>
    <mergeCell ref="R146:T146"/>
    <mergeCell ref="O20:Q20"/>
    <mergeCell ref="L195:N195"/>
    <mergeCell ref="O37:Q37"/>
    <mergeCell ref="U48:V48"/>
    <mergeCell ref="R66:T66"/>
    <mergeCell ref="L50:N50"/>
    <mergeCell ref="O89:Q89"/>
    <mergeCell ref="R197:T197"/>
    <mergeCell ref="A24:B24"/>
    <mergeCell ref="A191:B191"/>
    <mergeCell ref="A51:B51"/>
    <mergeCell ref="S4:V4"/>
    <mergeCell ref="R204:T204"/>
    <mergeCell ref="U241:V241"/>
    <mergeCell ref="O134:Q134"/>
    <mergeCell ref="O51:Q51"/>
    <mergeCell ref="O47:Q47"/>
    <mergeCell ref="R75:T75"/>
    <mergeCell ref="R206:T206"/>
    <mergeCell ref="U243:V243"/>
    <mergeCell ref="C17:K17"/>
    <mergeCell ref="O76:Q76"/>
    <mergeCell ref="R199:T199"/>
    <mergeCell ref="C19:K19"/>
    <mergeCell ref="A33:B33"/>
    <mergeCell ref="A35:B35"/>
    <mergeCell ref="U83:V83"/>
    <mergeCell ref="A62:B62"/>
    <mergeCell ref="O77:Q77"/>
    <mergeCell ref="L32:N32"/>
    <mergeCell ref="O33:Q33"/>
    <mergeCell ref="L208:N208"/>
    <mergeCell ref="A28:B28"/>
    <mergeCell ref="U85:V85"/>
    <mergeCell ref="L210:N210"/>
    <mergeCell ref="A30:B30"/>
    <mergeCell ref="U78:V78"/>
    <mergeCell ref="R217:T217"/>
    <mergeCell ref="A59:B59"/>
    <mergeCell ref="U60:V60"/>
    <mergeCell ref="O64:Q64"/>
    <mergeCell ref="C68:K68"/>
    <mergeCell ref="G4:I4"/>
    <mergeCell ref="O61:Q61"/>
    <mergeCell ref="U225:V225"/>
    <mergeCell ref="L52:N52"/>
    <mergeCell ref="O148:Q148"/>
    <mergeCell ref="L78:N78"/>
    <mergeCell ref="C85:K85"/>
    <mergeCell ref="A143:B143"/>
    <mergeCell ref="C112:K112"/>
    <mergeCell ref="O141:Q141"/>
    <mergeCell ref="R142:T142"/>
    <mergeCell ref="C84:K84"/>
    <mergeCell ref="U155:V155"/>
    <mergeCell ref="C114:K114"/>
    <mergeCell ref="U149:V149"/>
    <mergeCell ref="O143:Q143"/>
    <mergeCell ref="R144:T144"/>
    <mergeCell ref="U151:V151"/>
    <mergeCell ref="U150:V150"/>
    <mergeCell ref="U186:V186"/>
    <mergeCell ref="U21:V21"/>
    <mergeCell ref="O159:Q159"/>
    <mergeCell ref="U152:V152"/>
    <mergeCell ref="C140:K140"/>
    <mergeCell ref="R170:T170"/>
    <mergeCell ref="O161:Q161"/>
    <mergeCell ref="O22:Q22"/>
    <mergeCell ref="L197:N197"/>
    <mergeCell ref="U65:V65"/>
    <mergeCell ref="U170:V170"/>
    <mergeCell ref="U74:V74"/>
    <mergeCell ref="O187:Q187"/>
    <mergeCell ref="C130:K130"/>
    <mergeCell ref="U163:V163"/>
    <mergeCell ref="U76:V76"/>
    <mergeCell ref="A84:B84"/>
    <mergeCell ref="L144:N144"/>
    <mergeCell ref="C159:K159"/>
    <mergeCell ref="O91:Q91"/>
    <mergeCell ref="C153:K153"/>
    <mergeCell ref="U120:V120"/>
    <mergeCell ref="A99:B99"/>
    <mergeCell ref="L69:N69"/>
    <mergeCell ref="O70:Q70"/>
    <mergeCell ref="A101:B101"/>
    <mergeCell ref="U115:V115"/>
    <mergeCell ref="O101:Q101"/>
    <mergeCell ref="O130:Q130"/>
    <mergeCell ref="U148:V148"/>
    <mergeCell ref="O132:Q132"/>
    <mergeCell ref="L87:N87"/>
    <mergeCell ref="A153:B153"/>
    <mergeCell ref="U91:V91"/>
    <mergeCell ref="L86:N86"/>
    <mergeCell ref="O87:Q87"/>
    <mergeCell ref="R172:T172"/>
    <mergeCell ref="U80:V80"/>
    <mergeCell ref="R131:T131"/>
    <mergeCell ref="O129:Q129"/>
    <mergeCell ref="U122:V122"/>
    <mergeCell ref="U24:V24"/>
    <mergeCell ref="O59:Q59"/>
    <mergeCell ref="C188:K188"/>
    <mergeCell ref="O95:Q95"/>
    <mergeCell ref="L21:N21"/>
    <mergeCell ref="A50:B50"/>
    <mergeCell ref="C72:K72"/>
    <mergeCell ref="A86:B86"/>
    <mergeCell ref="O57:Q57"/>
    <mergeCell ref="C186:K186"/>
    <mergeCell ref="C161:K161"/>
    <mergeCell ref="R210:T210"/>
    <mergeCell ref="U92:V92"/>
    <mergeCell ref="O86:Q86"/>
    <mergeCell ref="A81:B81"/>
    <mergeCell ref="R241:T241"/>
    <mergeCell ref="U94:V94"/>
    <mergeCell ref="L43:N43"/>
    <mergeCell ref="U223:V223"/>
    <mergeCell ref="R21:T21"/>
    <mergeCell ref="U189:V189"/>
    <mergeCell ref="U216:V216"/>
    <mergeCell ref="R50:T50"/>
    <mergeCell ref="U218:V218"/>
    <mergeCell ref="U205:V205"/>
    <mergeCell ref="U236:V236"/>
    <mergeCell ref="L218:N218"/>
    <mergeCell ref="R111:T111"/>
    <mergeCell ref="A116:B116"/>
    <mergeCell ref="A43:B43"/>
    <mergeCell ref="A25:B25"/>
    <mergeCell ref="A39:B39"/>
    <mergeCell ref="R243:T243"/>
    <mergeCell ref="C54:K54"/>
    <mergeCell ref="C212:K212"/>
    <mergeCell ref="A226:B226"/>
    <mergeCell ref="R242:T242"/>
    <mergeCell ref="L74:N74"/>
    <mergeCell ref="R236:T236"/>
    <mergeCell ref="O233:Q233"/>
    <mergeCell ref="C56:K56"/>
    <mergeCell ref="A70:B70"/>
    <mergeCell ref="L163:N163"/>
    <mergeCell ref="R113:T113"/>
    <mergeCell ref="C214:K214"/>
    <mergeCell ref="A228:B228"/>
    <mergeCell ref="L76:N76"/>
    <mergeCell ref="O104:Q104"/>
    <mergeCell ref="O226:Q226"/>
    <mergeCell ref="C207:K207"/>
    <mergeCell ref="O196:Q196"/>
    <mergeCell ref="A168:B168"/>
    <mergeCell ref="L159:N159"/>
    <mergeCell ref="O198:Q198"/>
    <mergeCell ref="R240:T240"/>
    <mergeCell ref="L188:N188"/>
    <mergeCell ref="L65:N65"/>
    <mergeCell ref="C170:K170"/>
    <mergeCell ref="O199:Q199"/>
    <mergeCell ref="L154:N154"/>
    <mergeCell ref="A219:B219"/>
    <mergeCell ref="A96:B96"/>
    <mergeCell ref="C221:K221"/>
    <mergeCell ref="C196:K196"/>
    <mergeCell ref="C227:K227"/>
    <mergeCell ref="L89:N89"/>
    <mergeCell ref="L88:N88"/>
    <mergeCell ref="O127:Q127"/>
    <mergeCell ref="L113:N113"/>
    <mergeCell ref="U159:V159"/>
    <mergeCell ref="U47:V47"/>
    <mergeCell ref="A26:B26"/>
    <mergeCell ref="O185:Q185"/>
    <mergeCell ref="L115:N115"/>
    <mergeCell ref="U161:V161"/>
    <mergeCell ref="C155:K155"/>
    <mergeCell ref="O178:Q178"/>
    <mergeCell ref="R179:T179"/>
    <mergeCell ref="R39:T39"/>
    <mergeCell ref="C157:K157"/>
    <mergeCell ref="U192:V192"/>
    <mergeCell ref="C151:K151"/>
    <mergeCell ref="A171:B171"/>
    <mergeCell ref="O186:Q186"/>
    <mergeCell ref="A165:B165"/>
    <mergeCell ref="U63:V63"/>
    <mergeCell ref="A173:B173"/>
    <mergeCell ref="U221:V221"/>
    <mergeCell ref="A77:B77"/>
    <mergeCell ref="O171:Q171"/>
    <mergeCell ref="C152:K152"/>
    <mergeCell ref="U187:V187"/>
    <mergeCell ref="A166:B166"/>
    <mergeCell ref="O156:Q156"/>
    <mergeCell ref="A60:B60"/>
    <mergeCell ref="C99:K99"/>
    <mergeCell ref="R71:T71"/>
    <mergeCell ref="R202:T202"/>
    <mergeCell ref="R251:T251"/>
    <mergeCell ref="A123:B123"/>
    <mergeCell ref="C223:K223"/>
    <mergeCell ref="C198:K198"/>
    <mergeCell ref="A237:B237"/>
    <mergeCell ref="O252:Q252"/>
    <mergeCell ref="R253:T253"/>
    <mergeCell ref="Q15:V15"/>
    <mergeCell ref="A108:B108"/>
    <mergeCell ref="L84:N84"/>
    <mergeCell ref="L122:N122"/>
    <mergeCell ref="O123:Q123"/>
    <mergeCell ref="A118:B118"/>
    <mergeCell ref="A238:B238"/>
    <mergeCell ref="L80:N80"/>
    <mergeCell ref="U130:V130"/>
    <mergeCell ref="C249:K249"/>
    <mergeCell ref="U28:V28"/>
    <mergeCell ref="R23:T23"/>
    <mergeCell ref="L212:N212"/>
    <mergeCell ref="C194:K194"/>
    <mergeCell ref="U227:V227"/>
    <mergeCell ref="A208:B208"/>
    <mergeCell ref="L49:N49"/>
    <mergeCell ref="A210:B210"/>
    <mergeCell ref="U26:V26"/>
    <mergeCell ref="U27:V27"/>
    <mergeCell ref="O21:Q21"/>
    <mergeCell ref="C27:K27"/>
    <mergeCell ref="L245:N245"/>
    <mergeCell ref="A263:B263"/>
    <mergeCell ref="A134:B134"/>
    <mergeCell ref="A265:B265"/>
    <mergeCell ref="C234:K234"/>
    <mergeCell ref="L140:N140"/>
    <mergeCell ref="O263:Q263"/>
    <mergeCell ref="L106:N106"/>
    <mergeCell ref="C121:K121"/>
    <mergeCell ref="O265:Q265"/>
    <mergeCell ref="L141:N141"/>
    <mergeCell ref="U183:V183"/>
    <mergeCell ref="A162:B162"/>
    <mergeCell ref="U219:V219"/>
    <mergeCell ref="A164:B164"/>
    <mergeCell ref="U212:V212"/>
    <mergeCell ref="C262:K262"/>
    <mergeCell ref="U260:V260"/>
    <mergeCell ref="R259:T259"/>
    <mergeCell ref="R261:T261"/>
    <mergeCell ref="L259:N259"/>
    <mergeCell ref="C137:K137"/>
    <mergeCell ref="L157:N157"/>
    <mergeCell ref="O158:Q158"/>
    <mergeCell ref="C139:K139"/>
    <mergeCell ref="L129:N129"/>
    <mergeCell ref="L123:N123"/>
    <mergeCell ref="C132:K132"/>
    <mergeCell ref="L262:N262"/>
    <mergeCell ref="O116:Q116"/>
    <mergeCell ref="R232:T232"/>
    <mergeCell ref="R168:T168"/>
    <mergeCell ref="O125:Q125"/>
    <mergeCell ref="U214:V214"/>
    <mergeCell ref="A195:B195"/>
    <mergeCell ref="R48:T48"/>
    <mergeCell ref="A188:B188"/>
    <mergeCell ref="O195:Q195"/>
    <mergeCell ref="L125:N125"/>
    <mergeCell ref="A68:B68"/>
    <mergeCell ref="R79:T79"/>
    <mergeCell ref="A190:B190"/>
    <mergeCell ref="U196:V196"/>
    <mergeCell ref="U232:V232"/>
    <mergeCell ref="R74:T74"/>
    <mergeCell ref="U198:V198"/>
    <mergeCell ref="C192:K192"/>
    <mergeCell ref="R76:T76"/>
    <mergeCell ref="U258:V258"/>
    <mergeCell ref="L207:N207"/>
    <mergeCell ref="O208:Q208"/>
    <mergeCell ref="C189:K189"/>
    <mergeCell ref="U224:V224"/>
    <mergeCell ref="R92:T92"/>
    <mergeCell ref="A203:B203"/>
    <mergeCell ref="L244:N244"/>
    <mergeCell ref="U111:V111"/>
    <mergeCell ref="C71:K71"/>
    <mergeCell ref="U104:V104"/>
    <mergeCell ref="R130:T130"/>
    <mergeCell ref="O121:Q121"/>
    <mergeCell ref="C66:K66"/>
    <mergeCell ref="C102:K102"/>
    <mergeCell ref="R132:T132"/>
    <mergeCell ref="L191:N191"/>
    <mergeCell ref="C34:K34"/>
    <mergeCell ref="R94:T94"/>
    <mergeCell ref="R216:T216"/>
    <mergeCell ref="U253:V253"/>
    <mergeCell ref="R87:T87"/>
    <mergeCell ref="R218:T218"/>
    <mergeCell ref="C29:K29"/>
    <mergeCell ref="A261:B261"/>
    <mergeCell ref="C205:K205"/>
    <mergeCell ref="C65:K65"/>
    <mergeCell ref="O234:Q234"/>
    <mergeCell ref="R89:T89"/>
    <mergeCell ref="L225:N225"/>
    <mergeCell ref="C31:K31"/>
    <mergeCell ref="U113:V113"/>
    <mergeCell ref="U38:V38"/>
    <mergeCell ref="U249:V249"/>
    <mergeCell ref="U40:V40"/>
    <mergeCell ref="U96:V96"/>
    <mergeCell ref="R91:T91"/>
    <mergeCell ref="R85:T85"/>
    <mergeCell ref="L196:N196"/>
    <mergeCell ref="A41:B41"/>
    <mergeCell ref="O232:Q232"/>
    <mergeCell ref="L249:N249"/>
    <mergeCell ref="R233:T233"/>
    <mergeCell ref="C47:K47"/>
    <mergeCell ref="U109:V109"/>
    <mergeCell ref="O103:Q103"/>
    <mergeCell ref="R104:T104"/>
    <mergeCell ref="C40:K40"/>
    <mergeCell ref="R114:T114"/>
    <mergeCell ref="J4:L4"/>
    <mergeCell ref="O236:Q236"/>
    <mergeCell ref="L227:N227"/>
    <mergeCell ref="A256:B256"/>
    <mergeCell ref="R234:T234"/>
    <mergeCell ref="A133:B133"/>
    <mergeCell ref="L220:N220"/>
    <mergeCell ref="A264:B264"/>
    <mergeCell ref="L222:N222"/>
    <mergeCell ref="L251:N251"/>
    <mergeCell ref="O106:Q106"/>
    <mergeCell ref="C258:K258"/>
    <mergeCell ref="C49:K49"/>
    <mergeCell ref="R148:T148"/>
    <mergeCell ref="L253:N253"/>
    <mergeCell ref="C266:K266"/>
    <mergeCell ref="C260:K260"/>
    <mergeCell ref="R19:T19"/>
    <mergeCell ref="C42:K42"/>
    <mergeCell ref="C259:K259"/>
    <mergeCell ref="L121:N121"/>
    <mergeCell ref="C261:K261"/>
    <mergeCell ref="A146:B146"/>
    <mergeCell ref="D4:F4"/>
    <mergeCell ref="R159:T159"/>
    <mergeCell ref="R161:T161"/>
    <mergeCell ref="L134:N134"/>
    <mergeCell ref="A199:B199"/>
    <mergeCell ref="R63:T63"/>
    <mergeCell ref="O176:Q176"/>
    <mergeCell ref="R83:T83"/>
    <mergeCell ref="R214:T214"/>
    <mergeCell ref="U36:V36"/>
    <mergeCell ref="O174:Q174"/>
    <mergeCell ref="U30:V30"/>
    <mergeCell ref="L104:N104"/>
    <mergeCell ref="R54:T54"/>
    <mergeCell ref="R185:T185"/>
    <mergeCell ref="O17:Q17"/>
    <mergeCell ref="R56:T56"/>
    <mergeCell ref="O169:Q169"/>
    <mergeCell ref="U62:V62"/>
    <mergeCell ref="L160:N160"/>
    <mergeCell ref="L187:N187"/>
    <mergeCell ref="U64:V64"/>
    <mergeCell ref="L189:N189"/>
    <mergeCell ref="O56:Q56"/>
    <mergeCell ref="L46:N46"/>
    <mergeCell ref="R33:T33"/>
    <mergeCell ref="R28:T28"/>
    <mergeCell ref="U35:V35"/>
    <mergeCell ref="O38:Q38"/>
    <mergeCell ref="R55:T55"/>
    <mergeCell ref="R34:T34"/>
    <mergeCell ref="U168:V168"/>
    <mergeCell ref="R36:T36"/>
    <mergeCell ref="L138:N138"/>
    <mergeCell ref="O177:Q177"/>
    <mergeCell ref="U18:V18"/>
    <mergeCell ref="O155:Q155"/>
    <mergeCell ref="L17:N17"/>
    <mergeCell ref="R46:T46"/>
    <mergeCell ref="U93:V93"/>
    <mergeCell ref="L97:N97"/>
    <mergeCell ref="O197:Q197"/>
    <mergeCell ref="L30:N30"/>
    <mergeCell ref="C167:K167"/>
    <mergeCell ref="O74:Q74"/>
    <mergeCell ref="L29:N29"/>
    <mergeCell ref="O40:Q40"/>
    <mergeCell ref="C169:K169"/>
    <mergeCell ref="U204:V204"/>
    <mergeCell ref="L31:N31"/>
    <mergeCell ref="A15:P15"/>
    <mergeCell ref="U75:V75"/>
    <mergeCell ref="C96:K96"/>
    <mergeCell ref="C62:K62"/>
    <mergeCell ref="C98:K98"/>
    <mergeCell ref="U133:V133"/>
    <mergeCell ref="A112:B112"/>
    <mergeCell ref="R128:T128"/>
    <mergeCell ref="C187:K187"/>
    <mergeCell ref="C64:K64"/>
    <mergeCell ref="A114:B114"/>
    <mergeCell ref="O112:Q112"/>
    <mergeCell ref="L42:N42"/>
    <mergeCell ref="A78:B78"/>
    <mergeCell ref="L40:N40"/>
    <mergeCell ref="O29:Q29"/>
    <mergeCell ref="O65:Q65"/>
    <mergeCell ref="U81:V81"/>
    <mergeCell ref="O31:Q31"/>
    <mergeCell ref="O62:Q62"/>
    <mergeCell ref="U34:V34"/>
    <mergeCell ref="R183:T183"/>
    <mergeCell ref="O113:Q113"/>
    <mergeCell ref="U251:V251"/>
    <mergeCell ref="C93:K93"/>
    <mergeCell ref="U128:V128"/>
    <mergeCell ref="A107:B107"/>
    <mergeCell ref="O114:Q114"/>
    <mergeCell ref="U136:V136"/>
    <mergeCell ref="O109:Q109"/>
    <mergeCell ref="L100:N100"/>
    <mergeCell ref="O138:Q138"/>
    <mergeCell ref="C240:K240"/>
    <mergeCell ref="U131:V131"/>
    <mergeCell ref="C111:K111"/>
    <mergeCell ref="U146:V146"/>
    <mergeCell ref="O140:Q140"/>
    <mergeCell ref="L95:N95"/>
    <mergeCell ref="C83:K83"/>
    <mergeCell ref="L131:N131"/>
    <mergeCell ref="C235:K235"/>
    <mergeCell ref="L103:N103"/>
    <mergeCell ref="U247:V247"/>
    <mergeCell ref="C178:K178"/>
    <mergeCell ref="U213:V213"/>
    <mergeCell ref="U240:V240"/>
    <mergeCell ref="A244:B244"/>
    <mergeCell ref="L233:N233"/>
    <mergeCell ref="U250:V250"/>
    <mergeCell ref="L235:N235"/>
    <mergeCell ref="R121:T121"/>
    <mergeCell ref="C241:K241"/>
    <mergeCell ref="O85:Q85"/>
    <mergeCell ref="R102:T102"/>
    <mergeCell ref="O175:Q175"/>
    <mergeCell ref="A4:C4"/>
    <mergeCell ref="O153:Q153"/>
    <mergeCell ref="O72:Q72"/>
    <mergeCell ref="U71:V71"/>
    <mergeCell ref="A181:B181"/>
    <mergeCell ref="U73:V73"/>
    <mergeCell ref="A52:B52"/>
    <mergeCell ref="O211:Q211"/>
    <mergeCell ref="U231:V231"/>
    <mergeCell ref="A83:B83"/>
    <mergeCell ref="C183:K183"/>
    <mergeCell ref="O212:Q212"/>
    <mergeCell ref="O206:Q206"/>
    <mergeCell ref="A49:B49"/>
    <mergeCell ref="C193:K193"/>
    <mergeCell ref="A207:B207"/>
    <mergeCell ref="C176:K176"/>
    <mergeCell ref="L172:N172"/>
    <mergeCell ref="L55:N55"/>
    <mergeCell ref="O214:Q214"/>
    <mergeCell ref="L153:N153"/>
    <mergeCell ref="U108:V108"/>
    <mergeCell ref="A87:B87"/>
    <mergeCell ref="A218:B218"/>
    <mergeCell ref="A13:E13"/>
    <mergeCell ref="A187:B187"/>
    <mergeCell ref="L193:N193"/>
    <mergeCell ref="L176:N176"/>
    <mergeCell ref="A189:B189"/>
    <mergeCell ref="R200:T200"/>
    <mergeCell ref="U53:V53"/>
    <mergeCell ref="L178:N178"/>
    <mergeCell ref="M10:Q12"/>
    <mergeCell ref="A80:B80"/>
    <mergeCell ref="U215:V215"/>
    <mergeCell ref="C209:K209"/>
    <mergeCell ref="R93:T93"/>
    <mergeCell ref="O224:Q224"/>
    <mergeCell ref="C204:K204"/>
    <mergeCell ref="L66:N66"/>
    <mergeCell ref="O225:Q225"/>
    <mergeCell ref="C231:K231"/>
    <mergeCell ref="C206:K206"/>
    <mergeCell ref="A220:B220"/>
    <mergeCell ref="L68:N68"/>
    <mergeCell ref="O227:Q227"/>
    <mergeCell ref="A124:B124"/>
    <mergeCell ref="A10:E12"/>
    <mergeCell ref="A76:B76"/>
    <mergeCell ref="L169:N169"/>
    <mergeCell ref="R176:T176"/>
    <mergeCell ref="O19:Q19"/>
    <mergeCell ref="R178:T178"/>
    <mergeCell ref="R49:T49"/>
    <mergeCell ref="C200:K200"/>
    <mergeCell ref="C202:K202"/>
    <mergeCell ref="C177:K177"/>
    <mergeCell ref="A216:B216"/>
    <mergeCell ref="O120:Q120"/>
    <mergeCell ref="R103:T103"/>
    <mergeCell ref="A115:B115"/>
    <mergeCell ref="C215:K215"/>
    <mergeCell ref="A229:B229"/>
    <mergeCell ref="U110:V110"/>
    <mergeCell ref="A55:B55"/>
    <mergeCell ref="U239:V239"/>
    <mergeCell ref="O34:Q34"/>
    <mergeCell ref="R73:T73"/>
    <mergeCell ref="R195:T195"/>
    <mergeCell ref="R231:T231"/>
    <mergeCell ref="C191:K191"/>
    <mergeCell ref="A255:B255"/>
    <mergeCell ref="L261:N261"/>
    <mergeCell ref="O262:Q262"/>
    <mergeCell ref="O122:Q122"/>
    <mergeCell ref="C243:K243"/>
    <mergeCell ref="R174:T174"/>
    <mergeCell ref="R149:T149"/>
    <mergeCell ref="U211:V211"/>
    <mergeCell ref="O251:Q251"/>
    <mergeCell ref="R106:T106"/>
    <mergeCell ref="C135:K135"/>
    <mergeCell ref="A149:B149"/>
    <mergeCell ref="L242:N242"/>
    <mergeCell ref="C224:K224"/>
    <mergeCell ref="A151:B151"/>
    <mergeCell ref="C217:K217"/>
    <mergeCell ref="C136:K136"/>
    <mergeCell ref="A150:B150"/>
    <mergeCell ref="A144:B144"/>
    <mergeCell ref="O151:Q151"/>
    <mergeCell ref="L204:N204"/>
    <mergeCell ref="L206:N206"/>
    <mergeCell ref="R213:T213"/>
    <mergeCell ref="R215:T215"/>
    <mergeCell ref="C237:K237"/>
    <mergeCell ref="L23:N23"/>
    <mergeCell ref="L56:N56"/>
    <mergeCell ref="O240:Q240"/>
    <mergeCell ref="U125:V125"/>
    <mergeCell ref="O119:Q119"/>
    <mergeCell ref="R120:T120"/>
    <mergeCell ref="C24:K24"/>
    <mergeCell ref="U114:V114"/>
    <mergeCell ref="A259:B259"/>
    <mergeCell ref="A253:B253"/>
    <mergeCell ref="C30:K30"/>
    <mergeCell ref="L217:N217"/>
    <mergeCell ref="R145:T145"/>
    <mergeCell ref="R139:T139"/>
    <mergeCell ref="O75:Q75"/>
    <mergeCell ref="R147:T147"/>
    <mergeCell ref="C110:K110"/>
    <mergeCell ref="R140:T140"/>
    <mergeCell ref="U147:V147"/>
    <mergeCell ref="U248:V248"/>
    <mergeCell ref="A97:B97"/>
    <mergeCell ref="A122:B122"/>
    <mergeCell ref="R250:T250"/>
    <mergeCell ref="A104:B104"/>
    <mergeCell ref="A235:B235"/>
    <mergeCell ref="L110:N110"/>
    <mergeCell ref="U127:V127"/>
    <mergeCell ref="A106:B106"/>
    <mergeCell ref="O108:Q108"/>
    <mergeCell ref="U254:V254"/>
    <mergeCell ref="U256:V256"/>
    <mergeCell ref="R90:T90"/>
    <mergeCell ref="R158:T158"/>
    <mergeCell ref="C100:K100"/>
    <mergeCell ref="C94:K94"/>
    <mergeCell ref="R193:T193"/>
    <mergeCell ref="R160:T160"/>
    <mergeCell ref="C129:K129"/>
    <mergeCell ref="U77:V77"/>
    <mergeCell ref="C95:K95"/>
    <mergeCell ref="O27:Q27"/>
    <mergeCell ref="U166:V166"/>
    <mergeCell ref="R184:T184"/>
    <mergeCell ref="U246:V246"/>
    <mergeCell ref="U37:V37"/>
    <mergeCell ref="U72:V72"/>
    <mergeCell ref="R211:T211"/>
    <mergeCell ref="O102:Q102"/>
    <mergeCell ref="R225:T225"/>
    <mergeCell ref="U118:V118"/>
    <mergeCell ref="O68:Q68"/>
    <mergeCell ref="L243:N243"/>
    <mergeCell ref="C165:K165"/>
    <mergeCell ref="U124:V124"/>
    <mergeCell ref="U165:V165"/>
    <mergeCell ref="L179:N179"/>
    <mergeCell ref="U173:V173"/>
    <mergeCell ref="U200:V200"/>
    <mergeCell ref="U202:V202"/>
    <mergeCell ref="U158:V158"/>
    <mergeCell ref="C146:K146"/>
    <mergeCell ref="R196:T196"/>
    <mergeCell ref="C168:K168"/>
    <mergeCell ref="R198:T198"/>
    <mergeCell ref="R212:T212"/>
    <mergeCell ref="L19:N19"/>
    <mergeCell ref="C26:K26"/>
    <mergeCell ref="A40:B40"/>
    <mergeCell ref="U88:V88"/>
    <mergeCell ref="A67:B67"/>
    <mergeCell ref="C55:K55"/>
    <mergeCell ref="U90:V90"/>
    <mergeCell ref="L39:N39"/>
    <mergeCell ref="R239:T239"/>
    <mergeCell ref="A252:B252"/>
    <mergeCell ref="O71:Q71"/>
    <mergeCell ref="R230:T230"/>
    <mergeCell ref="C52:K52"/>
    <mergeCell ref="R224:T224"/>
    <mergeCell ref="A66:B66"/>
    <mergeCell ref="L72:N72"/>
    <mergeCell ref="O73:Q73"/>
    <mergeCell ref="O100:Q100"/>
    <mergeCell ref="C81:K81"/>
    <mergeCell ref="U116:V116"/>
    <mergeCell ref="C37:K37"/>
    <mergeCell ref="A95:B95"/>
    <mergeCell ref="R136:T136"/>
    <mergeCell ref="O66:Q66"/>
    <mergeCell ref="L241:N241"/>
    <mergeCell ref="U230:V230"/>
    <mergeCell ref="L28:N28"/>
    <mergeCell ref="L150:N150"/>
    <mergeCell ref="C128:K128"/>
    <mergeCell ref="U19:V19"/>
    <mergeCell ref="O157:Q157"/>
    <mergeCell ref="A6:F6"/>
    <mergeCell ref="O97:Q97"/>
    <mergeCell ref="C63:K63"/>
    <mergeCell ref="O128:Q128"/>
    <mergeCell ref="L83:N83"/>
    <mergeCell ref="O242:Q242"/>
    <mergeCell ref="L85:N85"/>
    <mergeCell ref="C119:K119"/>
    <mergeCell ref="A27:B27"/>
    <mergeCell ref="U162:V162"/>
    <mergeCell ref="U156:V156"/>
    <mergeCell ref="R151:T151"/>
    <mergeCell ref="R180:T180"/>
    <mergeCell ref="U33:V33"/>
    <mergeCell ref="U164:V164"/>
    <mergeCell ref="A22:B22"/>
    <mergeCell ref="R182:T182"/>
    <mergeCell ref="U157:V157"/>
    <mergeCell ref="O166:Q166"/>
    <mergeCell ref="U188:V188"/>
    <mergeCell ref="C109:K109"/>
    <mergeCell ref="C147:K147"/>
    <mergeCell ref="A167:B167"/>
    <mergeCell ref="R177:T177"/>
    <mergeCell ref="O168:Q168"/>
    <mergeCell ref="U59:V59"/>
    <mergeCell ref="A169:B169"/>
    <mergeCell ref="O167:Q167"/>
    <mergeCell ref="C148:K148"/>
    <mergeCell ref="U61:V61"/>
    <mergeCell ref="R17:T17"/>
    <mergeCell ref="R53:T53"/>
    <mergeCell ref="R37:T37"/>
    <mergeCell ref="O93:Q93"/>
    <mergeCell ref="R248:T248"/>
    <mergeCell ref="O205:Q205"/>
    <mergeCell ref="R247:T247"/>
    <mergeCell ref="L79:N79"/>
    <mergeCell ref="L54:N54"/>
    <mergeCell ref="O238:Q238"/>
    <mergeCell ref="O213:Q213"/>
    <mergeCell ref="A75:B75"/>
    <mergeCell ref="C219:K219"/>
    <mergeCell ref="A233:B233"/>
    <mergeCell ref="O126:Q126"/>
    <mergeCell ref="L81:N81"/>
    <mergeCell ref="L205:N205"/>
    <mergeCell ref="L183:N183"/>
    <mergeCell ref="U56:V56"/>
    <mergeCell ref="A179:B179"/>
    <mergeCell ref="L155:N155"/>
    <mergeCell ref="O194:Q194"/>
    <mergeCell ref="C77:K77"/>
    <mergeCell ref="A91:B91"/>
    <mergeCell ref="C166:K166"/>
    <mergeCell ref="U201:V201"/>
    <mergeCell ref="C160:K160"/>
    <mergeCell ref="A180:B180"/>
    <mergeCell ref="A243:B243"/>
    <mergeCell ref="L240:N240"/>
    <mergeCell ref="U107:V107"/>
    <mergeCell ref="A38:B38"/>
    <mergeCell ref="O53:Q53"/>
    <mergeCell ref="O170:Q170"/>
    <mergeCell ref="C239:K239"/>
    <mergeCell ref="O28:Q28"/>
    <mergeCell ref="A29:B29"/>
    <mergeCell ref="L175:N175"/>
    <mergeCell ref="O36:Q36"/>
    <mergeCell ref="O30:Q30"/>
    <mergeCell ref="C184:K184"/>
    <mergeCell ref="A31:B31"/>
    <mergeCell ref="U79:V79"/>
    <mergeCell ref="R267:T267"/>
    <mergeCell ref="A130:B130"/>
    <mergeCell ref="C230:K230"/>
    <mergeCell ref="L136:N136"/>
    <mergeCell ref="O137:Q137"/>
    <mergeCell ref="O259:Q259"/>
    <mergeCell ref="L92:N92"/>
    <mergeCell ref="C118:K118"/>
    <mergeCell ref="A138:B138"/>
    <mergeCell ref="A132:B132"/>
    <mergeCell ref="C238:K238"/>
    <mergeCell ref="L102:N102"/>
    <mergeCell ref="C232:K232"/>
    <mergeCell ref="O139:Q139"/>
    <mergeCell ref="O261:Q261"/>
    <mergeCell ref="R262:T262"/>
    <mergeCell ref="L94:N94"/>
    <mergeCell ref="A103:B103"/>
    <mergeCell ref="L148:N148"/>
    <mergeCell ref="R155:T155"/>
    <mergeCell ref="A93:B93"/>
    <mergeCell ref="L186:N186"/>
    <mergeCell ref="U203:V203"/>
    <mergeCell ref="C267:K267"/>
    <mergeCell ref="R157:T157"/>
    <mergeCell ref="A200:B200"/>
    <mergeCell ref="L137:N137"/>
    <mergeCell ref="A202:B202"/>
    <mergeCell ref="L130:N130"/>
    <mergeCell ref="L258:N258"/>
    <mergeCell ref="L260:N260"/>
    <mergeCell ref="L254:N254"/>
    <mergeCell ref="A250:B250"/>
    <mergeCell ref="L256:N256"/>
    <mergeCell ref="R264:T264"/>
    <mergeCell ref="G10:K12"/>
    <mergeCell ref="C233:K233"/>
    <mergeCell ref="R18:T18"/>
    <mergeCell ref="U52:V52"/>
    <mergeCell ref="O190:Q190"/>
    <mergeCell ref="A231:B231"/>
    <mergeCell ref="O264:Q264"/>
    <mergeCell ref="C203:K203"/>
    <mergeCell ref="A217:B217"/>
    <mergeCell ref="O257:Q257"/>
    <mergeCell ref="O48:Q48"/>
    <mergeCell ref="A136:B136"/>
    <mergeCell ref="L223:N223"/>
    <mergeCell ref="U267:V267"/>
    <mergeCell ref="A129:B129"/>
    <mergeCell ref="A131:B131"/>
    <mergeCell ref="C45:K45"/>
    <mergeCell ref="L116:N116"/>
    <mergeCell ref="U137:V137"/>
    <mergeCell ref="O250:Q250"/>
    <mergeCell ref="A1:Q2"/>
    <mergeCell ref="L120:N120"/>
    <mergeCell ref="C162:K162"/>
    <mergeCell ref="A176:B176"/>
    <mergeCell ref="A64:B64"/>
    <mergeCell ref="A186:B186"/>
    <mergeCell ref="L151:N151"/>
    <mergeCell ref="C164:K164"/>
    <mergeCell ref="U199:V199"/>
    <mergeCell ref="A178:B178"/>
    <mergeCell ref="O193:Q193"/>
    <mergeCell ref="U226:V226"/>
    <mergeCell ref="U228:V228"/>
    <mergeCell ref="U194:V194"/>
    <mergeCell ref="R62:T62"/>
    <mergeCell ref="R72:T72"/>
    <mergeCell ref="O209:Q209"/>
    <mergeCell ref="O203:Q203"/>
    <mergeCell ref="C190:K190"/>
    <mergeCell ref="A204:B204"/>
    <mergeCell ref="A206:B206"/>
    <mergeCell ref="C175:K175"/>
    <mergeCell ref="O204:Q204"/>
    <mergeCell ref="C185:K185"/>
    <mergeCell ref="R88:T88"/>
    <mergeCell ref="L47:N47"/>
    <mergeCell ref="M9:Q9"/>
    <mergeCell ref="C201:K201"/>
    <mergeCell ref="L63:N63"/>
    <mergeCell ref="O46:Q46"/>
    <mergeCell ref="A128:B128"/>
    <mergeCell ref="L221:N221"/>
    <mergeCell ref="C127:K127"/>
    <mergeCell ref="L234:N234"/>
    <mergeCell ref="L117:N117"/>
    <mergeCell ref="C247:K247"/>
    <mergeCell ref="L147:N147"/>
    <mergeCell ref="C257:K257"/>
    <mergeCell ref="L236:N236"/>
    <mergeCell ref="L119:N119"/>
    <mergeCell ref="M13:Q13"/>
    <mergeCell ref="L192:N192"/>
    <mergeCell ref="C199:K199"/>
    <mergeCell ref="U234:V234"/>
    <mergeCell ref="A213:B213"/>
    <mergeCell ref="L219:N219"/>
    <mergeCell ref="L194:N194"/>
    <mergeCell ref="A215:B215"/>
    <mergeCell ref="C36:K36"/>
    <mergeCell ref="U190:V190"/>
    <mergeCell ref="O83:Q83"/>
    <mergeCell ref="R24:T24"/>
    <mergeCell ref="R26:T26"/>
    <mergeCell ref="U32:V32"/>
    <mergeCell ref="R171:T171"/>
    <mergeCell ref="C82:K82"/>
    <mergeCell ref="R181:T181"/>
    <mergeCell ref="R52:T52"/>
    <mergeCell ref="R166:T166"/>
    <mergeCell ref="A184:B184"/>
    <mergeCell ref="L190:N190"/>
    <mergeCell ref="C28:K28"/>
    <mergeCell ref="A42:B42"/>
    <mergeCell ref="L48:N48"/>
    <mergeCell ref="A236:B236"/>
    <mergeCell ref="C67:K67"/>
    <mergeCell ref="U100:V100"/>
    <mergeCell ref="O243:Q243"/>
    <mergeCell ref="R127:T127"/>
    <mergeCell ref="C69:K69"/>
    <mergeCell ref="U102:V102"/>
    <mergeCell ref="A140:B140"/>
    <mergeCell ref="O117:Q117"/>
    <mergeCell ref="R30:T30"/>
    <mergeCell ref="L166:N166"/>
    <mergeCell ref="U252:V252"/>
    <mergeCell ref="L132:N132"/>
    <mergeCell ref="R86:T86"/>
    <mergeCell ref="A197:B197"/>
    <mergeCell ref="R175:T175"/>
    <mergeCell ref="L161:N161"/>
    <mergeCell ref="R81:T81"/>
    <mergeCell ref="A249:B249"/>
    <mergeCell ref="R249:T249"/>
    <mergeCell ref="A251:B251"/>
    <mergeCell ref="A58:B58"/>
    <mergeCell ref="A89:B89"/>
    <mergeCell ref="O247:Q247"/>
    <mergeCell ref="L238:N238"/>
    <mergeCell ref="A242:B242"/>
    <mergeCell ref="A234:B234"/>
    <mergeCell ref="U209:V209"/>
    <mergeCell ref="O81:Q81"/>
    <mergeCell ref="L36:N36"/>
    <mergeCell ref="L118:N118"/>
    <mergeCell ref="C133:K133"/>
    <mergeCell ref="O25:Q25"/>
    <mergeCell ref="U45:V45"/>
    <mergeCell ref="O183:Q183"/>
    <mergeCell ref="R194:T194"/>
    <mergeCell ref="L201:N201"/>
    <mergeCell ref="C32:K32"/>
    <mergeCell ref="A239:B239"/>
    <mergeCell ref="A21:B21"/>
    <mergeCell ref="U103:V103"/>
    <mergeCell ref="A57:B57"/>
    <mergeCell ref="L27:N27"/>
    <mergeCell ref="L203:N203"/>
    <mergeCell ref="A23:B23"/>
    <mergeCell ref="R123:T123"/>
    <mergeCell ref="U98:V98"/>
    <mergeCell ref="L198:N198"/>
    <mergeCell ref="R205:T205"/>
    <mergeCell ref="C25:K25"/>
    <mergeCell ref="R124:T124"/>
    <mergeCell ref="R118:T118"/>
    <mergeCell ref="O54:Q54"/>
    <mergeCell ref="R238:T238"/>
    <mergeCell ref="L45:N45"/>
    <mergeCell ref="A110:B110"/>
    <mergeCell ref="R126:T126"/>
    <mergeCell ref="U54:V54"/>
    <mergeCell ref="R228:T228"/>
    <mergeCell ref="L214:N214"/>
    <mergeCell ref="O215:Q215"/>
    <mergeCell ref="R99:T99"/>
    <mergeCell ref="C41:K41"/>
    <mergeCell ref="R101:T101"/>
    <mergeCell ref="L267:N267"/>
    <mergeCell ref="C79:K79"/>
    <mergeCell ref="C73:K73"/>
    <mergeCell ref="U144:V144"/>
    <mergeCell ref="L93:N93"/>
    <mergeCell ref="U145:V145"/>
    <mergeCell ref="U139:V139"/>
    <mergeCell ref="R188:T188"/>
    <mergeCell ref="O154:Q154"/>
    <mergeCell ref="R190:T190"/>
    <mergeCell ref="L111:N111"/>
    <mergeCell ref="U245:V245"/>
    <mergeCell ref="C245:K245"/>
    <mergeCell ref="O147:Q147"/>
    <mergeCell ref="A148:B148"/>
    <mergeCell ref="C117:K117"/>
    <mergeCell ref="U154:V154"/>
    <mergeCell ref="C115:K115"/>
    <mergeCell ref="U264:V264"/>
    <mergeCell ref="L185:N185"/>
    <mergeCell ref="U174:V174"/>
    <mergeCell ref="R192:T192"/>
    <mergeCell ref="U263:V263"/>
    <mergeCell ref="U265:V265"/>
    <mergeCell ref="R257:T257"/>
    <mergeCell ref="O246:Q246"/>
    <mergeCell ref="R223:T223"/>
    <mergeCell ref="A241:B241"/>
    <mergeCell ref="U105:V105"/>
    <mergeCell ref="R100:T100"/>
    <mergeCell ref="O248:Q248"/>
    <mergeCell ref="L230:N230"/>
    <mergeCell ref="U197:V197"/>
    <mergeCell ref="U153:V153"/>
    <mergeCell ref="L38:N38"/>
    <mergeCell ref="O110:Q110"/>
    <mergeCell ref="U126:V126"/>
    <mergeCell ref="R265:T265"/>
    <mergeCell ref="U117:V117"/>
    <mergeCell ref="C78:K78"/>
    <mergeCell ref="R266:T266"/>
    <mergeCell ref="L98:N98"/>
    <mergeCell ref="C107:K107"/>
    <mergeCell ref="O136:Q136"/>
    <mergeCell ref="R137:T137"/>
    <mergeCell ref="O92:Q92"/>
    <mergeCell ref="U50:V50"/>
    <mergeCell ref="U44:V44"/>
    <mergeCell ref="O69:Q69"/>
    <mergeCell ref="R70:T70"/>
    <mergeCell ref="C43:K43"/>
    <mergeCell ref="O266:Q266"/>
    <mergeCell ref="L257:N257"/>
    <mergeCell ref="U266:V266"/>
    <mergeCell ref="U255:V255"/>
    <mergeCell ref="O249:Q249"/>
    <mergeCell ref="C120:K120"/>
    <mergeCell ref="L168:N168"/>
    <mergeCell ref="R41:T41"/>
    <mergeCell ref="O189:Q189"/>
    <mergeCell ref="O188:Q188"/>
    <mergeCell ref="O241:Q241"/>
    <mergeCell ref="L232:N232"/>
    <mergeCell ref="C256:K256"/>
    <mergeCell ref="M4:O4"/>
    <mergeCell ref="C18:K18"/>
    <mergeCell ref="U89:V89"/>
    <mergeCell ref="U238:V238"/>
    <mergeCell ref="L67:N67"/>
    <mergeCell ref="R229:T229"/>
    <mergeCell ref="U82:V82"/>
    <mergeCell ref="A63:B63"/>
    <mergeCell ref="O222:Q222"/>
    <mergeCell ref="A92:B92"/>
    <mergeCell ref="L62:N62"/>
    <mergeCell ref="O63:Q63"/>
    <mergeCell ref="O99:Q99"/>
    <mergeCell ref="C44:K44"/>
    <mergeCell ref="O221:Q221"/>
    <mergeCell ref="C80:K80"/>
    <mergeCell ref="A119:B119"/>
    <mergeCell ref="A94:B94"/>
    <mergeCell ref="L64:N64"/>
    <mergeCell ref="U229:V229"/>
    <mergeCell ref="O223:Q223"/>
    <mergeCell ref="O94:Q94"/>
    <mergeCell ref="U141:V141"/>
    <mergeCell ref="U135:V135"/>
    <mergeCell ref="O150:Q150"/>
    <mergeCell ref="U143:V143"/>
    <mergeCell ref="C131:K131"/>
    <mergeCell ref="C220:K220"/>
    <mergeCell ref="O152:Q152"/>
    <mergeCell ref="L82:N82"/>
    <mergeCell ref="A147:B147"/>
    <mergeCell ref="O145:Q145"/>
    <mergeCell ref="A221:B221"/>
    <mergeCell ref="A196:B196"/>
    <mergeCell ref="R32:T32"/>
    <mergeCell ref="U25:V25"/>
    <mergeCell ref="O163:Q163"/>
    <mergeCell ref="C150:K150"/>
    <mergeCell ref="C144:K144"/>
    <mergeCell ref="A158:B158"/>
    <mergeCell ref="L164:N164"/>
    <mergeCell ref="O165:Q165"/>
    <mergeCell ref="A160:B160"/>
    <mergeCell ref="C145:K145"/>
    <mergeCell ref="U180:V180"/>
    <mergeCell ref="A159:B159"/>
    <mergeCell ref="U210:V210"/>
    <mergeCell ref="A72:B72"/>
    <mergeCell ref="O160:Q160"/>
    <mergeCell ref="U182:V182"/>
    <mergeCell ref="A161:B161"/>
    <mergeCell ref="L44:N44"/>
    <mergeCell ref="L202:N202"/>
    <mergeCell ref="L158:N158"/>
    <mergeCell ref="O149:Q149"/>
    <mergeCell ref="A53:B53"/>
    <mergeCell ref="C92:K92"/>
    <mergeCell ref="U67:V67"/>
    <mergeCell ref="L112:N112"/>
    <mergeCell ref="U69:V69"/>
    <mergeCell ref="A48:B48"/>
    <mergeCell ref="O84:Q84"/>
    <mergeCell ref="R201:T201"/>
    <mergeCell ref="A79:B79"/>
    <mergeCell ref="L25:N25"/>
    <mergeCell ref="A54:B54"/>
    <mergeCell ref="R47:T47"/>
    <mergeCell ref="C76:K76"/>
    <mergeCell ref="A90:B90"/>
    <mergeCell ref="A212:B212"/>
    <mergeCell ref="L177:N177"/>
    <mergeCell ref="L60:N60"/>
    <mergeCell ref="G13:K13"/>
    <mergeCell ref="O219:Q219"/>
    <mergeCell ref="A56:B56"/>
    <mergeCell ref="L149:N149"/>
    <mergeCell ref="A214:B214"/>
    <mergeCell ref="C158:K158"/>
    <mergeCell ref="O90:Q90"/>
    <mergeCell ref="U106:V106"/>
    <mergeCell ref="A85:B85"/>
    <mergeCell ref="C216:K216"/>
    <mergeCell ref="C182:K182"/>
    <mergeCell ref="A17:B17"/>
    <mergeCell ref="A19:B19"/>
    <mergeCell ref="O50:Q50"/>
    <mergeCell ref="R209:T209"/>
    <mergeCell ref="L41:N41"/>
    <mergeCell ref="O80:Q80"/>
    <mergeCell ref="R203:T203"/>
    <mergeCell ref="A37:B37"/>
    <mergeCell ref="O52:Q52"/>
    <mergeCell ref="O79:Q79"/>
    <mergeCell ref="C181:K181"/>
    <mergeCell ref="L34:N34"/>
    <mergeCell ref="C174:K174"/>
    <mergeCell ref="O6:V6"/>
    <mergeCell ref="C211:K211"/>
    <mergeCell ref="A225:B225"/>
    <mergeCell ref="O118:Q118"/>
    <mergeCell ref="L73:N73"/>
    <mergeCell ref="L231:N231"/>
    <mergeCell ref="R116:T116"/>
    <mergeCell ref="A227:B227"/>
    <mergeCell ref="R117:T117"/>
    <mergeCell ref="L247:N247"/>
    <mergeCell ref="C53:K53"/>
    <mergeCell ref="C229:K229"/>
    <mergeCell ref="L135:N135"/>
    <mergeCell ref="S13:V13"/>
    <mergeCell ref="U191:V191"/>
    <mergeCell ref="R69:T69"/>
    <mergeCell ref="R25:T25"/>
    <mergeCell ref="A201:B201"/>
    <mergeCell ref="O32:Q32"/>
    <mergeCell ref="O26:Q26"/>
    <mergeCell ref="C180:K180"/>
    <mergeCell ref="U222:V222"/>
    <mergeCell ref="L200:N200"/>
    <mergeCell ref="O201:Q201"/>
    <mergeCell ref="O55:Q55"/>
    <mergeCell ref="S10:V12"/>
    <mergeCell ref="O191:Q191"/>
    <mergeCell ref="C134:K134"/>
    <mergeCell ref="R227:T227"/>
    <mergeCell ref="O184:Q184"/>
    <mergeCell ref="R45:T45"/>
    <mergeCell ref="A88:B88"/>
    <mergeCell ref="O182:Q182"/>
    <mergeCell ref="R43:T43"/>
    <mergeCell ref="C125:K125"/>
    <mergeCell ref="L173:N173"/>
    <mergeCell ref="A175:B175"/>
    <mergeCell ref="L145:N145"/>
    <mergeCell ref="A185:B185"/>
    <mergeCell ref="C154:K154"/>
    <mergeCell ref="L174:N174"/>
    <mergeCell ref="R67:T67"/>
    <mergeCell ref="C156:K156"/>
    <mergeCell ref="R59:T59"/>
    <mergeCell ref="A170:B170"/>
    <mergeCell ref="U51:V51"/>
    <mergeCell ref="L71:N71"/>
    <mergeCell ref="L58:N58"/>
    <mergeCell ref="C163:K163"/>
    <mergeCell ref="U87:V87"/>
    <mergeCell ref="A121:B121"/>
    <mergeCell ref="A152:B152"/>
    <mergeCell ref="A172:B172"/>
    <mergeCell ref="A74:B74"/>
    <mergeCell ref="L167:N167"/>
    <mergeCell ref="C149:K149"/>
    <mergeCell ref="U184:V184"/>
    <mergeCell ref="A163:B163"/>
    <mergeCell ref="C104:K104"/>
    <mergeCell ref="U177:V177"/>
    <mergeCell ref="A156:B156"/>
    <mergeCell ref="L75:N75"/>
    <mergeCell ref="C88:K88"/>
    <mergeCell ref="C126:K126"/>
    <mergeCell ref="A223:B223"/>
    <mergeCell ref="A198:B198"/>
    <mergeCell ref="A254:B254"/>
    <mergeCell ref="R82:T82"/>
    <mergeCell ref="A125:B125"/>
    <mergeCell ref="O254:Q254"/>
    <mergeCell ref="L184:N184"/>
    <mergeCell ref="O45:Q45"/>
    <mergeCell ref="A127:B127"/>
    <mergeCell ref="O258:Q258"/>
    <mergeCell ref="R119:T119"/>
    <mergeCell ref="U181:V181"/>
    <mergeCell ref="L101:N101"/>
    <mergeCell ref="C141:K141"/>
    <mergeCell ref="O260:Q260"/>
    <mergeCell ref="U176:V176"/>
    <mergeCell ref="A155:B155"/>
    <mergeCell ref="U206:V206"/>
    <mergeCell ref="C143:K143"/>
    <mergeCell ref="U178:V178"/>
    <mergeCell ref="A157:B157"/>
    <mergeCell ref="C255:K255"/>
    <mergeCell ref="U49:V49"/>
    <mergeCell ref="U207:V207"/>
    <mergeCell ref="A230:B230"/>
    <mergeCell ref="O245:Q245"/>
    <mergeCell ref="R246:T246"/>
    <mergeCell ref="C218:K218"/>
    <mergeCell ref="A232:B232"/>
    <mergeCell ref="O230:Q230"/>
    <mergeCell ref="O192:Q192"/>
    <mergeCell ref="U220:V220"/>
  </mergeCells>
  <hyperlinks>
    <hyperlink ref="A4" location="'Overview'!A1" display="Overview" xr:uid="{00000000-0004-0000-0000-000000000000}"/>
    <hyperlink ref="D4" location="'Jobs'!A1" display="Jobs" xr:uid="{00000000-0004-0000-0000-000001000000}"/>
    <hyperlink ref="G4" location="'Suppliers'!A1" display="Suppliers" xr:uid="{00000000-0004-0000-0000-000002000000}"/>
    <hyperlink ref="J4" location="'Budget'!A1" display="Budget" xr:uid="{00000000-0004-0000-0000-000003000000}"/>
    <hyperlink ref="M4" location="'Quotes'!A1" display="Quotes" xr:uid="{00000000-0004-0000-0000-000004000000}"/>
    <hyperlink ref="P4" location="'Print Summary'!A1" display="Print summary" xr:uid="{00000000-0004-0000-0000-000005000000}"/>
    <hyperlink ref="S4" location="'Read Me'!A1" display="Guide / setup" xr:uid="{00000000-0004-0000-0000-000006000000}"/>
    <hyperlink ref="A6" location="'Create Job'!A1" display="+ CREATE / OPEN JOB" xr:uid="{00000000-0004-0000-0000-000007000000}"/>
    <hyperlink ref="H6" location="'JOB 3103.01'!A1" display="OPEN EDITABLE PILOT" xr:uid="{00000000-0004-0000-0000-000008000000}"/>
    <hyperlink ref="O6" location="'Read Me'!A1" display="SETUP &amp; TEST STATUS" xr:uid="{00000000-0004-0000-00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87F8C"/>
    <pageSetUpPr fitToPage="1"/>
  </sheetPr>
  <dimension ref="A1:V90"/>
  <sheetViews>
    <sheetView showGridLines="0" zoomScale="90" workbookViewId="0">
      <pane ySplit="7" topLeftCell="A8" activePane="bottomLeft" state="frozen"/>
      <selection pane="bottomLeft"/>
    </sheetView>
  </sheetViews>
  <sheetFormatPr defaultRowHeight="14.5" x14ac:dyDescent="0.35"/>
  <cols>
    <col min="1" max="22" width="9.26953125" customWidth="1"/>
  </cols>
  <sheetData>
    <row r="1" spans="1:22" ht="27" customHeight="1" x14ac:dyDescent="0.35">
      <c r="A1" s="50" t="s">
        <v>29</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30</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53"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53" t="s">
        <v>31</v>
      </c>
      <c r="B6" s="39"/>
      <c r="C6" s="39"/>
      <c r="D6" s="39"/>
      <c r="E6" s="39"/>
      <c r="F6" s="39"/>
      <c r="G6" s="8"/>
      <c r="H6" s="45" t="s">
        <v>32</v>
      </c>
      <c r="I6" s="39"/>
      <c r="J6" s="39"/>
      <c r="K6" s="39"/>
      <c r="L6" s="39"/>
      <c r="M6" s="39"/>
      <c r="N6" s="8"/>
      <c r="O6" s="45" t="s">
        <v>33</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51" t="s">
        <v>34</v>
      </c>
      <c r="B9" s="39"/>
      <c r="C9" s="39"/>
      <c r="D9" s="39"/>
      <c r="E9" s="39"/>
      <c r="F9" s="8"/>
      <c r="G9" s="51" t="s">
        <v>35</v>
      </c>
      <c r="H9" s="39"/>
      <c r="I9" s="39"/>
      <c r="J9" s="39"/>
      <c r="K9" s="39"/>
      <c r="L9" s="8"/>
      <c r="M9" s="56" t="s">
        <v>36</v>
      </c>
      <c r="N9" s="39"/>
      <c r="O9" s="39"/>
      <c r="P9" s="39"/>
      <c r="Q9" s="39"/>
      <c r="R9" s="8"/>
      <c r="S9" s="51" t="s">
        <v>37</v>
      </c>
      <c r="T9" s="39"/>
      <c r="U9" s="39"/>
      <c r="V9" s="39"/>
    </row>
    <row r="10" spans="1:22" ht="22" customHeight="1" x14ac:dyDescent="0.35">
      <c r="A10" s="52">
        <f>_Control!B6</f>
        <v>2000000</v>
      </c>
      <c r="B10" s="39"/>
      <c r="C10" s="39"/>
      <c r="D10" s="39"/>
      <c r="E10" s="39"/>
      <c r="F10" s="8"/>
      <c r="G10" s="52">
        <f>_Control!B8</f>
        <v>490137.24308657972</v>
      </c>
      <c r="H10" s="39"/>
      <c r="I10" s="39"/>
      <c r="J10" s="39"/>
      <c r="K10" s="39"/>
      <c r="L10" s="8"/>
      <c r="M10" s="47">
        <f>_Control!B9</f>
        <v>0</v>
      </c>
      <c r="N10" s="39"/>
      <c r="O10" s="39"/>
      <c r="P10" s="39"/>
      <c r="Q10" s="39"/>
      <c r="R10" s="8"/>
      <c r="S10" s="52">
        <f>_Control!B10</f>
        <v>1509862.7569134203</v>
      </c>
      <c r="T10" s="39"/>
      <c r="U10" s="39"/>
      <c r="V10" s="39"/>
    </row>
    <row r="11" spans="1:22" ht="22" customHeight="1" x14ac:dyDescent="0.35">
      <c r="A11" s="39"/>
      <c r="B11" s="39"/>
      <c r="C11" s="39"/>
      <c r="D11" s="39"/>
      <c r="E11" s="39"/>
      <c r="F11" s="8"/>
      <c r="G11" s="39"/>
      <c r="H11" s="39"/>
      <c r="I11" s="39"/>
      <c r="J11" s="39"/>
      <c r="K11" s="39"/>
      <c r="L11" s="8"/>
      <c r="M11" s="39"/>
      <c r="N11" s="39"/>
      <c r="O11" s="39"/>
      <c r="P11" s="39"/>
      <c r="Q11" s="39"/>
      <c r="R11" s="8"/>
      <c r="S11" s="39"/>
      <c r="T11" s="39"/>
      <c r="U11" s="39"/>
      <c r="V11" s="39"/>
    </row>
    <row r="12" spans="1:22" ht="22" customHeight="1" x14ac:dyDescent="0.35">
      <c r="A12" s="39"/>
      <c r="B12" s="39"/>
      <c r="C12" s="39"/>
      <c r="D12" s="39"/>
      <c r="E12" s="39"/>
      <c r="F12" s="8"/>
      <c r="G12" s="39"/>
      <c r="H12" s="39"/>
      <c r="I12" s="39"/>
      <c r="J12" s="39"/>
      <c r="K12" s="39"/>
      <c r="L12" s="8"/>
      <c r="M12" s="39"/>
      <c r="N12" s="39"/>
      <c r="O12" s="39"/>
      <c r="P12" s="39"/>
      <c r="Q12" s="39"/>
      <c r="R12" s="8"/>
      <c r="S12" s="39"/>
      <c r="T12" s="39"/>
      <c r="U12" s="39"/>
      <c r="V12" s="39"/>
    </row>
    <row r="13" spans="1:22" ht="22" customHeight="1" x14ac:dyDescent="0.35">
      <c r="A13" s="48" t="s">
        <v>38</v>
      </c>
      <c r="B13" s="39"/>
      <c r="C13" s="39"/>
      <c r="D13" s="39"/>
      <c r="E13" s="39"/>
      <c r="F13" s="8"/>
      <c r="G13" s="48" t="s">
        <v>39</v>
      </c>
      <c r="H13" s="39"/>
      <c r="I13" s="39"/>
      <c r="J13" s="39"/>
      <c r="K13" s="39"/>
      <c r="L13" s="8"/>
      <c r="M13" s="46" t="s">
        <v>40</v>
      </c>
      <c r="N13" s="39"/>
      <c r="O13" s="39"/>
      <c r="P13" s="39"/>
      <c r="Q13" s="39"/>
      <c r="R13" s="8"/>
      <c r="S13" s="48" t="s">
        <v>41</v>
      </c>
      <c r="T13" s="39"/>
      <c r="U13" s="39"/>
      <c r="V13" s="39"/>
    </row>
    <row r="14" spans="1:22" ht="22" customHeight="1" x14ac:dyDescent="0.35">
      <c r="A14" s="8"/>
      <c r="B14" s="8"/>
      <c r="C14" s="8"/>
      <c r="D14" s="8"/>
      <c r="E14" s="8"/>
      <c r="F14" s="8"/>
      <c r="G14" s="8"/>
      <c r="H14" s="8"/>
      <c r="I14" s="8"/>
      <c r="J14" s="8"/>
      <c r="K14" s="8"/>
      <c r="L14" s="8"/>
      <c r="M14" s="8"/>
      <c r="N14" s="8"/>
      <c r="O14" s="8"/>
      <c r="P14" s="8"/>
      <c r="Q14" s="8"/>
      <c r="R14" s="8"/>
      <c r="S14" s="8"/>
      <c r="T14" s="8"/>
      <c r="U14" s="8"/>
      <c r="V14" s="8"/>
    </row>
    <row r="15" spans="1:22" ht="22" customHeight="1" x14ac:dyDescent="0.35">
      <c r="A15" s="54" t="s">
        <v>42</v>
      </c>
      <c r="B15" s="39"/>
      <c r="C15" s="39"/>
      <c r="D15" s="39"/>
      <c r="E15" s="39"/>
      <c r="F15" s="39"/>
      <c r="G15" s="39"/>
      <c r="H15" s="39"/>
      <c r="I15" s="39"/>
      <c r="J15" s="39"/>
      <c r="K15" s="8"/>
      <c r="L15" s="54" t="s">
        <v>43</v>
      </c>
      <c r="M15" s="39"/>
      <c r="N15" s="39"/>
      <c r="O15" s="39"/>
      <c r="P15" s="39"/>
      <c r="Q15" s="39"/>
      <c r="R15" s="39"/>
      <c r="S15" s="39"/>
      <c r="T15" s="39"/>
      <c r="U15" s="39"/>
      <c r="V15" s="39"/>
    </row>
    <row r="16" spans="1:22" ht="22" customHeight="1" x14ac:dyDescent="0.35">
      <c r="A16" s="9"/>
      <c r="B16" s="9"/>
      <c r="C16" s="9"/>
      <c r="D16" s="9"/>
      <c r="E16" s="9"/>
      <c r="F16" s="9"/>
      <c r="G16" s="9"/>
      <c r="H16" s="9"/>
      <c r="I16" s="9"/>
      <c r="J16" s="9"/>
      <c r="K16" s="8"/>
      <c r="L16" s="9"/>
      <c r="M16" s="9"/>
      <c r="N16" s="9"/>
      <c r="O16" s="9"/>
      <c r="P16" s="9"/>
      <c r="Q16" s="9"/>
      <c r="R16" s="9"/>
      <c r="S16" s="9"/>
      <c r="T16" s="9"/>
      <c r="U16" s="9"/>
      <c r="V16" s="9"/>
    </row>
    <row r="17" spans="1:22" ht="22" customHeight="1" x14ac:dyDescent="0.35">
      <c r="A17" s="9"/>
      <c r="B17" s="9"/>
      <c r="C17" s="9"/>
      <c r="D17" s="9"/>
      <c r="E17" s="9"/>
      <c r="F17" s="9"/>
      <c r="G17" s="9"/>
      <c r="H17" s="9"/>
      <c r="I17" s="9"/>
      <c r="J17" s="9"/>
      <c r="K17" s="8"/>
      <c r="L17" s="63" t="s">
        <v>44</v>
      </c>
      <c r="M17" s="39"/>
      <c r="N17" s="39"/>
      <c r="O17" s="39"/>
      <c r="P17" s="39"/>
      <c r="Q17" s="63" t="s">
        <v>26</v>
      </c>
      <c r="R17" s="39"/>
      <c r="S17" s="39"/>
      <c r="T17" s="63" t="s">
        <v>27</v>
      </c>
      <c r="U17" s="39"/>
      <c r="V17" s="39"/>
    </row>
    <row r="18" spans="1:22" ht="26" customHeight="1" x14ac:dyDescent="0.35">
      <c r="A18" s="9"/>
      <c r="B18" s="9"/>
      <c r="C18" s="9"/>
      <c r="D18" s="9"/>
      <c r="E18" s="9"/>
      <c r="F18" s="9"/>
      <c r="G18" s="9"/>
      <c r="H18" s="9"/>
      <c r="I18" s="9"/>
      <c r="J18" s="9"/>
      <c r="K18" s="8"/>
      <c r="L18" s="40" t="str">
        <f>_Control!D6</f>
        <v>Engine</v>
      </c>
      <c r="M18" s="39"/>
      <c r="N18" s="39"/>
      <c r="O18" s="39"/>
      <c r="P18" s="39"/>
      <c r="Q18" s="59">
        <f>_Control!F6</f>
        <v>481710.46494464943</v>
      </c>
      <c r="R18" s="39"/>
      <c r="S18" s="39"/>
      <c r="T18" s="59">
        <f>_Control!G6</f>
        <v>0</v>
      </c>
      <c r="U18" s="39"/>
      <c r="V18" s="39"/>
    </row>
    <row r="19" spans="1:22" ht="26" customHeight="1" x14ac:dyDescent="0.35">
      <c r="A19" s="9"/>
      <c r="B19" s="9"/>
      <c r="C19" s="9"/>
      <c r="D19" s="9"/>
      <c r="E19" s="9"/>
      <c r="F19" s="9"/>
      <c r="G19" s="9"/>
      <c r="H19" s="9"/>
      <c r="I19" s="9"/>
      <c r="J19" s="9"/>
      <c r="K19" s="8"/>
      <c r="L19" s="40" t="str">
        <f>_Control!D7</f>
        <v>Accommodation</v>
      </c>
      <c r="M19" s="39"/>
      <c r="N19" s="39"/>
      <c r="O19" s="39"/>
      <c r="P19" s="39"/>
      <c r="Q19" s="59">
        <f>_Control!F7</f>
        <v>0</v>
      </c>
      <c r="R19" s="39"/>
      <c r="S19" s="39"/>
      <c r="T19" s="59">
        <f>_Control!G7</f>
        <v>0</v>
      </c>
      <c r="U19" s="39"/>
      <c r="V19" s="39"/>
    </row>
    <row r="20" spans="1:22" ht="26" customHeight="1" x14ac:dyDescent="0.35">
      <c r="A20" s="9"/>
      <c r="B20" s="9"/>
      <c r="C20" s="9"/>
      <c r="D20" s="9"/>
      <c r="E20" s="9"/>
      <c r="F20" s="9"/>
      <c r="G20" s="9"/>
      <c r="H20" s="9"/>
      <c r="I20" s="9"/>
      <c r="J20" s="9"/>
      <c r="K20" s="8"/>
      <c r="L20" s="40" t="str">
        <f>_Control!D8</f>
        <v>Bridge</v>
      </c>
      <c r="M20" s="39"/>
      <c r="N20" s="39"/>
      <c r="O20" s="39"/>
      <c r="P20" s="39"/>
      <c r="Q20" s="59">
        <f>_Control!F8</f>
        <v>0</v>
      </c>
      <c r="R20" s="39"/>
      <c r="S20" s="39"/>
      <c r="T20" s="59">
        <f>_Control!G8</f>
        <v>0</v>
      </c>
      <c r="U20" s="39"/>
      <c r="V20" s="39"/>
    </row>
    <row r="21" spans="1:22" ht="26" customHeight="1" x14ac:dyDescent="0.35">
      <c r="A21" s="9"/>
      <c r="B21" s="9"/>
      <c r="C21" s="9"/>
      <c r="D21" s="9"/>
      <c r="E21" s="9"/>
      <c r="F21" s="9"/>
      <c r="G21" s="9"/>
      <c r="H21" s="9"/>
      <c r="I21" s="9"/>
      <c r="J21" s="9"/>
      <c r="K21" s="8"/>
      <c r="L21" s="40" t="str">
        <f>_Control!D9</f>
        <v>Hull</v>
      </c>
      <c r="M21" s="39"/>
      <c r="N21" s="39"/>
      <c r="O21" s="39"/>
      <c r="P21" s="39"/>
      <c r="Q21" s="59">
        <f>_Control!F9</f>
        <v>8426.7781419303046</v>
      </c>
      <c r="R21" s="39"/>
      <c r="S21" s="39"/>
      <c r="T21" s="59">
        <f>_Control!G9</f>
        <v>0</v>
      </c>
      <c r="U21" s="39"/>
      <c r="V21" s="39"/>
    </row>
    <row r="22" spans="1:22" ht="26" customHeight="1" x14ac:dyDescent="0.35">
      <c r="A22" s="9"/>
      <c r="B22" s="9"/>
      <c r="C22" s="9"/>
      <c r="D22" s="9"/>
      <c r="E22" s="9"/>
      <c r="F22" s="9"/>
      <c r="G22" s="9"/>
      <c r="H22" s="9"/>
      <c r="I22" s="9"/>
      <c r="J22" s="9"/>
      <c r="K22" s="8"/>
      <c r="L22" s="40" t="str">
        <f>_Control!D10</f>
        <v>Deck</v>
      </c>
      <c r="M22" s="39"/>
      <c r="N22" s="39"/>
      <c r="O22" s="39"/>
      <c r="P22" s="39"/>
      <c r="Q22" s="59">
        <f>_Control!F10</f>
        <v>0</v>
      </c>
      <c r="R22" s="39"/>
      <c r="S22" s="39"/>
      <c r="T22" s="59">
        <f>_Control!G10</f>
        <v>0</v>
      </c>
      <c r="U22" s="39"/>
      <c r="V22" s="39"/>
    </row>
    <row r="23" spans="1:22" ht="26" customHeight="1" x14ac:dyDescent="0.35">
      <c r="A23" s="9"/>
      <c r="B23" s="9"/>
      <c r="C23" s="9"/>
      <c r="D23" s="9"/>
      <c r="E23" s="9"/>
      <c r="F23" s="9"/>
      <c r="G23" s="9"/>
      <c r="H23" s="9"/>
      <c r="I23" s="9"/>
      <c r="J23" s="9"/>
      <c r="K23" s="8"/>
      <c r="L23" s="40" t="str">
        <f>_Control!D11</f>
        <v>Electrical</v>
      </c>
      <c r="M23" s="39"/>
      <c r="N23" s="39"/>
      <c r="O23" s="39"/>
      <c r="P23" s="39"/>
      <c r="Q23" s="59">
        <f>_Control!F11</f>
        <v>0</v>
      </c>
      <c r="R23" s="39"/>
      <c r="S23" s="39"/>
      <c r="T23" s="59">
        <f>_Control!G11</f>
        <v>0</v>
      </c>
      <c r="U23" s="39"/>
      <c r="V23" s="39"/>
    </row>
    <row r="24" spans="1:22" ht="26" customHeight="1" x14ac:dyDescent="0.35">
      <c r="A24" s="9"/>
      <c r="B24" s="9"/>
      <c r="C24" s="9"/>
      <c r="D24" s="9"/>
      <c r="E24" s="9"/>
      <c r="F24" s="9"/>
      <c r="G24" s="9"/>
      <c r="H24" s="9"/>
      <c r="I24" s="9"/>
      <c r="J24" s="9"/>
      <c r="K24" s="8"/>
      <c r="L24" s="40" t="str">
        <f>_Control!D12</f>
        <v>Other</v>
      </c>
      <c r="M24" s="39"/>
      <c r="N24" s="39"/>
      <c r="O24" s="39"/>
      <c r="P24" s="39"/>
      <c r="Q24" s="59">
        <f>_Control!F12</f>
        <v>0</v>
      </c>
      <c r="R24" s="39"/>
      <c r="S24" s="39"/>
      <c r="T24" s="59">
        <f>_Control!G12</f>
        <v>0</v>
      </c>
      <c r="U24" s="39"/>
      <c r="V24" s="39"/>
    </row>
    <row r="25" spans="1:22" ht="22" customHeight="1" x14ac:dyDescent="0.35">
      <c r="A25" s="9"/>
      <c r="B25" s="9"/>
      <c r="C25" s="9"/>
      <c r="D25" s="9"/>
      <c r="E25" s="9"/>
      <c r="F25" s="9"/>
      <c r="G25" s="9"/>
      <c r="H25" s="9"/>
      <c r="I25" s="9"/>
      <c r="J25" s="9"/>
      <c r="K25" s="8"/>
      <c r="L25" s="9"/>
      <c r="M25" s="9"/>
      <c r="N25" s="9"/>
      <c r="O25" s="9"/>
      <c r="P25" s="9"/>
      <c r="Q25" s="9"/>
      <c r="R25" s="9"/>
      <c r="S25" s="9"/>
      <c r="T25" s="9"/>
      <c r="U25" s="9"/>
      <c r="V25" s="9"/>
    </row>
    <row r="26" spans="1:22" ht="22" customHeight="1" x14ac:dyDescent="0.35">
      <c r="A26" s="9"/>
      <c r="B26" s="9"/>
      <c r="C26" s="9"/>
      <c r="D26" s="9"/>
      <c r="E26" s="9"/>
      <c r="F26" s="9"/>
      <c r="G26" s="9"/>
      <c r="H26" s="9"/>
      <c r="I26" s="9"/>
      <c r="J26" s="9"/>
      <c r="K26" s="8"/>
      <c r="L26" s="67" t="s">
        <v>45</v>
      </c>
      <c r="M26" s="39"/>
      <c r="N26" s="39"/>
      <c r="O26" s="39"/>
      <c r="P26" s="39"/>
      <c r="Q26" s="65">
        <f>_Control!B8</f>
        <v>490137.24308657972</v>
      </c>
      <c r="R26" s="39"/>
      <c r="S26" s="39"/>
      <c r="T26" s="65">
        <f>_Control!B9</f>
        <v>0</v>
      </c>
      <c r="U26" s="39"/>
      <c r="V26" s="39"/>
    </row>
    <row r="27" spans="1:22" ht="22" customHeight="1" x14ac:dyDescent="0.35">
      <c r="A27" s="9"/>
      <c r="B27" s="9"/>
      <c r="C27" s="9"/>
      <c r="D27" s="9"/>
      <c r="E27" s="9"/>
      <c r="F27" s="9"/>
      <c r="G27" s="9"/>
      <c r="H27" s="9"/>
      <c r="I27" s="9"/>
      <c r="J27" s="9"/>
      <c r="K27" s="8"/>
      <c r="L27" s="9"/>
      <c r="M27" s="9"/>
      <c r="N27" s="9"/>
      <c r="O27" s="9"/>
      <c r="P27" s="9"/>
      <c r="Q27" s="9"/>
      <c r="R27" s="9"/>
      <c r="S27" s="9"/>
      <c r="T27" s="9"/>
      <c r="U27" s="9"/>
      <c r="V27" s="9"/>
    </row>
    <row r="28" spans="1:22" ht="22" customHeight="1" x14ac:dyDescent="0.35">
      <c r="A28" s="9"/>
      <c r="B28" s="9"/>
      <c r="C28" s="9"/>
      <c r="D28" s="9"/>
      <c r="E28" s="9"/>
      <c r="F28" s="9"/>
      <c r="G28" s="9"/>
      <c r="H28" s="9"/>
      <c r="I28" s="9"/>
      <c r="J28" s="9"/>
      <c r="K28" s="8"/>
      <c r="L28" s="57" t="s">
        <v>46</v>
      </c>
      <c r="M28" s="39"/>
      <c r="N28" s="39"/>
      <c r="O28" s="39"/>
      <c r="P28" s="39"/>
      <c r="Q28" s="39"/>
      <c r="R28" s="39"/>
      <c r="S28" s="59">
        <f>_Control!B7</f>
        <v>490137.24308657972</v>
      </c>
      <c r="T28" s="39"/>
      <c r="U28" s="39"/>
      <c r="V28" s="39"/>
    </row>
    <row r="29" spans="1:22" ht="22" customHeight="1" x14ac:dyDescent="0.35">
      <c r="A29" s="62" t="s">
        <v>47</v>
      </c>
      <c r="B29" s="39"/>
      <c r="C29" s="39"/>
      <c r="D29" s="39"/>
      <c r="E29" s="39"/>
      <c r="F29" s="68" t="s">
        <v>48</v>
      </c>
      <c r="G29" s="39"/>
      <c r="H29" s="39"/>
      <c r="I29" s="39"/>
      <c r="J29" s="39"/>
      <c r="K29" s="8"/>
      <c r="L29" s="57" t="s">
        <v>49</v>
      </c>
      <c r="M29" s="39"/>
      <c r="N29" s="39"/>
      <c r="O29" s="39"/>
      <c r="P29" s="39"/>
      <c r="Q29" s="39"/>
      <c r="R29" s="39"/>
      <c r="S29" s="66">
        <f>_Control!B11</f>
        <v>0</v>
      </c>
      <c r="T29" s="39"/>
      <c r="U29" s="39"/>
      <c r="V29" s="39"/>
    </row>
    <row r="30" spans="1:22" ht="22" customHeight="1" x14ac:dyDescent="0.35">
      <c r="A30" s="60">
        <f>_Control!B21</f>
        <v>0.24506862154328987</v>
      </c>
      <c r="B30" s="39"/>
      <c r="C30" s="39"/>
      <c r="D30" s="39"/>
      <c r="E30" s="39"/>
      <c r="F30" s="58">
        <f>IFERROR(MAX(0,_Control!B10)/_Control!B6,0)</f>
        <v>0.7549313784567101</v>
      </c>
      <c r="G30" s="39"/>
      <c r="H30" s="39"/>
      <c r="I30" s="39"/>
      <c r="J30" s="39"/>
      <c r="K30" s="8"/>
      <c r="L30" s="57" t="s">
        <v>50</v>
      </c>
      <c r="M30" s="39"/>
      <c r="N30" s="39"/>
      <c r="O30" s="39"/>
      <c r="P30" s="39"/>
      <c r="Q30" s="39"/>
      <c r="R30" s="39"/>
      <c r="S30" s="64" t="str">
        <f>_Control!B12&amp;" / "&amp;_Control!B14</f>
        <v>6 / 6</v>
      </c>
      <c r="T30" s="39"/>
      <c r="U30" s="39"/>
      <c r="V30" s="39"/>
    </row>
    <row r="31" spans="1:22" ht="22" customHeight="1" x14ac:dyDescent="0.35">
      <c r="A31" s="39"/>
      <c r="B31" s="39"/>
      <c r="C31" s="39"/>
      <c r="D31" s="39"/>
      <c r="E31" s="39"/>
      <c r="F31" s="39"/>
      <c r="G31" s="39"/>
      <c r="H31" s="39"/>
      <c r="I31" s="39"/>
      <c r="J31" s="39"/>
      <c r="K31" s="8"/>
      <c r="L31" s="9"/>
      <c r="M31" s="9"/>
      <c r="N31" s="9"/>
      <c r="O31" s="9"/>
      <c r="P31" s="9"/>
      <c r="Q31" s="9"/>
      <c r="R31" s="9"/>
      <c r="S31" s="9"/>
      <c r="T31" s="9"/>
      <c r="U31" s="9"/>
      <c r="V31" s="9"/>
    </row>
    <row r="32" spans="1:22" ht="22" customHeight="1" x14ac:dyDescent="0.35">
      <c r="A32" s="8"/>
      <c r="B32" s="8"/>
      <c r="C32" s="8"/>
      <c r="D32" s="8"/>
      <c r="E32" s="8"/>
      <c r="F32" s="8"/>
      <c r="G32" s="8"/>
      <c r="H32" s="8"/>
      <c r="I32" s="8"/>
      <c r="J32" s="8"/>
      <c r="K32" s="8"/>
      <c r="L32" s="8"/>
      <c r="M32" s="8"/>
      <c r="N32" s="8"/>
      <c r="O32" s="8"/>
      <c r="P32" s="8"/>
      <c r="Q32" s="8"/>
      <c r="R32" s="8"/>
      <c r="S32" s="8"/>
      <c r="T32" s="8"/>
      <c r="U32" s="8"/>
      <c r="V32" s="8"/>
    </row>
    <row r="33" spans="1:22" ht="22" customHeight="1" x14ac:dyDescent="0.35">
      <c r="A33" s="61" t="str">
        <f>IF(OR(_Control!B19&gt;0,_Control!B22&gt;0),"REVIEW REQUIRED  |  Selected offers include missing or inconsistent data. Check Quotes before relying on totals.",IF(_Control!B10&lt;0,"OVER ALLOWANCE  |  Selected costs exceed the approved allowance.","PRICE BASIS  |  Blank final price keeps the original amount. Price increases reduce savings. FX rates are the saved workbook rates."))</f>
        <v>PRICE BASIS  |  Blank final price keeps the original amount. Price increases reduce savings. FX rates are the saved workbook rates.</v>
      </c>
      <c r="B33" s="39"/>
      <c r="C33" s="39"/>
      <c r="D33" s="39"/>
      <c r="E33" s="39"/>
      <c r="F33" s="39"/>
      <c r="G33" s="39"/>
      <c r="H33" s="39"/>
      <c r="I33" s="39"/>
      <c r="J33" s="39"/>
      <c r="K33" s="39"/>
      <c r="L33" s="39"/>
      <c r="M33" s="39"/>
      <c r="N33" s="39"/>
      <c r="O33" s="39"/>
      <c r="P33" s="39"/>
      <c r="Q33" s="39"/>
      <c r="R33" s="39"/>
      <c r="S33" s="39"/>
      <c r="T33" s="39"/>
      <c r="U33" s="39"/>
      <c r="V33" s="39"/>
    </row>
    <row r="34" spans="1:22" ht="22" customHeight="1" x14ac:dyDescent="0.35">
      <c r="A34" s="39"/>
      <c r="B34" s="39"/>
      <c r="C34" s="39"/>
      <c r="D34" s="39"/>
      <c r="E34" s="39"/>
      <c r="F34" s="39"/>
      <c r="G34" s="39"/>
      <c r="H34" s="39"/>
      <c r="I34" s="39"/>
      <c r="J34" s="39"/>
      <c r="K34" s="39"/>
      <c r="L34" s="39"/>
      <c r="M34" s="39"/>
      <c r="N34" s="39"/>
      <c r="O34" s="39"/>
      <c r="P34" s="39"/>
      <c r="Q34" s="39"/>
      <c r="R34" s="39"/>
      <c r="S34" s="39"/>
      <c r="T34" s="39"/>
      <c r="U34" s="39"/>
      <c r="V34" s="39"/>
    </row>
    <row r="35" spans="1:22" ht="22" customHeight="1" x14ac:dyDescent="0.35">
      <c r="A35" s="8"/>
      <c r="B35" s="8"/>
      <c r="C35" s="8"/>
      <c r="D35" s="8"/>
      <c r="E35" s="8"/>
      <c r="F35" s="8"/>
      <c r="G35" s="8"/>
      <c r="H35" s="8"/>
      <c r="I35" s="8"/>
      <c r="J35" s="8"/>
      <c r="K35" s="8"/>
      <c r="L35" s="8"/>
      <c r="M35" s="8"/>
      <c r="N35" s="8"/>
      <c r="O35" s="8"/>
      <c r="P35" s="8"/>
      <c r="Q35" s="8"/>
      <c r="R35" s="8"/>
      <c r="S35" s="8"/>
      <c r="T35" s="8"/>
      <c r="U35" s="8"/>
      <c r="V35" s="8"/>
    </row>
    <row r="36" spans="1:22" ht="22" customHeight="1" x14ac:dyDescent="0.35">
      <c r="A36" s="8"/>
      <c r="B36" s="8"/>
      <c r="C36" s="8"/>
      <c r="D36" s="8"/>
      <c r="E36" s="8"/>
      <c r="F36" s="8"/>
      <c r="G36" s="8"/>
      <c r="H36" s="8"/>
      <c r="I36" s="8"/>
      <c r="J36" s="8"/>
      <c r="K36" s="8"/>
      <c r="L36" s="8"/>
      <c r="M36" s="8"/>
      <c r="N36" s="8"/>
      <c r="O36" s="8"/>
      <c r="P36" s="8"/>
      <c r="Q36" s="8"/>
      <c r="R36" s="8"/>
      <c r="S36" s="8"/>
      <c r="T36" s="8"/>
      <c r="U36" s="8"/>
      <c r="V36" s="8"/>
    </row>
    <row r="37" spans="1:22" ht="22" customHeight="1" x14ac:dyDescent="0.35">
      <c r="A37" s="8"/>
      <c r="B37" s="8"/>
      <c r="C37" s="8"/>
      <c r="D37" s="8"/>
      <c r="E37" s="8"/>
      <c r="F37" s="8"/>
      <c r="G37" s="8"/>
      <c r="H37" s="8"/>
      <c r="I37" s="8"/>
      <c r="J37" s="8"/>
      <c r="K37" s="8"/>
      <c r="L37" s="8"/>
      <c r="M37" s="8"/>
      <c r="N37" s="8"/>
      <c r="O37" s="8"/>
      <c r="P37" s="8"/>
      <c r="Q37" s="8"/>
      <c r="R37" s="8"/>
      <c r="S37" s="8"/>
      <c r="T37" s="8"/>
      <c r="U37" s="8"/>
      <c r="V37" s="8"/>
    </row>
    <row r="38" spans="1:22" ht="22" customHeight="1" x14ac:dyDescent="0.35">
      <c r="A38" s="8"/>
      <c r="B38" s="8"/>
      <c r="C38" s="8"/>
      <c r="D38" s="8"/>
      <c r="E38" s="8"/>
      <c r="F38" s="8"/>
      <c r="G38" s="8"/>
      <c r="H38" s="8"/>
      <c r="I38" s="8"/>
      <c r="J38" s="8"/>
      <c r="K38" s="8"/>
      <c r="L38" s="8"/>
      <c r="M38" s="8"/>
      <c r="N38" s="8"/>
      <c r="O38" s="8"/>
      <c r="P38" s="8"/>
      <c r="Q38" s="8"/>
      <c r="R38" s="8"/>
      <c r="S38" s="8"/>
      <c r="T38" s="8"/>
      <c r="U38" s="8"/>
      <c r="V38" s="8"/>
    </row>
    <row r="39" spans="1:22" ht="22" customHeight="1" x14ac:dyDescent="0.35">
      <c r="A39" s="8"/>
      <c r="B39" s="8"/>
      <c r="C39" s="8"/>
      <c r="D39" s="8"/>
      <c r="E39" s="8"/>
      <c r="F39" s="8"/>
      <c r="G39" s="8"/>
      <c r="H39" s="8"/>
      <c r="I39" s="8"/>
      <c r="J39" s="8"/>
      <c r="K39" s="8"/>
      <c r="L39" s="8"/>
      <c r="M39" s="8"/>
      <c r="N39" s="8"/>
      <c r="O39" s="8"/>
      <c r="P39" s="8"/>
      <c r="Q39" s="8"/>
      <c r="R39" s="8"/>
      <c r="S39" s="8"/>
      <c r="T39" s="8"/>
      <c r="U39" s="8"/>
      <c r="V39" s="8"/>
    </row>
    <row r="40" spans="1:22" ht="22" customHeight="1" x14ac:dyDescent="0.35">
      <c r="A40" s="8"/>
      <c r="B40" s="8"/>
      <c r="C40" s="8"/>
      <c r="D40" s="8"/>
      <c r="E40" s="8"/>
      <c r="F40" s="8"/>
      <c r="G40" s="8"/>
      <c r="H40" s="8"/>
      <c r="I40" s="8"/>
      <c r="J40" s="8"/>
      <c r="K40" s="8"/>
      <c r="L40" s="8"/>
      <c r="M40" s="8"/>
      <c r="N40" s="8"/>
      <c r="O40" s="8"/>
      <c r="P40" s="8"/>
      <c r="Q40" s="8"/>
      <c r="R40" s="8"/>
      <c r="S40" s="8"/>
      <c r="T40" s="8"/>
      <c r="U40" s="8"/>
      <c r="V40" s="8"/>
    </row>
    <row r="41" spans="1:22" ht="22" customHeight="1" x14ac:dyDescent="0.35">
      <c r="A41" s="8"/>
      <c r="B41" s="8"/>
      <c r="C41" s="8"/>
      <c r="D41" s="8"/>
      <c r="E41" s="8"/>
      <c r="F41" s="8"/>
      <c r="G41" s="8"/>
      <c r="H41" s="8"/>
      <c r="I41" s="8"/>
      <c r="J41" s="8"/>
      <c r="K41" s="8"/>
      <c r="L41" s="8"/>
      <c r="M41" s="8"/>
      <c r="N41" s="8"/>
      <c r="O41" s="8"/>
      <c r="P41" s="8"/>
      <c r="Q41" s="8"/>
      <c r="R41" s="8"/>
      <c r="S41" s="8"/>
      <c r="T41" s="8"/>
      <c r="U41" s="8"/>
      <c r="V41" s="8"/>
    </row>
    <row r="42" spans="1:22" ht="22" customHeight="1" x14ac:dyDescent="0.35">
      <c r="A42" s="8"/>
      <c r="B42" s="8"/>
      <c r="C42" s="8"/>
      <c r="D42" s="8"/>
      <c r="E42" s="8"/>
      <c r="F42" s="8"/>
      <c r="G42" s="8"/>
      <c r="H42" s="8"/>
      <c r="I42" s="8"/>
      <c r="J42" s="8"/>
      <c r="K42" s="8"/>
      <c r="L42" s="8"/>
      <c r="M42" s="8"/>
      <c r="N42" s="8"/>
      <c r="O42" s="8"/>
      <c r="P42" s="8"/>
      <c r="Q42" s="8"/>
      <c r="R42" s="8"/>
      <c r="S42" s="8"/>
      <c r="T42" s="8"/>
      <c r="U42" s="8"/>
      <c r="V42" s="8"/>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8"/>
      <c r="B45" s="8"/>
      <c r="C45" s="8"/>
      <c r="D45" s="8"/>
      <c r="E45" s="8"/>
      <c r="F45" s="8"/>
      <c r="G45" s="8"/>
      <c r="H45" s="8"/>
      <c r="I45" s="8"/>
      <c r="J45" s="8"/>
      <c r="K45" s="8"/>
      <c r="L45" s="8"/>
      <c r="M45" s="8"/>
      <c r="N45" s="8"/>
      <c r="O45" s="8"/>
      <c r="P45" s="8"/>
      <c r="Q45" s="8"/>
      <c r="R45" s="8"/>
      <c r="S45" s="8"/>
      <c r="T45" s="8"/>
      <c r="U45" s="8"/>
      <c r="V45" s="8"/>
    </row>
    <row r="46" spans="1:22" ht="22" customHeight="1" x14ac:dyDescent="0.35">
      <c r="A46" s="8"/>
      <c r="B46" s="8"/>
      <c r="C46" s="8"/>
      <c r="D46" s="8"/>
      <c r="E46" s="8"/>
      <c r="F46" s="8"/>
      <c r="G46" s="8"/>
      <c r="H46" s="8"/>
      <c r="I46" s="8"/>
      <c r="J46" s="8"/>
      <c r="K46" s="8"/>
      <c r="L46" s="8"/>
      <c r="M46" s="8"/>
      <c r="N46" s="8"/>
      <c r="O46" s="8"/>
      <c r="P46" s="8"/>
      <c r="Q46" s="8"/>
      <c r="R46" s="8"/>
      <c r="S46" s="8"/>
      <c r="T46" s="8"/>
      <c r="U46" s="8"/>
      <c r="V46" s="8"/>
    </row>
    <row r="47" spans="1:22" ht="22" customHeight="1" x14ac:dyDescent="0.35">
      <c r="A47" s="8"/>
      <c r="B47" s="8"/>
      <c r="C47" s="8"/>
      <c r="D47" s="8"/>
      <c r="E47" s="8"/>
      <c r="F47" s="8"/>
      <c r="G47" s="8"/>
      <c r="H47" s="8"/>
      <c r="I47" s="8"/>
      <c r="J47" s="8"/>
      <c r="K47" s="8"/>
      <c r="L47" s="8"/>
      <c r="M47" s="8"/>
      <c r="N47" s="8"/>
      <c r="O47" s="8"/>
      <c r="P47" s="8"/>
      <c r="Q47" s="8"/>
      <c r="R47" s="8"/>
      <c r="S47" s="8"/>
      <c r="T47" s="8"/>
      <c r="U47" s="8"/>
      <c r="V47" s="8"/>
    </row>
    <row r="48" spans="1:22" ht="22" customHeight="1" x14ac:dyDescent="0.35">
      <c r="A48" s="8"/>
      <c r="B48" s="8"/>
      <c r="C48" s="8"/>
      <c r="D48" s="8"/>
      <c r="E48" s="8"/>
      <c r="F48" s="8"/>
      <c r="G48" s="8"/>
      <c r="H48" s="8"/>
      <c r="I48" s="8"/>
      <c r="J48" s="8"/>
      <c r="K48" s="8"/>
      <c r="L48" s="8"/>
      <c r="M48" s="8"/>
      <c r="N48" s="8"/>
      <c r="O48" s="8"/>
      <c r="P48" s="8"/>
      <c r="Q48" s="8"/>
      <c r="R48" s="8"/>
      <c r="S48" s="8"/>
      <c r="T48" s="8"/>
      <c r="U48" s="8"/>
      <c r="V48" s="8"/>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8"/>
      <c r="B52" s="8"/>
      <c r="C52" s="8"/>
      <c r="D52" s="8"/>
      <c r="E52" s="8"/>
      <c r="F52" s="8"/>
      <c r="G52" s="8"/>
      <c r="H52" s="8"/>
      <c r="I52" s="8"/>
      <c r="J52" s="8"/>
      <c r="K52" s="8"/>
      <c r="L52" s="8"/>
      <c r="M52" s="8"/>
      <c r="N52" s="8"/>
      <c r="O52" s="8"/>
      <c r="P52" s="8"/>
      <c r="Q52" s="8"/>
      <c r="R52" s="8"/>
      <c r="S52" s="8"/>
      <c r="T52" s="8"/>
      <c r="U52" s="8"/>
      <c r="V52" s="8"/>
    </row>
    <row r="53" spans="1:22" ht="22" customHeight="1" x14ac:dyDescent="0.35">
      <c r="A53" s="8"/>
      <c r="B53" s="8"/>
      <c r="C53" s="8"/>
      <c r="D53" s="8"/>
      <c r="E53" s="8"/>
      <c r="F53" s="8"/>
      <c r="G53" s="8"/>
      <c r="H53" s="8"/>
      <c r="I53" s="8"/>
      <c r="J53" s="8"/>
      <c r="K53" s="8"/>
      <c r="L53" s="8"/>
      <c r="M53" s="8"/>
      <c r="N53" s="8"/>
      <c r="O53" s="8"/>
      <c r="P53" s="8"/>
      <c r="Q53" s="8"/>
      <c r="R53" s="8"/>
      <c r="S53" s="8"/>
      <c r="T53" s="8"/>
      <c r="U53" s="8"/>
      <c r="V53" s="8"/>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65">
    <mergeCell ref="F29:J29"/>
    <mergeCell ref="L17:P17"/>
    <mergeCell ref="Q23:S23"/>
    <mergeCell ref="Q19:S19"/>
    <mergeCell ref="T18:V18"/>
    <mergeCell ref="Q18:S18"/>
    <mergeCell ref="L23:P23"/>
    <mergeCell ref="Q17:S17"/>
    <mergeCell ref="T19:V19"/>
    <mergeCell ref="S30:V30"/>
    <mergeCell ref="O6:V6"/>
    <mergeCell ref="Q26:S26"/>
    <mergeCell ref="S29:V29"/>
    <mergeCell ref="M9:Q9"/>
    <mergeCell ref="T26:V26"/>
    <mergeCell ref="T21:V21"/>
    <mergeCell ref="L19:P19"/>
    <mergeCell ref="Q22:S22"/>
    <mergeCell ref="T23:V23"/>
    <mergeCell ref="L28:R28"/>
    <mergeCell ref="L26:P26"/>
    <mergeCell ref="L20:P20"/>
    <mergeCell ref="M10:Q12"/>
    <mergeCell ref="A4:C4"/>
    <mergeCell ref="T17:V17"/>
    <mergeCell ref="L18:P18"/>
    <mergeCell ref="M13:Q13"/>
    <mergeCell ref="J4:L4"/>
    <mergeCell ref="S4:V4"/>
    <mergeCell ref="M4:O4"/>
    <mergeCell ref="A10:E12"/>
    <mergeCell ref="S9:V9"/>
    <mergeCell ref="S10:V12"/>
    <mergeCell ref="R1:V2"/>
    <mergeCell ref="L22:P22"/>
    <mergeCell ref="P4:R4"/>
    <mergeCell ref="A30:E31"/>
    <mergeCell ref="A33:V34"/>
    <mergeCell ref="A9:E9"/>
    <mergeCell ref="A1:Q2"/>
    <mergeCell ref="T24:V24"/>
    <mergeCell ref="Q21:S21"/>
    <mergeCell ref="T20:V20"/>
    <mergeCell ref="S28:V28"/>
    <mergeCell ref="A29:E29"/>
    <mergeCell ref="L21:P21"/>
    <mergeCell ref="S13:V13"/>
    <mergeCell ref="T22:V22"/>
    <mergeCell ref="Q24:S24"/>
    <mergeCell ref="L30:R30"/>
    <mergeCell ref="A6:F6"/>
    <mergeCell ref="L29:R29"/>
    <mergeCell ref="A13:E13"/>
    <mergeCell ref="A3:V3"/>
    <mergeCell ref="F30:J31"/>
    <mergeCell ref="H6:M6"/>
    <mergeCell ref="G9:K9"/>
    <mergeCell ref="Q20:S20"/>
    <mergeCell ref="D4:F4"/>
    <mergeCell ref="L24:P24"/>
    <mergeCell ref="A15:J15"/>
    <mergeCell ref="G4:I4"/>
    <mergeCell ref="G13:K13"/>
    <mergeCell ref="L15:V15"/>
    <mergeCell ref="G10:K12"/>
  </mergeCells>
  <hyperlinks>
    <hyperlink ref="A4" location="'Overview'!A1" display="Overview" xr:uid="{00000000-0004-0000-0100-000000000000}"/>
    <hyperlink ref="D4" location="'Jobs'!A1" display="Jobs" xr:uid="{00000000-0004-0000-0100-000001000000}"/>
    <hyperlink ref="G4" location="'Suppliers'!A1" display="Suppliers" xr:uid="{00000000-0004-0000-0100-000002000000}"/>
    <hyperlink ref="J4" location="'Budget'!A1" display="Budget" xr:uid="{00000000-0004-0000-0100-000003000000}"/>
    <hyperlink ref="M4" location="'Quotes'!A1" display="Quotes" xr:uid="{00000000-0004-0000-0100-000004000000}"/>
    <hyperlink ref="P4" location="'Print Summary'!A1" display="Print summary" xr:uid="{00000000-0004-0000-0100-000005000000}"/>
    <hyperlink ref="S4" location="'Read Me'!A1" display="Guide / setup" xr:uid="{00000000-0004-0000-0100-000006000000}"/>
    <hyperlink ref="A6" location="'Vessel'!A1" display="EDIT BUDGET SETTINGS" xr:uid="{00000000-0004-0000-0100-000007000000}"/>
    <hyperlink ref="H6" location="'Negotiation Savings'!A1" display="NEGOTIATION DETAIL" xr:uid="{00000000-0004-0000-0100-000008000000}"/>
    <hyperlink ref="O6" location="'Print Summary'!A1" display="PRINT MANAGEMENT SUMMARY" xr:uid="{00000000-0004-0000-01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87F8C"/>
    <pageSetUpPr fitToPage="1"/>
  </sheetPr>
  <dimension ref="A1:AR258"/>
  <sheetViews>
    <sheetView showGridLines="0" zoomScale="90" workbookViewId="0">
      <pane xSplit="2" ySplit="8" topLeftCell="C9" activePane="bottomRight" state="frozen"/>
      <selection pane="topRight"/>
      <selection pane="bottomLeft"/>
      <selection pane="bottomRight"/>
    </sheetView>
  </sheetViews>
  <sheetFormatPr defaultRowHeight="14.5" outlineLevelCol="1" x14ac:dyDescent="0.35"/>
  <cols>
    <col min="1" max="1" width="13" customWidth="1"/>
    <col min="2" max="2" width="47" customWidth="1"/>
    <col min="3" max="3" width="18" customWidth="1"/>
    <col min="4" max="4" width="20" customWidth="1"/>
    <col min="5" max="5" width="17" customWidth="1"/>
    <col min="6" max="6" width="11" customWidth="1"/>
    <col min="7" max="7" width="20" customWidth="1"/>
    <col min="8" max="8" width="18" customWidth="1"/>
    <col min="9" max="9" width="22" customWidth="1"/>
    <col min="10" max="11" width="15" customWidth="1"/>
    <col min="12" max="13" width="66" hidden="1" customWidth="1" outlineLevel="1"/>
    <col min="14" max="14" width="55" hidden="1" customWidth="1" outlineLevel="1"/>
    <col min="15" max="15" width="10" hidden="1" customWidth="1" outlineLevel="1"/>
    <col min="16" max="16" width="22" hidden="1" customWidth="1" outlineLevel="1"/>
    <col min="17" max="17" width="14" hidden="1" customWidth="1" outlineLevel="1"/>
    <col min="18" max="18" width="50" hidden="1" customWidth="1" outlineLevel="1"/>
    <col min="19" max="44" width="13" customWidth="1"/>
  </cols>
  <sheetData>
    <row r="1" spans="1:44" ht="27" customHeight="1" x14ac:dyDescent="0.35">
      <c r="A1" s="71" t="s">
        <v>51</v>
      </c>
      <c r="B1" s="39"/>
      <c r="C1" s="39"/>
      <c r="D1" s="39"/>
      <c r="E1" s="39"/>
      <c r="F1" s="39"/>
      <c r="G1" s="39"/>
      <c r="H1" s="39"/>
      <c r="I1" s="39"/>
      <c r="J1" s="39"/>
      <c r="K1" s="39"/>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row>
    <row r="2" spans="1:44" ht="20" customHeight="1" x14ac:dyDescent="0.35">
      <c r="A2" s="39"/>
      <c r="B2" s="39"/>
      <c r="C2" s="39"/>
      <c r="D2" s="39"/>
      <c r="E2" s="39"/>
      <c r="F2" s="39"/>
      <c r="G2" s="39"/>
      <c r="H2" s="39"/>
      <c r="I2" s="39"/>
      <c r="J2" s="39"/>
      <c r="K2" s="39"/>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ht="21" customHeight="1" x14ac:dyDescent="0.35">
      <c r="A3" s="69" t="s">
        <v>52</v>
      </c>
      <c r="B3" s="39"/>
      <c r="C3" s="39"/>
      <c r="D3" s="39"/>
      <c r="E3" s="39"/>
      <c r="F3" s="39"/>
      <c r="G3" s="39"/>
      <c r="H3" s="39"/>
      <c r="I3" s="39"/>
      <c r="J3" s="39"/>
      <c r="K3" s="39"/>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ht="29" customHeight="1" x14ac:dyDescent="0.35">
      <c r="A4" s="11" t="s">
        <v>3</v>
      </c>
      <c r="B4" s="12" t="s">
        <v>4</v>
      </c>
      <c r="C4" s="11" t="s">
        <v>5</v>
      </c>
      <c r="D4" s="11" t="s">
        <v>6</v>
      </c>
      <c r="E4" s="11" t="s">
        <v>7</v>
      </c>
      <c r="F4" s="11" t="s">
        <v>8</v>
      </c>
      <c r="G4" s="11" t="s">
        <v>53</v>
      </c>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ht="10" customHeight="1" x14ac:dyDescent="0.35">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ht="30" customHeight="1" x14ac:dyDescent="0.35">
      <c r="A6" s="70" t="s">
        <v>10</v>
      </c>
      <c r="B6" s="39"/>
      <c r="C6" s="39"/>
      <c r="D6" s="69" t="s">
        <v>54</v>
      </c>
      <c r="E6" s="39"/>
      <c r="F6" s="39"/>
      <c r="G6" s="39"/>
      <c r="H6" s="39"/>
      <c r="I6" s="72" t="s">
        <v>11</v>
      </c>
      <c r="J6" s="39"/>
      <c r="K6" s="39"/>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row>
    <row r="7" spans="1:44" ht="11" customHeight="1" x14ac:dyDescent="0.3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row>
    <row r="8" spans="1:44" ht="34" customHeight="1" x14ac:dyDescent="0.35">
      <c r="A8" s="13" t="s">
        <v>55</v>
      </c>
      <c r="B8" s="13" t="s">
        <v>56</v>
      </c>
      <c r="C8" s="13" t="s">
        <v>57</v>
      </c>
      <c r="D8" s="13" t="s">
        <v>58</v>
      </c>
      <c r="E8" s="13" t="s">
        <v>59</v>
      </c>
      <c r="F8" s="13" t="s">
        <v>60</v>
      </c>
      <c r="G8" s="13" t="s">
        <v>61</v>
      </c>
      <c r="H8" s="13" t="s">
        <v>62</v>
      </c>
      <c r="I8" s="13" t="s">
        <v>63</v>
      </c>
      <c r="J8" s="13" t="s">
        <v>64</v>
      </c>
      <c r="K8" s="13" t="s">
        <v>65</v>
      </c>
      <c r="L8" s="13" t="s">
        <v>66</v>
      </c>
      <c r="M8" s="13" t="s">
        <v>67</v>
      </c>
      <c r="N8" s="13" t="s">
        <v>68</v>
      </c>
      <c r="O8" s="13" t="s">
        <v>69</v>
      </c>
      <c r="P8" s="13" t="s">
        <v>70</v>
      </c>
      <c r="Q8" s="13" t="s">
        <v>71</v>
      </c>
      <c r="R8" s="13" t="s">
        <v>72</v>
      </c>
      <c r="S8" s="13"/>
      <c r="T8" s="13"/>
      <c r="U8" s="13"/>
      <c r="V8" s="13"/>
      <c r="W8" s="13"/>
      <c r="X8" s="13"/>
      <c r="Y8" s="13"/>
      <c r="Z8" s="13"/>
      <c r="AA8" s="13"/>
      <c r="AB8" s="13"/>
      <c r="AC8" s="13"/>
      <c r="AD8" s="13"/>
      <c r="AE8" s="13"/>
      <c r="AF8" s="13"/>
      <c r="AG8" s="13"/>
      <c r="AH8" s="13"/>
      <c r="AI8" s="13"/>
      <c r="AJ8" s="13"/>
      <c r="AK8" s="13"/>
      <c r="AL8" s="13"/>
      <c r="AM8" s="13"/>
      <c r="AN8" s="13"/>
      <c r="AO8" s="13"/>
      <c r="AP8" s="13"/>
      <c r="AQ8" s="13"/>
      <c r="AR8" s="13"/>
    </row>
    <row r="9" spans="1:44" ht="40" hidden="1" customHeight="1" x14ac:dyDescent="0.35">
      <c r="A9" s="34" t="s">
        <v>73</v>
      </c>
      <c r="B9" s="15" t="s">
        <v>74</v>
      </c>
      <c r="C9" s="15" t="s">
        <v>75</v>
      </c>
      <c r="D9" s="15" t="s">
        <v>76</v>
      </c>
      <c r="E9" s="14" t="str">
        <f t="shared" ref="E9:E72" si="0">IF(OR(A9="",P9=""),"",HYPERLINK("#'"&amp;P9&amp;"'!A1","OPEN JOB"))</f>
        <v/>
      </c>
      <c r="F9" s="14">
        <f>IF(A9="","",COUNTIF(Quotes!$B$9:$B$258,A9))</f>
        <v>0</v>
      </c>
      <c r="G9" s="16">
        <f>IF(A9="","",SUMIF(Quotes!$B$9:$B$258,A9,Quotes!$AI$9:$AI$258))</f>
        <v>0</v>
      </c>
      <c r="H9" s="16">
        <f>IF(A9="","",SUMIF(Quotes!$B$9:$B$258,A9,Quotes!$AJ$9:$AJ$258))</f>
        <v>0</v>
      </c>
      <c r="I9" s="15" t="s">
        <v>77</v>
      </c>
      <c r="J9" s="17"/>
      <c r="K9" s="17"/>
      <c r="L9" s="15" t="s">
        <v>78</v>
      </c>
      <c r="M9" s="15" t="s">
        <v>78</v>
      </c>
      <c r="N9" s="15"/>
      <c r="O9" s="14" t="s">
        <v>79</v>
      </c>
      <c r="P9" s="14"/>
      <c r="Q9" s="14" t="str">
        <f>IF(AND(A9&lt;&gt;"",P9&lt;&gt;"",D9&lt;&gt;"Closed",D9&lt;&gt;"Cancelled"),COUNTIFS($P$9:P9,"&lt;&gt;",$D$9:D9,"&lt;&gt;Closed",$D$9:D9,"&lt;&gt;Cancelled"),"")</f>
        <v/>
      </c>
      <c r="R9" s="14" t="str">
        <f t="shared" ref="R9:R72" si="1">IF(A9="","",A9&amp;" | "&amp;B9)</f>
        <v>1001.01 | ICCP System</v>
      </c>
      <c r="S9" s="14"/>
      <c r="T9" s="14"/>
      <c r="U9" s="14"/>
      <c r="V9" s="14"/>
      <c r="W9" s="14"/>
      <c r="X9" s="14"/>
      <c r="Y9" s="14"/>
      <c r="Z9" s="14"/>
      <c r="AA9" s="14"/>
      <c r="AB9" s="14"/>
      <c r="AC9" s="14"/>
      <c r="AD9" s="14"/>
      <c r="AE9" s="14"/>
      <c r="AF9" s="14"/>
      <c r="AG9" s="14"/>
      <c r="AH9" s="14"/>
      <c r="AI9" s="14"/>
      <c r="AJ9" s="14"/>
      <c r="AK9" s="14"/>
      <c r="AL9" s="14"/>
      <c r="AM9" s="14"/>
      <c r="AN9" s="14"/>
      <c r="AO9" s="14"/>
      <c r="AP9" s="14"/>
      <c r="AQ9" s="14"/>
      <c r="AR9" s="14"/>
    </row>
    <row r="10" spans="1:44" ht="40" customHeight="1" x14ac:dyDescent="0.35">
      <c r="A10" s="35" t="s">
        <v>80</v>
      </c>
      <c r="B10" s="15" t="s">
        <v>81</v>
      </c>
      <c r="C10" s="15" t="s">
        <v>75</v>
      </c>
      <c r="D10" s="15" t="s">
        <v>82</v>
      </c>
      <c r="E10" s="18" t="str">
        <f t="shared" si="0"/>
        <v>OPEN JOB</v>
      </c>
      <c r="F10" s="18">
        <f>IF(A10="","",COUNTIF(Quotes!$B$9:$B$258,A10))</f>
        <v>1</v>
      </c>
      <c r="G10" s="19">
        <f>IF(A10="","",SUMIF(Quotes!$B$9:$B$258,A10,Quotes!$AI$9:$AI$258))</f>
        <v>8426.7781419303046</v>
      </c>
      <c r="H10" s="19">
        <f>IF(A10="","",SUMIF(Quotes!$B$9:$B$258,A10,Quotes!$AJ$9:$AJ$258))</f>
        <v>0</v>
      </c>
      <c r="I10" s="15"/>
      <c r="J10" s="17"/>
      <c r="K10" s="17"/>
      <c r="L10" s="15" t="s">
        <v>83</v>
      </c>
      <c r="M10" s="15" t="s">
        <v>83</v>
      </c>
      <c r="N10" s="15"/>
      <c r="O10" s="18" t="s">
        <v>79</v>
      </c>
      <c r="P10" s="18" t="s">
        <v>84</v>
      </c>
      <c r="Q10" s="18">
        <f>IF(AND(A10&lt;&gt;"",P10&lt;&gt;"",D10&lt;&gt;"Closed",D10&lt;&gt;"Cancelled"),COUNTIFS($P$9:P10,"&lt;&gt;",$D$9:D10,"&lt;&gt;Closed",$D$9:D10,"&lt;&gt;Cancelled"),"")</f>
        <v>1</v>
      </c>
      <c r="R10" s="18" t="str">
        <f t="shared" si="1"/>
        <v>1001.02 | Corrosion prevention anodes</v>
      </c>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row>
    <row r="11" spans="1:44" ht="40" customHeight="1" x14ac:dyDescent="0.35">
      <c r="A11" s="34" t="s">
        <v>85</v>
      </c>
      <c r="B11" s="15" t="s">
        <v>86</v>
      </c>
      <c r="C11" s="15" t="s">
        <v>75</v>
      </c>
      <c r="D11" s="15" t="s">
        <v>87</v>
      </c>
      <c r="E11" s="14" t="str">
        <f t="shared" si="0"/>
        <v>OPEN JOB</v>
      </c>
      <c r="F11" s="14">
        <f>IF(A11="","",COUNTIF(Quotes!$B$9:$B$258,A11))</f>
        <v>3</v>
      </c>
      <c r="G11" s="16">
        <f>IF(A11="","",SUMIF(Quotes!$B$9:$B$258,A11,Quotes!$AI$9:$AI$258))</f>
        <v>0</v>
      </c>
      <c r="H11" s="16">
        <f>IF(A11="","",SUMIF(Quotes!$B$9:$B$258,A11,Quotes!$AJ$9:$AJ$258))</f>
        <v>0</v>
      </c>
      <c r="I11" s="15" t="s">
        <v>77</v>
      </c>
      <c r="J11" s="17"/>
      <c r="K11" s="17"/>
      <c r="L11" s="15" t="s">
        <v>88</v>
      </c>
      <c r="M11" s="15" t="s">
        <v>88</v>
      </c>
      <c r="N11" s="15"/>
      <c r="O11" s="14" t="s">
        <v>79</v>
      </c>
      <c r="P11" s="14" t="s">
        <v>89</v>
      </c>
      <c r="Q11" s="14">
        <f>IF(AND(A11&lt;&gt;"",P11&lt;&gt;"",D11&lt;&gt;"Closed",D11&lt;&gt;"Cancelled"),COUNTIFS($P$9:P11,"&lt;&gt;",$D$9:D11,"&lt;&gt;Closed",$D$9:D11,"&lt;&gt;Cancelled"),"")</f>
        <v>2</v>
      </c>
      <c r="R11" s="14" t="str">
        <f t="shared" si="1"/>
        <v>1001.03 | Bottom treatment and paint</v>
      </c>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row>
    <row r="12" spans="1:44" ht="40" hidden="1" customHeight="1" x14ac:dyDescent="0.35">
      <c r="A12" s="35" t="s">
        <v>90</v>
      </c>
      <c r="B12" s="15" t="s">
        <v>91</v>
      </c>
      <c r="C12" s="15" t="s">
        <v>75</v>
      </c>
      <c r="D12" s="15" t="s">
        <v>76</v>
      </c>
      <c r="E12" s="18" t="str">
        <f t="shared" si="0"/>
        <v/>
      </c>
      <c r="F12" s="18">
        <f>IF(A12="","",COUNTIF(Quotes!$B$9:$B$258,A12))</f>
        <v>0</v>
      </c>
      <c r="G12" s="19">
        <f>IF(A12="","",SUMIF(Quotes!$B$9:$B$258,A12,Quotes!$AI$9:$AI$258))</f>
        <v>0</v>
      </c>
      <c r="H12" s="19">
        <f>IF(A12="","",SUMIF(Quotes!$B$9:$B$258,A12,Quotes!$AJ$9:$AJ$258))</f>
        <v>0</v>
      </c>
      <c r="I12" s="15" t="s">
        <v>77</v>
      </c>
      <c r="J12" s="17"/>
      <c r="K12" s="17"/>
      <c r="L12" s="15" t="s">
        <v>92</v>
      </c>
      <c r="M12" s="15" t="s">
        <v>92</v>
      </c>
      <c r="N12" s="15"/>
      <c r="O12" s="18" t="s">
        <v>79</v>
      </c>
      <c r="P12" s="18"/>
      <c r="Q12" s="18" t="str">
        <f>IF(AND(A12&lt;&gt;"",P12&lt;&gt;"",D12&lt;&gt;"Closed",D12&lt;&gt;"Cancelled"),COUNTIFS($P$9:P12,"&lt;&gt;",$D$9:D12,"&lt;&gt;Closed",$D$9:D12,"&lt;&gt;Cancelled"),"")</f>
        <v/>
      </c>
      <c r="R12" s="18" t="str">
        <f t="shared" si="1"/>
        <v>1001.04 | ICCP shields</v>
      </c>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row>
    <row r="13" spans="1:44" ht="40" hidden="1" customHeight="1" x14ac:dyDescent="0.35">
      <c r="A13" s="34" t="s">
        <v>93</v>
      </c>
      <c r="B13" s="15" t="s">
        <v>94</v>
      </c>
      <c r="C13" s="15" t="s">
        <v>75</v>
      </c>
      <c r="D13" s="15" t="s">
        <v>76</v>
      </c>
      <c r="E13" s="14" t="str">
        <f t="shared" si="0"/>
        <v/>
      </c>
      <c r="F13" s="14">
        <f>IF(A13="","",COUNTIF(Quotes!$B$9:$B$258,A13))</f>
        <v>0</v>
      </c>
      <c r="G13" s="16">
        <f>IF(A13="","",SUMIF(Quotes!$B$9:$B$258,A13,Quotes!$AI$9:$AI$258))</f>
        <v>0</v>
      </c>
      <c r="H13" s="16">
        <f>IF(A13="","",SUMIF(Quotes!$B$9:$B$258,A13,Quotes!$AJ$9:$AJ$258))</f>
        <v>0</v>
      </c>
      <c r="I13" s="15" t="s">
        <v>77</v>
      </c>
      <c r="J13" s="17"/>
      <c r="K13" s="17"/>
      <c r="L13" s="15" t="s">
        <v>95</v>
      </c>
      <c r="M13" s="15" t="s">
        <v>95</v>
      </c>
      <c r="N13" s="15"/>
      <c r="O13" s="14" t="s">
        <v>79</v>
      </c>
      <c r="P13" s="14"/>
      <c r="Q13" s="14" t="str">
        <f>IF(AND(A13&lt;&gt;"",P13&lt;&gt;"",D13&lt;&gt;"Closed",D13&lt;&gt;"Cancelled"),COUNTIFS($P$9:P13,"&lt;&gt;",$D$9:D13,"&lt;&gt;Closed",$D$9:D13,"&lt;&gt;Cancelled"),"")</f>
        <v/>
      </c>
      <c r="R13" s="14" t="str">
        <f t="shared" si="1"/>
        <v>1016.01 | Sea chests</v>
      </c>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row>
    <row r="14" spans="1:44" ht="40" hidden="1" customHeight="1" x14ac:dyDescent="0.35">
      <c r="A14" s="35" t="s">
        <v>96</v>
      </c>
      <c r="B14" s="15" t="s">
        <v>97</v>
      </c>
      <c r="C14" s="15" t="s">
        <v>75</v>
      </c>
      <c r="D14" s="15" t="s">
        <v>76</v>
      </c>
      <c r="E14" s="18" t="str">
        <f t="shared" si="0"/>
        <v/>
      </c>
      <c r="F14" s="18">
        <f>IF(A14="","",COUNTIF(Quotes!$B$9:$B$258,A14))</f>
        <v>0</v>
      </c>
      <c r="G14" s="19">
        <f>IF(A14="","",SUMIF(Quotes!$B$9:$B$258,A14,Quotes!$AI$9:$AI$258))</f>
        <v>0</v>
      </c>
      <c r="H14" s="19">
        <f>IF(A14="","",SUMIF(Quotes!$B$9:$B$258,A14,Quotes!$AJ$9:$AJ$258))</f>
        <v>0</v>
      </c>
      <c r="I14" s="15" t="s">
        <v>77</v>
      </c>
      <c r="J14" s="17"/>
      <c r="K14" s="17"/>
      <c r="L14" s="15" t="s">
        <v>98</v>
      </c>
      <c r="M14" s="15" t="s">
        <v>98</v>
      </c>
      <c r="N14" s="15"/>
      <c r="O14" s="18" t="s">
        <v>79</v>
      </c>
      <c r="P14" s="18"/>
      <c r="Q14" s="18" t="str">
        <f>IF(AND(A14&lt;&gt;"",P14&lt;&gt;"",D14&lt;&gt;"Closed",D14&lt;&gt;"Cancelled"),COUNTIFS($P$9:P14,"&lt;&gt;",$D$9:D14,"&lt;&gt;Closed",$D$9:D14,"&lt;&gt;Cancelled"),"")</f>
        <v/>
      </c>
      <c r="R14" s="18" t="str">
        <f t="shared" si="1"/>
        <v>1016.02 | Scrubber outlet pipes</v>
      </c>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row>
    <row r="15" spans="1:44" ht="40" hidden="1" customHeight="1" x14ac:dyDescent="0.35">
      <c r="A15" s="34" t="s">
        <v>99</v>
      </c>
      <c r="B15" s="15" t="s">
        <v>100</v>
      </c>
      <c r="C15" s="15" t="s">
        <v>75</v>
      </c>
      <c r="D15" s="15" t="s">
        <v>76</v>
      </c>
      <c r="E15" s="14" t="str">
        <f t="shared" si="0"/>
        <v/>
      </c>
      <c r="F15" s="14">
        <f>IF(A15="","",COUNTIF(Quotes!$B$9:$B$258,A15))</f>
        <v>0</v>
      </c>
      <c r="G15" s="16">
        <f>IF(A15="","",SUMIF(Quotes!$B$9:$B$258,A15,Quotes!$AI$9:$AI$258))</f>
        <v>0</v>
      </c>
      <c r="H15" s="16">
        <f>IF(A15="","",SUMIF(Quotes!$B$9:$B$258,A15,Quotes!$AJ$9:$AJ$258))</f>
        <v>0</v>
      </c>
      <c r="I15" s="15" t="s">
        <v>77</v>
      </c>
      <c r="J15" s="17"/>
      <c r="K15" s="17"/>
      <c r="L15" s="15" t="s">
        <v>101</v>
      </c>
      <c r="M15" s="15" t="s">
        <v>101</v>
      </c>
      <c r="N15" s="15"/>
      <c r="O15" s="14" t="s">
        <v>79</v>
      </c>
      <c r="P15" s="14"/>
      <c r="Q15" s="14" t="str">
        <f>IF(AND(A15&lt;&gt;"",P15&lt;&gt;"",D15&lt;&gt;"Closed",D15&lt;&gt;"Cancelled"),COUNTIFS($P$9:P15,"&lt;&gt;",$D$9:D15,"&lt;&gt;Closed",$D$9:D15,"&lt;&gt;Cancelled"),"")</f>
        <v/>
      </c>
      <c r="R15" s="14" t="str">
        <f t="shared" si="1"/>
        <v>1018.01 | Topside treatment</v>
      </c>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row>
    <row r="16" spans="1:44" ht="40" hidden="1" customHeight="1" x14ac:dyDescent="0.35">
      <c r="A16" s="35" t="s">
        <v>102</v>
      </c>
      <c r="B16" s="15" t="s">
        <v>103</v>
      </c>
      <c r="C16" s="15" t="s">
        <v>75</v>
      </c>
      <c r="D16" s="15" t="s">
        <v>76</v>
      </c>
      <c r="E16" s="18" t="str">
        <f t="shared" si="0"/>
        <v/>
      </c>
      <c r="F16" s="18">
        <f>IF(A16="","",COUNTIF(Quotes!$B$9:$B$258,A16))</f>
        <v>0</v>
      </c>
      <c r="G16" s="19">
        <f>IF(A16="","",SUMIF(Quotes!$B$9:$B$258,A16,Quotes!$AI$9:$AI$258))</f>
        <v>0</v>
      </c>
      <c r="H16" s="19">
        <f>IF(A16="","",SUMIF(Quotes!$B$9:$B$258,A16,Quotes!$AJ$9:$AJ$258))</f>
        <v>0</v>
      </c>
      <c r="I16" s="15" t="s">
        <v>77</v>
      </c>
      <c r="J16" s="17"/>
      <c r="K16" s="17"/>
      <c r="L16" s="15" t="s">
        <v>104</v>
      </c>
      <c r="M16" s="15" t="s">
        <v>104</v>
      </c>
      <c r="N16" s="15"/>
      <c r="O16" s="18" t="s">
        <v>79</v>
      </c>
      <c r="P16" s="18"/>
      <c r="Q16" s="18" t="str">
        <f>IF(AND(A16&lt;&gt;"",P16&lt;&gt;"",D16&lt;&gt;"Closed",D16&lt;&gt;"Cancelled"),COUNTIFS($P$9:P16,"&lt;&gt;",$D$9:D16,"&lt;&gt;Closed",$D$9:D16,"&lt;&gt;Cancelled"),"")</f>
        <v/>
      </c>
      <c r="R16" s="18" t="str">
        <f t="shared" si="1"/>
        <v>1018.02 | Ship name, logo and funnel mark</v>
      </c>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row>
    <row r="17" spans="1:44" ht="40" hidden="1" customHeight="1" x14ac:dyDescent="0.35">
      <c r="A17" s="34" t="s">
        <v>105</v>
      </c>
      <c r="B17" s="15" t="s">
        <v>106</v>
      </c>
      <c r="C17" s="15" t="s">
        <v>75</v>
      </c>
      <c r="D17" s="15" t="s">
        <v>76</v>
      </c>
      <c r="E17" s="14" t="str">
        <f t="shared" si="0"/>
        <v/>
      </c>
      <c r="F17" s="14">
        <f>IF(A17="","",COUNTIF(Quotes!$B$9:$B$258,A17))</f>
        <v>0</v>
      </c>
      <c r="G17" s="16">
        <f>IF(A17="","",SUMIF(Quotes!$B$9:$B$258,A17,Quotes!$AI$9:$AI$258))</f>
        <v>0</v>
      </c>
      <c r="H17" s="16">
        <f>IF(A17="","",SUMIF(Quotes!$B$9:$B$258,A17,Quotes!$AJ$9:$AJ$258))</f>
        <v>0</v>
      </c>
      <c r="I17" s="15" t="s">
        <v>77</v>
      </c>
      <c r="J17" s="17"/>
      <c r="K17" s="17"/>
      <c r="L17" s="15" t="s">
        <v>107</v>
      </c>
      <c r="M17" s="15" t="s">
        <v>107</v>
      </c>
      <c r="N17" s="15"/>
      <c r="O17" s="14" t="s">
        <v>79</v>
      </c>
      <c r="P17" s="14"/>
      <c r="Q17" s="14" t="str">
        <f>IF(AND(A17&lt;&gt;"",P17&lt;&gt;"",D17&lt;&gt;"Closed",D17&lt;&gt;"Cancelled"),COUNTIFS($P$9:P17,"&lt;&gt;",$D$9:D17,"&lt;&gt;Closed",$D$9:D17,"&lt;&gt;Cancelled"),"")</f>
        <v/>
      </c>
      <c r="R17" s="14" t="str">
        <f t="shared" si="1"/>
        <v>1041.01 | Rudders</v>
      </c>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row>
    <row r="18" spans="1:44" ht="40" hidden="1" customHeight="1" x14ac:dyDescent="0.35">
      <c r="A18" s="35" t="s">
        <v>108</v>
      </c>
      <c r="B18" s="15" t="s">
        <v>109</v>
      </c>
      <c r="C18" s="15" t="s">
        <v>75</v>
      </c>
      <c r="D18" s="15" t="s">
        <v>76</v>
      </c>
      <c r="E18" s="18" t="str">
        <f t="shared" si="0"/>
        <v/>
      </c>
      <c r="F18" s="18">
        <f>IF(A18="","",COUNTIF(Quotes!$B$9:$B$258,A18))</f>
        <v>0</v>
      </c>
      <c r="G18" s="19">
        <f>IF(A18="","",SUMIF(Quotes!$B$9:$B$258,A18,Quotes!$AI$9:$AI$258))</f>
        <v>0</v>
      </c>
      <c r="H18" s="19">
        <f>IF(A18="","",SUMIF(Quotes!$B$9:$B$258,A18,Quotes!$AJ$9:$AJ$258))</f>
        <v>0</v>
      </c>
      <c r="I18" s="15" t="s">
        <v>77</v>
      </c>
      <c r="J18" s="17"/>
      <c r="K18" s="17"/>
      <c r="L18" s="15" t="s">
        <v>110</v>
      </c>
      <c r="M18" s="15" t="s">
        <v>110</v>
      </c>
      <c r="N18" s="15"/>
      <c r="O18" s="18" t="s">
        <v>79</v>
      </c>
      <c r="P18" s="18"/>
      <c r="Q18" s="18" t="str">
        <f>IF(AND(A18&lt;&gt;"",P18&lt;&gt;"",D18&lt;&gt;"Closed",D18&lt;&gt;"Cancelled"),COUNTIFS($P$9:P18,"&lt;&gt;",$D$9:D18,"&lt;&gt;Closed",$D$9:D18,"&lt;&gt;Cancelled"),"")</f>
        <v/>
      </c>
      <c r="R18" s="18" t="str">
        <f t="shared" si="1"/>
        <v>1041.02 | Rudders dismounting/mounting</v>
      </c>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row>
    <row r="19" spans="1:44" ht="40" hidden="1" customHeight="1" x14ac:dyDescent="0.35">
      <c r="A19" s="34" t="s">
        <v>111</v>
      </c>
      <c r="B19" s="15" t="s">
        <v>112</v>
      </c>
      <c r="C19" s="15" t="s">
        <v>75</v>
      </c>
      <c r="D19" s="15" t="s">
        <v>76</v>
      </c>
      <c r="E19" s="14" t="str">
        <f t="shared" si="0"/>
        <v/>
      </c>
      <c r="F19" s="14">
        <f>IF(A19="","",COUNTIF(Quotes!$B$9:$B$258,A19))</f>
        <v>0</v>
      </c>
      <c r="G19" s="16">
        <f>IF(A19="","",SUMIF(Quotes!$B$9:$B$258,A19,Quotes!$AI$9:$AI$258))</f>
        <v>0</v>
      </c>
      <c r="H19" s="16">
        <f>IF(A19="","",SUMIF(Quotes!$B$9:$B$258,A19,Quotes!$AJ$9:$AJ$258))</f>
        <v>0</v>
      </c>
      <c r="I19" s="15" t="s">
        <v>77</v>
      </c>
      <c r="J19" s="17"/>
      <c r="K19" s="17"/>
      <c r="L19" s="15" t="s">
        <v>113</v>
      </c>
      <c r="M19" s="15" t="s">
        <v>113</v>
      </c>
      <c r="N19" s="15"/>
      <c r="O19" s="14" t="s">
        <v>79</v>
      </c>
      <c r="P19" s="14"/>
      <c r="Q19" s="14" t="str">
        <f>IF(AND(A19&lt;&gt;"",P19&lt;&gt;"",D19&lt;&gt;"Closed",D19&lt;&gt;"Cancelled"),COUNTIFS($P$9:P19,"&lt;&gt;",$D$9:D19,"&lt;&gt;Closed",$D$9:D19,"&lt;&gt;Cancelled"),"")</f>
        <v/>
      </c>
      <c r="R19" s="14" t="str">
        <f t="shared" si="1"/>
        <v>1041.03 | Rudder steel repair</v>
      </c>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row>
    <row r="20" spans="1:44" ht="40" hidden="1" customHeight="1" x14ac:dyDescent="0.35">
      <c r="A20" s="35" t="s">
        <v>114</v>
      </c>
      <c r="B20" s="15" t="s">
        <v>115</v>
      </c>
      <c r="C20" s="15" t="s">
        <v>116</v>
      </c>
      <c r="D20" s="15" t="s">
        <v>76</v>
      </c>
      <c r="E20" s="18" t="str">
        <f t="shared" si="0"/>
        <v/>
      </c>
      <c r="F20" s="18">
        <f>IF(A20="","",COUNTIF(Quotes!$B$9:$B$258,A20))</f>
        <v>0</v>
      </c>
      <c r="G20" s="19">
        <f>IF(A20="","",SUMIF(Quotes!$B$9:$B$258,A20,Quotes!$AI$9:$AI$258))</f>
        <v>0</v>
      </c>
      <c r="H20" s="19">
        <f>IF(A20="","",SUMIF(Quotes!$B$9:$B$258,A20,Quotes!$AJ$9:$AJ$258))</f>
        <v>0</v>
      </c>
      <c r="I20" s="15" t="s">
        <v>77</v>
      </c>
      <c r="J20" s="17"/>
      <c r="K20" s="17"/>
      <c r="L20" s="15" t="s">
        <v>117</v>
      </c>
      <c r="M20" s="15" t="s">
        <v>117</v>
      </c>
      <c r="N20" s="15"/>
      <c r="O20" s="18" t="s">
        <v>79</v>
      </c>
      <c r="P20" s="18"/>
      <c r="Q20" s="18" t="str">
        <f>IF(AND(A20&lt;&gt;"",P20&lt;&gt;"",D20&lt;&gt;"Closed",D20&lt;&gt;"Cancelled"),COUNTIFS($P$9:P20,"&lt;&gt;",$D$9:D20,"&lt;&gt;Closed",$D$9:D20,"&lt;&gt;Cancelled"),"")</f>
        <v/>
      </c>
      <c r="R20" s="18" t="str">
        <f t="shared" si="1"/>
        <v>1102.01 | Hull repair portside frame 96-105</v>
      </c>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row>
    <row r="21" spans="1:44" ht="40" hidden="1" customHeight="1" x14ac:dyDescent="0.35">
      <c r="A21" s="34" t="s">
        <v>118</v>
      </c>
      <c r="B21" s="15" t="s">
        <v>119</v>
      </c>
      <c r="C21" s="15" t="s">
        <v>116</v>
      </c>
      <c r="D21" s="15" t="s">
        <v>76</v>
      </c>
      <c r="E21" s="14" t="str">
        <f t="shared" si="0"/>
        <v/>
      </c>
      <c r="F21" s="14">
        <f>IF(A21="","",COUNTIF(Quotes!$B$9:$B$258,A21))</f>
        <v>0</v>
      </c>
      <c r="G21" s="16">
        <f>IF(A21="","",SUMIF(Quotes!$B$9:$B$258,A21,Quotes!$AI$9:$AI$258))</f>
        <v>0</v>
      </c>
      <c r="H21" s="16">
        <f>IF(A21="","",SUMIF(Quotes!$B$9:$B$258,A21,Quotes!$AJ$9:$AJ$258))</f>
        <v>0</v>
      </c>
      <c r="I21" s="15" t="s">
        <v>77</v>
      </c>
      <c r="J21" s="17"/>
      <c r="K21" s="17"/>
      <c r="L21" s="15" t="s">
        <v>120</v>
      </c>
      <c r="M21" s="15" t="s">
        <v>120</v>
      </c>
      <c r="N21" s="15"/>
      <c r="O21" s="14" t="s">
        <v>79</v>
      </c>
      <c r="P21" s="14"/>
      <c r="Q21" s="14" t="str">
        <f>IF(AND(A21&lt;&gt;"",P21&lt;&gt;"",D21&lt;&gt;"Closed",D21&lt;&gt;"Cancelled"),COUNTIFS($P$9:P21,"&lt;&gt;",$D$9:D21,"&lt;&gt;Closed",$D$9:D21,"&lt;&gt;Cancelled"),"")</f>
        <v/>
      </c>
      <c r="R21" s="14" t="str">
        <f t="shared" si="1"/>
        <v>1102.02 | Stevedore damage 9243447-2025-0704-001</v>
      </c>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row>
    <row r="22" spans="1:44" ht="40" hidden="1" customHeight="1" x14ac:dyDescent="0.35">
      <c r="A22" s="35" t="s">
        <v>121</v>
      </c>
      <c r="B22" s="15" t="s">
        <v>122</v>
      </c>
      <c r="C22" s="15" t="s">
        <v>75</v>
      </c>
      <c r="D22" s="15" t="s">
        <v>76</v>
      </c>
      <c r="E22" s="18" t="str">
        <f t="shared" si="0"/>
        <v/>
      </c>
      <c r="F22" s="18">
        <f>IF(A22="","",COUNTIF(Quotes!$B$9:$B$258,A22))</f>
        <v>0</v>
      </c>
      <c r="G22" s="19">
        <f>IF(A22="","",SUMIF(Quotes!$B$9:$B$258,A22,Quotes!$AI$9:$AI$258))</f>
        <v>0</v>
      </c>
      <c r="H22" s="19">
        <f>IF(A22="","",SUMIF(Quotes!$B$9:$B$258,A22,Quotes!$AJ$9:$AJ$258))</f>
        <v>0</v>
      </c>
      <c r="I22" s="15" t="s">
        <v>77</v>
      </c>
      <c r="J22" s="17"/>
      <c r="K22" s="17"/>
      <c r="L22" s="15" t="s">
        <v>123</v>
      </c>
      <c r="M22" s="15" t="s">
        <v>123</v>
      </c>
      <c r="N22" s="15"/>
      <c r="O22" s="18" t="s">
        <v>79</v>
      </c>
      <c r="P22" s="18"/>
      <c r="Q22" s="18" t="str">
        <f>IF(AND(A22&lt;&gt;"",P22&lt;&gt;"",D22&lt;&gt;"Closed",D22&lt;&gt;"Cancelled"),COUNTIFS($P$9:P22,"&lt;&gt;",$D$9:D22,"&lt;&gt;Closed",$D$9:D22,"&lt;&gt;Cancelled"),"")</f>
        <v/>
      </c>
      <c r="R22" s="18" t="str">
        <f t="shared" si="1"/>
        <v>1102.03 | Steel repair bottom</v>
      </c>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row>
    <row r="23" spans="1:44" ht="40" hidden="1" customHeight="1" x14ac:dyDescent="0.35">
      <c r="A23" s="34" t="s">
        <v>124</v>
      </c>
      <c r="B23" s="15" t="s">
        <v>125</v>
      </c>
      <c r="C23" s="15" t="s">
        <v>75</v>
      </c>
      <c r="D23" s="15" t="s">
        <v>76</v>
      </c>
      <c r="E23" s="14" t="str">
        <f t="shared" si="0"/>
        <v/>
      </c>
      <c r="F23" s="14">
        <f>IF(A23="","",COUNTIF(Quotes!$B$9:$B$258,A23))</f>
        <v>0</v>
      </c>
      <c r="G23" s="16">
        <f>IF(A23="","",SUMIF(Quotes!$B$9:$B$258,A23,Quotes!$AI$9:$AI$258))</f>
        <v>0</v>
      </c>
      <c r="H23" s="16">
        <f>IF(A23="","",SUMIF(Quotes!$B$9:$B$258,A23,Quotes!$AJ$9:$AJ$258))</f>
        <v>0</v>
      </c>
      <c r="I23" s="15" t="s">
        <v>77</v>
      </c>
      <c r="J23" s="17"/>
      <c r="K23" s="17"/>
      <c r="L23" s="15" t="s">
        <v>126</v>
      </c>
      <c r="M23" s="15" t="s">
        <v>126</v>
      </c>
      <c r="N23" s="15"/>
      <c r="O23" s="14" t="s">
        <v>79</v>
      </c>
      <c r="P23" s="14"/>
      <c r="Q23" s="14" t="str">
        <f>IF(AND(A23&lt;&gt;"",P23&lt;&gt;"",D23&lt;&gt;"Closed",D23&lt;&gt;"Cancelled"),COUNTIFS($P$9:P23,"&lt;&gt;",$D$9:D23,"&lt;&gt;Closed",$D$9:D23,"&lt;&gt;Cancelled"),"")</f>
        <v/>
      </c>
      <c r="R23" s="14" t="str">
        <f t="shared" si="1"/>
        <v>1102.05 | Removal of fenderlist below pilot doors</v>
      </c>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row>
    <row r="24" spans="1:44" ht="40" hidden="1" customHeight="1" x14ac:dyDescent="0.35">
      <c r="A24" s="35" t="s">
        <v>127</v>
      </c>
      <c r="B24" s="15" t="s">
        <v>128</v>
      </c>
      <c r="C24" s="15" t="s">
        <v>116</v>
      </c>
      <c r="D24" s="15" t="s">
        <v>76</v>
      </c>
      <c r="E24" s="18" t="str">
        <f t="shared" si="0"/>
        <v/>
      </c>
      <c r="F24" s="18">
        <f>IF(A24="","",COUNTIF(Quotes!$B$9:$B$258,A24))</f>
        <v>0</v>
      </c>
      <c r="G24" s="19">
        <f>IF(A24="","",SUMIF(Quotes!$B$9:$B$258,A24,Quotes!$AI$9:$AI$258))</f>
        <v>0</v>
      </c>
      <c r="H24" s="19">
        <f>IF(A24="","",SUMIF(Quotes!$B$9:$B$258,A24,Quotes!$AJ$9:$AJ$258))</f>
        <v>0</v>
      </c>
      <c r="I24" s="15" t="s">
        <v>77</v>
      </c>
      <c r="J24" s="17"/>
      <c r="K24" s="17"/>
      <c r="L24" s="15" t="s">
        <v>129</v>
      </c>
      <c r="M24" s="15" t="s">
        <v>129</v>
      </c>
      <c r="N24" s="15"/>
      <c r="O24" s="18" t="s">
        <v>79</v>
      </c>
      <c r="P24" s="18"/>
      <c r="Q24" s="18" t="str">
        <f>IF(AND(A24&lt;&gt;"",P24&lt;&gt;"",D24&lt;&gt;"Closed",D24&lt;&gt;"Cancelled"),COUNTIFS($P$9:P24,"&lt;&gt;",$D$9:D24,"&lt;&gt;Closed",$D$9:D24,"&lt;&gt;Cancelled"),"")</f>
        <v/>
      </c>
      <c r="R24" s="18" t="str">
        <f t="shared" si="1"/>
        <v>1108.01 | Deck painting</v>
      </c>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row>
    <row r="25" spans="1:44" ht="40" hidden="1" customHeight="1" x14ac:dyDescent="0.35">
      <c r="A25" s="34" t="s">
        <v>130</v>
      </c>
      <c r="B25" s="15" t="s">
        <v>131</v>
      </c>
      <c r="C25" s="15" t="s">
        <v>116</v>
      </c>
      <c r="D25" s="15" t="s">
        <v>76</v>
      </c>
      <c r="E25" s="14" t="str">
        <f t="shared" si="0"/>
        <v/>
      </c>
      <c r="F25" s="14">
        <f>IF(A25="","",COUNTIF(Quotes!$B$9:$B$258,A25))</f>
        <v>0</v>
      </c>
      <c r="G25" s="16">
        <f>IF(A25="","",SUMIF(Quotes!$B$9:$B$258,A25,Quotes!$AI$9:$AI$258))</f>
        <v>0</v>
      </c>
      <c r="H25" s="16">
        <f>IF(A25="","",SUMIF(Quotes!$B$9:$B$258,A25,Quotes!$AJ$9:$AJ$258))</f>
        <v>0</v>
      </c>
      <c r="I25" s="15" t="s">
        <v>77</v>
      </c>
      <c r="J25" s="17"/>
      <c r="K25" s="17"/>
      <c r="L25" s="15" t="s">
        <v>132</v>
      </c>
      <c r="M25" s="15" t="s">
        <v>132</v>
      </c>
      <c r="N25" s="15"/>
      <c r="O25" s="14" t="s">
        <v>79</v>
      </c>
      <c r="P25" s="14"/>
      <c r="Q25" s="14" t="str">
        <f>IF(AND(A25&lt;&gt;"",P25&lt;&gt;"",D25&lt;&gt;"Closed",D25&lt;&gt;"Cancelled"),COUNTIFS($P$9:P25,"&lt;&gt;",$D$9:D25,"&lt;&gt;Closed",$D$9:D25,"&lt;&gt;Cancelled"),"")</f>
        <v/>
      </c>
      <c r="R25" s="14" t="str">
        <f t="shared" si="1"/>
        <v>1108.02 | Anti slip grip</v>
      </c>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row>
    <row r="26" spans="1:44" ht="40" hidden="1" customHeight="1" x14ac:dyDescent="0.35">
      <c r="A26" s="35" t="s">
        <v>133</v>
      </c>
      <c r="B26" s="15" t="s">
        <v>134</v>
      </c>
      <c r="C26" s="15" t="s">
        <v>116</v>
      </c>
      <c r="D26" s="15" t="s">
        <v>76</v>
      </c>
      <c r="E26" s="18" t="str">
        <f t="shared" si="0"/>
        <v/>
      </c>
      <c r="F26" s="18">
        <f>IF(A26="","",COUNTIF(Quotes!$B$9:$B$258,A26))</f>
        <v>0</v>
      </c>
      <c r="G26" s="19">
        <f>IF(A26="","",SUMIF(Quotes!$B$9:$B$258,A26,Quotes!$AI$9:$AI$258))</f>
        <v>0</v>
      </c>
      <c r="H26" s="19">
        <f>IF(A26="","",SUMIF(Quotes!$B$9:$B$258,A26,Quotes!$AJ$9:$AJ$258))</f>
        <v>0</v>
      </c>
      <c r="I26" s="15" t="s">
        <v>77</v>
      </c>
      <c r="J26" s="17"/>
      <c r="K26" s="17"/>
      <c r="L26" s="15" t="s">
        <v>135</v>
      </c>
      <c r="M26" s="15" t="s">
        <v>135</v>
      </c>
      <c r="N26" s="15"/>
      <c r="O26" s="18" t="s">
        <v>79</v>
      </c>
      <c r="P26" s="18"/>
      <c r="Q26" s="18" t="str">
        <f>IF(AND(A26&lt;&gt;"",P26&lt;&gt;"",D26&lt;&gt;"Closed",D26&lt;&gt;"Cancelled"),COUNTIFS($P$9:P26,"&lt;&gt;",$D$9:D26,"&lt;&gt;Closed",$D$9:D26,"&lt;&gt;Cancelled"),"")</f>
        <v/>
      </c>
      <c r="R26" s="18" t="str">
        <f t="shared" si="1"/>
        <v>1108.03 | A60 insulation on cargo deck</v>
      </c>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row>
    <row r="27" spans="1:44" ht="40" hidden="1" customHeight="1" x14ac:dyDescent="0.35">
      <c r="A27" s="34" t="s">
        <v>136</v>
      </c>
      <c r="B27" s="15" t="s">
        <v>137</v>
      </c>
      <c r="C27" s="15" t="s">
        <v>116</v>
      </c>
      <c r="D27" s="15" t="s">
        <v>76</v>
      </c>
      <c r="E27" s="14" t="str">
        <f t="shared" si="0"/>
        <v/>
      </c>
      <c r="F27" s="14">
        <f>IF(A27="","",COUNTIF(Quotes!$B$9:$B$258,A27))</f>
        <v>0</v>
      </c>
      <c r="G27" s="16">
        <f>IF(A27="","",SUMIF(Quotes!$B$9:$B$258,A27,Quotes!$AI$9:$AI$258))</f>
        <v>0</v>
      </c>
      <c r="H27" s="16">
        <f>IF(A27="","",SUMIF(Quotes!$B$9:$B$258,A27,Quotes!$AJ$9:$AJ$258))</f>
        <v>0</v>
      </c>
      <c r="I27" s="15" t="s">
        <v>77</v>
      </c>
      <c r="J27" s="17"/>
      <c r="K27" s="17"/>
      <c r="L27" s="15" t="s">
        <v>138</v>
      </c>
      <c r="M27" s="15" t="s">
        <v>138</v>
      </c>
      <c r="N27" s="15"/>
      <c r="O27" s="14" t="s">
        <v>79</v>
      </c>
      <c r="P27" s="14"/>
      <c r="Q27" s="14" t="str">
        <f>IF(AND(A27&lt;&gt;"",P27&lt;&gt;"",D27&lt;&gt;"Closed",D27&lt;&gt;"Cancelled"),COUNTIFS($P$9:P27,"&lt;&gt;",$D$9:D27,"&lt;&gt;Closed",$D$9:D27,"&lt;&gt;Cancelled"),"")</f>
        <v/>
      </c>
      <c r="R27" s="14" t="str">
        <f t="shared" si="1"/>
        <v>1114.01 | Ballast tanks</v>
      </c>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row>
    <row r="28" spans="1:44" ht="40" hidden="1" customHeight="1" x14ac:dyDescent="0.35">
      <c r="A28" s="35" t="s">
        <v>139</v>
      </c>
      <c r="B28" s="15" t="s">
        <v>140</v>
      </c>
      <c r="C28" s="15" t="s">
        <v>116</v>
      </c>
      <c r="D28" s="15" t="s">
        <v>76</v>
      </c>
      <c r="E28" s="18" t="str">
        <f t="shared" si="0"/>
        <v/>
      </c>
      <c r="F28" s="18">
        <f>IF(A28="","",COUNTIF(Quotes!$B$9:$B$258,A28))</f>
        <v>0</v>
      </c>
      <c r="G28" s="19">
        <f>IF(A28="","",SUMIF(Quotes!$B$9:$B$258,A28,Quotes!$AI$9:$AI$258))</f>
        <v>0</v>
      </c>
      <c r="H28" s="19">
        <f>IF(A28="","",SUMIF(Quotes!$B$9:$B$258,A28,Quotes!$AJ$9:$AJ$258))</f>
        <v>0</v>
      </c>
      <c r="I28" s="15" t="s">
        <v>77</v>
      </c>
      <c r="J28" s="17"/>
      <c r="K28" s="17"/>
      <c r="L28" s="15" t="s">
        <v>141</v>
      </c>
      <c r="M28" s="15" t="s">
        <v>141</v>
      </c>
      <c r="N28" s="15"/>
      <c r="O28" s="18" t="s">
        <v>79</v>
      </c>
      <c r="P28" s="18"/>
      <c r="Q28" s="18" t="str">
        <f>IF(AND(A28&lt;&gt;"",P28&lt;&gt;"",D28&lt;&gt;"Closed",D28&lt;&gt;"Cancelled"),COUNTIFS($P$9:P28,"&lt;&gt;",$D$9:D28,"&lt;&gt;Closed",$D$9:D28,"&lt;&gt;Cancelled"),"")</f>
        <v/>
      </c>
      <c r="R28" s="18" t="str">
        <f t="shared" si="1"/>
        <v>1114.02 | Dry Double bottom</v>
      </c>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row>
    <row r="29" spans="1:44" ht="40" hidden="1" customHeight="1" x14ac:dyDescent="0.35">
      <c r="A29" s="34" t="s">
        <v>142</v>
      </c>
      <c r="B29" s="15" t="s">
        <v>143</v>
      </c>
      <c r="C29" s="15" t="s">
        <v>116</v>
      </c>
      <c r="D29" s="15" t="s">
        <v>76</v>
      </c>
      <c r="E29" s="14" t="str">
        <f t="shared" si="0"/>
        <v/>
      </c>
      <c r="F29" s="14">
        <f>IF(A29="","",COUNTIF(Quotes!$B$9:$B$258,A29))</f>
        <v>0</v>
      </c>
      <c r="G29" s="16">
        <f>IF(A29="","",SUMIF(Quotes!$B$9:$B$258,A29,Quotes!$AI$9:$AI$258))</f>
        <v>0</v>
      </c>
      <c r="H29" s="16">
        <f>IF(A29="","",SUMIF(Quotes!$B$9:$B$258,A29,Quotes!$AJ$9:$AJ$258))</f>
        <v>0</v>
      </c>
      <c r="I29" s="15" t="s">
        <v>77</v>
      </c>
      <c r="J29" s="17"/>
      <c r="K29" s="17"/>
      <c r="L29" s="15" t="s">
        <v>144</v>
      </c>
      <c r="M29" s="15" t="s">
        <v>144</v>
      </c>
      <c r="N29" s="15"/>
      <c r="O29" s="14" t="s">
        <v>79</v>
      </c>
      <c r="P29" s="14"/>
      <c r="Q29" s="14" t="str">
        <f>IF(AND(A29&lt;&gt;"",P29&lt;&gt;"",D29&lt;&gt;"Closed",D29&lt;&gt;"Cancelled"),COUNTIFS($P$9:P29,"&lt;&gt;",$D$9:D29,"&lt;&gt;Closed",$D$9:D29,"&lt;&gt;Cancelled"),"")</f>
        <v/>
      </c>
      <c r="R29" s="14" t="str">
        <f t="shared" si="1"/>
        <v>1123.01 | Aft mast + Aft mooring station mast TO  BE ORDERED BY VESSEL</v>
      </c>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row>
    <row r="30" spans="1:44" ht="40" hidden="1" customHeight="1" x14ac:dyDescent="0.35">
      <c r="A30" s="35" t="s">
        <v>145</v>
      </c>
      <c r="B30" s="15" t="s">
        <v>146</v>
      </c>
      <c r="C30" s="15" t="s">
        <v>116</v>
      </c>
      <c r="D30" s="15" t="s">
        <v>76</v>
      </c>
      <c r="E30" s="18" t="str">
        <f t="shared" si="0"/>
        <v/>
      </c>
      <c r="F30" s="18">
        <f>IF(A30="","",COUNTIF(Quotes!$B$9:$B$258,A30))</f>
        <v>0</v>
      </c>
      <c r="G30" s="19">
        <f>IF(A30="","",SUMIF(Quotes!$B$9:$B$258,A30,Quotes!$AI$9:$AI$258))</f>
        <v>0</v>
      </c>
      <c r="H30" s="19">
        <f>IF(A30="","",SUMIF(Quotes!$B$9:$B$258,A30,Quotes!$AJ$9:$AJ$258))</f>
        <v>0</v>
      </c>
      <c r="I30" s="15" t="s">
        <v>77</v>
      </c>
      <c r="J30" s="17"/>
      <c r="K30" s="17"/>
      <c r="L30" s="15" t="s">
        <v>147</v>
      </c>
      <c r="M30" s="15" t="s">
        <v>147</v>
      </c>
      <c r="N30" s="15"/>
      <c r="O30" s="18" t="s">
        <v>79</v>
      </c>
      <c r="P30" s="18"/>
      <c r="Q30" s="18" t="str">
        <f>IF(AND(A30&lt;&gt;"",P30&lt;&gt;"",D30&lt;&gt;"Closed",D30&lt;&gt;"Cancelled"),COUNTIFS($P$9:P30,"&lt;&gt;",$D$9:D30,"&lt;&gt;Closed",$D$9:D30,"&lt;&gt;Cancelled"),"")</f>
        <v/>
      </c>
      <c r="R30" s="18" t="str">
        <f t="shared" si="1"/>
        <v>1123.03 | Forward mast wires</v>
      </c>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row>
    <row r="31" spans="1:44" ht="40" hidden="1" customHeight="1" x14ac:dyDescent="0.35">
      <c r="A31" s="34" t="s">
        <v>148</v>
      </c>
      <c r="B31" s="15" t="s">
        <v>149</v>
      </c>
      <c r="C31" s="15" t="s">
        <v>116</v>
      </c>
      <c r="D31" s="15" t="s">
        <v>76</v>
      </c>
      <c r="E31" s="14" t="str">
        <f t="shared" si="0"/>
        <v/>
      </c>
      <c r="F31" s="14">
        <f>IF(A31="","",COUNTIF(Quotes!$B$9:$B$258,A31))</f>
        <v>0</v>
      </c>
      <c r="G31" s="16">
        <f>IF(A31="","",SUMIF(Quotes!$B$9:$B$258,A31,Quotes!$AI$9:$AI$258))</f>
        <v>0</v>
      </c>
      <c r="H31" s="16">
        <f>IF(A31="","",SUMIF(Quotes!$B$9:$B$258,A31,Quotes!$AJ$9:$AJ$258))</f>
        <v>0</v>
      </c>
      <c r="I31" s="15" t="s">
        <v>77</v>
      </c>
      <c r="J31" s="17"/>
      <c r="K31" s="17"/>
      <c r="L31" s="15" t="s">
        <v>150</v>
      </c>
      <c r="M31" s="15" t="s">
        <v>150</v>
      </c>
      <c r="N31" s="15"/>
      <c r="O31" s="14" t="s">
        <v>79</v>
      </c>
      <c r="P31" s="14"/>
      <c r="Q31" s="14" t="str">
        <f>IF(AND(A31&lt;&gt;"",P31&lt;&gt;"",D31&lt;&gt;"Closed",D31&lt;&gt;"Cancelled"),COUNTIFS($P$9:P31,"&lt;&gt;",$D$9:D31,"&lt;&gt;Closed",$D$9:D31,"&lt;&gt;Cancelled"),"")</f>
        <v/>
      </c>
      <c r="R31" s="14" t="str">
        <f t="shared" si="1"/>
        <v>1201.01 | Anchors and chains</v>
      </c>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row>
    <row r="32" spans="1:44" ht="40" hidden="1" customHeight="1" x14ac:dyDescent="0.35">
      <c r="A32" s="35" t="s">
        <v>151</v>
      </c>
      <c r="B32" s="15" t="s">
        <v>152</v>
      </c>
      <c r="C32" s="15" t="s">
        <v>116</v>
      </c>
      <c r="D32" s="15" t="s">
        <v>76</v>
      </c>
      <c r="E32" s="18" t="str">
        <f t="shared" si="0"/>
        <v/>
      </c>
      <c r="F32" s="18">
        <f>IF(A32="","",COUNTIF(Quotes!$B$9:$B$258,A32))</f>
        <v>0</v>
      </c>
      <c r="G32" s="19">
        <f>IF(A32="","",SUMIF(Quotes!$B$9:$B$258,A32,Quotes!$AI$9:$AI$258))</f>
        <v>0</v>
      </c>
      <c r="H32" s="19">
        <f>IF(A32="","",SUMIF(Quotes!$B$9:$B$258,A32,Quotes!$AJ$9:$AJ$258))</f>
        <v>0</v>
      </c>
      <c r="I32" s="15" t="s">
        <v>77</v>
      </c>
      <c r="J32" s="17"/>
      <c r="K32" s="17"/>
      <c r="L32" s="15" t="s">
        <v>153</v>
      </c>
      <c r="M32" s="15" t="s">
        <v>153</v>
      </c>
      <c r="N32" s="15"/>
      <c r="O32" s="18" t="s">
        <v>79</v>
      </c>
      <c r="P32" s="18"/>
      <c r="Q32" s="18" t="str">
        <f>IF(AND(A32&lt;&gt;"",P32&lt;&gt;"",D32&lt;&gt;"Closed",D32&lt;&gt;"Cancelled"),COUNTIFS($P$9:P32,"&lt;&gt;",$D$9:D32,"&lt;&gt;Closed",$D$9:D32,"&lt;&gt;Cancelled"),"")</f>
        <v/>
      </c>
      <c r="R32" s="18" t="str">
        <f t="shared" si="1"/>
        <v>1201.04 | Hawse Pipes and Anchor Pockets</v>
      </c>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row>
    <row r="33" spans="1:44" ht="40" hidden="1" customHeight="1" x14ac:dyDescent="0.35">
      <c r="A33" s="34" t="s">
        <v>154</v>
      </c>
      <c r="B33" s="15" t="s">
        <v>155</v>
      </c>
      <c r="C33" s="15" t="s">
        <v>116</v>
      </c>
      <c r="D33" s="15" t="s">
        <v>76</v>
      </c>
      <c r="E33" s="14" t="str">
        <f t="shared" si="0"/>
        <v/>
      </c>
      <c r="F33" s="14">
        <f>IF(A33="","",COUNTIF(Quotes!$B$9:$B$258,A33))</f>
        <v>0</v>
      </c>
      <c r="G33" s="16">
        <f>IF(A33="","",SUMIF(Quotes!$B$9:$B$258,A33,Quotes!$AI$9:$AI$258))</f>
        <v>0</v>
      </c>
      <c r="H33" s="16">
        <f>IF(A33="","",SUMIF(Quotes!$B$9:$B$258,A33,Quotes!$AJ$9:$AJ$258))</f>
        <v>0</v>
      </c>
      <c r="I33" s="15" t="s">
        <v>77</v>
      </c>
      <c r="J33" s="17"/>
      <c r="K33" s="17"/>
      <c r="L33" s="15" t="s">
        <v>156</v>
      </c>
      <c r="M33" s="15" t="s">
        <v>156</v>
      </c>
      <c r="N33" s="15"/>
      <c r="O33" s="14" t="s">
        <v>79</v>
      </c>
      <c r="P33" s="14"/>
      <c r="Q33" s="14" t="str">
        <f>IF(AND(A33&lt;&gt;"",P33&lt;&gt;"",D33&lt;&gt;"Closed",D33&lt;&gt;"Cancelled"),COUNTIFS($P$9:P33,"&lt;&gt;",$D$9:D33,"&lt;&gt;Closed",$D$9:D33,"&lt;&gt;Cancelled"),"")</f>
        <v/>
      </c>
      <c r="R33" s="14" t="str">
        <f t="shared" si="1"/>
        <v>1225.01 | Scubber valves</v>
      </c>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row>
    <row r="34" spans="1:44" ht="40" hidden="1" customHeight="1" x14ac:dyDescent="0.35">
      <c r="A34" s="35" t="s">
        <v>157</v>
      </c>
      <c r="B34" s="15" t="s">
        <v>158</v>
      </c>
      <c r="C34" s="15" t="s">
        <v>159</v>
      </c>
      <c r="D34" s="15" t="s">
        <v>76</v>
      </c>
      <c r="E34" s="18" t="str">
        <f t="shared" si="0"/>
        <v/>
      </c>
      <c r="F34" s="18">
        <f>IF(A34="","",COUNTIF(Quotes!$B$9:$B$258,A34))</f>
        <v>0</v>
      </c>
      <c r="G34" s="19">
        <f>IF(A34="","",SUMIF(Quotes!$B$9:$B$258,A34,Quotes!$AI$9:$AI$258))</f>
        <v>0</v>
      </c>
      <c r="H34" s="19">
        <f>IF(A34="","",SUMIF(Quotes!$B$9:$B$258,A34,Quotes!$AJ$9:$AJ$258))</f>
        <v>0</v>
      </c>
      <c r="I34" s="15" t="s">
        <v>77</v>
      </c>
      <c r="J34" s="17"/>
      <c r="K34" s="17"/>
      <c r="L34" s="15" t="s">
        <v>160</v>
      </c>
      <c r="M34" s="15" t="s">
        <v>160</v>
      </c>
      <c r="N34" s="15"/>
      <c r="O34" s="18" t="s">
        <v>79</v>
      </c>
      <c r="P34" s="18"/>
      <c r="Q34" s="18" t="str">
        <f>IF(AND(A34&lt;&gt;"",P34&lt;&gt;"",D34&lt;&gt;"Closed",D34&lt;&gt;"Cancelled"),COUNTIFS($P$9:P34,"&lt;&gt;",$D$9:D34,"&lt;&gt;Closed",$D$9:D34,"&lt;&gt;Cancelled"),"")</f>
        <v/>
      </c>
      <c r="R34" s="18" t="str">
        <f t="shared" si="1"/>
        <v>1225.02 | Drain pipes from galley</v>
      </c>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row>
    <row r="35" spans="1:44" ht="40" hidden="1" customHeight="1" x14ac:dyDescent="0.35">
      <c r="A35" s="34" t="s">
        <v>161</v>
      </c>
      <c r="B35" s="15" t="s">
        <v>162</v>
      </c>
      <c r="C35" s="15" t="s">
        <v>163</v>
      </c>
      <c r="D35" s="15" t="s">
        <v>76</v>
      </c>
      <c r="E35" s="14" t="str">
        <f t="shared" si="0"/>
        <v/>
      </c>
      <c r="F35" s="14">
        <f>IF(A35="","",COUNTIF(Quotes!$B$9:$B$258,A35))</f>
        <v>0</v>
      </c>
      <c r="G35" s="16">
        <f>IF(A35="","",SUMIF(Quotes!$B$9:$B$258,A35,Quotes!$AI$9:$AI$258))</f>
        <v>0</v>
      </c>
      <c r="H35" s="16">
        <f>IF(A35="","",SUMIF(Quotes!$B$9:$B$258,A35,Quotes!$AJ$9:$AJ$258))</f>
        <v>0</v>
      </c>
      <c r="I35" s="15" t="s">
        <v>77</v>
      </c>
      <c r="J35" s="17"/>
      <c r="K35" s="17"/>
      <c r="L35" s="15" t="s">
        <v>164</v>
      </c>
      <c r="M35" s="15" t="s">
        <v>164</v>
      </c>
      <c r="N35" s="15"/>
      <c r="O35" s="14" t="s">
        <v>79</v>
      </c>
      <c r="P35" s="14"/>
      <c r="Q35" s="14" t="str">
        <f>IF(AND(A35&lt;&gt;"",P35&lt;&gt;"",D35&lt;&gt;"Closed",D35&lt;&gt;"Cancelled"),COUNTIFS($P$9:P35,"&lt;&gt;",$D$9:D35,"&lt;&gt;Closed",$D$9:D35,"&lt;&gt;Cancelled"),"")</f>
        <v/>
      </c>
      <c r="R35" s="14" t="str">
        <f t="shared" si="1"/>
        <v>1250.01 | Cable to tray to be installed on weather deck aft ramp area. Allow for new cable tray in length 10 meters and 600mm wide delivered by the Yard.</v>
      </c>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row>
    <row r="36" spans="1:44" ht="40" hidden="1" customHeight="1" x14ac:dyDescent="0.35">
      <c r="A36" s="35" t="s">
        <v>165</v>
      </c>
      <c r="B36" s="15" t="s">
        <v>166</v>
      </c>
      <c r="C36" s="15" t="s">
        <v>163</v>
      </c>
      <c r="D36" s="15" t="s">
        <v>76</v>
      </c>
      <c r="E36" s="18" t="str">
        <f t="shared" si="0"/>
        <v/>
      </c>
      <c r="F36" s="18">
        <f>IF(A36="","",COUNTIF(Quotes!$B$9:$B$258,A36))</f>
        <v>0</v>
      </c>
      <c r="G36" s="19">
        <f>IF(A36="","",SUMIF(Quotes!$B$9:$B$258,A36,Quotes!$AI$9:$AI$258))</f>
        <v>0</v>
      </c>
      <c r="H36" s="19">
        <f>IF(A36="","",SUMIF(Quotes!$B$9:$B$258,A36,Quotes!$AJ$9:$AJ$258))</f>
        <v>0</v>
      </c>
      <c r="I36" s="15" t="s">
        <v>77</v>
      </c>
      <c r="J36" s="17"/>
      <c r="K36" s="17"/>
      <c r="L36" s="15" t="s">
        <v>167</v>
      </c>
      <c r="M36" s="15" t="s">
        <v>167</v>
      </c>
      <c r="N36" s="15"/>
      <c r="O36" s="18" t="s">
        <v>79</v>
      </c>
      <c r="P36" s="18"/>
      <c r="Q36" s="18" t="str">
        <f>IF(AND(A36&lt;&gt;"",P36&lt;&gt;"",D36&lt;&gt;"Closed",D36&lt;&gt;"Cancelled"),COUNTIFS($P$9:P36,"&lt;&gt;",$D$9:D36,"&lt;&gt;Closed",$D$9:D36,"&lt;&gt;Cancelled"),"")</f>
        <v/>
      </c>
      <c r="R36" s="18" t="str">
        <f t="shared" si="1"/>
        <v>1250.02 | Reefer sockets power cable replacement</v>
      </c>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row>
    <row r="37" spans="1:44" ht="40" hidden="1" customHeight="1" x14ac:dyDescent="0.35">
      <c r="A37" s="34" t="s">
        <v>168</v>
      </c>
      <c r="B37" s="15" t="s">
        <v>169</v>
      </c>
      <c r="C37" s="15" t="s">
        <v>163</v>
      </c>
      <c r="D37" s="15" t="s">
        <v>76</v>
      </c>
      <c r="E37" s="14" t="str">
        <f t="shared" si="0"/>
        <v/>
      </c>
      <c r="F37" s="14">
        <f>IF(A37="","",COUNTIF(Quotes!$B$9:$B$258,A37))</f>
        <v>0</v>
      </c>
      <c r="G37" s="16">
        <f>IF(A37="","",SUMIF(Quotes!$B$9:$B$258,A37,Quotes!$AI$9:$AI$258))</f>
        <v>0</v>
      </c>
      <c r="H37" s="16">
        <f>IF(A37="","",SUMIF(Quotes!$B$9:$B$258,A37,Quotes!$AJ$9:$AJ$258))</f>
        <v>0</v>
      </c>
      <c r="I37" s="15" t="s">
        <v>77</v>
      </c>
      <c r="J37" s="17"/>
      <c r="K37" s="17"/>
      <c r="L37" s="15" t="s">
        <v>170</v>
      </c>
      <c r="M37" s="15" t="s">
        <v>170</v>
      </c>
      <c r="N37" s="15"/>
      <c r="O37" s="14" t="s">
        <v>79</v>
      </c>
      <c r="P37" s="14"/>
      <c r="Q37" s="14" t="str">
        <f>IF(AND(A37&lt;&gt;"",P37&lt;&gt;"",D37&lt;&gt;"Closed",D37&lt;&gt;"Cancelled"),COUNTIFS($P$9:P37,"&lt;&gt;",$D$9:D37,"&lt;&gt;Closed",$D$9:D37,"&lt;&gt;Cancelled"),"")</f>
        <v/>
      </c>
      <c r="R37" s="14" t="str">
        <f t="shared" si="1"/>
        <v>1250.03 | Electrical jobs</v>
      </c>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row>
    <row r="38" spans="1:44" ht="40" hidden="1" customHeight="1" x14ac:dyDescent="0.35">
      <c r="A38" s="35" t="s">
        <v>171</v>
      </c>
      <c r="B38" s="15" t="s">
        <v>172</v>
      </c>
      <c r="C38" s="15" t="s">
        <v>163</v>
      </c>
      <c r="D38" s="15" t="s">
        <v>76</v>
      </c>
      <c r="E38" s="18" t="str">
        <f t="shared" si="0"/>
        <v/>
      </c>
      <c r="F38" s="18">
        <f>IF(A38="","",COUNTIF(Quotes!$B$9:$B$258,A38))</f>
        <v>0</v>
      </c>
      <c r="G38" s="19">
        <f>IF(A38="","",SUMIF(Quotes!$B$9:$B$258,A38,Quotes!$AI$9:$AI$258))</f>
        <v>0</v>
      </c>
      <c r="H38" s="19">
        <f>IF(A38="","",SUMIF(Quotes!$B$9:$B$258,A38,Quotes!$AJ$9:$AJ$258))</f>
        <v>0</v>
      </c>
      <c r="I38" s="15" t="s">
        <v>77</v>
      </c>
      <c r="J38" s="17"/>
      <c r="K38" s="17"/>
      <c r="L38" s="15" t="s">
        <v>173</v>
      </c>
      <c r="M38" s="15" t="s">
        <v>173</v>
      </c>
      <c r="N38" s="15"/>
      <c r="O38" s="18" t="s">
        <v>79</v>
      </c>
      <c r="P38" s="18"/>
      <c r="Q38" s="18" t="str">
        <f>IF(AND(A38&lt;&gt;"",P38&lt;&gt;"",D38&lt;&gt;"Closed",D38&lt;&gt;"Cancelled"),COUNTIFS($P$9:P38,"&lt;&gt;",$D$9:D38,"&lt;&gt;Closed",$D$9:D38,"&lt;&gt;Cancelled"),"")</f>
        <v/>
      </c>
      <c r="R38" s="18" t="str">
        <f t="shared" si="1"/>
        <v>1250.04 | CCTV upgrade</v>
      </c>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row>
    <row r="39" spans="1:44" ht="40" hidden="1" customHeight="1" x14ac:dyDescent="0.35">
      <c r="A39" s="34" t="s">
        <v>174</v>
      </c>
      <c r="B39" s="15" t="s">
        <v>175</v>
      </c>
      <c r="C39" s="15" t="s">
        <v>163</v>
      </c>
      <c r="D39" s="15" t="s">
        <v>76</v>
      </c>
      <c r="E39" s="14" t="str">
        <f t="shared" si="0"/>
        <v/>
      </c>
      <c r="F39" s="14">
        <f>IF(A39="","",COUNTIF(Quotes!$B$9:$B$258,A39))</f>
        <v>0</v>
      </c>
      <c r="G39" s="16">
        <f>IF(A39="","",SUMIF(Quotes!$B$9:$B$258,A39,Quotes!$AI$9:$AI$258))</f>
        <v>0</v>
      </c>
      <c r="H39" s="16">
        <f>IF(A39="","",SUMIF(Quotes!$B$9:$B$258,A39,Quotes!$AJ$9:$AJ$258))</f>
        <v>0</v>
      </c>
      <c r="I39" s="15" t="s">
        <v>77</v>
      </c>
      <c r="J39" s="17"/>
      <c r="K39" s="17"/>
      <c r="L39" s="15" t="s">
        <v>176</v>
      </c>
      <c r="M39" s="15" t="s">
        <v>176</v>
      </c>
      <c r="N39" s="15"/>
      <c r="O39" s="14" t="s">
        <v>79</v>
      </c>
      <c r="P39" s="14"/>
      <c r="Q39" s="14" t="str">
        <f>IF(AND(A39&lt;&gt;"",P39&lt;&gt;"",D39&lt;&gt;"Closed",D39&lt;&gt;"Cancelled"),COUNTIFS($P$9:P39,"&lt;&gt;",$D$9:D39,"&lt;&gt;Closed",$D$9:D39,"&lt;&gt;Cancelled"),"")</f>
        <v/>
      </c>
      <c r="R39" s="14" t="str">
        <f t="shared" si="1"/>
        <v>1302.01 | Mooring winch electric motors overhaul + Mooring Winches Brake Rendering Tests</v>
      </c>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row>
    <row r="40" spans="1:44" ht="40" customHeight="1" x14ac:dyDescent="0.35">
      <c r="A40" s="35" t="s">
        <v>177</v>
      </c>
      <c r="B40" s="15" t="s">
        <v>178</v>
      </c>
      <c r="C40" s="15" t="s">
        <v>179</v>
      </c>
      <c r="D40" s="15" t="s">
        <v>76</v>
      </c>
      <c r="E40" s="18" t="str">
        <f t="shared" si="0"/>
        <v>OPEN JOB</v>
      </c>
      <c r="F40" s="18">
        <f>IF(A40="","",COUNTIF(Quotes!$B$9:$B$258,A40))</f>
        <v>2</v>
      </c>
      <c r="G40" s="19">
        <f>IF(A40="","",SUMIF(Quotes!$B$9:$B$258,A40,Quotes!$AI$9:$AI$258))</f>
        <v>42681</v>
      </c>
      <c r="H40" s="19">
        <f>IF(A40="","",SUMIF(Quotes!$B$9:$B$258,A40,Quotes!$AJ$9:$AJ$258))</f>
        <v>0</v>
      </c>
      <c r="I40" s="15" t="s">
        <v>77</v>
      </c>
      <c r="J40" s="17"/>
      <c r="K40" s="17"/>
      <c r="L40" s="15" t="s">
        <v>180</v>
      </c>
      <c r="M40" s="15" t="s">
        <v>180</v>
      </c>
      <c r="N40" s="15"/>
      <c r="O40" s="18" t="s">
        <v>79</v>
      </c>
      <c r="P40" s="18" t="s">
        <v>181</v>
      </c>
      <c r="Q40" s="18">
        <f>IF(AND(A40&lt;&gt;"",P40&lt;&gt;"",D40&lt;&gt;"Closed",D40&lt;&gt;"Cancelled"),COUNTIFS($P$9:P40,"&lt;&gt;",$D$9:D40,"&lt;&gt;Closed",$D$9:D40,"&lt;&gt;Cancelled"),"")</f>
        <v>3</v>
      </c>
      <c r="R40" s="18" t="str">
        <f t="shared" si="1"/>
        <v>1303.01 | Steering gears overhaul</v>
      </c>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row>
    <row r="41" spans="1:44" ht="40" hidden="1" customHeight="1" x14ac:dyDescent="0.35">
      <c r="A41" s="34" t="s">
        <v>182</v>
      </c>
      <c r="B41" s="15" t="s">
        <v>183</v>
      </c>
      <c r="C41" s="15" t="s">
        <v>179</v>
      </c>
      <c r="D41" s="15" t="s">
        <v>76</v>
      </c>
      <c r="E41" s="14" t="str">
        <f t="shared" si="0"/>
        <v/>
      </c>
      <c r="F41" s="14">
        <f>IF(A41="","",COUNTIF(Quotes!$B$9:$B$258,A41))</f>
        <v>0</v>
      </c>
      <c r="G41" s="16">
        <f>IF(A41="","",SUMIF(Quotes!$B$9:$B$258,A41,Quotes!$AI$9:$AI$258))</f>
        <v>0</v>
      </c>
      <c r="H41" s="16">
        <f>IF(A41="","",SUMIF(Quotes!$B$9:$B$258,A41,Quotes!$AJ$9:$AJ$258))</f>
        <v>0</v>
      </c>
      <c r="I41" s="15" t="s">
        <v>77</v>
      </c>
      <c r="J41" s="17"/>
      <c r="K41" s="17"/>
      <c r="L41" s="15" t="s">
        <v>184</v>
      </c>
      <c r="M41" s="15" t="s">
        <v>184</v>
      </c>
      <c r="N41" s="15"/>
      <c r="O41" s="14" t="s">
        <v>79</v>
      </c>
      <c r="P41" s="14"/>
      <c r="Q41" s="14" t="str">
        <f>IF(AND(A41&lt;&gt;"",P41&lt;&gt;"",D41&lt;&gt;"Closed",D41&lt;&gt;"Cancelled"),COUNTIFS($P$9:P41,"&lt;&gt;",$D$9:D41,"&lt;&gt;Closed",$D$9:D41,"&lt;&gt;Cancelled"),"")</f>
        <v/>
      </c>
      <c r="R41" s="14" t="str">
        <f t="shared" si="1"/>
        <v>1303.02 | Steering gear hydraulic</v>
      </c>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row>
    <row r="42" spans="1:44" ht="40" hidden="1" customHeight="1" x14ac:dyDescent="0.35">
      <c r="A42" s="35" t="s">
        <v>185</v>
      </c>
      <c r="B42" s="15" t="s">
        <v>186</v>
      </c>
      <c r="C42" s="15" t="s">
        <v>179</v>
      </c>
      <c r="D42" s="15" t="s">
        <v>76</v>
      </c>
      <c r="E42" s="18" t="str">
        <f t="shared" si="0"/>
        <v/>
      </c>
      <c r="F42" s="18">
        <f>IF(A42="","",COUNTIF(Quotes!$B$9:$B$258,A42))</f>
        <v>0</v>
      </c>
      <c r="G42" s="19">
        <f>IF(A42="","",SUMIF(Quotes!$B$9:$B$258,A42,Quotes!$AI$9:$AI$258))</f>
        <v>0</v>
      </c>
      <c r="H42" s="19">
        <f>IF(A42="","",SUMIF(Quotes!$B$9:$B$258,A42,Quotes!$AJ$9:$AJ$258))</f>
        <v>0</v>
      </c>
      <c r="I42" s="15" t="s">
        <v>77</v>
      </c>
      <c r="J42" s="17"/>
      <c r="K42" s="17"/>
      <c r="L42" s="15" t="s">
        <v>187</v>
      </c>
      <c r="M42" s="15" t="s">
        <v>187</v>
      </c>
      <c r="N42" s="15"/>
      <c r="O42" s="18" t="s">
        <v>79</v>
      </c>
      <c r="P42" s="18"/>
      <c r="Q42" s="18" t="str">
        <f>IF(AND(A42&lt;&gt;"",P42&lt;&gt;"",D42&lt;&gt;"Closed",D42&lt;&gt;"Cancelled"),COUNTIFS($P$9:P42,"&lt;&gt;",$D$9:D42,"&lt;&gt;Closed",$D$9:D42,"&lt;&gt;Cancelled"),"")</f>
        <v/>
      </c>
      <c r="R42" s="18" t="str">
        <f t="shared" si="1"/>
        <v>1309.01 | Ballast Tank Pneumatic Sounding System</v>
      </c>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row>
    <row r="43" spans="1:44" ht="40" hidden="1" customHeight="1" x14ac:dyDescent="0.35">
      <c r="A43" s="34" t="s">
        <v>188</v>
      </c>
      <c r="B43" s="15" t="s">
        <v>189</v>
      </c>
      <c r="C43" s="15" t="s">
        <v>116</v>
      </c>
      <c r="D43" s="15" t="s">
        <v>76</v>
      </c>
      <c r="E43" s="14" t="str">
        <f t="shared" si="0"/>
        <v/>
      </c>
      <c r="F43" s="14">
        <f>IF(A43="","",COUNTIF(Quotes!$B$9:$B$258,A43))</f>
        <v>0</v>
      </c>
      <c r="G43" s="16">
        <f>IF(A43="","",SUMIF(Quotes!$B$9:$B$258,A43,Quotes!$AI$9:$AI$258))</f>
        <v>0</v>
      </c>
      <c r="H43" s="16">
        <f>IF(A43="","",SUMIF(Quotes!$B$9:$B$258,A43,Quotes!$AJ$9:$AJ$258))</f>
        <v>0</v>
      </c>
      <c r="I43" s="15" t="s">
        <v>77</v>
      </c>
      <c r="J43" s="17"/>
      <c r="K43" s="17"/>
      <c r="L43" s="15" t="s">
        <v>190</v>
      </c>
      <c r="M43" s="15" t="s">
        <v>190</v>
      </c>
      <c r="N43" s="15"/>
      <c r="O43" s="14" t="s">
        <v>79</v>
      </c>
      <c r="P43" s="14"/>
      <c r="Q43" s="14" t="str">
        <f>IF(AND(A43&lt;&gt;"",P43&lt;&gt;"",D43&lt;&gt;"Closed",D43&lt;&gt;"Cancelled"),COUNTIFS($P$9:P43,"&lt;&gt;",$D$9:D43,"&lt;&gt;Closed",$D$9:D43,"&lt;&gt;Cancelled"),"")</f>
        <v/>
      </c>
      <c r="R43" s="14" t="str">
        <f t="shared" si="1"/>
        <v>1309.02 | Sounding Pipes for Heeling tanks</v>
      </c>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row>
    <row r="44" spans="1:44" ht="40" hidden="1" customHeight="1" x14ac:dyDescent="0.35">
      <c r="A44" s="35" t="s">
        <v>191</v>
      </c>
      <c r="B44" s="15" t="s">
        <v>192</v>
      </c>
      <c r="C44" s="15" t="s">
        <v>116</v>
      </c>
      <c r="D44" s="15" t="s">
        <v>76</v>
      </c>
      <c r="E44" s="18" t="str">
        <f t="shared" si="0"/>
        <v/>
      </c>
      <c r="F44" s="18">
        <f>IF(A44="","",COUNTIF(Quotes!$B$9:$B$258,A44))</f>
        <v>0</v>
      </c>
      <c r="G44" s="19">
        <f>IF(A44="","",SUMIF(Quotes!$B$9:$B$258,A44,Quotes!$AI$9:$AI$258))</f>
        <v>0</v>
      </c>
      <c r="H44" s="19">
        <f>IF(A44="","",SUMIF(Quotes!$B$9:$B$258,A44,Quotes!$AJ$9:$AJ$258))</f>
        <v>0</v>
      </c>
      <c r="I44" s="15" t="s">
        <v>77</v>
      </c>
      <c r="J44" s="17"/>
      <c r="K44" s="17"/>
      <c r="L44" s="15" t="s">
        <v>193</v>
      </c>
      <c r="M44" s="15" t="s">
        <v>193</v>
      </c>
      <c r="N44" s="15"/>
      <c r="O44" s="18" t="s">
        <v>79</v>
      </c>
      <c r="P44" s="18"/>
      <c r="Q44" s="18" t="str">
        <f>IF(AND(A44&lt;&gt;"",P44&lt;&gt;"",D44&lt;&gt;"Closed",D44&lt;&gt;"Cancelled"),COUNTIFS($P$9:P44,"&lt;&gt;",$D$9:D44,"&lt;&gt;Closed",$D$9:D44,"&lt;&gt;Cancelled"),"")</f>
        <v/>
      </c>
      <c r="R44" s="18" t="str">
        <f t="shared" si="1"/>
        <v>1311.01 | Stern ramp cracks</v>
      </c>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row>
    <row r="45" spans="1:44" ht="40" hidden="1" customHeight="1" x14ac:dyDescent="0.35">
      <c r="A45" s="34" t="s">
        <v>194</v>
      </c>
      <c r="B45" s="15" t="s">
        <v>195</v>
      </c>
      <c r="C45" s="15" t="s">
        <v>116</v>
      </c>
      <c r="D45" s="15" t="s">
        <v>76</v>
      </c>
      <c r="E45" s="14" t="str">
        <f t="shared" si="0"/>
        <v/>
      </c>
      <c r="F45" s="14">
        <f>IF(A45="","",COUNTIF(Quotes!$B$9:$B$258,A45))</f>
        <v>0</v>
      </c>
      <c r="G45" s="16">
        <f>IF(A45="","",SUMIF(Quotes!$B$9:$B$258,A45,Quotes!$AI$9:$AI$258))</f>
        <v>0</v>
      </c>
      <c r="H45" s="16">
        <f>IF(A45="","",SUMIF(Quotes!$B$9:$B$258,A45,Quotes!$AJ$9:$AJ$258))</f>
        <v>0</v>
      </c>
      <c r="I45" s="15" t="s">
        <v>77</v>
      </c>
      <c r="J45" s="17"/>
      <c r="K45" s="17"/>
      <c r="L45" s="15" t="s">
        <v>196</v>
      </c>
      <c r="M45" s="15" t="s">
        <v>196</v>
      </c>
      <c r="N45" s="15"/>
      <c r="O45" s="14" t="s">
        <v>79</v>
      </c>
      <c r="P45" s="14"/>
      <c r="Q45" s="14" t="str">
        <f>IF(AND(A45&lt;&gt;"",P45&lt;&gt;"",D45&lt;&gt;"Closed",D45&lt;&gt;"Cancelled"),COUNTIFS($P$9:P45,"&lt;&gt;",$D$9:D45,"&lt;&gt;Closed",$D$9:D45,"&lt;&gt;Cancelled"),"")</f>
        <v/>
      </c>
      <c r="R45" s="14" t="str">
        <f t="shared" si="1"/>
        <v>1311.02 | Stern ramp wires and finger flap wires</v>
      </c>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row>
    <row r="46" spans="1:44" ht="40" hidden="1" customHeight="1" x14ac:dyDescent="0.35">
      <c r="A46" s="35" t="s">
        <v>197</v>
      </c>
      <c r="B46" s="15" t="s">
        <v>198</v>
      </c>
      <c r="C46" s="15" t="s">
        <v>116</v>
      </c>
      <c r="D46" s="15" t="s">
        <v>76</v>
      </c>
      <c r="E46" s="18" t="str">
        <f t="shared" si="0"/>
        <v/>
      </c>
      <c r="F46" s="18">
        <f>IF(A46="","",COUNTIF(Quotes!$B$9:$B$258,A46))</f>
        <v>0</v>
      </c>
      <c r="G46" s="19">
        <f>IF(A46="","",SUMIF(Quotes!$B$9:$B$258,A46,Quotes!$AI$9:$AI$258))</f>
        <v>0</v>
      </c>
      <c r="H46" s="19">
        <f>IF(A46="","",SUMIF(Quotes!$B$9:$B$258,A46,Quotes!$AJ$9:$AJ$258))</f>
        <v>0</v>
      </c>
      <c r="I46" s="15" t="s">
        <v>77</v>
      </c>
      <c r="J46" s="17"/>
      <c r="K46" s="17"/>
      <c r="L46" s="15" t="s">
        <v>199</v>
      </c>
      <c r="M46" s="15" t="s">
        <v>199</v>
      </c>
      <c r="N46" s="15"/>
      <c r="O46" s="18" t="s">
        <v>79</v>
      </c>
      <c r="P46" s="18"/>
      <c r="Q46" s="18" t="str">
        <f>IF(AND(A46&lt;&gt;"",P46&lt;&gt;"",D46&lt;&gt;"Closed",D46&lt;&gt;"Cancelled"),COUNTIFS($P$9:P46,"&lt;&gt;",$D$9:D46,"&lt;&gt;Closed",$D$9:D46,"&lt;&gt;Cancelled"),"")</f>
        <v/>
      </c>
      <c r="R46" s="18" t="str">
        <f t="shared" si="1"/>
        <v>1311.03 | Stern ramp finger flaps</v>
      </c>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row>
    <row r="47" spans="1:44" ht="40" hidden="1" customHeight="1" x14ac:dyDescent="0.35">
      <c r="A47" s="34" t="s">
        <v>200</v>
      </c>
      <c r="B47" s="15" t="s">
        <v>201</v>
      </c>
      <c r="C47" s="15" t="s">
        <v>116</v>
      </c>
      <c r="D47" s="15" t="s">
        <v>76</v>
      </c>
      <c r="E47" s="14" t="str">
        <f t="shared" si="0"/>
        <v/>
      </c>
      <c r="F47" s="14">
        <f>IF(A47="","",COUNTIF(Quotes!$B$9:$B$258,A47))</f>
        <v>0</v>
      </c>
      <c r="G47" s="16">
        <f>IF(A47="","",SUMIF(Quotes!$B$9:$B$258,A47,Quotes!$AI$9:$AI$258))</f>
        <v>0</v>
      </c>
      <c r="H47" s="16">
        <f>IF(A47="","",SUMIF(Quotes!$B$9:$B$258,A47,Quotes!$AJ$9:$AJ$258))</f>
        <v>0</v>
      </c>
      <c r="I47" s="15" t="s">
        <v>77</v>
      </c>
      <c r="J47" s="17"/>
      <c r="K47" s="17"/>
      <c r="L47" s="15" t="s">
        <v>202</v>
      </c>
      <c r="M47" s="15" t="s">
        <v>202</v>
      </c>
      <c r="N47" s="15"/>
      <c r="O47" s="14" t="s">
        <v>79</v>
      </c>
      <c r="P47" s="14"/>
      <c r="Q47" s="14" t="str">
        <f>IF(AND(A47&lt;&gt;"",P47&lt;&gt;"",D47&lt;&gt;"Closed",D47&lt;&gt;"Cancelled"),COUNTIFS($P$9:P47,"&lt;&gt;",$D$9:D47,"&lt;&gt;Closed",$D$9:D47,"&lt;&gt;Cancelled"),"")</f>
        <v/>
      </c>
      <c r="R47" s="14" t="str">
        <f t="shared" si="1"/>
        <v>1311.04 | Stern ramp soft flaps installation</v>
      </c>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row>
    <row r="48" spans="1:44" ht="40" hidden="1" customHeight="1" x14ac:dyDescent="0.35">
      <c r="A48" s="35" t="s">
        <v>203</v>
      </c>
      <c r="B48" s="15" t="s">
        <v>204</v>
      </c>
      <c r="C48" s="15" t="s">
        <v>116</v>
      </c>
      <c r="D48" s="15" t="s">
        <v>76</v>
      </c>
      <c r="E48" s="18" t="str">
        <f t="shared" si="0"/>
        <v/>
      </c>
      <c r="F48" s="18">
        <f>IF(A48="","",COUNTIF(Quotes!$B$9:$B$258,A48))</f>
        <v>0</v>
      </c>
      <c r="G48" s="19">
        <f>IF(A48="","",SUMIF(Quotes!$B$9:$B$258,A48,Quotes!$AI$9:$AI$258))</f>
        <v>0</v>
      </c>
      <c r="H48" s="19">
        <f>IF(A48="","",SUMIF(Quotes!$B$9:$B$258,A48,Quotes!$AJ$9:$AJ$258))</f>
        <v>0</v>
      </c>
      <c r="I48" s="15" t="s">
        <v>77</v>
      </c>
      <c r="J48" s="17"/>
      <c r="K48" s="17"/>
      <c r="L48" s="15" t="s">
        <v>205</v>
      </c>
      <c r="M48" s="15" t="s">
        <v>205</v>
      </c>
      <c r="N48" s="15"/>
      <c r="O48" s="18" t="s">
        <v>79</v>
      </c>
      <c r="P48" s="18"/>
      <c r="Q48" s="18" t="str">
        <f>IF(AND(A48&lt;&gt;"",P48&lt;&gt;"",D48&lt;&gt;"Closed",D48&lt;&gt;"Cancelled"),COUNTIFS($P$9:P48,"&lt;&gt;",$D$9:D48,"&lt;&gt;Closed",$D$9:D48,"&lt;&gt;Cancelled"),"")</f>
        <v/>
      </c>
      <c r="R48" s="18" t="str">
        <f t="shared" si="1"/>
        <v>1311.05 | Ramp cover gasket replacement</v>
      </c>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row>
    <row r="49" spans="1:44" ht="40" hidden="1" customHeight="1" x14ac:dyDescent="0.35">
      <c r="A49" s="34" t="s">
        <v>206</v>
      </c>
      <c r="B49" s="15" t="s">
        <v>207</v>
      </c>
      <c r="C49" s="15" t="s">
        <v>116</v>
      </c>
      <c r="D49" s="15" t="s">
        <v>76</v>
      </c>
      <c r="E49" s="14" t="str">
        <f t="shared" si="0"/>
        <v/>
      </c>
      <c r="F49" s="14">
        <f>IF(A49="","",COUNTIF(Quotes!$B$9:$B$258,A49))</f>
        <v>0</v>
      </c>
      <c r="G49" s="16">
        <f>IF(A49="","",SUMIF(Quotes!$B$9:$B$258,A49,Quotes!$AI$9:$AI$258))</f>
        <v>0</v>
      </c>
      <c r="H49" s="16">
        <f>IF(A49="","",SUMIF(Quotes!$B$9:$B$258,A49,Quotes!$AJ$9:$AJ$258))</f>
        <v>0</v>
      </c>
      <c r="I49" s="15" t="s">
        <v>77</v>
      </c>
      <c r="J49" s="17"/>
      <c r="K49" s="17"/>
      <c r="L49" s="15" t="s">
        <v>208</v>
      </c>
      <c r="M49" s="15" t="s">
        <v>208</v>
      </c>
      <c r="N49" s="15"/>
      <c r="O49" s="14" t="s">
        <v>79</v>
      </c>
      <c r="P49" s="14"/>
      <c r="Q49" s="14" t="str">
        <f>IF(AND(A49&lt;&gt;"",P49&lt;&gt;"",D49&lt;&gt;"Closed",D49&lt;&gt;"Cancelled"),COUNTIFS($P$9:P49,"&lt;&gt;",$D$9:D49,"&lt;&gt;Closed",$D$9:D49,"&lt;&gt;Cancelled"),"")</f>
        <v/>
      </c>
      <c r="R49" s="14" t="str">
        <f t="shared" si="1"/>
        <v>1311.06 | Ramp cover hydraulic cylinders overhaul</v>
      </c>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row>
    <row r="50" spans="1:44" ht="40" hidden="1" customHeight="1" x14ac:dyDescent="0.35">
      <c r="A50" s="35" t="s">
        <v>209</v>
      </c>
      <c r="B50" s="15" t="s">
        <v>210</v>
      </c>
      <c r="C50" s="15" t="s">
        <v>179</v>
      </c>
      <c r="D50" s="15" t="s">
        <v>76</v>
      </c>
      <c r="E50" s="18" t="str">
        <f t="shared" si="0"/>
        <v/>
      </c>
      <c r="F50" s="18">
        <f>IF(A50="","",COUNTIF(Quotes!$B$9:$B$258,A50))</f>
        <v>0</v>
      </c>
      <c r="G50" s="19">
        <f>IF(A50="","",SUMIF(Quotes!$B$9:$B$258,A50,Quotes!$AI$9:$AI$258))</f>
        <v>0</v>
      </c>
      <c r="H50" s="19">
        <f>IF(A50="","",SUMIF(Quotes!$B$9:$B$258,A50,Quotes!$AJ$9:$AJ$258))</f>
        <v>0</v>
      </c>
      <c r="I50" s="15" t="s">
        <v>77</v>
      </c>
      <c r="J50" s="17"/>
      <c r="K50" s="17"/>
      <c r="L50" s="15" t="s">
        <v>211</v>
      </c>
      <c r="M50" s="15" t="s">
        <v>211</v>
      </c>
      <c r="N50" s="15"/>
      <c r="O50" s="18" t="s">
        <v>79</v>
      </c>
      <c r="P50" s="18"/>
      <c r="Q50" s="18" t="str">
        <f>IF(AND(A50&lt;&gt;"",P50&lt;&gt;"",D50&lt;&gt;"Closed",D50&lt;&gt;"Cancelled"),COUNTIFS($P$9:P50,"&lt;&gt;",$D$9:D50,"&lt;&gt;Closed",$D$9:D50,"&lt;&gt;Cancelled"),"")</f>
        <v/>
      </c>
      <c r="R50" s="18" t="str">
        <f t="shared" si="1"/>
        <v>1313.01 | Sewage tank cleaning</v>
      </c>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row>
    <row r="51" spans="1:44" ht="40" hidden="1" customHeight="1" x14ac:dyDescent="0.35">
      <c r="A51" s="34" t="s">
        <v>212</v>
      </c>
      <c r="B51" s="15" t="s">
        <v>213</v>
      </c>
      <c r="C51" s="15" t="s">
        <v>179</v>
      </c>
      <c r="D51" s="15" t="s">
        <v>76</v>
      </c>
      <c r="E51" s="14" t="str">
        <f t="shared" si="0"/>
        <v/>
      </c>
      <c r="F51" s="14">
        <f>IF(A51="","",COUNTIF(Quotes!$B$9:$B$258,A51))</f>
        <v>0</v>
      </c>
      <c r="G51" s="16">
        <f>IF(A51="","",SUMIF(Quotes!$B$9:$B$258,A51,Quotes!$AI$9:$AI$258))</f>
        <v>0</v>
      </c>
      <c r="H51" s="16">
        <f>IF(A51="","",SUMIF(Quotes!$B$9:$B$258,A51,Quotes!$AJ$9:$AJ$258))</f>
        <v>0</v>
      </c>
      <c r="I51" s="15" t="s">
        <v>77</v>
      </c>
      <c r="J51" s="17"/>
      <c r="K51" s="17"/>
      <c r="L51" s="15" t="s">
        <v>214</v>
      </c>
      <c r="M51" s="15" t="s">
        <v>214</v>
      </c>
      <c r="N51" s="15"/>
      <c r="O51" s="14" t="s">
        <v>79</v>
      </c>
      <c r="P51" s="14"/>
      <c r="Q51" s="14" t="str">
        <f>IF(AND(A51&lt;&gt;"",P51&lt;&gt;"",D51&lt;&gt;"Closed",D51&lt;&gt;"Cancelled"),COUNTIFS($P$9:P51,"&lt;&gt;",$D$9:D51,"&lt;&gt;Closed",$D$9:D51,"&lt;&gt;Cancelled"),"")</f>
        <v/>
      </c>
      <c r="R51" s="14" t="str">
        <f t="shared" si="1"/>
        <v>1321.01 | Heeling pump overhaul</v>
      </c>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row>
    <row r="52" spans="1:44" ht="40" hidden="1" customHeight="1" x14ac:dyDescent="0.35">
      <c r="A52" s="35" t="s">
        <v>215</v>
      </c>
      <c r="B52" s="15" t="s">
        <v>216</v>
      </c>
      <c r="C52" s="15" t="s">
        <v>116</v>
      </c>
      <c r="D52" s="15" t="s">
        <v>76</v>
      </c>
      <c r="E52" s="18" t="str">
        <f t="shared" si="0"/>
        <v/>
      </c>
      <c r="F52" s="18">
        <f>IF(A52="","",COUNTIF(Quotes!$B$9:$B$258,A52))</f>
        <v>0</v>
      </c>
      <c r="G52" s="19">
        <f>IF(A52="","",SUMIF(Quotes!$B$9:$B$258,A52,Quotes!$AI$9:$AI$258))</f>
        <v>0</v>
      </c>
      <c r="H52" s="19">
        <f>IF(A52="","",SUMIF(Quotes!$B$9:$B$258,A52,Quotes!$AJ$9:$AJ$258))</f>
        <v>0</v>
      </c>
      <c r="I52" s="15" t="s">
        <v>77</v>
      </c>
      <c r="J52" s="17"/>
      <c r="K52" s="17"/>
      <c r="L52" s="15" t="s">
        <v>217</v>
      </c>
      <c r="M52" s="15" t="s">
        <v>217</v>
      </c>
      <c r="N52" s="15"/>
      <c r="O52" s="18" t="s">
        <v>79</v>
      </c>
      <c r="P52" s="18"/>
      <c r="Q52" s="18" t="str">
        <f>IF(AND(A52&lt;&gt;"",P52&lt;&gt;"",D52&lt;&gt;"Closed",D52&lt;&gt;"Cancelled"),COUNTIFS($P$9:P52,"&lt;&gt;",$D$9:D52,"&lt;&gt;Closed",$D$9:D52,"&lt;&gt;Cancelled"),"")</f>
        <v/>
      </c>
      <c r="R52" s="18" t="str">
        <f t="shared" si="1"/>
        <v>1401.01 | Renewal of Lifeboat Exhaust Pipes</v>
      </c>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row>
    <row r="53" spans="1:44" ht="40" hidden="1" customHeight="1" x14ac:dyDescent="0.35">
      <c r="A53" s="34" t="s">
        <v>218</v>
      </c>
      <c r="B53" s="15" t="s">
        <v>219</v>
      </c>
      <c r="C53" s="15" t="s">
        <v>116</v>
      </c>
      <c r="D53" s="15" t="s">
        <v>76</v>
      </c>
      <c r="E53" s="14" t="str">
        <f t="shared" si="0"/>
        <v/>
      </c>
      <c r="F53" s="14">
        <f>IF(A53="","",COUNTIF(Quotes!$B$9:$B$258,A53))</f>
        <v>0</v>
      </c>
      <c r="G53" s="16">
        <f>IF(A53="","",SUMIF(Quotes!$B$9:$B$258,A53,Quotes!$AI$9:$AI$258))</f>
        <v>0</v>
      </c>
      <c r="H53" s="16">
        <f>IF(A53="","",SUMIF(Quotes!$B$9:$B$258,A53,Quotes!$AJ$9:$AJ$258))</f>
        <v>0</v>
      </c>
      <c r="I53" s="15" t="s">
        <v>77</v>
      </c>
      <c r="J53" s="17"/>
      <c r="K53" s="17"/>
      <c r="L53" s="15" t="s">
        <v>220</v>
      </c>
      <c r="M53" s="15" t="s">
        <v>220</v>
      </c>
      <c r="N53" s="15"/>
      <c r="O53" s="14" t="s">
        <v>79</v>
      </c>
      <c r="P53" s="14"/>
      <c r="Q53" s="14" t="str">
        <f>IF(AND(A53&lt;&gt;"",P53&lt;&gt;"",D53&lt;&gt;"Closed",D53&lt;&gt;"Cancelled"),COUNTIFS($P$9:P53,"&lt;&gt;",$D$9:D53,"&lt;&gt;Closed",$D$9:D53,"&lt;&gt;Cancelled"),"")</f>
        <v/>
      </c>
      <c r="R53" s="14" t="str">
        <f t="shared" si="1"/>
        <v>1401.02 | Wire rope LSA replacement 5 yearly</v>
      </c>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row>
    <row r="54" spans="1:44" ht="40" hidden="1" customHeight="1" x14ac:dyDescent="0.35">
      <c r="A54" s="35" t="s">
        <v>221</v>
      </c>
      <c r="B54" s="15" t="s">
        <v>222</v>
      </c>
      <c r="C54" s="15" t="s">
        <v>116</v>
      </c>
      <c r="D54" s="15" t="s">
        <v>76</v>
      </c>
      <c r="E54" s="18" t="str">
        <f t="shared" si="0"/>
        <v/>
      </c>
      <c r="F54" s="18">
        <f>IF(A54="","",COUNTIF(Quotes!$B$9:$B$258,A54))</f>
        <v>0</v>
      </c>
      <c r="G54" s="19">
        <f>IF(A54="","",SUMIF(Quotes!$B$9:$B$258,A54,Quotes!$AI$9:$AI$258))</f>
        <v>0</v>
      </c>
      <c r="H54" s="19">
        <f>IF(A54="","",SUMIF(Quotes!$B$9:$B$258,A54,Quotes!$AJ$9:$AJ$258))</f>
        <v>0</v>
      </c>
      <c r="I54" s="15" t="s">
        <v>77</v>
      </c>
      <c r="J54" s="17"/>
      <c r="K54" s="17"/>
      <c r="L54" s="15" t="s">
        <v>223</v>
      </c>
      <c r="M54" s="15" t="s">
        <v>223</v>
      </c>
      <c r="N54" s="15"/>
      <c r="O54" s="18" t="s">
        <v>79</v>
      </c>
      <c r="P54" s="18"/>
      <c r="Q54" s="18" t="str">
        <f>IF(AND(A54&lt;&gt;"",P54&lt;&gt;"",D54&lt;&gt;"Closed",D54&lt;&gt;"Cancelled"),COUNTIFS($P$9:P54,"&lt;&gt;",$D$9:D54,"&lt;&gt;Closed",$D$9:D54,"&lt;&gt;Cancelled"),"")</f>
        <v/>
      </c>
      <c r="R54" s="18" t="str">
        <f t="shared" si="1"/>
        <v>1401.03 | Lifeboats taken ashore</v>
      </c>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row>
    <row r="55" spans="1:44" ht="40" hidden="1" customHeight="1" x14ac:dyDescent="0.35">
      <c r="A55" s="34" t="s">
        <v>224</v>
      </c>
      <c r="B55" s="15" t="s">
        <v>225</v>
      </c>
      <c r="C55" s="15" t="s">
        <v>116</v>
      </c>
      <c r="D55" s="15" t="s">
        <v>76</v>
      </c>
      <c r="E55" s="14" t="str">
        <f t="shared" si="0"/>
        <v/>
      </c>
      <c r="F55" s="14">
        <f>IF(A55="","",COUNTIF(Quotes!$B$9:$B$258,A55))</f>
        <v>0</v>
      </c>
      <c r="G55" s="16">
        <f>IF(A55="","",SUMIF(Quotes!$B$9:$B$258,A55,Quotes!$AI$9:$AI$258))</f>
        <v>0</v>
      </c>
      <c r="H55" s="16">
        <f>IF(A55="","",SUMIF(Quotes!$B$9:$B$258,A55,Quotes!$AJ$9:$AJ$258))</f>
        <v>0</v>
      </c>
      <c r="I55" s="15" t="s">
        <v>77</v>
      </c>
      <c r="J55" s="17"/>
      <c r="K55" s="17"/>
      <c r="L55" s="15" t="s">
        <v>226</v>
      </c>
      <c r="M55" s="15" t="s">
        <v>226</v>
      </c>
      <c r="N55" s="15"/>
      <c r="O55" s="14" t="s">
        <v>79</v>
      </c>
      <c r="P55" s="14"/>
      <c r="Q55" s="14" t="str">
        <f>IF(AND(A55&lt;&gt;"",P55&lt;&gt;"",D55&lt;&gt;"Closed",D55&lt;&gt;"Cancelled"),COUNTIFS($P$9:P55,"&lt;&gt;",$D$9:D55,"&lt;&gt;Closed",$D$9:D55,"&lt;&gt;Cancelled"),"")</f>
        <v/>
      </c>
      <c r="R55" s="14" t="str">
        <f t="shared" si="1"/>
        <v>1401.04 | Support beam for STB lifeboat davit</v>
      </c>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row>
    <row r="56" spans="1:44" ht="40" customHeight="1" x14ac:dyDescent="0.35">
      <c r="A56" s="35" t="s">
        <v>227</v>
      </c>
      <c r="B56" s="15" t="s">
        <v>228</v>
      </c>
      <c r="C56" s="15" t="s">
        <v>116</v>
      </c>
      <c r="D56" s="15" t="s">
        <v>76</v>
      </c>
      <c r="E56" s="18" t="str">
        <f t="shared" si="0"/>
        <v>OPEN JOB</v>
      </c>
      <c r="F56" s="18">
        <f>IF(A56="","",COUNTIF(Quotes!$B$9:$B$258,A56))</f>
        <v>2</v>
      </c>
      <c r="G56" s="19">
        <f>IF(A56="","",SUMIF(Quotes!$B$9:$B$258,A56,Quotes!$AI$9:$AI$258))</f>
        <v>0</v>
      </c>
      <c r="H56" s="19">
        <f>IF(A56="","",SUMIF(Quotes!$B$9:$B$258,A56,Quotes!$AJ$9:$AJ$258))</f>
        <v>0</v>
      </c>
      <c r="I56" s="15" t="s">
        <v>77</v>
      </c>
      <c r="J56" s="17"/>
      <c r="K56" s="17"/>
      <c r="L56" s="15" t="s">
        <v>229</v>
      </c>
      <c r="M56" s="15" t="s">
        <v>229</v>
      </c>
      <c r="N56" s="15"/>
      <c r="O56" s="18" t="s">
        <v>79</v>
      </c>
      <c r="P56" s="18" t="s">
        <v>230</v>
      </c>
      <c r="Q56" s="18">
        <f>IF(AND(A56&lt;&gt;"",P56&lt;&gt;"",D56&lt;&gt;"Closed",D56&lt;&gt;"Cancelled"),COUNTIFS($P$9:P56,"&lt;&gt;",$D$9:D56,"&lt;&gt;Closed",$D$9:D56,"&lt;&gt;Cancelled"),"")</f>
        <v>4</v>
      </c>
      <c r="R56" s="18" t="str">
        <f t="shared" si="1"/>
        <v>1500.01 | Fire detection system</v>
      </c>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row>
    <row r="57" spans="1:44" ht="40" hidden="1" customHeight="1" x14ac:dyDescent="0.35">
      <c r="A57" s="34" t="s">
        <v>231</v>
      </c>
      <c r="B57" s="15" t="s">
        <v>232</v>
      </c>
      <c r="C57" s="15" t="s">
        <v>159</v>
      </c>
      <c r="D57" s="15" t="s">
        <v>76</v>
      </c>
      <c r="E57" s="14" t="str">
        <f t="shared" si="0"/>
        <v/>
      </c>
      <c r="F57" s="14">
        <f>IF(A57="","",COUNTIF(Quotes!$B$9:$B$258,A57))</f>
        <v>0</v>
      </c>
      <c r="G57" s="16">
        <f>IF(A57="","",SUMIF(Quotes!$B$9:$B$258,A57,Quotes!$AI$9:$AI$258))</f>
        <v>0</v>
      </c>
      <c r="H57" s="16">
        <f>IF(A57="","",SUMIF(Quotes!$B$9:$B$258,A57,Quotes!$AJ$9:$AJ$258))</f>
        <v>0</v>
      </c>
      <c r="I57" s="15" t="s">
        <v>77</v>
      </c>
      <c r="J57" s="17"/>
      <c r="K57" s="17"/>
      <c r="L57" s="15" t="s">
        <v>233</v>
      </c>
      <c r="M57" s="15" t="s">
        <v>233</v>
      </c>
      <c r="N57" s="15"/>
      <c r="O57" s="14" t="s">
        <v>79</v>
      </c>
      <c r="P57" s="14"/>
      <c r="Q57" s="14" t="str">
        <f>IF(AND(A57&lt;&gt;"",P57&lt;&gt;"",D57&lt;&gt;"Closed",D57&lt;&gt;"Cancelled"),COUNTIFS($P$9:P57,"&lt;&gt;",$D$9:D57,"&lt;&gt;Closed",$D$9:D57,"&lt;&gt;Cancelled"),"")</f>
        <v/>
      </c>
      <c r="R57" s="14" t="str">
        <f t="shared" si="1"/>
        <v>2200.01 | Galley floor</v>
      </c>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row>
    <row r="58" spans="1:44" ht="40" hidden="1" customHeight="1" x14ac:dyDescent="0.35">
      <c r="A58" s="35" t="s">
        <v>234</v>
      </c>
      <c r="B58" s="15" t="s">
        <v>235</v>
      </c>
      <c r="C58" s="15" t="s">
        <v>159</v>
      </c>
      <c r="D58" s="15" t="s">
        <v>76</v>
      </c>
      <c r="E58" s="18" t="str">
        <f t="shared" si="0"/>
        <v/>
      </c>
      <c r="F58" s="18">
        <f>IF(A58="","",COUNTIF(Quotes!$B$9:$B$258,A58))</f>
        <v>0</v>
      </c>
      <c r="G58" s="19">
        <f>IF(A58="","",SUMIF(Quotes!$B$9:$B$258,A58,Quotes!$AI$9:$AI$258))</f>
        <v>0</v>
      </c>
      <c r="H58" s="19">
        <f>IF(A58="","",SUMIF(Quotes!$B$9:$B$258,A58,Quotes!$AJ$9:$AJ$258))</f>
        <v>0</v>
      </c>
      <c r="I58" s="15" t="s">
        <v>77</v>
      </c>
      <c r="J58" s="17"/>
      <c r="K58" s="17"/>
      <c r="L58" s="15" t="s">
        <v>236</v>
      </c>
      <c r="M58" s="15" t="s">
        <v>236</v>
      </c>
      <c r="N58" s="15"/>
      <c r="O58" s="18" t="s">
        <v>79</v>
      </c>
      <c r="P58" s="18"/>
      <c r="Q58" s="18" t="str">
        <f>IF(AND(A58&lt;&gt;"",P58&lt;&gt;"",D58&lt;&gt;"Closed",D58&lt;&gt;"Cancelled"),COUNTIFS($P$9:P58,"&lt;&gt;",$D$9:D58,"&lt;&gt;Closed",$D$9:D58,"&lt;&gt;Cancelled"),"")</f>
        <v/>
      </c>
      <c r="R58" s="18" t="str">
        <f t="shared" si="1"/>
        <v>2200.02 | Carpet replacement on deck 7</v>
      </c>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row>
    <row r="59" spans="1:44" ht="40" hidden="1" customHeight="1" x14ac:dyDescent="0.35">
      <c r="A59" s="34" t="s">
        <v>237</v>
      </c>
      <c r="B59" s="15" t="s">
        <v>238</v>
      </c>
      <c r="C59" s="15" t="s">
        <v>116</v>
      </c>
      <c r="D59" s="15" t="s">
        <v>76</v>
      </c>
      <c r="E59" s="14" t="str">
        <f t="shared" si="0"/>
        <v/>
      </c>
      <c r="F59" s="14">
        <f>IF(A59="","",COUNTIF(Quotes!$B$9:$B$258,A59))</f>
        <v>0</v>
      </c>
      <c r="G59" s="16">
        <f>IF(A59="","",SUMIF(Quotes!$B$9:$B$258,A59,Quotes!$AI$9:$AI$258))</f>
        <v>0</v>
      </c>
      <c r="H59" s="16">
        <f>IF(A59="","",SUMIF(Quotes!$B$9:$B$258,A59,Quotes!$AJ$9:$AJ$258))</f>
        <v>0</v>
      </c>
      <c r="I59" s="15" t="s">
        <v>77</v>
      </c>
      <c r="J59" s="17"/>
      <c r="K59" s="17"/>
      <c r="L59" s="15" t="s">
        <v>239</v>
      </c>
      <c r="M59" s="15" t="s">
        <v>239</v>
      </c>
      <c r="N59" s="15"/>
      <c r="O59" s="14" t="s">
        <v>79</v>
      </c>
      <c r="P59" s="14"/>
      <c r="Q59" s="14" t="str">
        <f>IF(AND(A59&lt;&gt;"",P59&lt;&gt;"",D59&lt;&gt;"Closed",D59&lt;&gt;"Cancelled"),COUNTIFS($P$9:P59,"&lt;&gt;",$D$9:D59,"&lt;&gt;Closed",$D$9:D59,"&lt;&gt;Cancelled"),"")</f>
        <v/>
      </c>
      <c r="R59" s="14" t="str">
        <f t="shared" si="1"/>
        <v>2200.05 | Fire doors replacement</v>
      </c>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row>
    <row r="60" spans="1:44" ht="40" hidden="1" customHeight="1" x14ac:dyDescent="0.35">
      <c r="A60" s="35" t="s">
        <v>240</v>
      </c>
      <c r="B60" s="15" t="s">
        <v>241</v>
      </c>
      <c r="C60" s="15" t="s">
        <v>159</v>
      </c>
      <c r="D60" s="15" t="s">
        <v>76</v>
      </c>
      <c r="E60" s="18" t="str">
        <f t="shared" si="0"/>
        <v/>
      </c>
      <c r="F60" s="18">
        <f>IF(A60="","",COUNTIF(Quotes!$B$9:$B$258,A60))</f>
        <v>0</v>
      </c>
      <c r="G60" s="19">
        <f>IF(A60="","",SUMIF(Quotes!$B$9:$B$258,A60,Quotes!$AI$9:$AI$258))</f>
        <v>0</v>
      </c>
      <c r="H60" s="19">
        <f>IF(A60="","",SUMIF(Quotes!$B$9:$B$258,A60,Quotes!$AJ$9:$AJ$258))</f>
        <v>0</v>
      </c>
      <c r="I60" s="15" t="s">
        <v>77</v>
      </c>
      <c r="J60" s="17"/>
      <c r="K60" s="17"/>
      <c r="L60" s="15" t="s">
        <v>242</v>
      </c>
      <c r="M60" s="15" t="s">
        <v>242</v>
      </c>
      <c r="N60" s="15"/>
      <c r="O60" s="18" t="s">
        <v>79</v>
      </c>
      <c r="P60" s="18"/>
      <c r="Q60" s="18" t="str">
        <f>IF(AND(A60&lt;&gt;"",P60&lt;&gt;"",D60&lt;&gt;"Closed",D60&lt;&gt;"Cancelled"),COUNTIFS($P$9:P60,"&lt;&gt;",$D$9:D60,"&lt;&gt;Closed",$D$9:D60,"&lt;&gt;Cancelled"),"")</f>
        <v/>
      </c>
      <c r="R60" s="18" t="str">
        <f t="shared" si="1"/>
        <v>2200.06 | Bathroom floor accommodation cabins</v>
      </c>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row>
    <row r="61" spans="1:44" ht="40" hidden="1" customHeight="1" x14ac:dyDescent="0.35">
      <c r="A61" s="34" t="s">
        <v>243</v>
      </c>
      <c r="B61" s="15" t="s">
        <v>244</v>
      </c>
      <c r="C61" s="15" t="s">
        <v>116</v>
      </c>
      <c r="D61" s="15" t="s">
        <v>76</v>
      </c>
      <c r="E61" s="14" t="str">
        <f t="shared" si="0"/>
        <v/>
      </c>
      <c r="F61" s="14">
        <f>IF(A61="","",COUNTIF(Quotes!$B$9:$B$258,A61))</f>
        <v>0</v>
      </c>
      <c r="G61" s="16">
        <f>IF(A61="","",SUMIF(Quotes!$B$9:$B$258,A61,Quotes!$AI$9:$AI$258))</f>
        <v>0</v>
      </c>
      <c r="H61" s="16">
        <f>IF(A61="","",SUMIF(Quotes!$B$9:$B$258,A61,Quotes!$AJ$9:$AJ$258))</f>
        <v>0</v>
      </c>
      <c r="I61" s="15" t="s">
        <v>77</v>
      </c>
      <c r="J61" s="17"/>
      <c r="K61" s="17"/>
      <c r="L61" s="15" t="s">
        <v>245</v>
      </c>
      <c r="M61" s="15" t="s">
        <v>245</v>
      </c>
      <c r="N61" s="15"/>
      <c r="O61" s="14" t="s">
        <v>79</v>
      </c>
      <c r="P61" s="14"/>
      <c r="Q61" s="14" t="str">
        <f>IF(AND(A61&lt;&gt;"",P61&lt;&gt;"",D61&lt;&gt;"Closed",D61&lt;&gt;"Cancelled"),COUNTIFS($P$9:P61,"&lt;&gt;",$D$9:D61,"&lt;&gt;Closed",$D$9:D61,"&lt;&gt;Cancelled"),"")</f>
        <v/>
      </c>
      <c r="R61" s="14" t="str">
        <f t="shared" si="1"/>
        <v xml:space="preserve">2701.02 | Fire Damper </v>
      </c>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row>
    <row r="62" spans="1:44" ht="40" customHeight="1" x14ac:dyDescent="0.35">
      <c r="A62" s="35" t="s">
        <v>246</v>
      </c>
      <c r="B62" s="15" t="s">
        <v>247</v>
      </c>
      <c r="C62" s="15" t="s">
        <v>179</v>
      </c>
      <c r="D62" s="15" t="s">
        <v>76</v>
      </c>
      <c r="E62" s="18" t="str">
        <f t="shared" si="0"/>
        <v>OPEN JOB</v>
      </c>
      <c r="F62" s="18">
        <f>IF(A62="","",COUNTIF(Quotes!$B$9:$B$258,A62))</f>
        <v>1</v>
      </c>
      <c r="G62" s="19">
        <f>IF(A62="","",SUMIF(Quotes!$B$9:$B$258,A62,Quotes!$AI$9:$AI$258))</f>
        <v>44800</v>
      </c>
      <c r="H62" s="19">
        <f>IF(A62="","",SUMIF(Quotes!$B$9:$B$258,A62,Quotes!$AJ$9:$AJ$258))</f>
        <v>0</v>
      </c>
      <c r="I62" s="15" t="s">
        <v>77</v>
      </c>
      <c r="J62" s="17"/>
      <c r="K62" s="17"/>
      <c r="L62" s="15" t="s">
        <v>248</v>
      </c>
      <c r="M62" s="15" t="s">
        <v>248</v>
      </c>
      <c r="N62" s="15"/>
      <c r="O62" s="18" t="s">
        <v>79</v>
      </c>
      <c r="P62" s="18" t="s">
        <v>249</v>
      </c>
      <c r="Q62" s="18">
        <f>IF(AND(A62&lt;&gt;"",P62&lt;&gt;"",D62&lt;&gt;"Closed",D62&lt;&gt;"Cancelled"),COUNTIFS($P$9:P62,"&lt;&gt;",$D$9:D62,"&lt;&gt;Closed",$D$9:D62,"&lt;&gt;Cancelled"),"")</f>
        <v>5</v>
      </c>
      <c r="R62" s="18" t="str">
        <f t="shared" si="1"/>
        <v>3103.01 | Service of reduction gears STB/PS</v>
      </c>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row>
    <row r="63" spans="1:44" ht="40" hidden="1" customHeight="1" x14ac:dyDescent="0.35">
      <c r="A63" s="34" t="s">
        <v>250</v>
      </c>
      <c r="B63" s="15" t="s">
        <v>251</v>
      </c>
      <c r="C63" s="15" t="s">
        <v>179</v>
      </c>
      <c r="D63" s="15" t="s">
        <v>76</v>
      </c>
      <c r="E63" s="14" t="str">
        <f t="shared" si="0"/>
        <v/>
      </c>
      <c r="F63" s="14">
        <f>IF(A63="","",COUNTIF(Quotes!$B$9:$B$258,A63))</f>
        <v>0</v>
      </c>
      <c r="G63" s="16">
        <f>IF(A63="","",SUMIF(Quotes!$B$9:$B$258,A63,Quotes!$AI$9:$AI$258))</f>
        <v>0</v>
      </c>
      <c r="H63" s="16">
        <f>IF(A63="","",SUMIF(Quotes!$B$9:$B$258,A63,Quotes!$AJ$9:$AJ$258))</f>
        <v>0</v>
      </c>
      <c r="I63" s="15" t="s">
        <v>77</v>
      </c>
      <c r="J63" s="17"/>
      <c r="K63" s="17"/>
      <c r="L63" s="15" t="s">
        <v>252</v>
      </c>
      <c r="M63" s="15" t="s">
        <v>252</v>
      </c>
      <c r="N63" s="15"/>
      <c r="O63" s="14" t="s">
        <v>79</v>
      </c>
      <c r="P63" s="14"/>
      <c r="Q63" s="14" t="str">
        <f>IF(AND(A63&lt;&gt;"",P63&lt;&gt;"",D63&lt;&gt;"Closed",D63&lt;&gt;"Cancelled"),COUNTIFS($P$9:P63,"&lt;&gt;",$D$9:D63,"&lt;&gt;Closed",$D$9:D63,"&lt;&gt;Cancelled"),"")</f>
        <v/>
      </c>
      <c r="R63" s="14" t="str">
        <f t="shared" si="1"/>
        <v>3127.01 | ME turborcharger overhaul</v>
      </c>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row>
    <row r="64" spans="1:44" ht="40" hidden="1" customHeight="1" x14ac:dyDescent="0.35">
      <c r="A64" s="35" t="s">
        <v>253</v>
      </c>
      <c r="B64" s="15" t="s">
        <v>254</v>
      </c>
      <c r="C64" s="15" t="s">
        <v>179</v>
      </c>
      <c r="D64" s="15" t="s">
        <v>76</v>
      </c>
      <c r="E64" s="18" t="str">
        <f t="shared" si="0"/>
        <v/>
      </c>
      <c r="F64" s="18">
        <f>IF(A64="","",COUNTIF(Quotes!$B$9:$B$258,A64))</f>
        <v>0</v>
      </c>
      <c r="G64" s="19">
        <f>IF(A64="","",SUMIF(Quotes!$B$9:$B$258,A64,Quotes!$AI$9:$AI$258))</f>
        <v>0</v>
      </c>
      <c r="H64" s="19">
        <f>IF(A64="","",SUMIF(Quotes!$B$9:$B$258,A64,Quotes!$AJ$9:$AJ$258))</f>
        <v>0</v>
      </c>
      <c r="I64" s="15" t="s">
        <v>77</v>
      </c>
      <c r="J64" s="17"/>
      <c r="K64" s="17"/>
      <c r="L64" s="15" t="s">
        <v>255</v>
      </c>
      <c r="M64" s="15" t="s">
        <v>255</v>
      </c>
      <c r="N64" s="15"/>
      <c r="O64" s="18" t="s">
        <v>79</v>
      </c>
      <c r="P64" s="18"/>
      <c r="Q64" s="18" t="str">
        <f>IF(AND(A64&lt;&gt;"",P64&lt;&gt;"",D64&lt;&gt;"Closed",D64&lt;&gt;"Cancelled"),COUNTIFS($P$9:P64,"&lt;&gt;",$D$9:D64,"&lt;&gt;Closed",$D$9:D64,"&lt;&gt;Cancelled"),"")</f>
        <v/>
      </c>
      <c r="R64" s="18" t="str">
        <f t="shared" si="1"/>
        <v>3138.01 | AE3 exhaust pipe</v>
      </c>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row>
    <row r="65" spans="1:44" ht="40" hidden="1" customHeight="1" x14ac:dyDescent="0.35">
      <c r="A65" s="34" t="s">
        <v>256</v>
      </c>
      <c r="B65" s="15" t="s">
        <v>257</v>
      </c>
      <c r="C65" s="15" t="s">
        <v>179</v>
      </c>
      <c r="D65" s="15" t="s">
        <v>76</v>
      </c>
      <c r="E65" s="14" t="str">
        <f t="shared" si="0"/>
        <v/>
      </c>
      <c r="F65" s="14">
        <f>IF(A65="","",COUNTIF(Quotes!$B$9:$B$258,A65))</f>
        <v>0</v>
      </c>
      <c r="G65" s="16">
        <f>IF(A65="","",SUMIF(Quotes!$B$9:$B$258,A65,Quotes!$AI$9:$AI$258))</f>
        <v>0</v>
      </c>
      <c r="H65" s="16">
        <f>IF(A65="","",SUMIF(Quotes!$B$9:$B$258,A65,Quotes!$AJ$9:$AJ$258))</f>
        <v>0</v>
      </c>
      <c r="I65" s="15" t="s">
        <v>77</v>
      </c>
      <c r="J65" s="17"/>
      <c r="K65" s="17"/>
      <c r="L65" s="15" t="s">
        <v>258</v>
      </c>
      <c r="M65" s="15" t="s">
        <v>258</v>
      </c>
      <c r="N65" s="15"/>
      <c r="O65" s="14" t="s">
        <v>79</v>
      </c>
      <c r="P65" s="14"/>
      <c r="Q65" s="14" t="str">
        <f>IF(AND(A65&lt;&gt;"",P65&lt;&gt;"",D65&lt;&gt;"Closed",D65&lt;&gt;"Cancelled"),COUNTIFS($P$9:P65,"&lt;&gt;",$D$9:D65,"&lt;&gt;Closed",$D$9:D65,"&lt;&gt;Cancelled"),"")</f>
        <v/>
      </c>
      <c r="R65" s="14" t="str">
        <f t="shared" si="1"/>
        <v>3138.02 | AE2 &amp; AE3 Exhaust Pipes</v>
      </c>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row>
    <row r="66" spans="1:44" ht="40" hidden="1" customHeight="1" x14ac:dyDescent="0.35">
      <c r="A66" s="35" t="s">
        <v>259</v>
      </c>
      <c r="B66" s="15" t="s">
        <v>260</v>
      </c>
      <c r="C66" s="15" t="s">
        <v>179</v>
      </c>
      <c r="D66" s="15" t="s">
        <v>76</v>
      </c>
      <c r="E66" s="18" t="str">
        <f t="shared" si="0"/>
        <v/>
      </c>
      <c r="F66" s="18">
        <f>IF(A66="","",COUNTIF(Quotes!$B$9:$B$258,A66))</f>
        <v>0</v>
      </c>
      <c r="G66" s="19">
        <f>IF(A66="","",SUMIF(Quotes!$B$9:$B$258,A66,Quotes!$AI$9:$AI$258))</f>
        <v>0</v>
      </c>
      <c r="H66" s="19">
        <f>IF(A66="","",SUMIF(Quotes!$B$9:$B$258,A66,Quotes!$AJ$9:$AJ$258))</f>
        <v>0</v>
      </c>
      <c r="I66" s="15" t="s">
        <v>77</v>
      </c>
      <c r="J66" s="17"/>
      <c r="K66" s="17"/>
      <c r="L66" s="15" t="s">
        <v>261</v>
      </c>
      <c r="M66" s="15" t="s">
        <v>261</v>
      </c>
      <c r="N66" s="15"/>
      <c r="O66" s="18" t="s">
        <v>79</v>
      </c>
      <c r="P66" s="18"/>
      <c r="Q66" s="18" t="str">
        <f>IF(AND(A66&lt;&gt;"",P66&lt;&gt;"",D66&lt;&gt;"Closed",D66&lt;&gt;"Cancelled"),COUNTIFS($P$9:P66,"&lt;&gt;",$D$9:D66,"&lt;&gt;Closed",$D$9:D66,"&lt;&gt;Cancelled"),"")</f>
        <v/>
      </c>
      <c r="R66" s="18" t="str">
        <f t="shared" si="1"/>
        <v>3138.03 | ME2 Exhaust pipe</v>
      </c>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row>
    <row r="67" spans="1:44" ht="40" hidden="1" customHeight="1" x14ac:dyDescent="0.35">
      <c r="A67" s="34" t="s">
        <v>262</v>
      </c>
      <c r="B67" s="15" t="s">
        <v>263</v>
      </c>
      <c r="C67" s="15" t="s">
        <v>179</v>
      </c>
      <c r="D67" s="15" t="s">
        <v>76</v>
      </c>
      <c r="E67" s="14" t="str">
        <f t="shared" si="0"/>
        <v/>
      </c>
      <c r="F67" s="14">
        <f>IF(A67="","",COUNTIF(Quotes!$B$9:$B$258,A67))</f>
        <v>0</v>
      </c>
      <c r="G67" s="16">
        <f>IF(A67="","",SUMIF(Quotes!$B$9:$B$258,A67,Quotes!$AI$9:$AI$258))</f>
        <v>0</v>
      </c>
      <c r="H67" s="16">
        <f>IF(A67="","",SUMIF(Quotes!$B$9:$B$258,A67,Quotes!$AJ$9:$AJ$258))</f>
        <v>0</v>
      </c>
      <c r="I67" s="15" t="s">
        <v>77</v>
      </c>
      <c r="J67" s="17"/>
      <c r="K67" s="17"/>
      <c r="L67" s="15" t="s">
        <v>264</v>
      </c>
      <c r="M67" s="15" t="s">
        <v>264</v>
      </c>
      <c r="N67" s="15"/>
      <c r="O67" s="14" t="s">
        <v>79</v>
      </c>
      <c r="P67" s="14"/>
      <c r="Q67" s="14" t="str">
        <f>IF(AND(A67&lt;&gt;"",P67&lt;&gt;"",D67&lt;&gt;"Closed",D67&lt;&gt;"Cancelled"),COUNTIFS($P$9:P67,"&lt;&gt;",$D$9:D67,"&lt;&gt;Closed",$D$9:D67,"&lt;&gt;Cancelled"),"")</f>
        <v/>
      </c>
      <c r="R67" s="14" t="str">
        <f t="shared" si="1"/>
        <v>3138.04 | Scrubber</v>
      </c>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row>
    <row r="68" spans="1:44" ht="40" customHeight="1" x14ac:dyDescent="0.35">
      <c r="A68" s="35" t="s">
        <v>265</v>
      </c>
      <c r="B68" s="15" t="s">
        <v>266</v>
      </c>
      <c r="C68" s="15" t="s">
        <v>179</v>
      </c>
      <c r="D68" s="15" t="s">
        <v>76</v>
      </c>
      <c r="E68" s="18" t="str">
        <f t="shared" si="0"/>
        <v>OPEN JOB</v>
      </c>
      <c r="F68" s="18">
        <f>IF(A68="","",COUNTIF(Quotes!$B$9:$B$258,A68))</f>
        <v>1</v>
      </c>
      <c r="G68" s="19">
        <f>IF(A68="","",SUMIF(Quotes!$B$9:$B$258,A68,Quotes!$AI$9:$AI$258))</f>
        <v>0</v>
      </c>
      <c r="H68" s="19">
        <f>IF(A68="","",SUMIF(Quotes!$B$9:$B$258,A68,Quotes!$AJ$9:$AJ$258))</f>
        <v>0</v>
      </c>
      <c r="I68" s="15" t="s">
        <v>77</v>
      </c>
      <c r="J68" s="17"/>
      <c r="K68" s="17"/>
      <c r="L68" s="15" t="s">
        <v>267</v>
      </c>
      <c r="M68" s="15" t="s">
        <v>267</v>
      </c>
      <c r="N68" s="15"/>
      <c r="O68" s="18" t="s">
        <v>79</v>
      </c>
      <c r="P68" s="18" t="s">
        <v>268</v>
      </c>
      <c r="Q68" s="18">
        <f>IF(AND(A68&lt;&gt;"",P68&lt;&gt;"",D68&lt;&gt;"Closed",D68&lt;&gt;"Cancelled"),COUNTIFS($P$9:P68,"&lt;&gt;",$D$9:D68,"&lt;&gt;Closed",$D$9:D68,"&lt;&gt;Cancelled"),"")</f>
        <v>6</v>
      </c>
      <c r="R68" s="18" t="str">
        <f t="shared" si="1"/>
        <v>3149.01 | Main engine overhaul</v>
      </c>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row>
    <row r="69" spans="1:44" ht="40" customHeight="1" x14ac:dyDescent="0.35">
      <c r="A69" s="34" t="s">
        <v>269</v>
      </c>
      <c r="B69" s="15" t="s">
        <v>270</v>
      </c>
      <c r="C69" s="15" t="s">
        <v>179</v>
      </c>
      <c r="D69" s="15" t="s">
        <v>76</v>
      </c>
      <c r="E69" s="14" t="str">
        <f t="shared" si="0"/>
        <v>OPEN JOB</v>
      </c>
      <c r="F69" s="14">
        <f>IF(A69="","",COUNTIF(Quotes!$B$9:$B$258,A69))</f>
        <v>2</v>
      </c>
      <c r="G69" s="16">
        <f>IF(A69="","",SUMIF(Quotes!$B$9:$B$258,A69,Quotes!$AI$9:$AI$258))</f>
        <v>0</v>
      </c>
      <c r="H69" s="16">
        <f>IF(A69="","",SUMIF(Quotes!$B$9:$B$258,A69,Quotes!$AJ$9:$AJ$258))</f>
        <v>0</v>
      </c>
      <c r="I69" s="15" t="s">
        <v>77</v>
      </c>
      <c r="J69" s="17"/>
      <c r="K69" s="17"/>
      <c r="L69" s="15" t="s">
        <v>271</v>
      </c>
      <c r="M69" s="15" t="s">
        <v>271</v>
      </c>
      <c r="N69" s="15"/>
      <c r="O69" s="14" t="s">
        <v>79</v>
      </c>
      <c r="P69" s="14" t="s">
        <v>272</v>
      </c>
      <c r="Q69" s="14">
        <f>IF(AND(A69&lt;&gt;"",P69&lt;&gt;"",D69&lt;&gt;"Closed",D69&lt;&gt;"Cancelled"),COUNTIFS($P$9:P69,"&lt;&gt;",$D$9:D69,"&lt;&gt;Closed",$D$9:D69,"&lt;&gt;Cancelled"),"")</f>
        <v>7</v>
      </c>
      <c r="R69" s="14" t="str">
        <f t="shared" si="1"/>
        <v>3149.02 | Governor overhaul</v>
      </c>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row>
    <row r="70" spans="1:44" ht="40" hidden="1" customHeight="1" x14ac:dyDescent="0.35">
      <c r="A70" s="35" t="s">
        <v>273</v>
      </c>
      <c r="B70" s="15" t="s">
        <v>274</v>
      </c>
      <c r="C70" s="15" t="s">
        <v>179</v>
      </c>
      <c r="D70" s="15" t="s">
        <v>76</v>
      </c>
      <c r="E70" s="18" t="str">
        <f t="shared" si="0"/>
        <v/>
      </c>
      <c r="F70" s="18">
        <f>IF(A70="","",COUNTIF(Quotes!$B$9:$B$258,A70))</f>
        <v>0</v>
      </c>
      <c r="G70" s="19">
        <f>IF(A70="","",SUMIF(Quotes!$B$9:$B$258,A70,Quotes!$AI$9:$AI$258))</f>
        <v>0</v>
      </c>
      <c r="H70" s="19">
        <f>IF(A70="","",SUMIF(Quotes!$B$9:$B$258,A70,Quotes!$AJ$9:$AJ$258))</f>
        <v>0</v>
      </c>
      <c r="I70" s="15" t="s">
        <v>77</v>
      </c>
      <c r="J70" s="17"/>
      <c r="K70" s="17"/>
      <c r="L70" s="15" t="s">
        <v>275</v>
      </c>
      <c r="M70" s="15" t="s">
        <v>275</v>
      </c>
      <c r="N70" s="15"/>
      <c r="O70" s="18" t="s">
        <v>79</v>
      </c>
      <c r="P70" s="18"/>
      <c r="Q70" s="18" t="str">
        <f>IF(AND(A70&lt;&gt;"",P70&lt;&gt;"",D70&lt;&gt;"Closed",D70&lt;&gt;"Cancelled"),COUNTIFS($P$9:P70,"&lt;&gt;",$D$9:D70,"&lt;&gt;Closed",$D$9:D70,"&lt;&gt;Cancelled"),"")</f>
        <v/>
      </c>
      <c r="R70" s="18" t="str">
        <f t="shared" si="1"/>
        <v>3221.01 | LT backflush pipes</v>
      </c>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row>
    <row r="71" spans="1:44" ht="40" hidden="1" customHeight="1" x14ac:dyDescent="0.35">
      <c r="A71" s="34" t="s">
        <v>276</v>
      </c>
      <c r="B71" s="15" t="s">
        <v>277</v>
      </c>
      <c r="C71" s="15" t="s">
        <v>179</v>
      </c>
      <c r="D71" s="15" t="s">
        <v>76</v>
      </c>
      <c r="E71" s="14" t="str">
        <f t="shared" si="0"/>
        <v/>
      </c>
      <c r="F71" s="14">
        <f>IF(A71="","",COUNTIF(Quotes!$B$9:$B$258,A71))</f>
        <v>0</v>
      </c>
      <c r="G71" s="16">
        <f>IF(A71="","",SUMIF(Quotes!$B$9:$B$258,A71,Quotes!$AI$9:$AI$258))</f>
        <v>0</v>
      </c>
      <c r="H71" s="16">
        <f>IF(A71="","",SUMIF(Quotes!$B$9:$B$258,A71,Quotes!$AJ$9:$AJ$258))</f>
        <v>0</v>
      </c>
      <c r="I71" s="15" t="s">
        <v>77</v>
      </c>
      <c r="J71" s="17"/>
      <c r="K71" s="17"/>
      <c r="L71" s="15" t="s">
        <v>278</v>
      </c>
      <c r="M71" s="15" t="s">
        <v>278</v>
      </c>
      <c r="N71" s="15"/>
      <c r="O71" s="14" t="s">
        <v>79</v>
      </c>
      <c r="P71" s="14"/>
      <c r="Q71" s="14" t="str">
        <f>IF(AND(A71&lt;&gt;"",P71&lt;&gt;"",D71&lt;&gt;"Closed",D71&lt;&gt;"Cancelled"),COUNTIFS($P$9:P71,"&lt;&gt;",$D$9:D71,"&lt;&gt;Closed",$D$9:D71,"&lt;&gt;Cancelled"),"")</f>
        <v/>
      </c>
      <c r="R71" s="14" t="str">
        <f t="shared" si="1"/>
        <v>3306.01 | LT cooling pipes renewal</v>
      </c>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row>
    <row r="72" spans="1:44" ht="40" hidden="1" customHeight="1" x14ac:dyDescent="0.35">
      <c r="A72" s="35" t="s">
        <v>279</v>
      </c>
      <c r="B72" s="15" t="s">
        <v>280</v>
      </c>
      <c r="C72" s="15" t="s">
        <v>179</v>
      </c>
      <c r="D72" s="15" t="s">
        <v>76</v>
      </c>
      <c r="E72" s="18" t="str">
        <f t="shared" si="0"/>
        <v/>
      </c>
      <c r="F72" s="18">
        <f>IF(A72="","",COUNTIF(Quotes!$B$9:$B$258,A72))</f>
        <v>0</v>
      </c>
      <c r="G72" s="19">
        <f>IF(A72="","",SUMIF(Quotes!$B$9:$B$258,A72,Quotes!$AI$9:$AI$258))</f>
        <v>0</v>
      </c>
      <c r="H72" s="19">
        <f>IF(A72="","",SUMIF(Quotes!$B$9:$B$258,A72,Quotes!$AJ$9:$AJ$258))</f>
        <v>0</v>
      </c>
      <c r="I72" s="15" t="s">
        <v>77</v>
      </c>
      <c r="J72" s="17"/>
      <c r="K72" s="17"/>
      <c r="L72" s="15" t="s">
        <v>281</v>
      </c>
      <c r="M72" s="15" t="s">
        <v>281</v>
      </c>
      <c r="N72" s="15"/>
      <c r="O72" s="18" t="s">
        <v>79</v>
      </c>
      <c r="P72" s="18"/>
      <c r="Q72" s="18" t="str">
        <f>IF(AND(A72&lt;&gt;"",P72&lt;&gt;"",D72&lt;&gt;"Closed",D72&lt;&gt;"Cancelled"),COUNTIFS($P$9:P72,"&lt;&gt;",$D$9:D72,"&lt;&gt;Closed",$D$9:D72,"&lt;&gt;Cancelled"),"")</f>
        <v/>
      </c>
      <c r="R72" s="18" t="str">
        <f t="shared" si="1"/>
        <v>3306.02 | HT cooling pipes renewal</v>
      </c>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row>
    <row r="73" spans="1:44" ht="40" hidden="1" customHeight="1" x14ac:dyDescent="0.35">
      <c r="A73" s="34" t="s">
        <v>282</v>
      </c>
      <c r="B73" s="15" t="s">
        <v>283</v>
      </c>
      <c r="C73" s="15" t="s">
        <v>179</v>
      </c>
      <c r="D73" s="15" t="s">
        <v>76</v>
      </c>
      <c r="E73" s="14" t="str">
        <f t="shared" ref="E73:E136" si="2">IF(OR(A73="",P73=""),"",HYPERLINK("#'"&amp;P73&amp;"'!A1","OPEN JOB"))</f>
        <v/>
      </c>
      <c r="F73" s="14">
        <f>IF(A73="","",COUNTIF(Quotes!$B$9:$B$258,A73))</f>
        <v>0</v>
      </c>
      <c r="G73" s="16">
        <f>IF(A73="","",SUMIF(Quotes!$B$9:$B$258,A73,Quotes!$AI$9:$AI$258))</f>
        <v>0</v>
      </c>
      <c r="H73" s="16">
        <f>IF(A73="","",SUMIF(Quotes!$B$9:$B$258,A73,Quotes!$AJ$9:$AJ$258))</f>
        <v>0</v>
      </c>
      <c r="I73" s="15" t="s">
        <v>77</v>
      </c>
      <c r="J73" s="17"/>
      <c r="K73" s="17"/>
      <c r="L73" s="15" t="s">
        <v>284</v>
      </c>
      <c r="M73" s="15" t="s">
        <v>284</v>
      </c>
      <c r="N73" s="15"/>
      <c r="O73" s="14" t="s">
        <v>79</v>
      </c>
      <c r="P73" s="14"/>
      <c r="Q73" s="14" t="str">
        <f>IF(AND(A73&lt;&gt;"",P73&lt;&gt;"",D73&lt;&gt;"Closed",D73&lt;&gt;"Cancelled"),COUNTIFS($P$9:P73,"&lt;&gt;",$D$9:D73,"&lt;&gt;Closed",$D$9:D73,"&lt;&gt;Cancelled"),"")</f>
        <v/>
      </c>
      <c r="R73" s="14" t="str">
        <f t="shared" ref="R73:R136" si="3">IF(A73="","",A73&amp;" | "&amp;B73)</f>
        <v>3320.01 | Bearing replacing on the port shaft generator</v>
      </c>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row>
    <row r="74" spans="1:44" ht="40" hidden="1" customHeight="1" x14ac:dyDescent="0.35">
      <c r="A74" s="35" t="s">
        <v>285</v>
      </c>
      <c r="B74" s="15" t="s">
        <v>286</v>
      </c>
      <c r="C74" s="15" t="s">
        <v>179</v>
      </c>
      <c r="D74" s="15" t="s">
        <v>76</v>
      </c>
      <c r="E74" s="18" t="str">
        <f t="shared" si="2"/>
        <v/>
      </c>
      <c r="F74" s="18">
        <f>IF(A74="","",COUNTIF(Quotes!$B$9:$B$258,A74))</f>
        <v>0</v>
      </c>
      <c r="G74" s="19">
        <f>IF(A74="","",SUMIF(Quotes!$B$9:$B$258,A74,Quotes!$AI$9:$AI$258))</f>
        <v>0</v>
      </c>
      <c r="H74" s="19">
        <f>IF(A74="","",SUMIF(Quotes!$B$9:$B$258,A74,Quotes!$AJ$9:$AJ$258))</f>
        <v>0</v>
      </c>
      <c r="I74" s="15" t="s">
        <v>77</v>
      </c>
      <c r="J74" s="17"/>
      <c r="K74" s="17"/>
      <c r="L74" s="15" t="s">
        <v>287</v>
      </c>
      <c r="M74" s="15" t="s">
        <v>287</v>
      </c>
      <c r="N74" s="15"/>
      <c r="O74" s="18" t="s">
        <v>79</v>
      </c>
      <c r="P74" s="18"/>
      <c r="Q74" s="18" t="str">
        <f>IF(AND(A74&lt;&gt;"",P74&lt;&gt;"",D74&lt;&gt;"Closed",D74&lt;&gt;"Cancelled"),COUNTIFS($P$9:P74,"&lt;&gt;",$D$9:D74,"&lt;&gt;Closed",$D$9:D74,"&lt;&gt;Cancelled"),"")</f>
        <v/>
      </c>
      <c r="R74" s="18" t="str">
        <f t="shared" si="3"/>
        <v>3338.01 | Ship side valves</v>
      </c>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row>
    <row r="75" spans="1:44" ht="40" hidden="1" customHeight="1" x14ac:dyDescent="0.35">
      <c r="A75" s="34" t="s">
        <v>288</v>
      </c>
      <c r="B75" s="15" t="s">
        <v>289</v>
      </c>
      <c r="C75" s="15" t="s">
        <v>179</v>
      </c>
      <c r="D75" s="15" t="s">
        <v>76</v>
      </c>
      <c r="E75" s="14" t="str">
        <f t="shared" si="2"/>
        <v/>
      </c>
      <c r="F75" s="14">
        <f>IF(A75="","",COUNTIF(Quotes!$B$9:$B$258,A75))</f>
        <v>0</v>
      </c>
      <c r="G75" s="16">
        <f>IF(A75="","",SUMIF(Quotes!$B$9:$B$258,A75,Quotes!$AI$9:$AI$258))</f>
        <v>0</v>
      </c>
      <c r="H75" s="16">
        <f>IF(A75="","",SUMIF(Quotes!$B$9:$B$258,A75,Quotes!$AJ$9:$AJ$258))</f>
        <v>0</v>
      </c>
      <c r="I75" s="15" t="s">
        <v>77</v>
      </c>
      <c r="J75" s="17"/>
      <c r="K75" s="17"/>
      <c r="L75" s="15" t="s">
        <v>290</v>
      </c>
      <c r="M75" s="15" t="s">
        <v>290</v>
      </c>
      <c r="N75" s="15"/>
      <c r="O75" s="14" t="s">
        <v>79</v>
      </c>
      <c r="P75" s="14"/>
      <c r="Q75" s="14" t="str">
        <f>IF(AND(A75&lt;&gt;"",P75&lt;&gt;"",D75&lt;&gt;"Closed",D75&lt;&gt;"Cancelled"),COUNTIFS($P$9:P75,"&lt;&gt;",$D$9:D75,"&lt;&gt;Closed",$D$9:D75,"&lt;&gt;Cancelled"),"")</f>
        <v/>
      </c>
      <c r="R75" s="14" t="str">
        <f t="shared" si="3"/>
        <v>3338.02 | Butterfly valves replacement</v>
      </c>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row>
    <row r="76" spans="1:44" ht="40" hidden="1" customHeight="1" x14ac:dyDescent="0.35">
      <c r="A76" s="35" t="s">
        <v>291</v>
      </c>
      <c r="B76" s="15" t="s">
        <v>292</v>
      </c>
      <c r="C76" s="15" t="s">
        <v>179</v>
      </c>
      <c r="D76" s="15" t="s">
        <v>76</v>
      </c>
      <c r="E76" s="18" t="str">
        <f t="shared" si="2"/>
        <v/>
      </c>
      <c r="F76" s="18">
        <f>IF(A76="","",COUNTIF(Quotes!$B$9:$B$258,A76))</f>
        <v>0</v>
      </c>
      <c r="G76" s="19">
        <f>IF(A76="","",SUMIF(Quotes!$B$9:$B$258,A76,Quotes!$AI$9:$AI$258))</f>
        <v>0</v>
      </c>
      <c r="H76" s="19">
        <f>IF(A76="","",SUMIF(Quotes!$B$9:$B$258,A76,Quotes!$AJ$9:$AJ$258))</f>
        <v>0</v>
      </c>
      <c r="I76" s="15" t="s">
        <v>77</v>
      </c>
      <c r="J76" s="17"/>
      <c r="K76" s="17"/>
      <c r="L76" s="15" t="s">
        <v>293</v>
      </c>
      <c r="M76" s="15" t="s">
        <v>293</v>
      </c>
      <c r="N76" s="15"/>
      <c r="O76" s="18" t="s">
        <v>79</v>
      </c>
      <c r="P76" s="18"/>
      <c r="Q76" s="18" t="str">
        <f>IF(AND(A76&lt;&gt;"",P76&lt;&gt;"",D76&lt;&gt;"Closed",D76&lt;&gt;"Cancelled"),COUNTIFS($P$9:P76,"&lt;&gt;",$D$9:D76,"&lt;&gt;Closed",$D$9:D76,"&lt;&gt;Cancelled"),"")</f>
        <v/>
      </c>
      <c r="R76" s="18" t="str">
        <f t="shared" si="3"/>
        <v>3341.02 | Ventilation fan overhaul</v>
      </c>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row>
    <row r="77" spans="1:44" ht="40" hidden="1" customHeight="1" x14ac:dyDescent="0.35">
      <c r="A77" s="34" t="s">
        <v>294</v>
      </c>
      <c r="B77" s="15" t="s">
        <v>295</v>
      </c>
      <c r="C77" s="15" t="s">
        <v>179</v>
      </c>
      <c r="D77" s="15" t="s">
        <v>76</v>
      </c>
      <c r="E77" s="14" t="str">
        <f t="shared" si="2"/>
        <v/>
      </c>
      <c r="F77" s="14">
        <f>IF(A77="","",COUNTIF(Quotes!$B$9:$B$258,A77))</f>
        <v>0</v>
      </c>
      <c r="G77" s="16">
        <f>IF(A77="","",SUMIF(Quotes!$B$9:$B$258,A77,Quotes!$AI$9:$AI$258))</f>
        <v>0</v>
      </c>
      <c r="H77" s="16">
        <f>IF(A77="","",SUMIF(Quotes!$B$9:$B$258,A77,Quotes!$AJ$9:$AJ$258))</f>
        <v>0</v>
      </c>
      <c r="I77" s="15" t="s">
        <v>77</v>
      </c>
      <c r="J77" s="17"/>
      <c r="K77" s="17"/>
      <c r="L77" s="15" t="s">
        <v>296</v>
      </c>
      <c r="M77" s="15" t="s">
        <v>296</v>
      </c>
      <c r="N77" s="15"/>
      <c r="O77" s="14" t="s">
        <v>79</v>
      </c>
      <c r="P77" s="14"/>
      <c r="Q77" s="14" t="str">
        <f>IF(AND(A77&lt;&gt;"",P77&lt;&gt;"",D77&lt;&gt;"Closed",D77&lt;&gt;"Cancelled"),COUNTIFS($P$9:P77,"&lt;&gt;",$D$9:D77,"&lt;&gt;Closed",$D$9:D77,"&lt;&gt;Cancelled"),"")</f>
        <v/>
      </c>
      <c r="R77" s="14" t="str">
        <f t="shared" si="3"/>
        <v>3341.03 | Bow Thrusters Space Ventilation Duct</v>
      </c>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row>
    <row r="78" spans="1:44" ht="40" hidden="1" customHeight="1" x14ac:dyDescent="0.35">
      <c r="A78" s="35" t="s">
        <v>297</v>
      </c>
      <c r="B78" s="15" t="s">
        <v>298</v>
      </c>
      <c r="C78" s="15" t="s">
        <v>179</v>
      </c>
      <c r="D78" s="15" t="s">
        <v>76</v>
      </c>
      <c r="E78" s="18" t="str">
        <f t="shared" si="2"/>
        <v/>
      </c>
      <c r="F78" s="18">
        <f>IF(A78="","",COUNTIF(Quotes!$B$9:$B$258,A78))</f>
        <v>0</v>
      </c>
      <c r="G78" s="19">
        <f>IF(A78="","",SUMIF(Quotes!$B$9:$B$258,A78,Quotes!$AI$9:$AI$258))</f>
        <v>0</v>
      </c>
      <c r="H78" s="19">
        <f>IF(A78="","",SUMIF(Quotes!$B$9:$B$258,A78,Quotes!$AJ$9:$AJ$258))</f>
        <v>0</v>
      </c>
      <c r="I78" s="15" t="s">
        <v>77</v>
      </c>
      <c r="J78" s="17"/>
      <c r="K78" s="17"/>
      <c r="L78" s="15" t="s">
        <v>299</v>
      </c>
      <c r="M78" s="15" t="s">
        <v>299</v>
      </c>
      <c r="N78" s="15"/>
      <c r="O78" s="18" t="s">
        <v>79</v>
      </c>
      <c r="P78" s="18"/>
      <c r="Q78" s="18" t="str">
        <f>IF(AND(A78&lt;&gt;"",P78&lt;&gt;"",D78&lt;&gt;"Closed",D78&lt;&gt;"Cancelled"),COUNTIFS($P$9:P78,"&lt;&gt;",$D$9:D78,"&lt;&gt;Closed",$D$9:D78,"&lt;&gt;Cancelled"),"")</f>
        <v/>
      </c>
      <c r="R78" s="18" t="str">
        <f t="shared" si="3"/>
        <v>3401.01 | Oil fired boiler: Overhaul of valves and cleaning</v>
      </c>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row>
    <row r="79" spans="1:44" ht="40" hidden="1" customHeight="1" x14ac:dyDescent="0.35">
      <c r="A79" s="34" t="s">
        <v>300</v>
      </c>
      <c r="B79" s="15" t="s">
        <v>301</v>
      </c>
      <c r="C79" s="15" t="s">
        <v>179</v>
      </c>
      <c r="D79" s="15" t="s">
        <v>76</v>
      </c>
      <c r="E79" s="14" t="str">
        <f t="shared" si="2"/>
        <v/>
      </c>
      <c r="F79" s="14">
        <f>IF(A79="","",COUNTIF(Quotes!$B$9:$B$258,A79))</f>
        <v>0</v>
      </c>
      <c r="G79" s="16">
        <f>IF(A79="","",SUMIF(Quotes!$B$9:$B$258,A79,Quotes!$AI$9:$AI$258))</f>
        <v>0</v>
      </c>
      <c r="H79" s="16">
        <f>IF(A79="","",SUMIF(Quotes!$B$9:$B$258,A79,Quotes!$AJ$9:$AJ$258))</f>
        <v>0</v>
      </c>
      <c r="I79" s="15" t="s">
        <v>77</v>
      </c>
      <c r="J79" s="17"/>
      <c r="K79" s="17"/>
      <c r="L79" s="15" t="s">
        <v>302</v>
      </c>
      <c r="M79" s="15" t="s">
        <v>302</v>
      </c>
      <c r="N79" s="15"/>
      <c r="O79" s="14" t="s">
        <v>79</v>
      </c>
      <c r="P79" s="14"/>
      <c r="Q79" s="14" t="str">
        <f>IF(AND(A79&lt;&gt;"",P79&lt;&gt;"",D79&lt;&gt;"Closed",D79&lt;&gt;"Cancelled"),COUNTIFS($P$9:P79,"&lt;&gt;",$D$9:D79,"&lt;&gt;Closed",$D$9:D79,"&lt;&gt;Cancelled"),"")</f>
        <v/>
      </c>
      <c r="R79" s="14" t="str">
        <f t="shared" si="3"/>
        <v>3411.01 | ME exhaust gas boilers: Overhaul of valves and cleaning</v>
      </c>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row>
    <row r="80" spans="1:44" ht="40" hidden="1" customHeight="1" x14ac:dyDescent="0.35">
      <c r="A80" s="35" t="s">
        <v>303</v>
      </c>
      <c r="B80" s="15" t="s">
        <v>304</v>
      </c>
      <c r="C80" s="15" t="s">
        <v>179</v>
      </c>
      <c r="D80" s="15" t="s">
        <v>76</v>
      </c>
      <c r="E80" s="18" t="str">
        <f t="shared" si="2"/>
        <v/>
      </c>
      <c r="F80" s="18">
        <f>IF(A80="","",COUNTIF(Quotes!$B$9:$B$258,A80))</f>
        <v>0</v>
      </c>
      <c r="G80" s="19">
        <f>IF(A80="","",SUMIF(Quotes!$B$9:$B$258,A80,Quotes!$AI$9:$AI$258))</f>
        <v>0</v>
      </c>
      <c r="H80" s="19">
        <f>IF(A80="","",SUMIF(Quotes!$B$9:$B$258,A80,Quotes!$AJ$9:$AJ$258))</f>
        <v>0</v>
      </c>
      <c r="I80" s="15" t="s">
        <v>77</v>
      </c>
      <c r="J80" s="17"/>
      <c r="K80" s="17"/>
      <c r="L80" s="15" t="s">
        <v>305</v>
      </c>
      <c r="M80" s="15" t="s">
        <v>305</v>
      </c>
      <c r="N80" s="15"/>
      <c r="O80" s="18" t="s">
        <v>79</v>
      </c>
      <c r="P80" s="18"/>
      <c r="Q80" s="18" t="str">
        <f>IF(AND(A80&lt;&gt;"",P80&lt;&gt;"",D80&lt;&gt;"Closed",D80&lt;&gt;"Cancelled"),COUNTIFS($P$9:P80,"&lt;&gt;",$D$9:D80,"&lt;&gt;Closed",$D$9:D80,"&lt;&gt;Cancelled"),"")</f>
        <v/>
      </c>
      <c r="R80" s="18" t="str">
        <f t="shared" si="3"/>
        <v>3411.02 | ME Exhaust gas boiler soot blower</v>
      </c>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row>
    <row r="81" spans="1:44" ht="40" hidden="1" customHeight="1" x14ac:dyDescent="0.35">
      <c r="A81" s="34" t="s">
        <v>306</v>
      </c>
      <c r="B81" s="15" t="s">
        <v>307</v>
      </c>
      <c r="C81" s="15" t="s">
        <v>179</v>
      </c>
      <c r="D81" s="15" t="s">
        <v>76</v>
      </c>
      <c r="E81" s="14" t="str">
        <f t="shared" si="2"/>
        <v/>
      </c>
      <c r="F81" s="14">
        <f>IF(A81="","",COUNTIF(Quotes!$B$9:$B$258,A81))</f>
        <v>0</v>
      </c>
      <c r="G81" s="16">
        <f>IF(A81="","",SUMIF(Quotes!$B$9:$B$258,A81,Quotes!$AI$9:$AI$258))</f>
        <v>0</v>
      </c>
      <c r="H81" s="16">
        <f>IF(A81="","",SUMIF(Quotes!$B$9:$B$258,A81,Quotes!$AJ$9:$AJ$258))</f>
        <v>0</v>
      </c>
      <c r="I81" s="15" t="s">
        <v>77</v>
      </c>
      <c r="J81" s="17"/>
      <c r="K81" s="17"/>
      <c r="L81" s="15" t="s">
        <v>308</v>
      </c>
      <c r="M81" s="15" t="s">
        <v>308</v>
      </c>
      <c r="N81" s="15"/>
      <c r="O81" s="14" t="s">
        <v>79</v>
      </c>
      <c r="P81" s="14"/>
      <c r="Q81" s="14" t="str">
        <f>IF(AND(A81&lt;&gt;"",P81&lt;&gt;"",D81&lt;&gt;"Closed",D81&lt;&gt;"Cancelled"),COUNTIFS($P$9:P81,"&lt;&gt;",$D$9:D81,"&lt;&gt;Closed",$D$9:D81,"&lt;&gt;Cancelled"),"")</f>
        <v/>
      </c>
      <c r="R81" s="14" t="str">
        <f t="shared" si="3"/>
        <v>3505.02 | Scrubber pipe penetrations</v>
      </c>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row>
    <row r="82" spans="1:44" ht="40" hidden="1" customHeight="1" x14ac:dyDescent="0.35">
      <c r="A82" s="35" t="s">
        <v>309</v>
      </c>
      <c r="B82" s="15" t="s">
        <v>310</v>
      </c>
      <c r="C82" s="15" t="s">
        <v>179</v>
      </c>
      <c r="D82" s="15" t="s">
        <v>76</v>
      </c>
      <c r="E82" s="18" t="str">
        <f t="shared" si="2"/>
        <v/>
      </c>
      <c r="F82" s="18">
        <f>IF(A82="","",COUNTIF(Quotes!$B$9:$B$258,A82))</f>
        <v>0</v>
      </c>
      <c r="G82" s="19">
        <f>IF(A82="","",SUMIF(Quotes!$B$9:$B$258,A82,Quotes!$AI$9:$AI$258))</f>
        <v>0</v>
      </c>
      <c r="H82" s="19">
        <f>IF(A82="","",SUMIF(Quotes!$B$9:$B$258,A82,Quotes!$AJ$9:$AJ$258))</f>
        <v>0</v>
      </c>
      <c r="I82" s="15" t="s">
        <v>77</v>
      </c>
      <c r="J82" s="17"/>
      <c r="K82" s="17"/>
      <c r="L82" s="15" t="s">
        <v>311</v>
      </c>
      <c r="M82" s="15" t="s">
        <v>311</v>
      </c>
      <c r="N82" s="15"/>
      <c r="O82" s="18" t="s">
        <v>79</v>
      </c>
      <c r="P82" s="18"/>
      <c r="Q82" s="18" t="str">
        <f>IF(AND(A82&lt;&gt;"",P82&lt;&gt;"",D82&lt;&gt;"Closed",D82&lt;&gt;"Cancelled"),COUNTIFS($P$9:P82,"&lt;&gt;",$D$9:D82,"&lt;&gt;Closed",$D$9:D82,"&lt;&gt;Cancelled"),"")</f>
        <v/>
      </c>
      <c r="R82" s="18" t="str">
        <f t="shared" si="3"/>
        <v>3801.01 | Propeller hub overhaul</v>
      </c>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row>
    <row r="83" spans="1:44" ht="40" customHeight="1" x14ac:dyDescent="0.35">
      <c r="A83" s="34" t="s">
        <v>312</v>
      </c>
      <c r="B83" s="15" t="s">
        <v>313</v>
      </c>
      <c r="C83" s="15" t="s">
        <v>179</v>
      </c>
      <c r="D83" s="15" t="s">
        <v>76</v>
      </c>
      <c r="E83" s="14" t="str">
        <f t="shared" si="2"/>
        <v>OPEN JOB</v>
      </c>
      <c r="F83" s="14">
        <f>IF(A83="","",COUNTIF(Quotes!$B$9:$B$258,A83))</f>
        <v>2</v>
      </c>
      <c r="G83" s="16">
        <f>IF(A83="","",SUMIF(Quotes!$B$9:$B$258,A83,Quotes!$AI$9:$AI$258))</f>
        <v>0</v>
      </c>
      <c r="H83" s="16">
        <f>IF(A83="","",SUMIF(Quotes!$B$9:$B$258,A83,Quotes!$AJ$9:$AJ$258))</f>
        <v>0</v>
      </c>
      <c r="I83" s="15" t="s">
        <v>77</v>
      </c>
      <c r="J83" s="17"/>
      <c r="K83" s="17"/>
      <c r="L83" s="15" t="s">
        <v>314</v>
      </c>
      <c r="M83" s="15" t="s">
        <v>314</v>
      </c>
      <c r="N83" s="15"/>
      <c r="O83" s="14" t="s">
        <v>79</v>
      </c>
      <c r="P83" s="14" t="s">
        <v>315</v>
      </c>
      <c r="Q83" s="14">
        <f>IF(AND(A83&lt;&gt;"",P83&lt;&gt;"",D83&lt;&gt;"Closed",D83&lt;&gt;"Cancelled"),COUNTIFS($P$9:P83,"&lt;&gt;",$D$9:D83,"&lt;&gt;Closed",$D$9:D83,"&lt;&gt;Cancelled"),"")</f>
        <v>8</v>
      </c>
      <c r="R83" s="14" t="str">
        <f t="shared" si="3"/>
        <v>3802.01 | Stern tube seals</v>
      </c>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row>
    <row r="84" spans="1:44" ht="40" customHeight="1" x14ac:dyDescent="0.35">
      <c r="A84" s="35" t="s">
        <v>316</v>
      </c>
      <c r="B84" s="15" t="s">
        <v>317</v>
      </c>
      <c r="C84" s="15" t="s">
        <v>179</v>
      </c>
      <c r="D84" s="15" t="s">
        <v>76</v>
      </c>
      <c r="E84" s="18" t="str">
        <f t="shared" si="2"/>
        <v>OPEN JOB</v>
      </c>
      <c r="F84" s="18">
        <f>IF(A84="","",COUNTIF(Quotes!$B$9:$B$258,A84))</f>
        <v>1</v>
      </c>
      <c r="G84" s="19">
        <f>IF(A84="","",SUMIF(Quotes!$B$9:$B$258,A84,Quotes!$AI$9:$AI$258))</f>
        <v>0</v>
      </c>
      <c r="H84" s="19">
        <f>IF(A84="","",SUMIF(Quotes!$B$9:$B$258,A84,Quotes!$AJ$9:$AJ$258))</f>
        <v>0</v>
      </c>
      <c r="I84" s="15" t="s">
        <v>77</v>
      </c>
      <c r="J84" s="17"/>
      <c r="K84" s="17"/>
      <c r="L84" s="15" t="s">
        <v>318</v>
      </c>
      <c r="M84" s="15" t="s">
        <v>318</v>
      </c>
      <c r="N84" s="15"/>
      <c r="O84" s="18" t="s">
        <v>79</v>
      </c>
      <c r="P84" s="18" t="s">
        <v>319</v>
      </c>
      <c r="Q84" s="18">
        <f>IF(AND(A84&lt;&gt;"",P84&lt;&gt;"",D84&lt;&gt;"Closed",D84&lt;&gt;"Cancelled"),COUNTIFS($P$9:P84,"&lt;&gt;",$D$9:D84,"&lt;&gt;Closed",$D$9:D84,"&lt;&gt;Cancelled"),"")</f>
        <v>9</v>
      </c>
      <c r="R84" s="18" t="str">
        <f t="shared" si="3"/>
        <v>3805.02 | Main propeller OD box overhaul</v>
      </c>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row>
    <row r="85" spans="1:44" ht="40" hidden="1" customHeight="1" x14ac:dyDescent="0.35">
      <c r="A85" s="34" t="s">
        <v>320</v>
      </c>
      <c r="B85" s="15" t="s">
        <v>321</v>
      </c>
      <c r="C85" s="15" t="s">
        <v>179</v>
      </c>
      <c r="D85" s="15" t="s">
        <v>76</v>
      </c>
      <c r="E85" s="14" t="str">
        <f t="shared" si="2"/>
        <v/>
      </c>
      <c r="F85" s="14">
        <f>IF(A85="","",COUNTIF(Quotes!$B$9:$B$258,A85))</f>
        <v>0</v>
      </c>
      <c r="G85" s="16">
        <f>IF(A85="","",SUMIF(Quotes!$B$9:$B$258,A85,Quotes!$AI$9:$AI$258))</f>
        <v>0</v>
      </c>
      <c r="H85" s="16">
        <f>IF(A85="","",SUMIF(Quotes!$B$9:$B$258,A85,Quotes!$AJ$9:$AJ$258))</f>
        <v>0</v>
      </c>
      <c r="I85" s="15" t="s">
        <v>77</v>
      </c>
      <c r="J85" s="17"/>
      <c r="K85" s="17"/>
      <c r="L85" s="15" t="s">
        <v>322</v>
      </c>
      <c r="M85" s="15" t="s">
        <v>322</v>
      </c>
      <c r="N85" s="15"/>
      <c r="O85" s="14" t="s">
        <v>79</v>
      </c>
      <c r="P85" s="14"/>
      <c r="Q85" s="14" t="str">
        <f>IF(AND(A85&lt;&gt;"",P85&lt;&gt;"",D85&lt;&gt;"Closed",D85&lt;&gt;"Cancelled"),COUNTIFS($P$9:P85,"&lt;&gt;",$D$9:D85,"&lt;&gt;Closed",$D$9:D85,"&lt;&gt;Cancelled"),"")</f>
        <v/>
      </c>
      <c r="R85" s="14" t="str">
        <f t="shared" si="3"/>
        <v>3805.03 | Propellershaft withdrawal</v>
      </c>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row>
    <row r="86" spans="1:44" ht="40" customHeight="1" x14ac:dyDescent="0.35">
      <c r="A86" s="35" t="s">
        <v>323</v>
      </c>
      <c r="B86" s="15" t="s">
        <v>324</v>
      </c>
      <c r="C86" s="15" t="s">
        <v>179</v>
      </c>
      <c r="D86" s="15" t="s">
        <v>76</v>
      </c>
      <c r="E86" s="18" t="str">
        <f t="shared" si="2"/>
        <v>OPEN JOB</v>
      </c>
      <c r="F86" s="18">
        <f>IF(A86="","",COUNTIF(Quotes!$B$9:$B$258,A86))</f>
        <v>2</v>
      </c>
      <c r="G86" s="19">
        <f>IF(A86="","",SUMIF(Quotes!$B$9:$B$258,A86,Quotes!$AI$9:$AI$258))</f>
        <v>144229.46494464943</v>
      </c>
      <c r="H86" s="19">
        <f>IF(A86="","",SUMIF(Quotes!$B$9:$B$258,A86,Quotes!$AJ$9:$AJ$258))</f>
        <v>0</v>
      </c>
      <c r="I86" s="15" t="s">
        <v>77</v>
      </c>
      <c r="J86" s="17"/>
      <c r="K86" s="17"/>
      <c r="L86" s="15" t="s">
        <v>325</v>
      </c>
      <c r="M86" s="15" t="s">
        <v>325</v>
      </c>
      <c r="N86" s="15"/>
      <c r="O86" s="18" t="s">
        <v>79</v>
      </c>
      <c r="P86" s="18" t="s">
        <v>326</v>
      </c>
      <c r="Q86" s="18">
        <f>IF(AND(A86&lt;&gt;"",P86&lt;&gt;"",D86&lt;&gt;"Closed",D86&lt;&gt;"Cancelled"),COUNTIFS($P$9:P86,"&lt;&gt;",$D$9:D86,"&lt;&gt;Closed",$D$9:D86,"&lt;&gt;Cancelled"),"")</f>
        <v>10</v>
      </c>
      <c r="R86" s="18" t="str">
        <f t="shared" si="3"/>
        <v>3811.01 | Bow thrusters overhaul</v>
      </c>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row>
    <row r="87" spans="1:44" ht="40" customHeight="1" x14ac:dyDescent="0.35">
      <c r="A87" s="34" t="s">
        <v>327</v>
      </c>
      <c r="B87" s="15" t="s">
        <v>328</v>
      </c>
      <c r="C87" s="15" t="s">
        <v>179</v>
      </c>
      <c r="D87" s="15" t="s">
        <v>76</v>
      </c>
      <c r="E87" s="14" t="str">
        <f t="shared" si="2"/>
        <v>OPEN JOB</v>
      </c>
      <c r="F87" s="14">
        <f>IF(A87="","",COUNTIF(Quotes!$B$9:$B$258,A87))</f>
        <v>1</v>
      </c>
      <c r="G87" s="16">
        <f>IF(A87="","",SUMIF(Quotes!$B$9:$B$258,A87,Quotes!$AI$9:$AI$258))</f>
        <v>0</v>
      </c>
      <c r="H87" s="16">
        <f>IF(A87="","",SUMIF(Quotes!$B$9:$B$258,A87,Quotes!$AJ$9:$AJ$258))</f>
        <v>0</v>
      </c>
      <c r="I87" s="15" t="s">
        <v>77</v>
      </c>
      <c r="J87" s="17"/>
      <c r="K87" s="17"/>
      <c r="L87" s="15" t="s">
        <v>329</v>
      </c>
      <c r="M87" s="15" t="s">
        <v>329</v>
      </c>
      <c r="N87" s="15"/>
      <c r="O87" s="14" t="s">
        <v>79</v>
      </c>
      <c r="P87" s="14" t="s">
        <v>330</v>
      </c>
      <c r="Q87" s="14">
        <f>IF(AND(A87&lt;&gt;"",P87&lt;&gt;"",D87&lt;&gt;"Closed",D87&lt;&gt;"Cancelled"),COUNTIFS($P$9:P87,"&lt;&gt;",$D$9:D87,"&lt;&gt;Closed",$D$9:D87,"&lt;&gt;Cancelled"),"")</f>
        <v>11</v>
      </c>
      <c r="R87" s="14" t="str">
        <f t="shared" si="3"/>
        <v>3811.02 | Thruster PLC upgrade - YARD INFO ONLY</v>
      </c>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row>
    <row r="88" spans="1:44" ht="40" customHeight="1" x14ac:dyDescent="0.35">
      <c r="A88" s="35" t="s">
        <v>331</v>
      </c>
      <c r="B88" s="15" t="s">
        <v>332</v>
      </c>
      <c r="C88" s="15" t="s">
        <v>179</v>
      </c>
      <c r="D88" s="15" t="s">
        <v>76</v>
      </c>
      <c r="E88" s="18" t="str">
        <f t="shared" si="2"/>
        <v>OPEN JOB</v>
      </c>
      <c r="F88" s="18">
        <f>IF(A88="","",COUNTIF(Quotes!$B$9:$B$258,A88))</f>
        <v>4</v>
      </c>
      <c r="G88" s="19">
        <f>IF(A88="","",SUMIF(Quotes!$B$9:$B$258,A88,Quotes!$AI$9:$AI$258))</f>
        <v>250000</v>
      </c>
      <c r="H88" s="19">
        <f>IF(A88="","",SUMIF(Quotes!$B$9:$B$258,A88,Quotes!$AJ$9:$AJ$258))</f>
        <v>0</v>
      </c>
      <c r="I88" s="15" t="s">
        <v>77</v>
      </c>
      <c r="J88" s="17"/>
      <c r="K88" s="17"/>
      <c r="L88" s="15" t="s">
        <v>333</v>
      </c>
      <c r="M88" s="15" t="s">
        <v>333</v>
      </c>
      <c r="N88" s="15"/>
      <c r="O88" s="18" t="s">
        <v>79</v>
      </c>
      <c r="P88" s="18" t="s">
        <v>334</v>
      </c>
      <c r="Q88" s="18">
        <f>IF(AND(A88&lt;&gt;"",P88&lt;&gt;"",D88&lt;&gt;"Closed",D88&lt;&gt;"Cancelled"),COUNTIFS($P$9:P88,"&lt;&gt;",$D$9:D88,"&lt;&gt;Closed",$D$9:D88,"&lt;&gt;Cancelled"),"")</f>
        <v>12</v>
      </c>
      <c r="R88" s="18" t="str">
        <f t="shared" si="3"/>
        <v>3812.01 | Stabilizers</v>
      </c>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row>
    <row r="89" spans="1:44" ht="40" hidden="1" customHeight="1" x14ac:dyDescent="0.35">
      <c r="A89" s="34" t="s">
        <v>335</v>
      </c>
      <c r="B89" s="15" t="s">
        <v>336</v>
      </c>
      <c r="C89" s="15" t="s">
        <v>179</v>
      </c>
      <c r="D89" s="15" t="s">
        <v>76</v>
      </c>
      <c r="E89" s="14" t="str">
        <f t="shared" si="2"/>
        <v/>
      </c>
      <c r="F89" s="14">
        <f>IF(A89="","",COUNTIF(Quotes!$B$9:$B$258,A89))</f>
        <v>0</v>
      </c>
      <c r="G89" s="16">
        <f>IF(A89="","",SUMIF(Quotes!$B$9:$B$258,A89,Quotes!$AI$9:$AI$258))</f>
        <v>0</v>
      </c>
      <c r="H89" s="16">
        <f>IF(A89="","",SUMIF(Quotes!$B$9:$B$258,A89,Quotes!$AJ$9:$AJ$258))</f>
        <v>0</v>
      </c>
      <c r="I89" s="15" t="s">
        <v>77</v>
      </c>
      <c r="J89" s="17"/>
      <c r="K89" s="17"/>
      <c r="L89" s="15" t="s">
        <v>337</v>
      </c>
      <c r="M89" s="15" t="s">
        <v>337</v>
      </c>
      <c r="N89" s="15"/>
      <c r="O89" s="14" t="s">
        <v>79</v>
      </c>
      <c r="P89" s="14"/>
      <c r="Q89" s="14" t="str">
        <f>IF(AND(A89&lt;&gt;"",P89&lt;&gt;"",D89&lt;&gt;"Closed",D89&lt;&gt;"Cancelled"),COUNTIFS($P$9:P89,"&lt;&gt;",$D$9:D89,"&lt;&gt;Closed",$D$9:D89,"&lt;&gt;Cancelled"),"")</f>
        <v/>
      </c>
      <c r="R89" s="14" t="str">
        <f t="shared" si="3"/>
        <v>3901.01 | Portside passenger lift - YARD INFO ONLY</v>
      </c>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row>
    <row r="90" spans="1:44" ht="40" hidden="1" customHeight="1" x14ac:dyDescent="0.35">
      <c r="A90" s="35"/>
      <c r="B90" s="15"/>
      <c r="C90" s="15"/>
      <c r="D90" s="15"/>
      <c r="E90" s="18" t="str">
        <f t="shared" si="2"/>
        <v/>
      </c>
      <c r="F90" s="18" t="str">
        <f>IF(A90="","",COUNTIF(Quotes!$B$9:$B$258,A90))</f>
        <v/>
      </c>
      <c r="G90" s="19" t="str">
        <f>IF(A90="","",SUMIF(Quotes!$B$9:$B$258,A90,Quotes!$AI$9:$AI$258))</f>
        <v/>
      </c>
      <c r="H90" s="19" t="str">
        <f>IF(A90="","",SUMIF(Quotes!$B$9:$B$258,A90,Quotes!$AJ$9:$AJ$258))</f>
        <v/>
      </c>
      <c r="I90" s="15"/>
      <c r="J90" s="17"/>
      <c r="K90" s="17"/>
      <c r="L90" s="15"/>
      <c r="M90" s="15"/>
      <c r="N90" s="15"/>
      <c r="O90" s="18"/>
      <c r="P90" s="18"/>
      <c r="Q90" s="18" t="str">
        <f>IF(AND(A90&lt;&gt;"",P90&lt;&gt;"",D90&lt;&gt;"Closed",D90&lt;&gt;"Cancelled"),COUNTIFS($P$9:P90,"&lt;&gt;",$D$9:D90,"&lt;&gt;Closed",$D$9:D90,"&lt;&gt;Cancelled"),"")</f>
        <v/>
      </c>
      <c r="R90" s="18" t="str">
        <f t="shared" si="3"/>
        <v/>
      </c>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row>
    <row r="91" spans="1:44" ht="40" hidden="1" customHeight="1" x14ac:dyDescent="0.35">
      <c r="A91" s="34"/>
      <c r="B91" s="15"/>
      <c r="C91" s="15"/>
      <c r="D91" s="15"/>
      <c r="E91" s="14" t="str">
        <f t="shared" si="2"/>
        <v/>
      </c>
      <c r="F91" s="14" t="str">
        <f>IF(A91="","",COUNTIF(Quotes!$B$9:$B$258,A91))</f>
        <v/>
      </c>
      <c r="G91" s="16" t="str">
        <f>IF(A91="","",SUMIF(Quotes!$B$9:$B$258,A91,Quotes!$AI$9:$AI$258))</f>
        <v/>
      </c>
      <c r="H91" s="16" t="str">
        <f>IF(A91="","",SUMIF(Quotes!$B$9:$B$258,A91,Quotes!$AJ$9:$AJ$258))</f>
        <v/>
      </c>
      <c r="I91" s="15"/>
      <c r="J91" s="17"/>
      <c r="K91" s="17"/>
      <c r="L91" s="15"/>
      <c r="M91" s="15"/>
      <c r="N91" s="15"/>
      <c r="O91" s="14"/>
      <c r="P91" s="14"/>
      <c r="Q91" s="14" t="str">
        <f>IF(AND(A91&lt;&gt;"",P91&lt;&gt;"",D91&lt;&gt;"Closed",D91&lt;&gt;"Cancelled"),COUNTIFS($P$9:P91,"&lt;&gt;",$D$9:D91,"&lt;&gt;Closed",$D$9:D91,"&lt;&gt;Cancelled"),"")</f>
        <v/>
      </c>
      <c r="R91" s="14" t="str">
        <f t="shared" si="3"/>
        <v/>
      </c>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row>
    <row r="92" spans="1:44" ht="40" hidden="1" customHeight="1" x14ac:dyDescent="0.35">
      <c r="A92" s="35"/>
      <c r="B92" s="15"/>
      <c r="C92" s="15"/>
      <c r="D92" s="15"/>
      <c r="E92" s="18" t="str">
        <f t="shared" si="2"/>
        <v/>
      </c>
      <c r="F92" s="18" t="str">
        <f>IF(A92="","",COUNTIF(Quotes!$B$9:$B$258,A92))</f>
        <v/>
      </c>
      <c r="G92" s="19" t="str">
        <f>IF(A92="","",SUMIF(Quotes!$B$9:$B$258,A92,Quotes!$AI$9:$AI$258))</f>
        <v/>
      </c>
      <c r="H92" s="19" t="str">
        <f>IF(A92="","",SUMIF(Quotes!$B$9:$B$258,A92,Quotes!$AJ$9:$AJ$258))</f>
        <v/>
      </c>
      <c r="I92" s="15"/>
      <c r="J92" s="17"/>
      <c r="K92" s="17"/>
      <c r="L92" s="15"/>
      <c r="M92" s="15"/>
      <c r="N92" s="15"/>
      <c r="O92" s="18"/>
      <c r="P92" s="18"/>
      <c r="Q92" s="18" t="str">
        <f>IF(AND(A92&lt;&gt;"",P92&lt;&gt;"",D92&lt;&gt;"Closed",D92&lt;&gt;"Cancelled"),COUNTIFS($P$9:P92,"&lt;&gt;",$D$9:D92,"&lt;&gt;Closed",$D$9:D92,"&lt;&gt;Cancelled"),"")</f>
        <v/>
      </c>
      <c r="R92" s="18" t="str">
        <f t="shared" si="3"/>
        <v/>
      </c>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row>
    <row r="93" spans="1:44" ht="40" hidden="1" customHeight="1" x14ac:dyDescent="0.35">
      <c r="A93" s="34"/>
      <c r="B93" s="15"/>
      <c r="C93" s="15"/>
      <c r="D93" s="15"/>
      <c r="E93" s="14" t="str">
        <f t="shared" si="2"/>
        <v/>
      </c>
      <c r="F93" s="14" t="str">
        <f>IF(A93="","",COUNTIF(Quotes!$B$9:$B$258,A93))</f>
        <v/>
      </c>
      <c r="G93" s="16" t="str">
        <f>IF(A93="","",SUMIF(Quotes!$B$9:$B$258,A93,Quotes!$AI$9:$AI$258))</f>
        <v/>
      </c>
      <c r="H93" s="16" t="str">
        <f>IF(A93="","",SUMIF(Quotes!$B$9:$B$258,A93,Quotes!$AJ$9:$AJ$258))</f>
        <v/>
      </c>
      <c r="I93" s="15"/>
      <c r="J93" s="17"/>
      <c r="K93" s="17"/>
      <c r="L93" s="15"/>
      <c r="M93" s="15"/>
      <c r="N93" s="15"/>
      <c r="O93" s="14"/>
      <c r="P93" s="14"/>
      <c r="Q93" s="14" t="str">
        <f>IF(AND(A93&lt;&gt;"",P93&lt;&gt;"",D93&lt;&gt;"Closed",D93&lt;&gt;"Cancelled"),COUNTIFS($P$9:P93,"&lt;&gt;",$D$9:D93,"&lt;&gt;Closed",$D$9:D93,"&lt;&gt;Cancelled"),"")</f>
        <v/>
      </c>
      <c r="R93" s="14" t="str">
        <f t="shared" si="3"/>
        <v/>
      </c>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row>
    <row r="94" spans="1:44" ht="40" hidden="1" customHeight="1" x14ac:dyDescent="0.35">
      <c r="A94" s="35"/>
      <c r="B94" s="15"/>
      <c r="C94" s="15"/>
      <c r="D94" s="15"/>
      <c r="E94" s="18" t="str">
        <f t="shared" si="2"/>
        <v/>
      </c>
      <c r="F94" s="18" t="str">
        <f>IF(A94="","",COUNTIF(Quotes!$B$9:$B$258,A94))</f>
        <v/>
      </c>
      <c r="G94" s="19" t="str">
        <f>IF(A94="","",SUMIF(Quotes!$B$9:$B$258,A94,Quotes!$AI$9:$AI$258))</f>
        <v/>
      </c>
      <c r="H94" s="19" t="str">
        <f>IF(A94="","",SUMIF(Quotes!$B$9:$B$258,A94,Quotes!$AJ$9:$AJ$258))</f>
        <v/>
      </c>
      <c r="I94" s="15"/>
      <c r="J94" s="17"/>
      <c r="K94" s="17"/>
      <c r="L94" s="15"/>
      <c r="M94" s="15"/>
      <c r="N94" s="15"/>
      <c r="O94" s="18"/>
      <c r="P94" s="18"/>
      <c r="Q94" s="18" t="str">
        <f>IF(AND(A94&lt;&gt;"",P94&lt;&gt;"",D94&lt;&gt;"Closed",D94&lt;&gt;"Cancelled"),COUNTIFS($P$9:P94,"&lt;&gt;",$D$9:D94,"&lt;&gt;Closed",$D$9:D94,"&lt;&gt;Cancelled"),"")</f>
        <v/>
      </c>
      <c r="R94" s="18" t="str">
        <f t="shared" si="3"/>
        <v/>
      </c>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row>
    <row r="95" spans="1:44" ht="40" hidden="1" customHeight="1" x14ac:dyDescent="0.35">
      <c r="A95" s="34"/>
      <c r="B95" s="15"/>
      <c r="C95" s="15"/>
      <c r="D95" s="15"/>
      <c r="E95" s="14" t="str">
        <f t="shared" si="2"/>
        <v/>
      </c>
      <c r="F95" s="14" t="str">
        <f>IF(A95="","",COUNTIF(Quotes!$B$9:$B$258,A95))</f>
        <v/>
      </c>
      <c r="G95" s="16" t="str">
        <f>IF(A95="","",SUMIF(Quotes!$B$9:$B$258,A95,Quotes!$AI$9:$AI$258))</f>
        <v/>
      </c>
      <c r="H95" s="16" t="str">
        <f>IF(A95="","",SUMIF(Quotes!$B$9:$B$258,A95,Quotes!$AJ$9:$AJ$258))</f>
        <v/>
      </c>
      <c r="I95" s="15"/>
      <c r="J95" s="17"/>
      <c r="K95" s="17"/>
      <c r="L95" s="15"/>
      <c r="M95" s="15"/>
      <c r="N95" s="15"/>
      <c r="O95" s="14"/>
      <c r="P95" s="14"/>
      <c r="Q95" s="14" t="str">
        <f>IF(AND(A95&lt;&gt;"",P95&lt;&gt;"",D95&lt;&gt;"Closed",D95&lt;&gt;"Cancelled"),COUNTIFS($P$9:P95,"&lt;&gt;",$D$9:D95,"&lt;&gt;Closed",$D$9:D95,"&lt;&gt;Cancelled"),"")</f>
        <v/>
      </c>
      <c r="R95" s="14" t="str">
        <f t="shared" si="3"/>
        <v/>
      </c>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row>
    <row r="96" spans="1:44" ht="40" hidden="1" customHeight="1" x14ac:dyDescent="0.35">
      <c r="A96" s="35"/>
      <c r="B96" s="15"/>
      <c r="C96" s="15"/>
      <c r="D96" s="15"/>
      <c r="E96" s="18" t="str">
        <f t="shared" si="2"/>
        <v/>
      </c>
      <c r="F96" s="18" t="str">
        <f>IF(A96="","",COUNTIF(Quotes!$B$9:$B$258,A96))</f>
        <v/>
      </c>
      <c r="G96" s="19" t="str">
        <f>IF(A96="","",SUMIF(Quotes!$B$9:$B$258,A96,Quotes!$AI$9:$AI$258))</f>
        <v/>
      </c>
      <c r="H96" s="19" t="str">
        <f>IF(A96="","",SUMIF(Quotes!$B$9:$B$258,A96,Quotes!$AJ$9:$AJ$258))</f>
        <v/>
      </c>
      <c r="I96" s="15"/>
      <c r="J96" s="17"/>
      <c r="K96" s="17"/>
      <c r="L96" s="15"/>
      <c r="M96" s="15"/>
      <c r="N96" s="15"/>
      <c r="O96" s="18"/>
      <c r="P96" s="18"/>
      <c r="Q96" s="18" t="str">
        <f>IF(AND(A96&lt;&gt;"",P96&lt;&gt;"",D96&lt;&gt;"Closed",D96&lt;&gt;"Cancelled"),COUNTIFS($P$9:P96,"&lt;&gt;",$D$9:D96,"&lt;&gt;Closed",$D$9:D96,"&lt;&gt;Cancelled"),"")</f>
        <v/>
      </c>
      <c r="R96" s="18" t="str">
        <f t="shared" si="3"/>
        <v/>
      </c>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row>
    <row r="97" spans="1:44" ht="40" hidden="1" customHeight="1" x14ac:dyDescent="0.35">
      <c r="A97" s="34"/>
      <c r="B97" s="15"/>
      <c r="C97" s="15"/>
      <c r="D97" s="15"/>
      <c r="E97" s="14" t="str">
        <f t="shared" si="2"/>
        <v/>
      </c>
      <c r="F97" s="14" t="str">
        <f>IF(A97="","",COUNTIF(Quotes!$B$9:$B$258,A97))</f>
        <v/>
      </c>
      <c r="G97" s="16" t="str">
        <f>IF(A97="","",SUMIF(Quotes!$B$9:$B$258,A97,Quotes!$AI$9:$AI$258))</f>
        <v/>
      </c>
      <c r="H97" s="16" t="str">
        <f>IF(A97="","",SUMIF(Quotes!$B$9:$B$258,A97,Quotes!$AJ$9:$AJ$258))</f>
        <v/>
      </c>
      <c r="I97" s="15"/>
      <c r="J97" s="17"/>
      <c r="K97" s="17"/>
      <c r="L97" s="15"/>
      <c r="M97" s="15"/>
      <c r="N97" s="15"/>
      <c r="O97" s="14"/>
      <c r="P97" s="14"/>
      <c r="Q97" s="14" t="str">
        <f>IF(AND(A97&lt;&gt;"",P97&lt;&gt;"",D97&lt;&gt;"Closed",D97&lt;&gt;"Cancelled"),COUNTIFS($P$9:P97,"&lt;&gt;",$D$9:D97,"&lt;&gt;Closed",$D$9:D97,"&lt;&gt;Cancelled"),"")</f>
        <v/>
      </c>
      <c r="R97" s="14" t="str">
        <f t="shared" si="3"/>
        <v/>
      </c>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row>
    <row r="98" spans="1:44" ht="40" hidden="1" customHeight="1" x14ac:dyDescent="0.35">
      <c r="A98" s="35"/>
      <c r="B98" s="15"/>
      <c r="C98" s="15"/>
      <c r="D98" s="15"/>
      <c r="E98" s="18" t="str">
        <f t="shared" si="2"/>
        <v/>
      </c>
      <c r="F98" s="18" t="str">
        <f>IF(A98="","",COUNTIF(Quotes!$B$9:$B$258,A98))</f>
        <v/>
      </c>
      <c r="G98" s="19" t="str">
        <f>IF(A98="","",SUMIF(Quotes!$B$9:$B$258,A98,Quotes!$AI$9:$AI$258))</f>
        <v/>
      </c>
      <c r="H98" s="19" t="str">
        <f>IF(A98="","",SUMIF(Quotes!$B$9:$B$258,A98,Quotes!$AJ$9:$AJ$258))</f>
        <v/>
      </c>
      <c r="I98" s="15"/>
      <c r="J98" s="17"/>
      <c r="K98" s="17"/>
      <c r="L98" s="15"/>
      <c r="M98" s="15"/>
      <c r="N98" s="15"/>
      <c r="O98" s="18"/>
      <c r="P98" s="18"/>
      <c r="Q98" s="18" t="str">
        <f>IF(AND(A98&lt;&gt;"",P98&lt;&gt;"",D98&lt;&gt;"Closed",D98&lt;&gt;"Cancelled"),COUNTIFS($P$9:P98,"&lt;&gt;",$D$9:D98,"&lt;&gt;Closed",$D$9:D98,"&lt;&gt;Cancelled"),"")</f>
        <v/>
      </c>
      <c r="R98" s="18" t="str">
        <f t="shared" si="3"/>
        <v/>
      </c>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row>
    <row r="99" spans="1:44" ht="40" hidden="1" customHeight="1" x14ac:dyDescent="0.35">
      <c r="A99" s="34"/>
      <c r="B99" s="15"/>
      <c r="C99" s="15"/>
      <c r="D99" s="15"/>
      <c r="E99" s="14" t="str">
        <f t="shared" si="2"/>
        <v/>
      </c>
      <c r="F99" s="14" t="str">
        <f>IF(A99="","",COUNTIF(Quotes!$B$9:$B$258,A99))</f>
        <v/>
      </c>
      <c r="G99" s="16" t="str">
        <f>IF(A99="","",SUMIF(Quotes!$B$9:$B$258,A99,Quotes!$AI$9:$AI$258))</f>
        <v/>
      </c>
      <c r="H99" s="16" t="str">
        <f>IF(A99="","",SUMIF(Quotes!$B$9:$B$258,A99,Quotes!$AJ$9:$AJ$258))</f>
        <v/>
      </c>
      <c r="I99" s="15"/>
      <c r="J99" s="17"/>
      <c r="K99" s="17"/>
      <c r="L99" s="15"/>
      <c r="M99" s="15"/>
      <c r="N99" s="15"/>
      <c r="O99" s="14"/>
      <c r="P99" s="14"/>
      <c r="Q99" s="14" t="str">
        <f>IF(AND(A99&lt;&gt;"",P99&lt;&gt;"",D99&lt;&gt;"Closed",D99&lt;&gt;"Cancelled"),COUNTIFS($P$9:P99,"&lt;&gt;",$D$9:D99,"&lt;&gt;Closed",$D$9:D99,"&lt;&gt;Cancelled"),"")</f>
        <v/>
      </c>
      <c r="R99" s="14" t="str">
        <f t="shared" si="3"/>
        <v/>
      </c>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row>
    <row r="100" spans="1:44" ht="40" hidden="1" customHeight="1" x14ac:dyDescent="0.35">
      <c r="A100" s="35"/>
      <c r="B100" s="15"/>
      <c r="C100" s="15"/>
      <c r="D100" s="15"/>
      <c r="E100" s="18" t="str">
        <f t="shared" si="2"/>
        <v/>
      </c>
      <c r="F100" s="18" t="str">
        <f>IF(A100="","",COUNTIF(Quotes!$B$9:$B$258,A100))</f>
        <v/>
      </c>
      <c r="G100" s="19" t="str">
        <f>IF(A100="","",SUMIF(Quotes!$B$9:$B$258,A100,Quotes!$AI$9:$AI$258))</f>
        <v/>
      </c>
      <c r="H100" s="19" t="str">
        <f>IF(A100="","",SUMIF(Quotes!$B$9:$B$258,A100,Quotes!$AJ$9:$AJ$258))</f>
        <v/>
      </c>
      <c r="I100" s="15"/>
      <c r="J100" s="17"/>
      <c r="K100" s="17"/>
      <c r="L100" s="15"/>
      <c r="M100" s="15"/>
      <c r="N100" s="15"/>
      <c r="O100" s="18"/>
      <c r="P100" s="18"/>
      <c r="Q100" s="18" t="str">
        <f>IF(AND(A100&lt;&gt;"",P100&lt;&gt;"",D100&lt;&gt;"Closed",D100&lt;&gt;"Cancelled"),COUNTIFS($P$9:P100,"&lt;&gt;",$D$9:D100,"&lt;&gt;Closed",$D$9:D100,"&lt;&gt;Cancelled"),"")</f>
        <v/>
      </c>
      <c r="R100" s="18" t="str">
        <f t="shared" si="3"/>
        <v/>
      </c>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row>
    <row r="101" spans="1:44" ht="40" hidden="1" customHeight="1" x14ac:dyDescent="0.35">
      <c r="A101" s="34"/>
      <c r="B101" s="15"/>
      <c r="C101" s="15"/>
      <c r="D101" s="15"/>
      <c r="E101" s="14" t="str">
        <f t="shared" si="2"/>
        <v/>
      </c>
      <c r="F101" s="14" t="str">
        <f>IF(A101="","",COUNTIF(Quotes!$B$9:$B$258,A101))</f>
        <v/>
      </c>
      <c r="G101" s="16" t="str">
        <f>IF(A101="","",SUMIF(Quotes!$B$9:$B$258,A101,Quotes!$AI$9:$AI$258))</f>
        <v/>
      </c>
      <c r="H101" s="16" t="str">
        <f>IF(A101="","",SUMIF(Quotes!$B$9:$B$258,A101,Quotes!$AJ$9:$AJ$258))</f>
        <v/>
      </c>
      <c r="I101" s="15"/>
      <c r="J101" s="17"/>
      <c r="K101" s="17"/>
      <c r="L101" s="15"/>
      <c r="M101" s="15"/>
      <c r="N101" s="15"/>
      <c r="O101" s="14"/>
      <c r="P101" s="14"/>
      <c r="Q101" s="14" t="str">
        <f>IF(AND(A101&lt;&gt;"",P101&lt;&gt;"",D101&lt;&gt;"Closed",D101&lt;&gt;"Cancelled"),COUNTIFS($P$9:P101,"&lt;&gt;",$D$9:D101,"&lt;&gt;Closed",$D$9:D101,"&lt;&gt;Cancelled"),"")</f>
        <v/>
      </c>
      <c r="R101" s="14" t="str">
        <f t="shared" si="3"/>
        <v/>
      </c>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row>
    <row r="102" spans="1:44" ht="40" hidden="1" customHeight="1" x14ac:dyDescent="0.35">
      <c r="A102" s="35"/>
      <c r="B102" s="15"/>
      <c r="C102" s="15"/>
      <c r="D102" s="15"/>
      <c r="E102" s="18" t="str">
        <f t="shared" si="2"/>
        <v/>
      </c>
      <c r="F102" s="18" t="str">
        <f>IF(A102="","",COUNTIF(Quotes!$B$9:$B$258,A102))</f>
        <v/>
      </c>
      <c r="G102" s="19" t="str">
        <f>IF(A102="","",SUMIF(Quotes!$B$9:$B$258,A102,Quotes!$AI$9:$AI$258))</f>
        <v/>
      </c>
      <c r="H102" s="19" t="str">
        <f>IF(A102="","",SUMIF(Quotes!$B$9:$B$258,A102,Quotes!$AJ$9:$AJ$258))</f>
        <v/>
      </c>
      <c r="I102" s="15"/>
      <c r="J102" s="17"/>
      <c r="K102" s="17"/>
      <c r="L102" s="15"/>
      <c r="M102" s="15"/>
      <c r="N102" s="15"/>
      <c r="O102" s="18"/>
      <c r="P102" s="18"/>
      <c r="Q102" s="18" t="str">
        <f>IF(AND(A102&lt;&gt;"",P102&lt;&gt;"",D102&lt;&gt;"Closed",D102&lt;&gt;"Cancelled"),COUNTIFS($P$9:P102,"&lt;&gt;",$D$9:D102,"&lt;&gt;Closed",$D$9:D102,"&lt;&gt;Cancelled"),"")</f>
        <v/>
      </c>
      <c r="R102" s="18" t="str">
        <f t="shared" si="3"/>
        <v/>
      </c>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row>
    <row r="103" spans="1:44" ht="40" hidden="1" customHeight="1" x14ac:dyDescent="0.35">
      <c r="A103" s="34"/>
      <c r="B103" s="15"/>
      <c r="C103" s="15"/>
      <c r="D103" s="15"/>
      <c r="E103" s="14" t="str">
        <f t="shared" si="2"/>
        <v/>
      </c>
      <c r="F103" s="14" t="str">
        <f>IF(A103="","",COUNTIF(Quotes!$B$9:$B$258,A103))</f>
        <v/>
      </c>
      <c r="G103" s="16" t="str">
        <f>IF(A103="","",SUMIF(Quotes!$B$9:$B$258,A103,Quotes!$AI$9:$AI$258))</f>
        <v/>
      </c>
      <c r="H103" s="16" t="str">
        <f>IF(A103="","",SUMIF(Quotes!$B$9:$B$258,A103,Quotes!$AJ$9:$AJ$258))</f>
        <v/>
      </c>
      <c r="I103" s="15"/>
      <c r="J103" s="17"/>
      <c r="K103" s="17"/>
      <c r="L103" s="15"/>
      <c r="M103" s="15"/>
      <c r="N103" s="15"/>
      <c r="O103" s="14"/>
      <c r="P103" s="14"/>
      <c r="Q103" s="14" t="str">
        <f>IF(AND(A103&lt;&gt;"",P103&lt;&gt;"",D103&lt;&gt;"Closed",D103&lt;&gt;"Cancelled"),COUNTIFS($P$9:P103,"&lt;&gt;",$D$9:D103,"&lt;&gt;Closed",$D$9:D103,"&lt;&gt;Cancelled"),"")</f>
        <v/>
      </c>
      <c r="R103" s="14" t="str">
        <f t="shared" si="3"/>
        <v/>
      </c>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row>
    <row r="104" spans="1:44" ht="40" hidden="1" customHeight="1" x14ac:dyDescent="0.35">
      <c r="A104" s="35"/>
      <c r="B104" s="15"/>
      <c r="C104" s="15"/>
      <c r="D104" s="15"/>
      <c r="E104" s="18" t="str">
        <f t="shared" si="2"/>
        <v/>
      </c>
      <c r="F104" s="18" t="str">
        <f>IF(A104="","",COUNTIF(Quotes!$B$9:$B$258,A104))</f>
        <v/>
      </c>
      <c r="G104" s="19" t="str">
        <f>IF(A104="","",SUMIF(Quotes!$B$9:$B$258,A104,Quotes!$AI$9:$AI$258))</f>
        <v/>
      </c>
      <c r="H104" s="19" t="str">
        <f>IF(A104="","",SUMIF(Quotes!$B$9:$B$258,A104,Quotes!$AJ$9:$AJ$258))</f>
        <v/>
      </c>
      <c r="I104" s="15"/>
      <c r="J104" s="17"/>
      <c r="K104" s="17"/>
      <c r="L104" s="15"/>
      <c r="M104" s="15"/>
      <c r="N104" s="15"/>
      <c r="O104" s="18"/>
      <c r="P104" s="18"/>
      <c r="Q104" s="18" t="str">
        <f>IF(AND(A104&lt;&gt;"",P104&lt;&gt;"",D104&lt;&gt;"Closed",D104&lt;&gt;"Cancelled"),COUNTIFS($P$9:P104,"&lt;&gt;",$D$9:D104,"&lt;&gt;Closed",$D$9:D104,"&lt;&gt;Cancelled"),"")</f>
        <v/>
      </c>
      <c r="R104" s="18" t="str">
        <f t="shared" si="3"/>
        <v/>
      </c>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row>
    <row r="105" spans="1:44" ht="40" hidden="1" customHeight="1" x14ac:dyDescent="0.35">
      <c r="A105" s="34"/>
      <c r="B105" s="15"/>
      <c r="C105" s="15"/>
      <c r="D105" s="15"/>
      <c r="E105" s="14" t="str">
        <f t="shared" si="2"/>
        <v/>
      </c>
      <c r="F105" s="14" t="str">
        <f>IF(A105="","",COUNTIF(Quotes!$B$9:$B$258,A105))</f>
        <v/>
      </c>
      <c r="G105" s="16" t="str">
        <f>IF(A105="","",SUMIF(Quotes!$B$9:$B$258,A105,Quotes!$AI$9:$AI$258))</f>
        <v/>
      </c>
      <c r="H105" s="16" t="str">
        <f>IF(A105="","",SUMIF(Quotes!$B$9:$B$258,A105,Quotes!$AJ$9:$AJ$258))</f>
        <v/>
      </c>
      <c r="I105" s="15"/>
      <c r="J105" s="17"/>
      <c r="K105" s="17"/>
      <c r="L105" s="15"/>
      <c r="M105" s="15"/>
      <c r="N105" s="15"/>
      <c r="O105" s="14"/>
      <c r="P105" s="14"/>
      <c r="Q105" s="14" t="str">
        <f>IF(AND(A105&lt;&gt;"",P105&lt;&gt;"",D105&lt;&gt;"Closed",D105&lt;&gt;"Cancelled"),COUNTIFS($P$9:P105,"&lt;&gt;",$D$9:D105,"&lt;&gt;Closed",$D$9:D105,"&lt;&gt;Cancelled"),"")</f>
        <v/>
      </c>
      <c r="R105" s="14" t="str">
        <f t="shared" si="3"/>
        <v/>
      </c>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row>
    <row r="106" spans="1:44" ht="40" hidden="1" customHeight="1" x14ac:dyDescent="0.35">
      <c r="A106" s="35"/>
      <c r="B106" s="15"/>
      <c r="C106" s="15"/>
      <c r="D106" s="15"/>
      <c r="E106" s="18" t="str">
        <f t="shared" si="2"/>
        <v/>
      </c>
      <c r="F106" s="18" t="str">
        <f>IF(A106="","",COUNTIF(Quotes!$B$9:$B$258,A106))</f>
        <v/>
      </c>
      <c r="G106" s="19" t="str">
        <f>IF(A106="","",SUMIF(Quotes!$B$9:$B$258,A106,Quotes!$AI$9:$AI$258))</f>
        <v/>
      </c>
      <c r="H106" s="19" t="str">
        <f>IF(A106="","",SUMIF(Quotes!$B$9:$B$258,A106,Quotes!$AJ$9:$AJ$258))</f>
        <v/>
      </c>
      <c r="I106" s="15"/>
      <c r="J106" s="17"/>
      <c r="K106" s="17"/>
      <c r="L106" s="15"/>
      <c r="M106" s="15"/>
      <c r="N106" s="15"/>
      <c r="O106" s="18"/>
      <c r="P106" s="18"/>
      <c r="Q106" s="18" t="str">
        <f>IF(AND(A106&lt;&gt;"",P106&lt;&gt;"",D106&lt;&gt;"Closed",D106&lt;&gt;"Cancelled"),COUNTIFS($P$9:P106,"&lt;&gt;",$D$9:D106,"&lt;&gt;Closed",$D$9:D106,"&lt;&gt;Cancelled"),"")</f>
        <v/>
      </c>
      <c r="R106" s="18" t="str">
        <f t="shared" si="3"/>
        <v/>
      </c>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row>
    <row r="107" spans="1:44" ht="40" hidden="1" customHeight="1" x14ac:dyDescent="0.35">
      <c r="A107" s="34"/>
      <c r="B107" s="15"/>
      <c r="C107" s="15"/>
      <c r="D107" s="15"/>
      <c r="E107" s="14" t="str">
        <f t="shared" si="2"/>
        <v/>
      </c>
      <c r="F107" s="14" t="str">
        <f>IF(A107="","",COUNTIF(Quotes!$B$9:$B$258,A107))</f>
        <v/>
      </c>
      <c r="G107" s="16" t="str">
        <f>IF(A107="","",SUMIF(Quotes!$B$9:$B$258,A107,Quotes!$AI$9:$AI$258))</f>
        <v/>
      </c>
      <c r="H107" s="16" t="str">
        <f>IF(A107="","",SUMIF(Quotes!$B$9:$B$258,A107,Quotes!$AJ$9:$AJ$258))</f>
        <v/>
      </c>
      <c r="I107" s="15"/>
      <c r="J107" s="17"/>
      <c r="K107" s="17"/>
      <c r="L107" s="15"/>
      <c r="M107" s="15"/>
      <c r="N107" s="15"/>
      <c r="O107" s="14"/>
      <c r="P107" s="14"/>
      <c r="Q107" s="14" t="str">
        <f>IF(AND(A107&lt;&gt;"",P107&lt;&gt;"",D107&lt;&gt;"Closed",D107&lt;&gt;"Cancelled"),COUNTIFS($P$9:P107,"&lt;&gt;",$D$9:D107,"&lt;&gt;Closed",$D$9:D107,"&lt;&gt;Cancelled"),"")</f>
        <v/>
      </c>
      <c r="R107" s="14" t="str">
        <f t="shared" si="3"/>
        <v/>
      </c>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row>
    <row r="108" spans="1:44" ht="40" hidden="1" customHeight="1" x14ac:dyDescent="0.35">
      <c r="A108" s="35"/>
      <c r="B108" s="15"/>
      <c r="C108" s="15"/>
      <c r="D108" s="15"/>
      <c r="E108" s="18" t="str">
        <f t="shared" si="2"/>
        <v/>
      </c>
      <c r="F108" s="18" t="str">
        <f>IF(A108="","",COUNTIF(Quotes!$B$9:$B$258,A108))</f>
        <v/>
      </c>
      <c r="G108" s="19" t="str">
        <f>IF(A108="","",SUMIF(Quotes!$B$9:$B$258,A108,Quotes!$AI$9:$AI$258))</f>
        <v/>
      </c>
      <c r="H108" s="19" t="str">
        <f>IF(A108="","",SUMIF(Quotes!$B$9:$B$258,A108,Quotes!$AJ$9:$AJ$258))</f>
        <v/>
      </c>
      <c r="I108" s="15"/>
      <c r="J108" s="17"/>
      <c r="K108" s="17"/>
      <c r="L108" s="15"/>
      <c r="M108" s="15"/>
      <c r="N108" s="15"/>
      <c r="O108" s="18"/>
      <c r="P108" s="18"/>
      <c r="Q108" s="18" t="str">
        <f>IF(AND(A108&lt;&gt;"",P108&lt;&gt;"",D108&lt;&gt;"Closed",D108&lt;&gt;"Cancelled"),COUNTIFS($P$9:P108,"&lt;&gt;",$D$9:D108,"&lt;&gt;Closed",$D$9:D108,"&lt;&gt;Cancelled"),"")</f>
        <v/>
      </c>
      <c r="R108" s="18" t="str">
        <f t="shared" si="3"/>
        <v/>
      </c>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row>
    <row r="109" spans="1:44" ht="40" hidden="1" customHeight="1" x14ac:dyDescent="0.35">
      <c r="A109" s="34"/>
      <c r="B109" s="15"/>
      <c r="C109" s="15"/>
      <c r="D109" s="15"/>
      <c r="E109" s="14" t="str">
        <f t="shared" si="2"/>
        <v/>
      </c>
      <c r="F109" s="14" t="str">
        <f>IF(A109="","",COUNTIF(Quotes!$B$9:$B$258,A109))</f>
        <v/>
      </c>
      <c r="G109" s="16" t="str">
        <f>IF(A109="","",SUMIF(Quotes!$B$9:$B$258,A109,Quotes!$AI$9:$AI$258))</f>
        <v/>
      </c>
      <c r="H109" s="16" t="str">
        <f>IF(A109="","",SUMIF(Quotes!$B$9:$B$258,A109,Quotes!$AJ$9:$AJ$258))</f>
        <v/>
      </c>
      <c r="I109" s="15"/>
      <c r="J109" s="17"/>
      <c r="K109" s="17"/>
      <c r="L109" s="15"/>
      <c r="M109" s="15"/>
      <c r="N109" s="15"/>
      <c r="O109" s="14"/>
      <c r="P109" s="14"/>
      <c r="Q109" s="14" t="str">
        <f>IF(AND(A109&lt;&gt;"",P109&lt;&gt;"",D109&lt;&gt;"Closed",D109&lt;&gt;"Cancelled"),COUNTIFS($P$9:P109,"&lt;&gt;",$D$9:D109,"&lt;&gt;Closed",$D$9:D109,"&lt;&gt;Cancelled"),"")</f>
        <v/>
      </c>
      <c r="R109" s="14" t="str">
        <f t="shared" si="3"/>
        <v/>
      </c>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row>
    <row r="110" spans="1:44" ht="40" hidden="1" customHeight="1" x14ac:dyDescent="0.35">
      <c r="A110" s="35"/>
      <c r="B110" s="15"/>
      <c r="C110" s="15"/>
      <c r="D110" s="15"/>
      <c r="E110" s="18" t="str">
        <f t="shared" si="2"/>
        <v/>
      </c>
      <c r="F110" s="18" t="str">
        <f>IF(A110="","",COUNTIF(Quotes!$B$9:$B$258,A110))</f>
        <v/>
      </c>
      <c r="G110" s="19" t="str">
        <f>IF(A110="","",SUMIF(Quotes!$B$9:$B$258,A110,Quotes!$AI$9:$AI$258))</f>
        <v/>
      </c>
      <c r="H110" s="19" t="str">
        <f>IF(A110="","",SUMIF(Quotes!$B$9:$B$258,A110,Quotes!$AJ$9:$AJ$258))</f>
        <v/>
      </c>
      <c r="I110" s="15"/>
      <c r="J110" s="17"/>
      <c r="K110" s="17"/>
      <c r="L110" s="15"/>
      <c r="M110" s="15"/>
      <c r="N110" s="15"/>
      <c r="O110" s="18"/>
      <c r="P110" s="18"/>
      <c r="Q110" s="18" t="str">
        <f>IF(AND(A110&lt;&gt;"",P110&lt;&gt;"",D110&lt;&gt;"Closed",D110&lt;&gt;"Cancelled"),COUNTIFS($P$9:P110,"&lt;&gt;",$D$9:D110,"&lt;&gt;Closed",$D$9:D110,"&lt;&gt;Cancelled"),"")</f>
        <v/>
      </c>
      <c r="R110" s="18" t="str">
        <f t="shared" si="3"/>
        <v/>
      </c>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row>
    <row r="111" spans="1:44" ht="40" hidden="1" customHeight="1" x14ac:dyDescent="0.35">
      <c r="A111" s="34"/>
      <c r="B111" s="15"/>
      <c r="C111" s="15"/>
      <c r="D111" s="15"/>
      <c r="E111" s="14" t="str">
        <f t="shared" si="2"/>
        <v/>
      </c>
      <c r="F111" s="14" t="str">
        <f>IF(A111="","",COUNTIF(Quotes!$B$9:$B$258,A111))</f>
        <v/>
      </c>
      <c r="G111" s="16" t="str">
        <f>IF(A111="","",SUMIF(Quotes!$B$9:$B$258,A111,Quotes!$AI$9:$AI$258))</f>
        <v/>
      </c>
      <c r="H111" s="16" t="str">
        <f>IF(A111="","",SUMIF(Quotes!$B$9:$B$258,A111,Quotes!$AJ$9:$AJ$258))</f>
        <v/>
      </c>
      <c r="I111" s="15"/>
      <c r="J111" s="17"/>
      <c r="K111" s="17"/>
      <c r="L111" s="15"/>
      <c r="M111" s="15"/>
      <c r="N111" s="15"/>
      <c r="O111" s="14"/>
      <c r="P111" s="14"/>
      <c r="Q111" s="14" t="str">
        <f>IF(AND(A111&lt;&gt;"",P111&lt;&gt;"",D111&lt;&gt;"Closed",D111&lt;&gt;"Cancelled"),COUNTIFS($P$9:P111,"&lt;&gt;",$D$9:D111,"&lt;&gt;Closed",$D$9:D111,"&lt;&gt;Cancelled"),"")</f>
        <v/>
      </c>
      <c r="R111" s="14" t="str">
        <f t="shared" si="3"/>
        <v/>
      </c>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row>
    <row r="112" spans="1:44" ht="40" hidden="1" customHeight="1" x14ac:dyDescent="0.35">
      <c r="A112" s="35"/>
      <c r="B112" s="15"/>
      <c r="C112" s="15"/>
      <c r="D112" s="15"/>
      <c r="E112" s="18" t="str">
        <f t="shared" si="2"/>
        <v/>
      </c>
      <c r="F112" s="18" t="str">
        <f>IF(A112="","",COUNTIF(Quotes!$B$9:$B$258,A112))</f>
        <v/>
      </c>
      <c r="G112" s="19" t="str">
        <f>IF(A112="","",SUMIF(Quotes!$B$9:$B$258,A112,Quotes!$AI$9:$AI$258))</f>
        <v/>
      </c>
      <c r="H112" s="19" t="str">
        <f>IF(A112="","",SUMIF(Quotes!$B$9:$B$258,A112,Quotes!$AJ$9:$AJ$258))</f>
        <v/>
      </c>
      <c r="I112" s="15"/>
      <c r="J112" s="17"/>
      <c r="K112" s="17"/>
      <c r="L112" s="15"/>
      <c r="M112" s="15"/>
      <c r="N112" s="15"/>
      <c r="O112" s="18"/>
      <c r="P112" s="18"/>
      <c r="Q112" s="18" t="str">
        <f>IF(AND(A112&lt;&gt;"",P112&lt;&gt;"",D112&lt;&gt;"Closed",D112&lt;&gt;"Cancelled"),COUNTIFS($P$9:P112,"&lt;&gt;",$D$9:D112,"&lt;&gt;Closed",$D$9:D112,"&lt;&gt;Cancelled"),"")</f>
        <v/>
      </c>
      <c r="R112" s="18" t="str">
        <f t="shared" si="3"/>
        <v/>
      </c>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row>
    <row r="113" spans="1:44" ht="40" hidden="1" customHeight="1" x14ac:dyDescent="0.35">
      <c r="A113" s="34"/>
      <c r="B113" s="15"/>
      <c r="C113" s="15"/>
      <c r="D113" s="15"/>
      <c r="E113" s="14" t="str">
        <f t="shared" si="2"/>
        <v/>
      </c>
      <c r="F113" s="14" t="str">
        <f>IF(A113="","",COUNTIF(Quotes!$B$9:$B$258,A113))</f>
        <v/>
      </c>
      <c r="G113" s="16" t="str">
        <f>IF(A113="","",SUMIF(Quotes!$B$9:$B$258,A113,Quotes!$AI$9:$AI$258))</f>
        <v/>
      </c>
      <c r="H113" s="16" t="str">
        <f>IF(A113="","",SUMIF(Quotes!$B$9:$B$258,A113,Quotes!$AJ$9:$AJ$258))</f>
        <v/>
      </c>
      <c r="I113" s="15"/>
      <c r="J113" s="17"/>
      <c r="K113" s="17"/>
      <c r="L113" s="15"/>
      <c r="M113" s="15"/>
      <c r="N113" s="15"/>
      <c r="O113" s="14"/>
      <c r="P113" s="14"/>
      <c r="Q113" s="14" t="str">
        <f>IF(AND(A113&lt;&gt;"",P113&lt;&gt;"",D113&lt;&gt;"Closed",D113&lt;&gt;"Cancelled"),COUNTIFS($P$9:P113,"&lt;&gt;",$D$9:D113,"&lt;&gt;Closed",$D$9:D113,"&lt;&gt;Cancelled"),"")</f>
        <v/>
      </c>
      <c r="R113" s="14" t="str">
        <f t="shared" si="3"/>
        <v/>
      </c>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row>
    <row r="114" spans="1:44" ht="40" hidden="1" customHeight="1" x14ac:dyDescent="0.35">
      <c r="A114" s="35"/>
      <c r="B114" s="15"/>
      <c r="C114" s="15"/>
      <c r="D114" s="15"/>
      <c r="E114" s="18" t="str">
        <f t="shared" si="2"/>
        <v/>
      </c>
      <c r="F114" s="18" t="str">
        <f>IF(A114="","",COUNTIF(Quotes!$B$9:$B$258,A114))</f>
        <v/>
      </c>
      <c r="G114" s="19" t="str">
        <f>IF(A114="","",SUMIF(Quotes!$B$9:$B$258,A114,Quotes!$AI$9:$AI$258))</f>
        <v/>
      </c>
      <c r="H114" s="19" t="str">
        <f>IF(A114="","",SUMIF(Quotes!$B$9:$B$258,A114,Quotes!$AJ$9:$AJ$258))</f>
        <v/>
      </c>
      <c r="I114" s="15"/>
      <c r="J114" s="17"/>
      <c r="K114" s="17"/>
      <c r="L114" s="15"/>
      <c r="M114" s="15"/>
      <c r="N114" s="15"/>
      <c r="O114" s="18"/>
      <c r="P114" s="18"/>
      <c r="Q114" s="18" t="str">
        <f>IF(AND(A114&lt;&gt;"",P114&lt;&gt;"",D114&lt;&gt;"Closed",D114&lt;&gt;"Cancelled"),COUNTIFS($P$9:P114,"&lt;&gt;",$D$9:D114,"&lt;&gt;Closed",$D$9:D114,"&lt;&gt;Cancelled"),"")</f>
        <v/>
      </c>
      <c r="R114" s="18" t="str">
        <f t="shared" si="3"/>
        <v/>
      </c>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row>
    <row r="115" spans="1:44" ht="40" hidden="1" customHeight="1" x14ac:dyDescent="0.35">
      <c r="A115" s="34"/>
      <c r="B115" s="15"/>
      <c r="C115" s="15"/>
      <c r="D115" s="15"/>
      <c r="E115" s="14" t="str">
        <f t="shared" si="2"/>
        <v/>
      </c>
      <c r="F115" s="14" t="str">
        <f>IF(A115="","",COUNTIF(Quotes!$B$9:$B$258,A115))</f>
        <v/>
      </c>
      <c r="G115" s="16" t="str">
        <f>IF(A115="","",SUMIF(Quotes!$B$9:$B$258,A115,Quotes!$AI$9:$AI$258))</f>
        <v/>
      </c>
      <c r="H115" s="16" t="str">
        <f>IF(A115="","",SUMIF(Quotes!$B$9:$B$258,A115,Quotes!$AJ$9:$AJ$258))</f>
        <v/>
      </c>
      <c r="I115" s="15"/>
      <c r="J115" s="17"/>
      <c r="K115" s="17"/>
      <c r="L115" s="15"/>
      <c r="M115" s="15"/>
      <c r="N115" s="15"/>
      <c r="O115" s="14"/>
      <c r="P115" s="14"/>
      <c r="Q115" s="14" t="str">
        <f>IF(AND(A115&lt;&gt;"",P115&lt;&gt;"",D115&lt;&gt;"Closed",D115&lt;&gt;"Cancelled"),COUNTIFS($P$9:P115,"&lt;&gt;",$D$9:D115,"&lt;&gt;Closed",$D$9:D115,"&lt;&gt;Cancelled"),"")</f>
        <v/>
      </c>
      <c r="R115" s="14" t="str">
        <f t="shared" si="3"/>
        <v/>
      </c>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row>
    <row r="116" spans="1:44" ht="40" hidden="1" customHeight="1" x14ac:dyDescent="0.35">
      <c r="A116" s="35"/>
      <c r="B116" s="15"/>
      <c r="C116" s="15"/>
      <c r="D116" s="15"/>
      <c r="E116" s="18" t="str">
        <f t="shared" si="2"/>
        <v/>
      </c>
      <c r="F116" s="18" t="str">
        <f>IF(A116="","",COUNTIF(Quotes!$B$9:$B$258,A116))</f>
        <v/>
      </c>
      <c r="G116" s="19" t="str">
        <f>IF(A116="","",SUMIF(Quotes!$B$9:$B$258,A116,Quotes!$AI$9:$AI$258))</f>
        <v/>
      </c>
      <c r="H116" s="19" t="str">
        <f>IF(A116="","",SUMIF(Quotes!$B$9:$B$258,A116,Quotes!$AJ$9:$AJ$258))</f>
        <v/>
      </c>
      <c r="I116" s="15"/>
      <c r="J116" s="17"/>
      <c r="K116" s="17"/>
      <c r="L116" s="15"/>
      <c r="M116" s="15"/>
      <c r="N116" s="15"/>
      <c r="O116" s="18"/>
      <c r="P116" s="18"/>
      <c r="Q116" s="18" t="str">
        <f>IF(AND(A116&lt;&gt;"",P116&lt;&gt;"",D116&lt;&gt;"Closed",D116&lt;&gt;"Cancelled"),COUNTIFS($P$9:P116,"&lt;&gt;",$D$9:D116,"&lt;&gt;Closed",$D$9:D116,"&lt;&gt;Cancelled"),"")</f>
        <v/>
      </c>
      <c r="R116" s="18" t="str">
        <f t="shared" si="3"/>
        <v/>
      </c>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row>
    <row r="117" spans="1:44" ht="40" hidden="1" customHeight="1" x14ac:dyDescent="0.35">
      <c r="A117" s="34"/>
      <c r="B117" s="15"/>
      <c r="C117" s="15"/>
      <c r="D117" s="15"/>
      <c r="E117" s="14" t="str">
        <f t="shared" si="2"/>
        <v/>
      </c>
      <c r="F117" s="14" t="str">
        <f>IF(A117="","",COUNTIF(Quotes!$B$9:$B$258,A117))</f>
        <v/>
      </c>
      <c r="G117" s="16" t="str">
        <f>IF(A117="","",SUMIF(Quotes!$B$9:$B$258,A117,Quotes!$AI$9:$AI$258))</f>
        <v/>
      </c>
      <c r="H117" s="16" t="str">
        <f>IF(A117="","",SUMIF(Quotes!$B$9:$B$258,A117,Quotes!$AJ$9:$AJ$258))</f>
        <v/>
      </c>
      <c r="I117" s="15"/>
      <c r="J117" s="17"/>
      <c r="K117" s="17"/>
      <c r="L117" s="15"/>
      <c r="M117" s="15"/>
      <c r="N117" s="15"/>
      <c r="O117" s="14"/>
      <c r="P117" s="14"/>
      <c r="Q117" s="14" t="str">
        <f>IF(AND(A117&lt;&gt;"",P117&lt;&gt;"",D117&lt;&gt;"Closed",D117&lt;&gt;"Cancelled"),COUNTIFS($P$9:P117,"&lt;&gt;",$D$9:D117,"&lt;&gt;Closed",$D$9:D117,"&lt;&gt;Cancelled"),"")</f>
        <v/>
      </c>
      <c r="R117" s="14" t="str">
        <f t="shared" si="3"/>
        <v/>
      </c>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row>
    <row r="118" spans="1:44" ht="40" hidden="1" customHeight="1" x14ac:dyDescent="0.35">
      <c r="A118" s="35"/>
      <c r="B118" s="15"/>
      <c r="C118" s="15"/>
      <c r="D118" s="15"/>
      <c r="E118" s="18" t="str">
        <f t="shared" si="2"/>
        <v/>
      </c>
      <c r="F118" s="18" t="str">
        <f>IF(A118="","",COUNTIF(Quotes!$B$9:$B$258,A118))</f>
        <v/>
      </c>
      <c r="G118" s="19" t="str">
        <f>IF(A118="","",SUMIF(Quotes!$B$9:$B$258,A118,Quotes!$AI$9:$AI$258))</f>
        <v/>
      </c>
      <c r="H118" s="19" t="str">
        <f>IF(A118="","",SUMIF(Quotes!$B$9:$B$258,A118,Quotes!$AJ$9:$AJ$258))</f>
        <v/>
      </c>
      <c r="I118" s="15"/>
      <c r="J118" s="17"/>
      <c r="K118" s="17"/>
      <c r="L118" s="15"/>
      <c r="M118" s="15"/>
      <c r="N118" s="15"/>
      <c r="O118" s="18"/>
      <c r="P118" s="18"/>
      <c r="Q118" s="18" t="str">
        <f>IF(AND(A118&lt;&gt;"",P118&lt;&gt;"",D118&lt;&gt;"Closed",D118&lt;&gt;"Cancelled"),COUNTIFS($P$9:P118,"&lt;&gt;",$D$9:D118,"&lt;&gt;Closed",$D$9:D118,"&lt;&gt;Cancelled"),"")</f>
        <v/>
      </c>
      <c r="R118" s="18" t="str">
        <f t="shared" si="3"/>
        <v/>
      </c>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row>
    <row r="119" spans="1:44" ht="40" hidden="1" customHeight="1" x14ac:dyDescent="0.35">
      <c r="A119" s="34"/>
      <c r="B119" s="15"/>
      <c r="C119" s="15"/>
      <c r="D119" s="15"/>
      <c r="E119" s="14" t="str">
        <f t="shared" si="2"/>
        <v/>
      </c>
      <c r="F119" s="14" t="str">
        <f>IF(A119="","",COUNTIF(Quotes!$B$9:$B$258,A119))</f>
        <v/>
      </c>
      <c r="G119" s="16" t="str">
        <f>IF(A119="","",SUMIF(Quotes!$B$9:$B$258,A119,Quotes!$AI$9:$AI$258))</f>
        <v/>
      </c>
      <c r="H119" s="16" t="str">
        <f>IF(A119="","",SUMIF(Quotes!$B$9:$B$258,A119,Quotes!$AJ$9:$AJ$258))</f>
        <v/>
      </c>
      <c r="I119" s="15"/>
      <c r="J119" s="17"/>
      <c r="K119" s="17"/>
      <c r="L119" s="15"/>
      <c r="M119" s="15"/>
      <c r="N119" s="15"/>
      <c r="O119" s="14"/>
      <c r="P119" s="14"/>
      <c r="Q119" s="14" t="str">
        <f>IF(AND(A119&lt;&gt;"",P119&lt;&gt;"",D119&lt;&gt;"Closed",D119&lt;&gt;"Cancelled"),COUNTIFS($P$9:P119,"&lt;&gt;",$D$9:D119,"&lt;&gt;Closed",$D$9:D119,"&lt;&gt;Cancelled"),"")</f>
        <v/>
      </c>
      <c r="R119" s="14" t="str">
        <f t="shared" si="3"/>
        <v/>
      </c>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row>
    <row r="120" spans="1:44" ht="40" hidden="1" customHeight="1" x14ac:dyDescent="0.35">
      <c r="A120" s="35"/>
      <c r="B120" s="15"/>
      <c r="C120" s="15"/>
      <c r="D120" s="15"/>
      <c r="E120" s="18" t="str">
        <f t="shared" si="2"/>
        <v/>
      </c>
      <c r="F120" s="18" t="str">
        <f>IF(A120="","",COUNTIF(Quotes!$B$9:$B$258,A120))</f>
        <v/>
      </c>
      <c r="G120" s="19" t="str">
        <f>IF(A120="","",SUMIF(Quotes!$B$9:$B$258,A120,Quotes!$AI$9:$AI$258))</f>
        <v/>
      </c>
      <c r="H120" s="19" t="str">
        <f>IF(A120="","",SUMIF(Quotes!$B$9:$B$258,A120,Quotes!$AJ$9:$AJ$258))</f>
        <v/>
      </c>
      <c r="I120" s="15"/>
      <c r="J120" s="17"/>
      <c r="K120" s="17"/>
      <c r="L120" s="15"/>
      <c r="M120" s="15"/>
      <c r="N120" s="15"/>
      <c r="O120" s="18"/>
      <c r="P120" s="18"/>
      <c r="Q120" s="18" t="str">
        <f>IF(AND(A120&lt;&gt;"",P120&lt;&gt;"",D120&lt;&gt;"Closed",D120&lt;&gt;"Cancelled"),COUNTIFS($P$9:P120,"&lt;&gt;",$D$9:D120,"&lt;&gt;Closed",$D$9:D120,"&lt;&gt;Cancelled"),"")</f>
        <v/>
      </c>
      <c r="R120" s="18" t="str">
        <f t="shared" si="3"/>
        <v/>
      </c>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row>
    <row r="121" spans="1:44" ht="40" hidden="1" customHeight="1" x14ac:dyDescent="0.35">
      <c r="A121" s="34"/>
      <c r="B121" s="15"/>
      <c r="C121" s="15"/>
      <c r="D121" s="15"/>
      <c r="E121" s="14" t="str">
        <f t="shared" si="2"/>
        <v/>
      </c>
      <c r="F121" s="14" t="str">
        <f>IF(A121="","",COUNTIF(Quotes!$B$9:$B$258,A121))</f>
        <v/>
      </c>
      <c r="G121" s="16" t="str">
        <f>IF(A121="","",SUMIF(Quotes!$B$9:$B$258,A121,Quotes!$AI$9:$AI$258))</f>
        <v/>
      </c>
      <c r="H121" s="16" t="str">
        <f>IF(A121="","",SUMIF(Quotes!$B$9:$B$258,A121,Quotes!$AJ$9:$AJ$258))</f>
        <v/>
      </c>
      <c r="I121" s="15"/>
      <c r="J121" s="17"/>
      <c r="K121" s="17"/>
      <c r="L121" s="15"/>
      <c r="M121" s="15"/>
      <c r="N121" s="15"/>
      <c r="O121" s="14"/>
      <c r="P121" s="14"/>
      <c r="Q121" s="14" t="str">
        <f>IF(AND(A121&lt;&gt;"",P121&lt;&gt;"",D121&lt;&gt;"Closed",D121&lt;&gt;"Cancelled"),COUNTIFS($P$9:P121,"&lt;&gt;",$D$9:D121,"&lt;&gt;Closed",$D$9:D121,"&lt;&gt;Cancelled"),"")</f>
        <v/>
      </c>
      <c r="R121" s="14" t="str">
        <f t="shared" si="3"/>
        <v/>
      </c>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row>
    <row r="122" spans="1:44" ht="40" hidden="1" customHeight="1" x14ac:dyDescent="0.35">
      <c r="A122" s="35"/>
      <c r="B122" s="15"/>
      <c r="C122" s="15"/>
      <c r="D122" s="15"/>
      <c r="E122" s="18" t="str">
        <f t="shared" si="2"/>
        <v/>
      </c>
      <c r="F122" s="18" t="str">
        <f>IF(A122="","",COUNTIF(Quotes!$B$9:$B$258,A122))</f>
        <v/>
      </c>
      <c r="G122" s="19" t="str">
        <f>IF(A122="","",SUMIF(Quotes!$B$9:$B$258,A122,Quotes!$AI$9:$AI$258))</f>
        <v/>
      </c>
      <c r="H122" s="19" t="str">
        <f>IF(A122="","",SUMIF(Quotes!$B$9:$B$258,A122,Quotes!$AJ$9:$AJ$258))</f>
        <v/>
      </c>
      <c r="I122" s="15"/>
      <c r="J122" s="17"/>
      <c r="K122" s="17"/>
      <c r="L122" s="15"/>
      <c r="M122" s="15"/>
      <c r="N122" s="15"/>
      <c r="O122" s="18"/>
      <c r="P122" s="18"/>
      <c r="Q122" s="18" t="str">
        <f>IF(AND(A122&lt;&gt;"",P122&lt;&gt;"",D122&lt;&gt;"Closed",D122&lt;&gt;"Cancelled"),COUNTIFS($P$9:P122,"&lt;&gt;",$D$9:D122,"&lt;&gt;Closed",$D$9:D122,"&lt;&gt;Cancelled"),"")</f>
        <v/>
      </c>
      <c r="R122" s="18" t="str">
        <f t="shared" si="3"/>
        <v/>
      </c>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row>
    <row r="123" spans="1:44" ht="40" hidden="1" customHeight="1" x14ac:dyDescent="0.35">
      <c r="A123" s="34"/>
      <c r="B123" s="15"/>
      <c r="C123" s="15"/>
      <c r="D123" s="15"/>
      <c r="E123" s="14" t="str">
        <f t="shared" si="2"/>
        <v/>
      </c>
      <c r="F123" s="14" t="str">
        <f>IF(A123="","",COUNTIF(Quotes!$B$9:$B$258,A123))</f>
        <v/>
      </c>
      <c r="G123" s="16" t="str">
        <f>IF(A123="","",SUMIF(Quotes!$B$9:$B$258,A123,Quotes!$AI$9:$AI$258))</f>
        <v/>
      </c>
      <c r="H123" s="16" t="str">
        <f>IF(A123="","",SUMIF(Quotes!$B$9:$B$258,A123,Quotes!$AJ$9:$AJ$258))</f>
        <v/>
      </c>
      <c r="I123" s="15"/>
      <c r="J123" s="17"/>
      <c r="K123" s="17"/>
      <c r="L123" s="15"/>
      <c r="M123" s="15"/>
      <c r="N123" s="15"/>
      <c r="O123" s="14"/>
      <c r="P123" s="14"/>
      <c r="Q123" s="14" t="str">
        <f>IF(AND(A123&lt;&gt;"",P123&lt;&gt;"",D123&lt;&gt;"Closed",D123&lt;&gt;"Cancelled"),COUNTIFS($P$9:P123,"&lt;&gt;",$D$9:D123,"&lt;&gt;Closed",$D$9:D123,"&lt;&gt;Cancelled"),"")</f>
        <v/>
      </c>
      <c r="R123" s="14" t="str">
        <f t="shared" si="3"/>
        <v/>
      </c>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row>
    <row r="124" spans="1:44" ht="40" hidden="1" customHeight="1" x14ac:dyDescent="0.35">
      <c r="A124" s="35"/>
      <c r="B124" s="15"/>
      <c r="C124" s="15"/>
      <c r="D124" s="15"/>
      <c r="E124" s="18" t="str">
        <f t="shared" si="2"/>
        <v/>
      </c>
      <c r="F124" s="18" t="str">
        <f>IF(A124="","",COUNTIF(Quotes!$B$9:$B$258,A124))</f>
        <v/>
      </c>
      <c r="G124" s="19" t="str">
        <f>IF(A124="","",SUMIF(Quotes!$B$9:$B$258,A124,Quotes!$AI$9:$AI$258))</f>
        <v/>
      </c>
      <c r="H124" s="19" t="str">
        <f>IF(A124="","",SUMIF(Quotes!$B$9:$B$258,A124,Quotes!$AJ$9:$AJ$258))</f>
        <v/>
      </c>
      <c r="I124" s="15"/>
      <c r="J124" s="17"/>
      <c r="K124" s="17"/>
      <c r="L124" s="15"/>
      <c r="M124" s="15"/>
      <c r="N124" s="15"/>
      <c r="O124" s="18"/>
      <c r="P124" s="18"/>
      <c r="Q124" s="18" t="str">
        <f>IF(AND(A124&lt;&gt;"",P124&lt;&gt;"",D124&lt;&gt;"Closed",D124&lt;&gt;"Cancelled"),COUNTIFS($P$9:P124,"&lt;&gt;",$D$9:D124,"&lt;&gt;Closed",$D$9:D124,"&lt;&gt;Cancelled"),"")</f>
        <v/>
      </c>
      <c r="R124" s="18" t="str">
        <f t="shared" si="3"/>
        <v/>
      </c>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row>
    <row r="125" spans="1:44" ht="40" hidden="1" customHeight="1" x14ac:dyDescent="0.35">
      <c r="A125" s="34"/>
      <c r="B125" s="15"/>
      <c r="C125" s="15"/>
      <c r="D125" s="15"/>
      <c r="E125" s="14" t="str">
        <f t="shared" si="2"/>
        <v/>
      </c>
      <c r="F125" s="14" t="str">
        <f>IF(A125="","",COUNTIF(Quotes!$B$9:$B$258,A125))</f>
        <v/>
      </c>
      <c r="G125" s="16" t="str">
        <f>IF(A125="","",SUMIF(Quotes!$B$9:$B$258,A125,Quotes!$AI$9:$AI$258))</f>
        <v/>
      </c>
      <c r="H125" s="16" t="str">
        <f>IF(A125="","",SUMIF(Quotes!$B$9:$B$258,A125,Quotes!$AJ$9:$AJ$258))</f>
        <v/>
      </c>
      <c r="I125" s="15"/>
      <c r="J125" s="17"/>
      <c r="K125" s="17"/>
      <c r="L125" s="15"/>
      <c r="M125" s="15"/>
      <c r="N125" s="15"/>
      <c r="O125" s="14"/>
      <c r="P125" s="14"/>
      <c r="Q125" s="14" t="str">
        <f>IF(AND(A125&lt;&gt;"",P125&lt;&gt;"",D125&lt;&gt;"Closed",D125&lt;&gt;"Cancelled"),COUNTIFS($P$9:P125,"&lt;&gt;",$D$9:D125,"&lt;&gt;Closed",$D$9:D125,"&lt;&gt;Cancelled"),"")</f>
        <v/>
      </c>
      <c r="R125" s="14" t="str">
        <f t="shared" si="3"/>
        <v/>
      </c>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row>
    <row r="126" spans="1:44" ht="40" hidden="1" customHeight="1" x14ac:dyDescent="0.35">
      <c r="A126" s="35"/>
      <c r="B126" s="15"/>
      <c r="C126" s="15"/>
      <c r="D126" s="15"/>
      <c r="E126" s="18" t="str">
        <f t="shared" si="2"/>
        <v/>
      </c>
      <c r="F126" s="18" t="str">
        <f>IF(A126="","",COUNTIF(Quotes!$B$9:$B$258,A126))</f>
        <v/>
      </c>
      <c r="G126" s="19" t="str">
        <f>IF(A126="","",SUMIF(Quotes!$B$9:$B$258,A126,Quotes!$AI$9:$AI$258))</f>
        <v/>
      </c>
      <c r="H126" s="19" t="str">
        <f>IF(A126="","",SUMIF(Quotes!$B$9:$B$258,A126,Quotes!$AJ$9:$AJ$258))</f>
        <v/>
      </c>
      <c r="I126" s="15"/>
      <c r="J126" s="17"/>
      <c r="K126" s="17"/>
      <c r="L126" s="15"/>
      <c r="M126" s="15"/>
      <c r="N126" s="15"/>
      <c r="O126" s="18"/>
      <c r="P126" s="18"/>
      <c r="Q126" s="18" t="str">
        <f>IF(AND(A126&lt;&gt;"",P126&lt;&gt;"",D126&lt;&gt;"Closed",D126&lt;&gt;"Cancelled"),COUNTIFS($P$9:P126,"&lt;&gt;",$D$9:D126,"&lt;&gt;Closed",$D$9:D126,"&lt;&gt;Cancelled"),"")</f>
        <v/>
      </c>
      <c r="R126" s="18" t="str">
        <f t="shared" si="3"/>
        <v/>
      </c>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row>
    <row r="127" spans="1:44" ht="40" hidden="1" customHeight="1" x14ac:dyDescent="0.35">
      <c r="A127" s="34"/>
      <c r="B127" s="15"/>
      <c r="C127" s="15"/>
      <c r="D127" s="15"/>
      <c r="E127" s="14" t="str">
        <f t="shared" si="2"/>
        <v/>
      </c>
      <c r="F127" s="14" t="str">
        <f>IF(A127="","",COUNTIF(Quotes!$B$9:$B$258,A127))</f>
        <v/>
      </c>
      <c r="G127" s="16" t="str">
        <f>IF(A127="","",SUMIF(Quotes!$B$9:$B$258,A127,Quotes!$AI$9:$AI$258))</f>
        <v/>
      </c>
      <c r="H127" s="16" t="str">
        <f>IF(A127="","",SUMIF(Quotes!$B$9:$B$258,A127,Quotes!$AJ$9:$AJ$258))</f>
        <v/>
      </c>
      <c r="I127" s="15"/>
      <c r="J127" s="17"/>
      <c r="K127" s="17"/>
      <c r="L127" s="15"/>
      <c r="M127" s="15"/>
      <c r="N127" s="15"/>
      <c r="O127" s="14"/>
      <c r="P127" s="14"/>
      <c r="Q127" s="14" t="str">
        <f>IF(AND(A127&lt;&gt;"",P127&lt;&gt;"",D127&lt;&gt;"Closed",D127&lt;&gt;"Cancelled"),COUNTIFS($P$9:P127,"&lt;&gt;",$D$9:D127,"&lt;&gt;Closed",$D$9:D127,"&lt;&gt;Cancelled"),"")</f>
        <v/>
      </c>
      <c r="R127" s="14" t="str">
        <f t="shared" si="3"/>
        <v/>
      </c>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row>
    <row r="128" spans="1:44" ht="40" hidden="1" customHeight="1" x14ac:dyDescent="0.35">
      <c r="A128" s="35"/>
      <c r="B128" s="15"/>
      <c r="C128" s="15"/>
      <c r="D128" s="15"/>
      <c r="E128" s="18" t="str">
        <f t="shared" si="2"/>
        <v/>
      </c>
      <c r="F128" s="18" t="str">
        <f>IF(A128="","",COUNTIF(Quotes!$B$9:$B$258,A128))</f>
        <v/>
      </c>
      <c r="G128" s="19" t="str">
        <f>IF(A128="","",SUMIF(Quotes!$B$9:$B$258,A128,Quotes!$AI$9:$AI$258))</f>
        <v/>
      </c>
      <c r="H128" s="19" t="str">
        <f>IF(A128="","",SUMIF(Quotes!$B$9:$B$258,A128,Quotes!$AJ$9:$AJ$258))</f>
        <v/>
      </c>
      <c r="I128" s="15"/>
      <c r="J128" s="17"/>
      <c r="K128" s="17"/>
      <c r="L128" s="15"/>
      <c r="M128" s="15"/>
      <c r="N128" s="15"/>
      <c r="O128" s="18"/>
      <c r="P128" s="18"/>
      <c r="Q128" s="18" t="str">
        <f>IF(AND(A128&lt;&gt;"",P128&lt;&gt;"",D128&lt;&gt;"Closed",D128&lt;&gt;"Cancelled"),COUNTIFS($P$9:P128,"&lt;&gt;",$D$9:D128,"&lt;&gt;Closed",$D$9:D128,"&lt;&gt;Cancelled"),"")</f>
        <v/>
      </c>
      <c r="R128" s="18" t="str">
        <f t="shared" si="3"/>
        <v/>
      </c>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row>
    <row r="129" spans="1:44" ht="40" hidden="1" customHeight="1" x14ac:dyDescent="0.35">
      <c r="A129" s="34"/>
      <c r="B129" s="15"/>
      <c r="C129" s="15"/>
      <c r="D129" s="15"/>
      <c r="E129" s="14" t="str">
        <f t="shared" si="2"/>
        <v/>
      </c>
      <c r="F129" s="14" t="str">
        <f>IF(A129="","",COUNTIF(Quotes!$B$9:$B$258,A129))</f>
        <v/>
      </c>
      <c r="G129" s="16" t="str">
        <f>IF(A129="","",SUMIF(Quotes!$B$9:$B$258,A129,Quotes!$AI$9:$AI$258))</f>
        <v/>
      </c>
      <c r="H129" s="16" t="str">
        <f>IF(A129="","",SUMIF(Quotes!$B$9:$B$258,A129,Quotes!$AJ$9:$AJ$258))</f>
        <v/>
      </c>
      <c r="I129" s="15"/>
      <c r="J129" s="17"/>
      <c r="K129" s="17"/>
      <c r="L129" s="15"/>
      <c r="M129" s="15"/>
      <c r="N129" s="15"/>
      <c r="O129" s="14"/>
      <c r="P129" s="14"/>
      <c r="Q129" s="14" t="str">
        <f>IF(AND(A129&lt;&gt;"",P129&lt;&gt;"",D129&lt;&gt;"Closed",D129&lt;&gt;"Cancelled"),COUNTIFS($P$9:P129,"&lt;&gt;",$D$9:D129,"&lt;&gt;Closed",$D$9:D129,"&lt;&gt;Cancelled"),"")</f>
        <v/>
      </c>
      <c r="R129" s="14" t="str">
        <f t="shared" si="3"/>
        <v/>
      </c>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row>
    <row r="130" spans="1:44" ht="40" hidden="1" customHeight="1" x14ac:dyDescent="0.35">
      <c r="A130" s="35"/>
      <c r="B130" s="15"/>
      <c r="C130" s="15"/>
      <c r="D130" s="15"/>
      <c r="E130" s="18" t="str">
        <f t="shared" si="2"/>
        <v/>
      </c>
      <c r="F130" s="18" t="str">
        <f>IF(A130="","",COUNTIF(Quotes!$B$9:$B$258,A130))</f>
        <v/>
      </c>
      <c r="G130" s="19" t="str">
        <f>IF(A130="","",SUMIF(Quotes!$B$9:$B$258,A130,Quotes!$AI$9:$AI$258))</f>
        <v/>
      </c>
      <c r="H130" s="19" t="str">
        <f>IF(A130="","",SUMIF(Quotes!$B$9:$B$258,A130,Quotes!$AJ$9:$AJ$258))</f>
        <v/>
      </c>
      <c r="I130" s="15"/>
      <c r="J130" s="17"/>
      <c r="K130" s="17"/>
      <c r="L130" s="15"/>
      <c r="M130" s="15"/>
      <c r="N130" s="15"/>
      <c r="O130" s="18"/>
      <c r="P130" s="18"/>
      <c r="Q130" s="18" t="str">
        <f>IF(AND(A130&lt;&gt;"",P130&lt;&gt;"",D130&lt;&gt;"Closed",D130&lt;&gt;"Cancelled"),COUNTIFS($P$9:P130,"&lt;&gt;",$D$9:D130,"&lt;&gt;Closed",$D$9:D130,"&lt;&gt;Cancelled"),"")</f>
        <v/>
      </c>
      <c r="R130" s="18" t="str">
        <f t="shared" si="3"/>
        <v/>
      </c>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row>
    <row r="131" spans="1:44" ht="40" hidden="1" customHeight="1" x14ac:dyDescent="0.35">
      <c r="A131" s="34"/>
      <c r="B131" s="15"/>
      <c r="C131" s="15"/>
      <c r="D131" s="15"/>
      <c r="E131" s="14" t="str">
        <f t="shared" si="2"/>
        <v/>
      </c>
      <c r="F131" s="14" t="str">
        <f>IF(A131="","",COUNTIF(Quotes!$B$9:$B$258,A131))</f>
        <v/>
      </c>
      <c r="G131" s="16" t="str">
        <f>IF(A131="","",SUMIF(Quotes!$B$9:$B$258,A131,Quotes!$AI$9:$AI$258))</f>
        <v/>
      </c>
      <c r="H131" s="16" t="str">
        <f>IF(A131="","",SUMIF(Quotes!$B$9:$B$258,A131,Quotes!$AJ$9:$AJ$258))</f>
        <v/>
      </c>
      <c r="I131" s="15"/>
      <c r="J131" s="17"/>
      <c r="K131" s="17"/>
      <c r="L131" s="15"/>
      <c r="M131" s="15"/>
      <c r="N131" s="15"/>
      <c r="O131" s="14"/>
      <c r="P131" s="14"/>
      <c r="Q131" s="14" t="str">
        <f>IF(AND(A131&lt;&gt;"",P131&lt;&gt;"",D131&lt;&gt;"Closed",D131&lt;&gt;"Cancelled"),COUNTIFS($P$9:P131,"&lt;&gt;",$D$9:D131,"&lt;&gt;Closed",$D$9:D131,"&lt;&gt;Cancelled"),"")</f>
        <v/>
      </c>
      <c r="R131" s="14" t="str">
        <f t="shared" si="3"/>
        <v/>
      </c>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row>
    <row r="132" spans="1:44" ht="40" hidden="1" customHeight="1" x14ac:dyDescent="0.35">
      <c r="A132" s="35"/>
      <c r="B132" s="15"/>
      <c r="C132" s="15"/>
      <c r="D132" s="15"/>
      <c r="E132" s="18" t="str">
        <f t="shared" si="2"/>
        <v/>
      </c>
      <c r="F132" s="18" t="str">
        <f>IF(A132="","",COUNTIF(Quotes!$B$9:$B$258,A132))</f>
        <v/>
      </c>
      <c r="G132" s="19" t="str">
        <f>IF(A132="","",SUMIF(Quotes!$B$9:$B$258,A132,Quotes!$AI$9:$AI$258))</f>
        <v/>
      </c>
      <c r="H132" s="19" t="str">
        <f>IF(A132="","",SUMIF(Quotes!$B$9:$B$258,A132,Quotes!$AJ$9:$AJ$258))</f>
        <v/>
      </c>
      <c r="I132" s="15"/>
      <c r="J132" s="17"/>
      <c r="K132" s="17"/>
      <c r="L132" s="15"/>
      <c r="M132" s="15"/>
      <c r="N132" s="15"/>
      <c r="O132" s="18"/>
      <c r="P132" s="18"/>
      <c r="Q132" s="18" t="str">
        <f>IF(AND(A132&lt;&gt;"",P132&lt;&gt;"",D132&lt;&gt;"Closed",D132&lt;&gt;"Cancelled"),COUNTIFS($P$9:P132,"&lt;&gt;",$D$9:D132,"&lt;&gt;Closed",$D$9:D132,"&lt;&gt;Cancelled"),"")</f>
        <v/>
      </c>
      <c r="R132" s="18" t="str">
        <f t="shared" si="3"/>
        <v/>
      </c>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row>
    <row r="133" spans="1:44" ht="40" hidden="1" customHeight="1" x14ac:dyDescent="0.35">
      <c r="A133" s="34"/>
      <c r="B133" s="15"/>
      <c r="C133" s="15"/>
      <c r="D133" s="15"/>
      <c r="E133" s="14" t="str">
        <f t="shared" si="2"/>
        <v/>
      </c>
      <c r="F133" s="14" t="str">
        <f>IF(A133="","",COUNTIF(Quotes!$B$9:$B$258,A133))</f>
        <v/>
      </c>
      <c r="G133" s="16" t="str">
        <f>IF(A133="","",SUMIF(Quotes!$B$9:$B$258,A133,Quotes!$AI$9:$AI$258))</f>
        <v/>
      </c>
      <c r="H133" s="16" t="str">
        <f>IF(A133="","",SUMIF(Quotes!$B$9:$B$258,A133,Quotes!$AJ$9:$AJ$258))</f>
        <v/>
      </c>
      <c r="I133" s="15"/>
      <c r="J133" s="17"/>
      <c r="K133" s="17"/>
      <c r="L133" s="15"/>
      <c r="M133" s="15"/>
      <c r="N133" s="15"/>
      <c r="O133" s="14"/>
      <c r="P133" s="14"/>
      <c r="Q133" s="14" t="str">
        <f>IF(AND(A133&lt;&gt;"",P133&lt;&gt;"",D133&lt;&gt;"Closed",D133&lt;&gt;"Cancelled"),COUNTIFS($P$9:P133,"&lt;&gt;",$D$9:D133,"&lt;&gt;Closed",$D$9:D133,"&lt;&gt;Cancelled"),"")</f>
        <v/>
      </c>
      <c r="R133" s="14" t="str">
        <f t="shared" si="3"/>
        <v/>
      </c>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row>
    <row r="134" spans="1:44" ht="40" hidden="1" customHeight="1" x14ac:dyDescent="0.35">
      <c r="A134" s="35"/>
      <c r="B134" s="15"/>
      <c r="C134" s="15"/>
      <c r="D134" s="15"/>
      <c r="E134" s="18" t="str">
        <f t="shared" si="2"/>
        <v/>
      </c>
      <c r="F134" s="18" t="str">
        <f>IF(A134="","",COUNTIF(Quotes!$B$9:$B$258,A134))</f>
        <v/>
      </c>
      <c r="G134" s="19" t="str">
        <f>IF(A134="","",SUMIF(Quotes!$B$9:$B$258,A134,Quotes!$AI$9:$AI$258))</f>
        <v/>
      </c>
      <c r="H134" s="19" t="str">
        <f>IF(A134="","",SUMIF(Quotes!$B$9:$B$258,A134,Quotes!$AJ$9:$AJ$258))</f>
        <v/>
      </c>
      <c r="I134" s="15"/>
      <c r="J134" s="17"/>
      <c r="K134" s="17"/>
      <c r="L134" s="15"/>
      <c r="M134" s="15"/>
      <c r="N134" s="15"/>
      <c r="O134" s="18"/>
      <c r="P134" s="18"/>
      <c r="Q134" s="18" t="str">
        <f>IF(AND(A134&lt;&gt;"",P134&lt;&gt;"",D134&lt;&gt;"Closed",D134&lt;&gt;"Cancelled"),COUNTIFS($P$9:P134,"&lt;&gt;",$D$9:D134,"&lt;&gt;Closed",$D$9:D134,"&lt;&gt;Cancelled"),"")</f>
        <v/>
      </c>
      <c r="R134" s="18" t="str">
        <f t="shared" si="3"/>
        <v/>
      </c>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row>
    <row r="135" spans="1:44" ht="40" hidden="1" customHeight="1" x14ac:dyDescent="0.35">
      <c r="A135" s="34"/>
      <c r="B135" s="15"/>
      <c r="C135" s="15"/>
      <c r="D135" s="15"/>
      <c r="E135" s="14" t="str">
        <f t="shared" si="2"/>
        <v/>
      </c>
      <c r="F135" s="14" t="str">
        <f>IF(A135="","",COUNTIF(Quotes!$B$9:$B$258,A135))</f>
        <v/>
      </c>
      <c r="G135" s="16" t="str">
        <f>IF(A135="","",SUMIF(Quotes!$B$9:$B$258,A135,Quotes!$AI$9:$AI$258))</f>
        <v/>
      </c>
      <c r="H135" s="16" t="str">
        <f>IF(A135="","",SUMIF(Quotes!$B$9:$B$258,A135,Quotes!$AJ$9:$AJ$258))</f>
        <v/>
      </c>
      <c r="I135" s="15"/>
      <c r="J135" s="17"/>
      <c r="K135" s="17"/>
      <c r="L135" s="15"/>
      <c r="M135" s="15"/>
      <c r="N135" s="15"/>
      <c r="O135" s="14"/>
      <c r="P135" s="14"/>
      <c r="Q135" s="14" t="str">
        <f>IF(AND(A135&lt;&gt;"",P135&lt;&gt;"",D135&lt;&gt;"Closed",D135&lt;&gt;"Cancelled"),COUNTIFS($P$9:P135,"&lt;&gt;",$D$9:D135,"&lt;&gt;Closed",$D$9:D135,"&lt;&gt;Cancelled"),"")</f>
        <v/>
      </c>
      <c r="R135" s="14" t="str">
        <f t="shared" si="3"/>
        <v/>
      </c>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row>
    <row r="136" spans="1:44" ht="40" hidden="1" customHeight="1" x14ac:dyDescent="0.35">
      <c r="A136" s="35"/>
      <c r="B136" s="15"/>
      <c r="C136" s="15"/>
      <c r="D136" s="15"/>
      <c r="E136" s="18" t="str">
        <f t="shared" si="2"/>
        <v/>
      </c>
      <c r="F136" s="18" t="str">
        <f>IF(A136="","",COUNTIF(Quotes!$B$9:$B$258,A136))</f>
        <v/>
      </c>
      <c r="G136" s="19" t="str">
        <f>IF(A136="","",SUMIF(Quotes!$B$9:$B$258,A136,Quotes!$AI$9:$AI$258))</f>
        <v/>
      </c>
      <c r="H136" s="19" t="str">
        <f>IF(A136="","",SUMIF(Quotes!$B$9:$B$258,A136,Quotes!$AJ$9:$AJ$258))</f>
        <v/>
      </c>
      <c r="I136" s="15"/>
      <c r="J136" s="17"/>
      <c r="K136" s="17"/>
      <c r="L136" s="15"/>
      <c r="M136" s="15"/>
      <c r="N136" s="15"/>
      <c r="O136" s="18"/>
      <c r="P136" s="18"/>
      <c r="Q136" s="18" t="str">
        <f>IF(AND(A136&lt;&gt;"",P136&lt;&gt;"",D136&lt;&gt;"Closed",D136&lt;&gt;"Cancelled"),COUNTIFS($P$9:P136,"&lt;&gt;",$D$9:D136,"&lt;&gt;Closed",$D$9:D136,"&lt;&gt;Cancelled"),"")</f>
        <v/>
      </c>
      <c r="R136" s="18" t="str">
        <f t="shared" si="3"/>
        <v/>
      </c>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row>
    <row r="137" spans="1:44" ht="40" hidden="1" customHeight="1" x14ac:dyDescent="0.35">
      <c r="A137" s="34"/>
      <c r="B137" s="15"/>
      <c r="C137" s="15"/>
      <c r="D137" s="15"/>
      <c r="E137" s="14" t="str">
        <f t="shared" ref="E137:E200" si="4">IF(OR(A137="",P137=""),"",HYPERLINK("#'"&amp;P137&amp;"'!A1","OPEN JOB"))</f>
        <v/>
      </c>
      <c r="F137" s="14" t="str">
        <f>IF(A137="","",COUNTIF(Quotes!$B$9:$B$258,A137))</f>
        <v/>
      </c>
      <c r="G137" s="16" t="str">
        <f>IF(A137="","",SUMIF(Quotes!$B$9:$B$258,A137,Quotes!$AI$9:$AI$258))</f>
        <v/>
      </c>
      <c r="H137" s="16" t="str">
        <f>IF(A137="","",SUMIF(Quotes!$B$9:$B$258,A137,Quotes!$AJ$9:$AJ$258))</f>
        <v/>
      </c>
      <c r="I137" s="15"/>
      <c r="J137" s="17"/>
      <c r="K137" s="17"/>
      <c r="L137" s="15"/>
      <c r="M137" s="15"/>
      <c r="N137" s="15"/>
      <c r="O137" s="14"/>
      <c r="P137" s="14"/>
      <c r="Q137" s="14" t="str">
        <f>IF(AND(A137&lt;&gt;"",P137&lt;&gt;"",D137&lt;&gt;"Closed",D137&lt;&gt;"Cancelled"),COUNTIFS($P$9:P137,"&lt;&gt;",$D$9:D137,"&lt;&gt;Closed",$D$9:D137,"&lt;&gt;Cancelled"),"")</f>
        <v/>
      </c>
      <c r="R137" s="14" t="str">
        <f t="shared" ref="R137:R200" si="5">IF(A137="","",A137&amp;" | "&amp;B137)</f>
        <v/>
      </c>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row>
    <row r="138" spans="1:44" ht="40" hidden="1" customHeight="1" x14ac:dyDescent="0.35">
      <c r="A138" s="35"/>
      <c r="B138" s="15"/>
      <c r="C138" s="15"/>
      <c r="D138" s="15"/>
      <c r="E138" s="18" t="str">
        <f t="shared" si="4"/>
        <v/>
      </c>
      <c r="F138" s="18" t="str">
        <f>IF(A138="","",COUNTIF(Quotes!$B$9:$B$258,A138))</f>
        <v/>
      </c>
      <c r="G138" s="19" t="str">
        <f>IF(A138="","",SUMIF(Quotes!$B$9:$B$258,A138,Quotes!$AI$9:$AI$258))</f>
        <v/>
      </c>
      <c r="H138" s="19" t="str">
        <f>IF(A138="","",SUMIF(Quotes!$B$9:$B$258,A138,Quotes!$AJ$9:$AJ$258))</f>
        <v/>
      </c>
      <c r="I138" s="15"/>
      <c r="J138" s="17"/>
      <c r="K138" s="17"/>
      <c r="L138" s="15"/>
      <c r="M138" s="15"/>
      <c r="N138" s="15"/>
      <c r="O138" s="18"/>
      <c r="P138" s="18"/>
      <c r="Q138" s="18" t="str">
        <f>IF(AND(A138&lt;&gt;"",P138&lt;&gt;"",D138&lt;&gt;"Closed",D138&lt;&gt;"Cancelled"),COUNTIFS($P$9:P138,"&lt;&gt;",$D$9:D138,"&lt;&gt;Closed",$D$9:D138,"&lt;&gt;Cancelled"),"")</f>
        <v/>
      </c>
      <c r="R138" s="18" t="str">
        <f t="shared" si="5"/>
        <v/>
      </c>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row>
    <row r="139" spans="1:44" ht="40" hidden="1" customHeight="1" x14ac:dyDescent="0.35">
      <c r="A139" s="34"/>
      <c r="B139" s="15"/>
      <c r="C139" s="15"/>
      <c r="D139" s="15"/>
      <c r="E139" s="14" t="str">
        <f t="shared" si="4"/>
        <v/>
      </c>
      <c r="F139" s="14" t="str">
        <f>IF(A139="","",COUNTIF(Quotes!$B$9:$B$258,A139))</f>
        <v/>
      </c>
      <c r="G139" s="16" t="str">
        <f>IF(A139="","",SUMIF(Quotes!$B$9:$B$258,A139,Quotes!$AI$9:$AI$258))</f>
        <v/>
      </c>
      <c r="H139" s="16" t="str">
        <f>IF(A139="","",SUMIF(Quotes!$B$9:$B$258,A139,Quotes!$AJ$9:$AJ$258))</f>
        <v/>
      </c>
      <c r="I139" s="15"/>
      <c r="J139" s="17"/>
      <c r="K139" s="17"/>
      <c r="L139" s="15"/>
      <c r="M139" s="15"/>
      <c r="N139" s="15"/>
      <c r="O139" s="14"/>
      <c r="P139" s="14"/>
      <c r="Q139" s="14" t="str">
        <f>IF(AND(A139&lt;&gt;"",P139&lt;&gt;"",D139&lt;&gt;"Closed",D139&lt;&gt;"Cancelled"),COUNTIFS($P$9:P139,"&lt;&gt;",$D$9:D139,"&lt;&gt;Closed",$D$9:D139,"&lt;&gt;Cancelled"),"")</f>
        <v/>
      </c>
      <c r="R139" s="14" t="str">
        <f t="shared" si="5"/>
        <v/>
      </c>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row>
    <row r="140" spans="1:44" ht="40" hidden="1" customHeight="1" x14ac:dyDescent="0.35">
      <c r="A140" s="35"/>
      <c r="B140" s="15"/>
      <c r="C140" s="15"/>
      <c r="D140" s="15"/>
      <c r="E140" s="18" t="str">
        <f t="shared" si="4"/>
        <v/>
      </c>
      <c r="F140" s="18" t="str">
        <f>IF(A140="","",COUNTIF(Quotes!$B$9:$B$258,A140))</f>
        <v/>
      </c>
      <c r="G140" s="19" t="str">
        <f>IF(A140="","",SUMIF(Quotes!$B$9:$B$258,A140,Quotes!$AI$9:$AI$258))</f>
        <v/>
      </c>
      <c r="H140" s="19" t="str">
        <f>IF(A140="","",SUMIF(Quotes!$B$9:$B$258,A140,Quotes!$AJ$9:$AJ$258))</f>
        <v/>
      </c>
      <c r="I140" s="15"/>
      <c r="J140" s="17"/>
      <c r="K140" s="17"/>
      <c r="L140" s="15"/>
      <c r="M140" s="15"/>
      <c r="N140" s="15"/>
      <c r="O140" s="18"/>
      <c r="P140" s="18"/>
      <c r="Q140" s="18" t="str">
        <f>IF(AND(A140&lt;&gt;"",P140&lt;&gt;"",D140&lt;&gt;"Closed",D140&lt;&gt;"Cancelled"),COUNTIFS($P$9:P140,"&lt;&gt;",$D$9:D140,"&lt;&gt;Closed",$D$9:D140,"&lt;&gt;Cancelled"),"")</f>
        <v/>
      </c>
      <c r="R140" s="18" t="str">
        <f t="shared" si="5"/>
        <v/>
      </c>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row>
    <row r="141" spans="1:44" ht="40" hidden="1" customHeight="1" x14ac:dyDescent="0.35">
      <c r="A141" s="34"/>
      <c r="B141" s="15"/>
      <c r="C141" s="15"/>
      <c r="D141" s="15"/>
      <c r="E141" s="14" t="str">
        <f t="shared" si="4"/>
        <v/>
      </c>
      <c r="F141" s="14" t="str">
        <f>IF(A141="","",COUNTIF(Quotes!$B$9:$B$258,A141))</f>
        <v/>
      </c>
      <c r="G141" s="16" t="str">
        <f>IF(A141="","",SUMIF(Quotes!$B$9:$B$258,A141,Quotes!$AI$9:$AI$258))</f>
        <v/>
      </c>
      <c r="H141" s="16" t="str">
        <f>IF(A141="","",SUMIF(Quotes!$B$9:$B$258,A141,Quotes!$AJ$9:$AJ$258))</f>
        <v/>
      </c>
      <c r="I141" s="15"/>
      <c r="J141" s="17"/>
      <c r="K141" s="17"/>
      <c r="L141" s="15"/>
      <c r="M141" s="15"/>
      <c r="N141" s="15"/>
      <c r="O141" s="14"/>
      <c r="P141" s="14"/>
      <c r="Q141" s="14" t="str">
        <f>IF(AND(A141&lt;&gt;"",P141&lt;&gt;"",D141&lt;&gt;"Closed",D141&lt;&gt;"Cancelled"),COUNTIFS($P$9:P141,"&lt;&gt;",$D$9:D141,"&lt;&gt;Closed",$D$9:D141,"&lt;&gt;Cancelled"),"")</f>
        <v/>
      </c>
      <c r="R141" s="14" t="str">
        <f t="shared" si="5"/>
        <v/>
      </c>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row>
    <row r="142" spans="1:44" ht="40" hidden="1" customHeight="1" x14ac:dyDescent="0.35">
      <c r="A142" s="35"/>
      <c r="B142" s="15"/>
      <c r="C142" s="15"/>
      <c r="D142" s="15"/>
      <c r="E142" s="18" t="str">
        <f t="shared" si="4"/>
        <v/>
      </c>
      <c r="F142" s="18" t="str">
        <f>IF(A142="","",COUNTIF(Quotes!$B$9:$B$258,A142))</f>
        <v/>
      </c>
      <c r="G142" s="19" t="str">
        <f>IF(A142="","",SUMIF(Quotes!$B$9:$B$258,A142,Quotes!$AI$9:$AI$258))</f>
        <v/>
      </c>
      <c r="H142" s="19" t="str">
        <f>IF(A142="","",SUMIF(Quotes!$B$9:$B$258,A142,Quotes!$AJ$9:$AJ$258))</f>
        <v/>
      </c>
      <c r="I142" s="15"/>
      <c r="J142" s="17"/>
      <c r="K142" s="17"/>
      <c r="L142" s="15"/>
      <c r="M142" s="15"/>
      <c r="N142" s="15"/>
      <c r="O142" s="18"/>
      <c r="P142" s="18"/>
      <c r="Q142" s="18" t="str">
        <f>IF(AND(A142&lt;&gt;"",P142&lt;&gt;"",D142&lt;&gt;"Closed",D142&lt;&gt;"Cancelled"),COUNTIFS($P$9:P142,"&lt;&gt;",$D$9:D142,"&lt;&gt;Closed",$D$9:D142,"&lt;&gt;Cancelled"),"")</f>
        <v/>
      </c>
      <c r="R142" s="18" t="str">
        <f t="shared" si="5"/>
        <v/>
      </c>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row>
    <row r="143" spans="1:44" ht="40" hidden="1" customHeight="1" x14ac:dyDescent="0.35">
      <c r="A143" s="34"/>
      <c r="B143" s="15"/>
      <c r="C143" s="15"/>
      <c r="D143" s="15"/>
      <c r="E143" s="14" t="str">
        <f t="shared" si="4"/>
        <v/>
      </c>
      <c r="F143" s="14" t="str">
        <f>IF(A143="","",COUNTIF(Quotes!$B$9:$B$258,A143))</f>
        <v/>
      </c>
      <c r="G143" s="16" t="str">
        <f>IF(A143="","",SUMIF(Quotes!$B$9:$B$258,A143,Quotes!$AI$9:$AI$258))</f>
        <v/>
      </c>
      <c r="H143" s="16" t="str">
        <f>IF(A143="","",SUMIF(Quotes!$B$9:$B$258,A143,Quotes!$AJ$9:$AJ$258))</f>
        <v/>
      </c>
      <c r="I143" s="15"/>
      <c r="J143" s="17"/>
      <c r="K143" s="17"/>
      <c r="L143" s="15"/>
      <c r="M143" s="15"/>
      <c r="N143" s="15"/>
      <c r="O143" s="14"/>
      <c r="P143" s="14"/>
      <c r="Q143" s="14" t="str">
        <f>IF(AND(A143&lt;&gt;"",P143&lt;&gt;"",D143&lt;&gt;"Closed",D143&lt;&gt;"Cancelled"),COUNTIFS($P$9:P143,"&lt;&gt;",$D$9:D143,"&lt;&gt;Closed",$D$9:D143,"&lt;&gt;Cancelled"),"")</f>
        <v/>
      </c>
      <c r="R143" s="14" t="str">
        <f t="shared" si="5"/>
        <v/>
      </c>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row>
    <row r="144" spans="1:44" ht="40" hidden="1" customHeight="1" x14ac:dyDescent="0.35">
      <c r="A144" s="35"/>
      <c r="B144" s="15"/>
      <c r="C144" s="15"/>
      <c r="D144" s="15"/>
      <c r="E144" s="18" t="str">
        <f t="shared" si="4"/>
        <v/>
      </c>
      <c r="F144" s="18" t="str">
        <f>IF(A144="","",COUNTIF(Quotes!$B$9:$B$258,A144))</f>
        <v/>
      </c>
      <c r="G144" s="19" t="str">
        <f>IF(A144="","",SUMIF(Quotes!$B$9:$B$258,A144,Quotes!$AI$9:$AI$258))</f>
        <v/>
      </c>
      <c r="H144" s="19" t="str">
        <f>IF(A144="","",SUMIF(Quotes!$B$9:$B$258,A144,Quotes!$AJ$9:$AJ$258))</f>
        <v/>
      </c>
      <c r="I144" s="15"/>
      <c r="J144" s="17"/>
      <c r="K144" s="17"/>
      <c r="L144" s="15"/>
      <c r="M144" s="15"/>
      <c r="N144" s="15"/>
      <c r="O144" s="18"/>
      <c r="P144" s="18"/>
      <c r="Q144" s="18" t="str">
        <f>IF(AND(A144&lt;&gt;"",P144&lt;&gt;"",D144&lt;&gt;"Closed",D144&lt;&gt;"Cancelled"),COUNTIFS($P$9:P144,"&lt;&gt;",$D$9:D144,"&lt;&gt;Closed",$D$9:D144,"&lt;&gt;Cancelled"),"")</f>
        <v/>
      </c>
      <c r="R144" s="18" t="str">
        <f t="shared" si="5"/>
        <v/>
      </c>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row>
    <row r="145" spans="1:44" ht="40" hidden="1" customHeight="1" x14ac:dyDescent="0.35">
      <c r="A145" s="34"/>
      <c r="B145" s="15"/>
      <c r="C145" s="15"/>
      <c r="D145" s="15"/>
      <c r="E145" s="14" t="str">
        <f t="shared" si="4"/>
        <v/>
      </c>
      <c r="F145" s="14" t="str">
        <f>IF(A145="","",COUNTIF(Quotes!$B$9:$B$258,A145))</f>
        <v/>
      </c>
      <c r="G145" s="16" t="str">
        <f>IF(A145="","",SUMIF(Quotes!$B$9:$B$258,A145,Quotes!$AI$9:$AI$258))</f>
        <v/>
      </c>
      <c r="H145" s="16" t="str">
        <f>IF(A145="","",SUMIF(Quotes!$B$9:$B$258,A145,Quotes!$AJ$9:$AJ$258))</f>
        <v/>
      </c>
      <c r="I145" s="15"/>
      <c r="J145" s="17"/>
      <c r="K145" s="17"/>
      <c r="L145" s="15"/>
      <c r="M145" s="15"/>
      <c r="N145" s="15"/>
      <c r="O145" s="14"/>
      <c r="P145" s="14"/>
      <c r="Q145" s="14" t="str">
        <f>IF(AND(A145&lt;&gt;"",P145&lt;&gt;"",D145&lt;&gt;"Closed",D145&lt;&gt;"Cancelled"),COUNTIFS($P$9:P145,"&lt;&gt;",$D$9:D145,"&lt;&gt;Closed",$D$9:D145,"&lt;&gt;Cancelled"),"")</f>
        <v/>
      </c>
      <c r="R145" s="14" t="str">
        <f t="shared" si="5"/>
        <v/>
      </c>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row>
    <row r="146" spans="1:44" ht="40" hidden="1" customHeight="1" x14ac:dyDescent="0.35">
      <c r="A146" s="35"/>
      <c r="B146" s="15"/>
      <c r="C146" s="15"/>
      <c r="D146" s="15"/>
      <c r="E146" s="18" t="str">
        <f t="shared" si="4"/>
        <v/>
      </c>
      <c r="F146" s="18" t="str">
        <f>IF(A146="","",COUNTIF(Quotes!$B$9:$B$258,A146))</f>
        <v/>
      </c>
      <c r="G146" s="19" t="str">
        <f>IF(A146="","",SUMIF(Quotes!$B$9:$B$258,A146,Quotes!$AI$9:$AI$258))</f>
        <v/>
      </c>
      <c r="H146" s="19" t="str">
        <f>IF(A146="","",SUMIF(Quotes!$B$9:$B$258,A146,Quotes!$AJ$9:$AJ$258))</f>
        <v/>
      </c>
      <c r="I146" s="15"/>
      <c r="J146" s="17"/>
      <c r="K146" s="17"/>
      <c r="L146" s="15"/>
      <c r="M146" s="15"/>
      <c r="N146" s="15"/>
      <c r="O146" s="18"/>
      <c r="P146" s="18"/>
      <c r="Q146" s="18" t="str">
        <f>IF(AND(A146&lt;&gt;"",P146&lt;&gt;"",D146&lt;&gt;"Closed",D146&lt;&gt;"Cancelled"),COUNTIFS($P$9:P146,"&lt;&gt;",$D$9:D146,"&lt;&gt;Closed",$D$9:D146,"&lt;&gt;Cancelled"),"")</f>
        <v/>
      </c>
      <c r="R146" s="18" t="str">
        <f t="shared" si="5"/>
        <v/>
      </c>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row>
    <row r="147" spans="1:44" ht="40" hidden="1" customHeight="1" x14ac:dyDescent="0.35">
      <c r="A147" s="34"/>
      <c r="B147" s="15"/>
      <c r="C147" s="15"/>
      <c r="D147" s="15"/>
      <c r="E147" s="14" t="str">
        <f t="shared" si="4"/>
        <v/>
      </c>
      <c r="F147" s="14" t="str">
        <f>IF(A147="","",COUNTIF(Quotes!$B$9:$B$258,A147))</f>
        <v/>
      </c>
      <c r="G147" s="16" t="str">
        <f>IF(A147="","",SUMIF(Quotes!$B$9:$B$258,A147,Quotes!$AI$9:$AI$258))</f>
        <v/>
      </c>
      <c r="H147" s="16" t="str">
        <f>IF(A147="","",SUMIF(Quotes!$B$9:$B$258,A147,Quotes!$AJ$9:$AJ$258))</f>
        <v/>
      </c>
      <c r="I147" s="15"/>
      <c r="J147" s="17"/>
      <c r="K147" s="17"/>
      <c r="L147" s="15"/>
      <c r="M147" s="15"/>
      <c r="N147" s="15"/>
      <c r="O147" s="14"/>
      <c r="P147" s="14"/>
      <c r="Q147" s="14" t="str">
        <f>IF(AND(A147&lt;&gt;"",P147&lt;&gt;"",D147&lt;&gt;"Closed",D147&lt;&gt;"Cancelled"),COUNTIFS($P$9:P147,"&lt;&gt;",$D$9:D147,"&lt;&gt;Closed",$D$9:D147,"&lt;&gt;Cancelled"),"")</f>
        <v/>
      </c>
      <c r="R147" s="14" t="str">
        <f t="shared" si="5"/>
        <v/>
      </c>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row>
    <row r="148" spans="1:44" ht="40" hidden="1" customHeight="1" x14ac:dyDescent="0.35">
      <c r="A148" s="35"/>
      <c r="B148" s="15"/>
      <c r="C148" s="15"/>
      <c r="D148" s="15"/>
      <c r="E148" s="18" t="str">
        <f t="shared" si="4"/>
        <v/>
      </c>
      <c r="F148" s="18" t="str">
        <f>IF(A148="","",COUNTIF(Quotes!$B$9:$B$258,A148))</f>
        <v/>
      </c>
      <c r="G148" s="19" t="str">
        <f>IF(A148="","",SUMIF(Quotes!$B$9:$B$258,A148,Quotes!$AI$9:$AI$258))</f>
        <v/>
      </c>
      <c r="H148" s="19" t="str">
        <f>IF(A148="","",SUMIF(Quotes!$B$9:$B$258,A148,Quotes!$AJ$9:$AJ$258))</f>
        <v/>
      </c>
      <c r="I148" s="15"/>
      <c r="J148" s="17"/>
      <c r="K148" s="17"/>
      <c r="L148" s="15"/>
      <c r="M148" s="15"/>
      <c r="N148" s="15"/>
      <c r="O148" s="18"/>
      <c r="P148" s="18"/>
      <c r="Q148" s="18" t="str">
        <f>IF(AND(A148&lt;&gt;"",P148&lt;&gt;"",D148&lt;&gt;"Closed",D148&lt;&gt;"Cancelled"),COUNTIFS($P$9:P148,"&lt;&gt;",$D$9:D148,"&lt;&gt;Closed",$D$9:D148,"&lt;&gt;Cancelled"),"")</f>
        <v/>
      </c>
      <c r="R148" s="18" t="str">
        <f t="shared" si="5"/>
        <v/>
      </c>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row>
    <row r="149" spans="1:44" ht="40" hidden="1" customHeight="1" x14ac:dyDescent="0.35">
      <c r="A149" s="34"/>
      <c r="B149" s="15"/>
      <c r="C149" s="15"/>
      <c r="D149" s="15"/>
      <c r="E149" s="14" t="str">
        <f t="shared" si="4"/>
        <v/>
      </c>
      <c r="F149" s="14" t="str">
        <f>IF(A149="","",COUNTIF(Quotes!$B$9:$B$258,A149))</f>
        <v/>
      </c>
      <c r="G149" s="16" t="str">
        <f>IF(A149="","",SUMIF(Quotes!$B$9:$B$258,A149,Quotes!$AI$9:$AI$258))</f>
        <v/>
      </c>
      <c r="H149" s="16" t="str">
        <f>IF(A149="","",SUMIF(Quotes!$B$9:$B$258,A149,Quotes!$AJ$9:$AJ$258))</f>
        <v/>
      </c>
      <c r="I149" s="15"/>
      <c r="J149" s="17"/>
      <c r="K149" s="17"/>
      <c r="L149" s="15"/>
      <c r="M149" s="15"/>
      <c r="N149" s="15"/>
      <c r="O149" s="14"/>
      <c r="P149" s="14"/>
      <c r="Q149" s="14" t="str">
        <f>IF(AND(A149&lt;&gt;"",P149&lt;&gt;"",D149&lt;&gt;"Closed",D149&lt;&gt;"Cancelled"),COUNTIFS($P$9:P149,"&lt;&gt;",$D$9:D149,"&lt;&gt;Closed",$D$9:D149,"&lt;&gt;Cancelled"),"")</f>
        <v/>
      </c>
      <c r="R149" s="14" t="str">
        <f t="shared" si="5"/>
        <v/>
      </c>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row>
    <row r="150" spans="1:44" ht="40" hidden="1" customHeight="1" x14ac:dyDescent="0.35">
      <c r="A150" s="35"/>
      <c r="B150" s="15"/>
      <c r="C150" s="15"/>
      <c r="D150" s="15"/>
      <c r="E150" s="18" t="str">
        <f t="shared" si="4"/>
        <v/>
      </c>
      <c r="F150" s="18" t="str">
        <f>IF(A150="","",COUNTIF(Quotes!$B$9:$B$258,A150))</f>
        <v/>
      </c>
      <c r="G150" s="19" t="str">
        <f>IF(A150="","",SUMIF(Quotes!$B$9:$B$258,A150,Quotes!$AI$9:$AI$258))</f>
        <v/>
      </c>
      <c r="H150" s="19" t="str">
        <f>IF(A150="","",SUMIF(Quotes!$B$9:$B$258,A150,Quotes!$AJ$9:$AJ$258))</f>
        <v/>
      </c>
      <c r="I150" s="15"/>
      <c r="J150" s="17"/>
      <c r="K150" s="17"/>
      <c r="L150" s="15"/>
      <c r="M150" s="15"/>
      <c r="N150" s="15"/>
      <c r="O150" s="18"/>
      <c r="P150" s="18"/>
      <c r="Q150" s="18" t="str">
        <f>IF(AND(A150&lt;&gt;"",P150&lt;&gt;"",D150&lt;&gt;"Closed",D150&lt;&gt;"Cancelled"),COUNTIFS($P$9:P150,"&lt;&gt;",$D$9:D150,"&lt;&gt;Closed",$D$9:D150,"&lt;&gt;Cancelled"),"")</f>
        <v/>
      </c>
      <c r="R150" s="18" t="str">
        <f t="shared" si="5"/>
        <v/>
      </c>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row>
    <row r="151" spans="1:44" ht="40" hidden="1" customHeight="1" x14ac:dyDescent="0.35">
      <c r="A151" s="34"/>
      <c r="B151" s="15"/>
      <c r="C151" s="15"/>
      <c r="D151" s="15"/>
      <c r="E151" s="14" t="str">
        <f t="shared" si="4"/>
        <v/>
      </c>
      <c r="F151" s="14" t="str">
        <f>IF(A151="","",COUNTIF(Quotes!$B$9:$B$258,A151))</f>
        <v/>
      </c>
      <c r="G151" s="16" t="str">
        <f>IF(A151="","",SUMIF(Quotes!$B$9:$B$258,A151,Quotes!$AI$9:$AI$258))</f>
        <v/>
      </c>
      <c r="H151" s="16" t="str">
        <f>IF(A151="","",SUMIF(Quotes!$B$9:$B$258,A151,Quotes!$AJ$9:$AJ$258))</f>
        <v/>
      </c>
      <c r="I151" s="15"/>
      <c r="J151" s="17"/>
      <c r="K151" s="17"/>
      <c r="L151" s="15"/>
      <c r="M151" s="15"/>
      <c r="N151" s="15"/>
      <c r="O151" s="14"/>
      <c r="P151" s="14"/>
      <c r="Q151" s="14" t="str">
        <f>IF(AND(A151&lt;&gt;"",P151&lt;&gt;"",D151&lt;&gt;"Closed",D151&lt;&gt;"Cancelled"),COUNTIFS($P$9:P151,"&lt;&gt;",$D$9:D151,"&lt;&gt;Closed",$D$9:D151,"&lt;&gt;Cancelled"),"")</f>
        <v/>
      </c>
      <c r="R151" s="14" t="str">
        <f t="shared" si="5"/>
        <v/>
      </c>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row>
    <row r="152" spans="1:44" ht="40" hidden="1" customHeight="1" x14ac:dyDescent="0.35">
      <c r="A152" s="35"/>
      <c r="B152" s="15"/>
      <c r="C152" s="15"/>
      <c r="D152" s="15"/>
      <c r="E152" s="18" t="str">
        <f t="shared" si="4"/>
        <v/>
      </c>
      <c r="F152" s="18" t="str">
        <f>IF(A152="","",COUNTIF(Quotes!$B$9:$B$258,A152))</f>
        <v/>
      </c>
      <c r="G152" s="19" t="str">
        <f>IF(A152="","",SUMIF(Quotes!$B$9:$B$258,A152,Quotes!$AI$9:$AI$258))</f>
        <v/>
      </c>
      <c r="H152" s="19" t="str">
        <f>IF(A152="","",SUMIF(Quotes!$B$9:$B$258,A152,Quotes!$AJ$9:$AJ$258))</f>
        <v/>
      </c>
      <c r="I152" s="15"/>
      <c r="J152" s="17"/>
      <c r="K152" s="17"/>
      <c r="L152" s="15"/>
      <c r="M152" s="15"/>
      <c r="N152" s="15"/>
      <c r="O152" s="18"/>
      <c r="P152" s="18"/>
      <c r="Q152" s="18" t="str">
        <f>IF(AND(A152&lt;&gt;"",P152&lt;&gt;"",D152&lt;&gt;"Closed",D152&lt;&gt;"Cancelled"),COUNTIFS($P$9:P152,"&lt;&gt;",$D$9:D152,"&lt;&gt;Closed",$D$9:D152,"&lt;&gt;Cancelled"),"")</f>
        <v/>
      </c>
      <c r="R152" s="18" t="str">
        <f t="shared" si="5"/>
        <v/>
      </c>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row>
    <row r="153" spans="1:44" ht="40" hidden="1" customHeight="1" x14ac:dyDescent="0.35">
      <c r="A153" s="34"/>
      <c r="B153" s="15"/>
      <c r="C153" s="15"/>
      <c r="D153" s="15"/>
      <c r="E153" s="14" t="str">
        <f t="shared" si="4"/>
        <v/>
      </c>
      <c r="F153" s="14" t="str">
        <f>IF(A153="","",COUNTIF(Quotes!$B$9:$B$258,A153))</f>
        <v/>
      </c>
      <c r="G153" s="16" t="str">
        <f>IF(A153="","",SUMIF(Quotes!$B$9:$B$258,A153,Quotes!$AI$9:$AI$258))</f>
        <v/>
      </c>
      <c r="H153" s="16" t="str">
        <f>IF(A153="","",SUMIF(Quotes!$B$9:$B$258,A153,Quotes!$AJ$9:$AJ$258))</f>
        <v/>
      </c>
      <c r="I153" s="15"/>
      <c r="J153" s="17"/>
      <c r="K153" s="17"/>
      <c r="L153" s="15"/>
      <c r="M153" s="15"/>
      <c r="N153" s="15"/>
      <c r="O153" s="14"/>
      <c r="P153" s="14"/>
      <c r="Q153" s="14" t="str">
        <f>IF(AND(A153&lt;&gt;"",P153&lt;&gt;"",D153&lt;&gt;"Closed",D153&lt;&gt;"Cancelled"),COUNTIFS($P$9:P153,"&lt;&gt;",$D$9:D153,"&lt;&gt;Closed",$D$9:D153,"&lt;&gt;Cancelled"),"")</f>
        <v/>
      </c>
      <c r="R153" s="14" t="str">
        <f t="shared" si="5"/>
        <v/>
      </c>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row>
    <row r="154" spans="1:44" ht="40" hidden="1" customHeight="1" x14ac:dyDescent="0.35">
      <c r="A154" s="35"/>
      <c r="B154" s="15"/>
      <c r="C154" s="15"/>
      <c r="D154" s="15"/>
      <c r="E154" s="18" t="str">
        <f t="shared" si="4"/>
        <v/>
      </c>
      <c r="F154" s="18" t="str">
        <f>IF(A154="","",COUNTIF(Quotes!$B$9:$B$258,A154))</f>
        <v/>
      </c>
      <c r="G154" s="19" t="str">
        <f>IF(A154="","",SUMIF(Quotes!$B$9:$B$258,A154,Quotes!$AI$9:$AI$258))</f>
        <v/>
      </c>
      <c r="H154" s="19" t="str">
        <f>IF(A154="","",SUMIF(Quotes!$B$9:$B$258,A154,Quotes!$AJ$9:$AJ$258))</f>
        <v/>
      </c>
      <c r="I154" s="15"/>
      <c r="J154" s="17"/>
      <c r="K154" s="17"/>
      <c r="L154" s="15"/>
      <c r="M154" s="15"/>
      <c r="N154" s="15"/>
      <c r="O154" s="18"/>
      <c r="P154" s="18"/>
      <c r="Q154" s="18" t="str">
        <f>IF(AND(A154&lt;&gt;"",P154&lt;&gt;"",D154&lt;&gt;"Closed",D154&lt;&gt;"Cancelled"),COUNTIFS($P$9:P154,"&lt;&gt;",$D$9:D154,"&lt;&gt;Closed",$D$9:D154,"&lt;&gt;Cancelled"),"")</f>
        <v/>
      </c>
      <c r="R154" s="18" t="str">
        <f t="shared" si="5"/>
        <v/>
      </c>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row>
    <row r="155" spans="1:44" ht="40" hidden="1" customHeight="1" x14ac:dyDescent="0.35">
      <c r="A155" s="34"/>
      <c r="B155" s="15"/>
      <c r="C155" s="15"/>
      <c r="D155" s="15"/>
      <c r="E155" s="14" t="str">
        <f t="shared" si="4"/>
        <v/>
      </c>
      <c r="F155" s="14" t="str">
        <f>IF(A155="","",COUNTIF(Quotes!$B$9:$B$258,A155))</f>
        <v/>
      </c>
      <c r="G155" s="16" t="str">
        <f>IF(A155="","",SUMIF(Quotes!$B$9:$B$258,A155,Quotes!$AI$9:$AI$258))</f>
        <v/>
      </c>
      <c r="H155" s="16" t="str">
        <f>IF(A155="","",SUMIF(Quotes!$B$9:$B$258,A155,Quotes!$AJ$9:$AJ$258))</f>
        <v/>
      </c>
      <c r="I155" s="15"/>
      <c r="J155" s="17"/>
      <c r="K155" s="17"/>
      <c r="L155" s="15"/>
      <c r="M155" s="15"/>
      <c r="N155" s="15"/>
      <c r="O155" s="14"/>
      <c r="P155" s="14"/>
      <c r="Q155" s="14" t="str">
        <f>IF(AND(A155&lt;&gt;"",P155&lt;&gt;"",D155&lt;&gt;"Closed",D155&lt;&gt;"Cancelled"),COUNTIFS($P$9:P155,"&lt;&gt;",$D$9:D155,"&lt;&gt;Closed",$D$9:D155,"&lt;&gt;Cancelled"),"")</f>
        <v/>
      </c>
      <c r="R155" s="14" t="str">
        <f t="shared" si="5"/>
        <v/>
      </c>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row>
    <row r="156" spans="1:44" ht="40" hidden="1" customHeight="1" x14ac:dyDescent="0.35">
      <c r="A156" s="35"/>
      <c r="B156" s="15"/>
      <c r="C156" s="15"/>
      <c r="D156" s="15"/>
      <c r="E156" s="18" t="str">
        <f t="shared" si="4"/>
        <v/>
      </c>
      <c r="F156" s="18" t="str">
        <f>IF(A156="","",COUNTIF(Quotes!$B$9:$B$258,A156))</f>
        <v/>
      </c>
      <c r="G156" s="19" t="str">
        <f>IF(A156="","",SUMIF(Quotes!$B$9:$B$258,A156,Quotes!$AI$9:$AI$258))</f>
        <v/>
      </c>
      <c r="H156" s="19" t="str">
        <f>IF(A156="","",SUMIF(Quotes!$B$9:$B$258,A156,Quotes!$AJ$9:$AJ$258))</f>
        <v/>
      </c>
      <c r="I156" s="15"/>
      <c r="J156" s="17"/>
      <c r="K156" s="17"/>
      <c r="L156" s="15"/>
      <c r="M156" s="15"/>
      <c r="N156" s="15"/>
      <c r="O156" s="18"/>
      <c r="P156" s="18"/>
      <c r="Q156" s="18" t="str">
        <f>IF(AND(A156&lt;&gt;"",P156&lt;&gt;"",D156&lt;&gt;"Closed",D156&lt;&gt;"Cancelled"),COUNTIFS($P$9:P156,"&lt;&gt;",$D$9:D156,"&lt;&gt;Closed",$D$9:D156,"&lt;&gt;Cancelled"),"")</f>
        <v/>
      </c>
      <c r="R156" s="18" t="str">
        <f t="shared" si="5"/>
        <v/>
      </c>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row>
    <row r="157" spans="1:44" ht="40" hidden="1" customHeight="1" x14ac:dyDescent="0.35">
      <c r="A157" s="34"/>
      <c r="B157" s="15"/>
      <c r="C157" s="15"/>
      <c r="D157" s="15"/>
      <c r="E157" s="14" t="str">
        <f t="shared" si="4"/>
        <v/>
      </c>
      <c r="F157" s="14" t="str">
        <f>IF(A157="","",COUNTIF(Quotes!$B$9:$B$258,A157))</f>
        <v/>
      </c>
      <c r="G157" s="16" t="str">
        <f>IF(A157="","",SUMIF(Quotes!$B$9:$B$258,A157,Quotes!$AI$9:$AI$258))</f>
        <v/>
      </c>
      <c r="H157" s="16" t="str">
        <f>IF(A157="","",SUMIF(Quotes!$B$9:$B$258,A157,Quotes!$AJ$9:$AJ$258))</f>
        <v/>
      </c>
      <c r="I157" s="15"/>
      <c r="J157" s="17"/>
      <c r="K157" s="17"/>
      <c r="L157" s="15"/>
      <c r="M157" s="15"/>
      <c r="N157" s="15"/>
      <c r="O157" s="14"/>
      <c r="P157" s="14"/>
      <c r="Q157" s="14" t="str">
        <f>IF(AND(A157&lt;&gt;"",P157&lt;&gt;"",D157&lt;&gt;"Closed",D157&lt;&gt;"Cancelled"),COUNTIFS($P$9:P157,"&lt;&gt;",$D$9:D157,"&lt;&gt;Closed",$D$9:D157,"&lt;&gt;Cancelled"),"")</f>
        <v/>
      </c>
      <c r="R157" s="14" t="str">
        <f t="shared" si="5"/>
        <v/>
      </c>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row>
    <row r="158" spans="1:44" ht="40" hidden="1" customHeight="1" x14ac:dyDescent="0.35">
      <c r="A158" s="35"/>
      <c r="B158" s="15"/>
      <c r="C158" s="15"/>
      <c r="D158" s="15"/>
      <c r="E158" s="18" t="str">
        <f t="shared" si="4"/>
        <v/>
      </c>
      <c r="F158" s="18" t="str">
        <f>IF(A158="","",COUNTIF(Quotes!$B$9:$B$258,A158))</f>
        <v/>
      </c>
      <c r="G158" s="19" t="str">
        <f>IF(A158="","",SUMIF(Quotes!$B$9:$B$258,A158,Quotes!$AI$9:$AI$258))</f>
        <v/>
      </c>
      <c r="H158" s="19" t="str">
        <f>IF(A158="","",SUMIF(Quotes!$B$9:$B$258,A158,Quotes!$AJ$9:$AJ$258))</f>
        <v/>
      </c>
      <c r="I158" s="15"/>
      <c r="J158" s="17"/>
      <c r="K158" s="17"/>
      <c r="L158" s="15"/>
      <c r="M158" s="15"/>
      <c r="N158" s="15"/>
      <c r="O158" s="18"/>
      <c r="P158" s="18"/>
      <c r="Q158" s="18" t="str">
        <f>IF(AND(A158&lt;&gt;"",P158&lt;&gt;"",D158&lt;&gt;"Closed",D158&lt;&gt;"Cancelled"),COUNTIFS($P$9:P158,"&lt;&gt;",$D$9:D158,"&lt;&gt;Closed",$D$9:D158,"&lt;&gt;Cancelled"),"")</f>
        <v/>
      </c>
      <c r="R158" s="18" t="str">
        <f t="shared" si="5"/>
        <v/>
      </c>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row>
    <row r="159" spans="1:44" ht="40" hidden="1" customHeight="1" x14ac:dyDescent="0.35">
      <c r="A159" s="34"/>
      <c r="B159" s="15"/>
      <c r="C159" s="15"/>
      <c r="D159" s="15"/>
      <c r="E159" s="14" t="str">
        <f t="shared" si="4"/>
        <v/>
      </c>
      <c r="F159" s="14" t="str">
        <f>IF(A159="","",COUNTIF(Quotes!$B$9:$B$258,A159))</f>
        <v/>
      </c>
      <c r="G159" s="16" t="str">
        <f>IF(A159="","",SUMIF(Quotes!$B$9:$B$258,A159,Quotes!$AI$9:$AI$258))</f>
        <v/>
      </c>
      <c r="H159" s="16" t="str">
        <f>IF(A159="","",SUMIF(Quotes!$B$9:$B$258,A159,Quotes!$AJ$9:$AJ$258))</f>
        <v/>
      </c>
      <c r="I159" s="15"/>
      <c r="J159" s="17"/>
      <c r="K159" s="17"/>
      <c r="L159" s="15"/>
      <c r="M159" s="15"/>
      <c r="N159" s="15"/>
      <c r="O159" s="14"/>
      <c r="P159" s="14"/>
      <c r="Q159" s="14" t="str">
        <f>IF(AND(A159&lt;&gt;"",P159&lt;&gt;"",D159&lt;&gt;"Closed",D159&lt;&gt;"Cancelled"),COUNTIFS($P$9:P159,"&lt;&gt;",$D$9:D159,"&lt;&gt;Closed",$D$9:D159,"&lt;&gt;Cancelled"),"")</f>
        <v/>
      </c>
      <c r="R159" s="14" t="str">
        <f t="shared" si="5"/>
        <v/>
      </c>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row>
    <row r="160" spans="1:44" ht="40" hidden="1" customHeight="1" x14ac:dyDescent="0.35">
      <c r="A160" s="35"/>
      <c r="B160" s="15"/>
      <c r="C160" s="15"/>
      <c r="D160" s="15"/>
      <c r="E160" s="18" t="str">
        <f t="shared" si="4"/>
        <v/>
      </c>
      <c r="F160" s="18" t="str">
        <f>IF(A160="","",COUNTIF(Quotes!$B$9:$B$258,A160))</f>
        <v/>
      </c>
      <c r="G160" s="19" t="str">
        <f>IF(A160="","",SUMIF(Quotes!$B$9:$B$258,A160,Quotes!$AI$9:$AI$258))</f>
        <v/>
      </c>
      <c r="H160" s="19" t="str">
        <f>IF(A160="","",SUMIF(Quotes!$B$9:$B$258,A160,Quotes!$AJ$9:$AJ$258))</f>
        <v/>
      </c>
      <c r="I160" s="15"/>
      <c r="J160" s="17"/>
      <c r="K160" s="17"/>
      <c r="L160" s="15"/>
      <c r="M160" s="15"/>
      <c r="N160" s="15"/>
      <c r="O160" s="18"/>
      <c r="P160" s="18"/>
      <c r="Q160" s="18" t="str">
        <f>IF(AND(A160&lt;&gt;"",P160&lt;&gt;"",D160&lt;&gt;"Closed",D160&lt;&gt;"Cancelled"),COUNTIFS($P$9:P160,"&lt;&gt;",$D$9:D160,"&lt;&gt;Closed",$D$9:D160,"&lt;&gt;Cancelled"),"")</f>
        <v/>
      </c>
      <c r="R160" s="18" t="str">
        <f t="shared" si="5"/>
        <v/>
      </c>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row>
    <row r="161" spans="1:44" ht="40" hidden="1" customHeight="1" x14ac:dyDescent="0.35">
      <c r="A161" s="34"/>
      <c r="B161" s="15"/>
      <c r="C161" s="15"/>
      <c r="D161" s="15"/>
      <c r="E161" s="14" t="str">
        <f t="shared" si="4"/>
        <v/>
      </c>
      <c r="F161" s="14" t="str">
        <f>IF(A161="","",COUNTIF(Quotes!$B$9:$B$258,A161))</f>
        <v/>
      </c>
      <c r="G161" s="16" t="str">
        <f>IF(A161="","",SUMIF(Quotes!$B$9:$B$258,A161,Quotes!$AI$9:$AI$258))</f>
        <v/>
      </c>
      <c r="H161" s="16" t="str">
        <f>IF(A161="","",SUMIF(Quotes!$B$9:$B$258,A161,Quotes!$AJ$9:$AJ$258))</f>
        <v/>
      </c>
      <c r="I161" s="15"/>
      <c r="J161" s="17"/>
      <c r="K161" s="17"/>
      <c r="L161" s="15"/>
      <c r="M161" s="15"/>
      <c r="N161" s="15"/>
      <c r="O161" s="14"/>
      <c r="P161" s="14"/>
      <c r="Q161" s="14" t="str">
        <f>IF(AND(A161&lt;&gt;"",P161&lt;&gt;"",D161&lt;&gt;"Closed",D161&lt;&gt;"Cancelled"),COUNTIFS($P$9:P161,"&lt;&gt;",$D$9:D161,"&lt;&gt;Closed",$D$9:D161,"&lt;&gt;Cancelled"),"")</f>
        <v/>
      </c>
      <c r="R161" s="14" t="str">
        <f t="shared" si="5"/>
        <v/>
      </c>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row>
    <row r="162" spans="1:44" ht="40" hidden="1" customHeight="1" x14ac:dyDescent="0.35">
      <c r="A162" s="35"/>
      <c r="B162" s="15"/>
      <c r="C162" s="15"/>
      <c r="D162" s="15"/>
      <c r="E162" s="18" t="str">
        <f t="shared" si="4"/>
        <v/>
      </c>
      <c r="F162" s="18" t="str">
        <f>IF(A162="","",COUNTIF(Quotes!$B$9:$B$258,A162))</f>
        <v/>
      </c>
      <c r="G162" s="19" t="str">
        <f>IF(A162="","",SUMIF(Quotes!$B$9:$B$258,A162,Quotes!$AI$9:$AI$258))</f>
        <v/>
      </c>
      <c r="H162" s="19" t="str">
        <f>IF(A162="","",SUMIF(Quotes!$B$9:$B$258,A162,Quotes!$AJ$9:$AJ$258))</f>
        <v/>
      </c>
      <c r="I162" s="15"/>
      <c r="J162" s="17"/>
      <c r="K162" s="17"/>
      <c r="L162" s="15"/>
      <c r="M162" s="15"/>
      <c r="N162" s="15"/>
      <c r="O162" s="18"/>
      <c r="P162" s="18"/>
      <c r="Q162" s="18" t="str">
        <f>IF(AND(A162&lt;&gt;"",P162&lt;&gt;"",D162&lt;&gt;"Closed",D162&lt;&gt;"Cancelled"),COUNTIFS($P$9:P162,"&lt;&gt;",$D$9:D162,"&lt;&gt;Closed",$D$9:D162,"&lt;&gt;Cancelled"),"")</f>
        <v/>
      </c>
      <c r="R162" s="18" t="str">
        <f t="shared" si="5"/>
        <v/>
      </c>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row>
    <row r="163" spans="1:44" ht="40" hidden="1" customHeight="1" x14ac:dyDescent="0.35">
      <c r="A163" s="34"/>
      <c r="B163" s="15"/>
      <c r="C163" s="15"/>
      <c r="D163" s="15"/>
      <c r="E163" s="14" t="str">
        <f t="shared" si="4"/>
        <v/>
      </c>
      <c r="F163" s="14" t="str">
        <f>IF(A163="","",COUNTIF(Quotes!$B$9:$B$258,A163))</f>
        <v/>
      </c>
      <c r="G163" s="16" t="str">
        <f>IF(A163="","",SUMIF(Quotes!$B$9:$B$258,A163,Quotes!$AI$9:$AI$258))</f>
        <v/>
      </c>
      <c r="H163" s="16" t="str">
        <f>IF(A163="","",SUMIF(Quotes!$B$9:$B$258,A163,Quotes!$AJ$9:$AJ$258))</f>
        <v/>
      </c>
      <c r="I163" s="15"/>
      <c r="J163" s="17"/>
      <c r="K163" s="17"/>
      <c r="L163" s="15"/>
      <c r="M163" s="15"/>
      <c r="N163" s="15"/>
      <c r="O163" s="14"/>
      <c r="P163" s="14"/>
      <c r="Q163" s="14" t="str">
        <f>IF(AND(A163&lt;&gt;"",P163&lt;&gt;"",D163&lt;&gt;"Closed",D163&lt;&gt;"Cancelled"),COUNTIFS($P$9:P163,"&lt;&gt;",$D$9:D163,"&lt;&gt;Closed",$D$9:D163,"&lt;&gt;Cancelled"),"")</f>
        <v/>
      </c>
      <c r="R163" s="14" t="str">
        <f t="shared" si="5"/>
        <v/>
      </c>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row>
    <row r="164" spans="1:44" ht="40" hidden="1" customHeight="1" x14ac:dyDescent="0.35">
      <c r="A164" s="35"/>
      <c r="B164" s="15"/>
      <c r="C164" s="15"/>
      <c r="D164" s="15"/>
      <c r="E164" s="18" t="str">
        <f t="shared" si="4"/>
        <v/>
      </c>
      <c r="F164" s="18" t="str">
        <f>IF(A164="","",COUNTIF(Quotes!$B$9:$B$258,A164))</f>
        <v/>
      </c>
      <c r="G164" s="19" t="str">
        <f>IF(A164="","",SUMIF(Quotes!$B$9:$B$258,A164,Quotes!$AI$9:$AI$258))</f>
        <v/>
      </c>
      <c r="H164" s="19" t="str">
        <f>IF(A164="","",SUMIF(Quotes!$B$9:$B$258,A164,Quotes!$AJ$9:$AJ$258))</f>
        <v/>
      </c>
      <c r="I164" s="15"/>
      <c r="J164" s="17"/>
      <c r="K164" s="17"/>
      <c r="L164" s="15"/>
      <c r="M164" s="15"/>
      <c r="N164" s="15"/>
      <c r="O164" s="18"/>
      <c r="P164" s="18"/>
      <c r="Q164" s="18" t="str">
        <f>IF(AND(A164&lt;&gt;"",P164&lt;&gt;"",D164&lt;&gt;"Closed",D164&lt;&gt;"Cancelled"),COUNTIFS($P$9:P164,"&lt;&gt;",$D$9:D164,"&lt;&gt;Closed",$D$9:D164,"&lt;&gt;Cancelled"),"")</f>
        <v/>
      </c>
      <c r="R164" s="18" t="str">
        <f t="shared" si="5"/>
        <v/>
      </c>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row>
    <row r="165" spans="1:44" ht="40" hidden="1" customHeight="1" x14ac:dyDescent="0.35">
      <c r="A165" s="34"/>
      <c r="B165" s="15"/>
      <c r="C165" s="15"/>
      <c r="D165" s="15"/>
      <c r="E165" s="14" t="str">
        <f t="shared" si="4"/>
        <v/>
      </c>
      <c r="F165" s="14" t="str">
        <f>IF(A165="","",COUNTIF(Quotes!$B$9:$B$258,A165))</f>
        <v/>
      </c>
      <c r="G165" s="16" t="str">
        <f>IF(A165="","",SUMIF(Quotes!$B$9:$B$258,A165,Quotes!$AI$9:$AI$258))</f>
        <v/>
      </c>
      <c r="H165" s="16" t="str">
        <f>IF(A165="","",SUMIF(Quotes!$B$9:$B$258,A165,Quotes!$AJ$9:$AJ$258))</f>
        <v/>
      </c>
      <c r="I165" s="15"/>
      <c r="J165" s="17"/>
      <c r="K165" s="17"/>
      <c r="L165" s="15"/>
      <c r="M165" s="15"/>
      <c r="N165" s="15"/>
      <c r="O165" s="14"/>
      <c r="P165" s="14"/>
      <c r="Q165" s="14" t="str">
        <f>IF(AND(A165&lt;&gt;"",P165&lt;&gt;"",D165&lt;&gt;"Closed",D165&lt;&gt;"Cancelled"),COUNTIFS($P$9:P165,"&lt;&gt;",$D$9:D165,"&lt;&gt;Closed",$D$9:D165,"&lt;&gt;Cancelled"),"")</f>
        <v/>
      </c>
      <c r="R165" s="14" t="str">
        <f t="shared" si="5"/>
        <v/>
      </c>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row>
    <row r="166" spans="1:44" ht="40" hidden="1" customHeight="1" x14ac:dyDescent="0.35">
      <c r="A166" s="35"/>
      <c r="B166" s="15"/>
      <c r="C166" s="15"/>
      <c r="D166" s="15"/>
      <c r="E166" s="18" t="str">
        <f t="shared" si="4"/>
        <v/>
      </c>
      <c r="F166" s="18" t="str">
        <f>IF(A166="","",COUNTIF(Quotes!$B$9:$B$258,A166))</f>
        <v/>
      </c>
      <c r="G166" s="19" t="str">
        <f>IF(A166="","",SUMIF(Quotes!$B$9:$B$258,A166,Quotes!$AI$9:$AI$258))</f>
        <v/>
      </c>
      <c r="H166" s="19" t="str">
        <f>IF(A166="","",SUMIF(Quotes!$B$9:$B$258,A166,Quotes!$AJ$9:$AJ$258))</f>
        <v/>
      </c>
      <c r="I166" s="15"/>
      <c r="J166" s="17"/>
      <c r="K166" s="17"/>
      <c r="L166" s="15"/>
      <c r="M166" s="15"/>
      <c r="N166" s="15"/>
      <c r="O166" s="18"/>
      <c r="P166" s="18"/>
      <c r="Q166" s="18" t="str">
        <f>IF(AND(A166&lt;&gt;"",P166&lt;&gt;"",D166&lt;&gt;"Closed",D166&lt;&gt;"Cancelled"),COUNTIFS($P$9:P166,"&lt;&gt;",$D$9:D166,"&lt;&gt;Closed",$D$9:D166,"&lt;&gt;Cancelled"),"")</f>
        <v/>
      </c>
      <c r="R166" s="18" t="str">
        <f t="shared" si="5"/>
        <v/>
      </c>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row>
    <row r="167" spans="1:44" ht="40" hidden="1" customHeight="1" x14ac:dyDescent="0.35">
      <c r="A167" s="34"/>
      <c r="B167" s="15"/>
      <c r="C167" s="15"/>
      <c r="D167" s="15"/>
      <c r="E167" s="14" t="str">
        <f t="shared" si="4"/>
        <v/>
      </c>
      <c r="F167" s="14" t="str">
        <f>IF(A167="","",COUNTIF(Quotes!$B$9:$B$258,A167))</f>
        <v/>
      </c>
      <c r="G167" s="16" t="str">
        <f>IF(A167="","",SUMIF(Quotes!$B$9:$B$258,A167,Quotes!$AI$9:$AI$258))</f>
        <v/>
      </c>
      <c r="H167" s="16" t="str">
        <f>IF(A167="","",SUMIF(Quotes!$B$9:$B$258,A167,Quotes!$AJ$9:$AJ$258))</f>
        <v/>
      </c>
      <c r="I167" s="15"/>
      <c r="J167" s="17"/>
      <c r="K167" s="17"/>
      <c r="L167" s="15"/>
      <c r="M167" s="15"/>
      <c r="N167" s="15"/>
      <c r="O167" s="14"/>
      <c r="P167" s="14"/>
      <c r="Q167" s="14" t="str">
        <f>IF(AND(A167&lt;&gt;"",P167&lt;&gt;"",D167&lt;&gt;"Closed",D167&lt;&gt;"Cancelled"),COUNTIFS($P$9:P167,"&lt;&gt;",$D$9:D167,"&lt;&gt;Closed",$D$9:D167,"&lt;&gt;Cancelled"),"")</f>
        <v/>
      </c>
      <c r="R167" s="14" t="str">
        <f t="shared" si="5"/>
        <v/>
      </c>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row>
    <row r="168" spans="1:44" ht="40" hidden="1" customHeight="1" x14ac:dyDescent="0.35">
      <c r="A168" s="35"/>
      <c r="B168" s="15"/>
      <c r="C168" s="15"/>
      <c r="D168" s="15"/>
      <c r="E168" s="18" t="str">
        <f t="shared" si="4"/>
        <v/>
      </c>
      <c r="F168" s="18" t="str">
        <f>IF(A168="","",COUNTIF(Quotes!$B$9:$B$258,A168))</f>
        <v/>
      </c>
      <c r="G168" s="19" t="str">
        <f>IF(A168="","",SUMIF(Quotes!$B$9:$B$258,A168,Quotes!$AI$9:$AI$258))</f>
        <v/>
      </c>
      <c r="H168" s="19" t="str">
        <f>IF(A168="","",SUMIF(Quotes!$B$9:$B$258,A168,Quotes!$AJ$9:$AJ$258))</f>
        <v/>
      </c>
      <c r="I168" s="15"/>
      <c r="J168" s="17"/>
      <c r="K168" s="17"/>
      <c r="L168" s="15"/>
      <c r="M168" s="15"/>
      <c r="N168" s="15"/>
      <c r="O168" s="18"/>
      <c r="P168" s="18"/>
      <c r="Q168" s="18" t="str">
        <f>IF(AND(A168&lt;&gt;"",P168&lt;&gt;"",D168&lt;&gt;"Closed",D168&lt;&gt;"Cancelled"),COUNTIFS($P$9:P168,"&lt;&gt;",$D$9:D168,"&lt;&gt;Closed",$D$9:D168,"&lt;&gt;Cancelled"),"")</f>
        <v/>
      </c>
      <c r="R168" s="18" t="str">
        <f t="shared" si="5"/>
        <v/>
      </c>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row>
    <row r="169" spans="1:44" ht="40" hidden="1" customHeight="1" x14ac:dyDescent="0.35">
      <c r="A169" s="34"/>
      <c r="B169" s="15"/>
      <c r="C169" s="15"/>
      <c r="D169" s="15"/>
      <c r="E169" s="14" t="str">
        <f t="shared" si="4"/>
        <v/>
      </c>
      <c r="F169" s="14" t="str">
        <f>IF(A169="","",COUNTIF(Quotes!$B$9:$B$258,A169))</f>
        <v/>
      </c>
      <c r="G169" s="16" t="str">
        <f>IF(A169="","",SUMIF(Quotes!$B$9:$B$258,A169,Quotes!$AI$9:$AI$258))</f>
        <v/>
      </c>
      <c r="H169" s="16" t="str">
        <f>IF(A169="","",SUMIF(Quotes!$B$9:$B$258,A169,Quotes!$AJ$9:$AJ$258))</f>
        <v/>
      </c>
      <c r="I169" s="15"/>
      <c r="J169" s="17"/>
      <c r="K169" s="17"/>
      <c r="L169" s="15"/>
      <c r="M169" s="15"/>
      <c r="N169" s="15"/>
      <c r="O169" s="14"/>
      <c r="P169" s="14"/>
      <c r="Q169" s="14" t="str">
        <f>IF(AND(A169&lt;&gt;"",P169&lt;&gt;"",D169&lt;&gt;"Closed",D169&lt;&gt;"Cancelled"),COUNTIFS($P$9:P169,"&lt;&gt;",$D$9:D169,"&lt;&gt;Closed",$D$9:D169,"&lt;&gt;Cancelled"),"")</f>
        <v/>
      </c>
      <c r="R169" s="14" t="str">
        <f t="shared" si="5"/>
        <v/>
      </c>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row>
    <row r="170" spans="1:44" ht="40" hidden="1" customHeight="1" x14ac:dyDescent="0.35">
      <c r="A170" s="35"/>
      <c r="B170" s="15"/>
      <c r="C170" s="15"/>
      <c r="D170" s="15"/>
      <c r="E170" s="18" t="str">
        <f t="shared" si="4"/>
        <v/>
      </c>
      <c r="F170" s="18" t="str">
        <f>IF(A170="","",COUNTIF(Quotes!$B$9:$B$258,A170))</f>
        <v/>
      </c>
      <c r="G170" s="19" t="str">
        <f>IF(A170="","",SUMIF(Quotes!$B$9:$B$258,A170,Quotes!$AI$9:$AI$258))</f>
        <v/>
      </c>
      <c r="H170" s="19" t="str">
        <f>IF(A170="","",SUMIF(Quotes!$B$9:$B$258,A170,Quotes!$AJ$9:$AJ$258))</f>
        <v/>
      </c>
      <c r="I170" s="15"/>
      <c r="J170" s="17"/>
      <c r="K170" s="17"/>
      <c r="L170" s="15"/>
      <c r="M170" s="15"/>
      <c r="N170" s="15"/>
      <c r="O170" s="18"/>
      <c r="P170" s="18"/>
      <c r="Q170" s="18" t="str">
        <f>IF(AND(A170&lt;&gt;"",P170&lt;&gt;"",D170&lt;&gt;"Closed",D170&lt;&gt;"Cancelled"),COUNTIFS($P$9:P170,"&lt;&gt;",$D$9:D170,"&lt;&gt;Closed",$D$9:D170,"&lt;&gt;Cancelled"),"")</f>
        <v/>
      </c>
      <c r="R170" s="18" t="str">
        <f t="shared" si="5"/>
        <v/>
      </c>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row>
    <row r="171" spans="1:44" ht="40" hidden="1" customHeight="1" x14ac:dyDescent="0.35">
      <c r="A171" s="34"/>
      <c r="B171" s="15"/>
      <c r="C171" s="15"/>
      <c r="D171" s="15"/>
      <c r="E171" s="14" t="str">
        <f t="shared" si="4"/>
        <v/>
      </c>
      <c r="F171" s="14" t="str">
        <f>IF(A171="","",COUNTIF(Quotes!$B$9:$B$258,A171))</f>
        <v/>
      </c>
      <c r="G171" s="16" t="str">
        <f>IF(A171="","",SUMIF(Quotes!$B$9:$B$258,A171,Quotes!$AI$9:$AI$258))</f>
        <v/>
      </c>
      <c r="H171" s="16" t="str">
        <f>IF(A171="","",SUMIF(Quotes!$B$9:$B$258,A171,Quotes!$AJ$9:$AJ$258))</f>
        <v/>
      </c>
      <c r="I171" s="15"/>
      <c r="J171" s="17"/>
      <c r="K171" s="17"/>
      <c r="L171" s="15"/>
      <c r="M171" s="15"/>
      <c r="N171" s="15"/>
      <c r="O171" s="14"/>
      <c r="P171" s="14"/>
      <c r="Q171" s="14" t="str">
        <f>IF(AND(A171&lt;&gt;"",P171&lt;&gt;"",D171&lt;&gt;"Closed",D171&lt;&gt;"Cancelled"),COUNTIFS($P$9:P171,"&lt;&gt;",$D$9:D171,"&lt;&gt;Closed",$D$9:D171,"&lt;&gt;Cancelled"),"")</f>
        <v/>
      </c>
      <c r="R171" s="14" t="str">
        <f t="shared" si="5"/>
        <v/>
      </c>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row>
    <row r="172" spans="1:44" ht="40" hidden="1" customHeight="1" x14ac:dyDescent="0.35">
      <c r="A172" s="35"/>
      <c r="B172" s="15"/>
      <c r="C172" s="15"/>
      <c r="D172" s="15"/>
      <c r="E172" s="18" t="str">
        <f t="shared" si="4"/>
        <v/>
      </c>
      <c r="F172" s="18" t="str">
        <f>IF(A172="","",COUNTIF(Quotes!$B$9:$B$258,A172))</f>
        <v/>
      </c>
      <c r="G172" s="19" t="str">
        <f>IF(A172="","",SUMIF(Quotes!$B$9:$B$258,A172,Quotes!$AI$9:$AI$258))</f>
        <v/>
      </c>
      <c r="H172" s="19" t="str">
        <f>IF(A172="","",SUMIF(Quotes!$B$9:$B$258,A172,Quotes!$AJ$9:$AJ$258))</f>
        <v/>
      </c>
      <c r="I172" s="15"/>
      <c r="J172" s="17"/>
      <c r="K172" s="17"/>
      <c r="L172" s="15"/>
      <c r="M172" s="15"/>
      <c r="N172" s="15"/>
      <c r="O172" s="18"/>
      <c r="P172" s="18"/>
      <c r="Q172" s="18" t="str">
        <f>IF(AND(A172&lt;&gt;"",P172&lt;&gt;"",D172&lt;&gt;"Closed",D172&lt;&gt;"Cancelled"),COUNTIFS($P$9:P172,"&lt;&gt;",$D$9:D172,"&lt;&gt;Closed",$D$9:D172,"&lt;&gt;Cancelled"),"")</f>
        <v/>
      </c>
      <c r="R172" s="18" t="str">
        <f t="shared" si="5"/>
        <v/>
      </c>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row>
    <row r="173" spans="1:44" ht="40" hidden="1" customHeight="1" x14ac:dyDescent="0.35">
      <c r="A173" s="34"/>
      <c r="B173" s="15"/>
      <c r="C173" s="15"/>
      <c r="D173" s="15"/>
      <c r="E173" s="14" t="str">
        <f t="shared" si="4"/>
        <v/>
      </c>
      <c r="F173" s="14" t="str">
        <f>IF(A173="","",COUNTIF(Quotes!$B$9:$B$258,A173))</f>
        <v/>
      </c>
      <c r="G173" s="16" t="str">
        <f>IF(A173="","",SUMIF(Quotes!$B$9:$B$258,A173,Quotes!$AI$9:$AI$258))</f>
        <v/>
      </c>
      <c r="H173" s="16" t="str">
        <f>IF(A173="","",SUMIF(Quotes!$B$9:$B$258,A173,Quotes!$AJ$9:$AJ$258))</f>
        <v/>
      </c>
      <c r="I173" s="15"/>
      <c r="J173" s="17"/>
      <c r="K173" s="17"/>
      <c r="L173" s="15"/>
      <c r="M173" s="15"/>
      <c r="N173" s="15"/>
      <c r="O173" s="14"/>
      <c r="P173" s="14"/>
      <c r="Q173" s="14" t="str">
        <f>IF(AND(A173&lt;&gt;"",P173&lt;&gt;"",D173&lt;&gt;"Closed",D173&lt;&gt;"Cancelled"),COUNTIFS($P$9:P173,"&lt;&gt;",$D$9:D173,"&lt;&gt;Closed",$D$9:D173,"&lt;&gt;Cancelled"),"")</f>
        <v/>
      </c>
      <c r="R173" s="14" t="str">
        <f t="shared" si="5"/>
        <v/>
      </c>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row>
    <row r="174" spans="1:44" ht="40" hidden="1" customHeight="1" x14ac:dyDescent="0.35">
      <c r="A174" s="35"/>
      <c r="B174" s="15"/>
      <c r="C174" s="15"/>
      <c r="D174" s="15"/>
      <c r="E174" s="18" t="str">
        <f t="shared" si="4"/>
        <v/>
      </c>
      <c r="F174" s="18" t="str">
        <f>IF(A174="","",COUNTIF(Quotes!$B$9:$B$258,A174))</f>
        <v/>
      </c>
      <c r="G174" s="19" t="str">
        <f>IF(A174="","",SUMIF(Quotes!$B$9:$B$258,A174,Quotes!$AI$9:$AI$258))</f>
        <v/>
      </c>
      <c r="H174" s="19" t="str">
        <f>IF(A174="","",SUMIF(Quotes!$B$9:$B$258,A174,Quotes!$AJ$9:$AJ$258))</f>
        <v/>
      </c>
      <c r="I174" s="15"/>
      <c r="J174" s="17"/>
      <c r="K174" s="17"/>
      <c r="L174" s="15"/>
      <c r="M174" s="15"/>
      <c r="N174" s="15"/>
      <c r="O174" s="18"/>
      <c r="P174" s="18"/>
      <c r="Q174" s="18" t="str">
        <f>IF(AND(A174&lt;&gt;"",P174&lt;&gt;"",D174&lt;&gt;"Closed",D174&lt;&gt;"Cancelled"),COUNTIFS($P$9:P174,"&lt;&gt;",$D$9:D174,"&lt;&gt;Closed",$D$9:D174,"&lt;&gt;Cancelled"),"")</f>
        <v/>
      </c>
      <c r="R174" s="18" t="str">
        <f t="shared" si="5"/>
        <v/>
      </c>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row>
    <row r="175" spans="1:44" ht="40" hidden="1" customHeight="1" x14ac:dyDescent="0.35">
      <c r="A175" s="34"/>
      <c r="B175" s="15"/>
      <c r="C175" s="15"/>
      <c r="D175" s="15"/>
      <c r="E175" s="14" t="str">
        <f t="shared" si="4"/>
        <v/>
      </c>
      <c r="F175" s="14" t="str">
        <f>IF(A175="","",COUNTIF(Quotes!$B$9:$B$258,A175))</f>
        <v/>
      </c>
      <c r="G175" s="16" t="str">
        <f>IF(A175="","",SUMIF(Quotes!$B$9:$B$258,A175,Quotes!$AI$9:$AI$258))</f>
        <v/>
      </c>
      <c r="H175" s="16" t="str">
        <f>IF(A175="","",SUMIF(Quotes!$B$9:$B$258,A175,Quotes!$AJ$9:$AJ$258))</f>
        <v/>
      </c>
      <c r="I175" s="15"/>
      <c r="J175" s="17"/>
      <c r="K175" s="17"/>
      <c r="L175" s="15"/>
      <c r="M175" s="15"/>
      <c r="N175" s="15"/>
      <c r="O175" s="14"/>
      <c r="P175" s="14"/>
      <c r="Q175" s="14" t="str">
        <f>IF(AND(A175&lt;&gt;"",P175&lt;&gt;"",D175&lt;&gt;"Closed",D175&lt;&gt;"Cancelled"),COUNTIFS($P$9:P175,"&lt;&gt;",$D$9:D175,"&lt;&gt;Closed",$D$9:D175,"&lt;&gt;Cancelled"),"")</f>
        <v/>
      </c>
      <c r="R175" s="14" t="str">
        <f t="shared" si="5"/>
        <v/>
      </c>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row>
    <row r="176" spans="1:44" ht="40" hidden="1" customHeight="1" x14ac:dyDescent="0.35">
      <c r="A176" s="35"/>
      <c r="B176" s="15"/>
      <c r="C176" s="15"/>
      <c r="D176" s="15"/>
      <c r="E176" s="18" t="str">
        <f t="shared" si="4"/>
        <v/>
      </c>
      <c r="F176" s="18" t="str">
        <f>IF(A176="","",COUNTIF(Quotes!$B$9:$B$258,A176))</f>
        <v/>
      </c>
      <c r="G176" s="19" t="str">
        <f>IF(A176="","",SUMIF(Quotes!$B$9:$B$258,A176,Quotes!$AI$9:$AI$258))</f>
        <v/>
      </c>
      <c r="H176" s="19" t="str">
        <f>IF(A176="","",SUMIF(Quotes!$B$9:$B$258,A176,Quotes!$AJ$9:$AJ$258))</f>
        <v/>
      </c>
      <c r="I176" s="15"/>
      <c r="J176" s="17"/>
      <c r="K176" s="17"/>
      <c r="L176" s="15"/>
      <c r="M176" s="15"/>
      <c r="N176" s="15"/>
      <c r="O176" s="18"/>
      <c r="P176" s="18"/>
      <c r="Q176" s="18" t="str">
        <f>IF(AND(A176&lt;&gt;"",P176&lt;&gt;"",D176&lt;&gt;"Closed",D176&lt;&gt;"Cancelled"),COUNTIFS($P$9:P176,"&lt;&gt;",$D$9:D176,"&lt;&gt;Closed",$D$9:D176,"&lt;&gt;Cancelled"),"")</f>
        <v/>
      </c>
      <c r="R176" s="18" t="str">
        <f t="shared" si="5"/>
        <v/>
      </c>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row>
    <row r="177" spans="1:44" ht="40" hidden="1" customHeight="1" x14ac:dyDescent="0.35">
      <c r="A177" s="34"/>
      <c r="B177" s="15"/>
      <c r="C177" s="15"/>
      <c r="D177" s="15"/>
      <c r="E177" s="14" t="str">
        <f t="shared" si="4"/>
        <v/>
      </c>
      <c r="F177" s="14" t="str">
        <f>IF(A177="","",COUNTIF(Quotes!$B$9:$B$258,A177))</f>
        <v/>
      </c>
      <c r="G177" s="16" t="str">
        <f>IF(A177="","",SUMIF(Quotes!$B$9:$B$258,A177,Quotes!$AI$9:$AI$258))</f>
        <v/>
      </c>
      <c r="H177" s="16" t="str">
        <f>IF(A177="","",SUMIF(Quotes!$B$9:$B$258,A177,Quotes!$AJ$9:$AJ$258))</f>
        <v/>
      </c>
      <c r="I177" s="15"/>
      <c r="J177" s="17"/>
      <c r="K177" s="17"/>
      <c r="L177" s="15"/>
      <c r="M177" s="15"/>
      <c r="N177" s="15"/>
      <c r="O177" s="14"/>
      <c r="P177" s="14"/>
      <c r="Q177" s="14" t="str">
        <f>IF(AND(A177&lt;&gt;"",P177&lt;&gt;"",D177&lt;&gt;"Closed",D177&lt;&gt;"Cancelled"),COUNTIFS($P$9:P177,"&lt;&gt;",$D$9:D177,"&lt;&gt;Closed",$D$9:D177,"&lt;&gt;Cancelled"),"")</f>
        <v/>
      </c>
      <c r="R177" s="14" t="str">
        <f t="shared" si="5"/>
        <v/>
      </c>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row>
    <row r="178" spans="1:44" ht="40" hidden="1" customHeight="1" x14ac:dyDescent="0.35">
      <c r="A178" s="35"/>
      <c r="B178" s="15"/>
      <c r="C178" s="15"/>
      <c r="D178" s="15"/>
      <c r="E178" s="18" t="str">
        <f t="shared" si="4"/>
        <v/>
      </c>
      <c r="F178" s="18" t="str">
        <f>IF(A178="","",COUNTIF(Quotes!$B$9:$B$258,A178))</f>
        <v/>
      </c>
      <c r="G178" s="19" t="str">
        <f>IF(A178="","",SUMIF(Quotes!$B$9:$B$258,A178,Quotes!$AI$9:$AI$258))</f>
        <v/>
      </c>
      <c r="H178" s="19" t="str">
        <f>IF(A178="","",SUMIF(Quotes!$B$9:$B$258,A178,Quotes!$AJ$9:$AJ$258))</f>
        <v/>
      </c>
      <c r="I178" s="15"/>
      <c r="J178" s="17"/>
      <c r="K178" s="17"/>
      <c r="L178" s="15"/>
      <c r="M178" s="15"/>
      <c r="N178" s="15"/>
      <c r="O178" s="18"/>
      <c r="P178" s="18"/>
      <c r="Q178" s="18" t="str">
        <f>IF(AND(A178&lt;&gt;"",P178&lt;&gt;"",D178&lt;&gt;"Closed",D178&lt;&gt;"Cancelled"),COUNTIFS($P$9:P178,"&lt;&gt;",$D$9:D178,"&lt;&gt;Closed",$D$9:D178,"&lt;&gt;Cancelled"),"")</f>
        <v/>
      </c>
      <c r="R178" s="18" t="str">
        <f t="shared" si="5"/>
        <v/>
      </c>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row>
    <row r="179" spans="1:44" ht="40" hidden="1" customHeight="1" x14ac:dyDescent="0.35">
      <c r="A179" s="34"/>
      <c r="B179" s="15"/>
      <c r="C179" s="15"/>
      <c r="D179" s="15"/>
      <c r="E179" s="14" t="str">
        <f t="shared" si="4"/>
        <v/>
      </c>
      <c r="F179" s="14" t="str">
        <f>IF(A179="","",COUNTIF(Quotes!$B$9:$B$258,A179))</f>
        <v/>
      </c>
      <c r="G179" s="16" t="str">
        <f>IF(A179="","",SUMIF(Quotes!$B$9:$B$258,A179,Quotes!$AI$9:$AI$258))</f>
        <v/>
      </c>
      <c r="H179" s="16" t="str">
        <f>IF(A179="","",SUMIF(Quotes!$B$9:$B$258,A179,Quotes!$AJ$9:$AJ$258))</f>
        <v/>
      </c>
      <c r="I179" s="15"/>
      <c r="J179" s="17"/>
      <c r="K179" s="17"/>
      <c r="L179" s="15"/>
      <c r="M179" s="15"/>
      <c r="N179" s="15"/>
      <c r="O179" s="14"/>
      <c r="P179" s="14"/>
      <c r="Q179" s="14" t="str">
        <f>IF(AND(A179&lt;&gt;"",P179&lt;&gt;"",D179&lt;&gt;"Closed",D179&lt;&gt;"Cancelled"),COUNTIFS($P$9:P179,"&lt;&gt;",$D$9:D179,"&lt;&gt;Closed",$D$9:D179,"&lt;&gt;Cancelled"),"")</f>
        <v/>
      </c>
      <c r="R179" s="14" t="str">
        <f t="shared" si="5"/>
        <v/>
      </c>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row>
    <row r="180" spans="1:44" ht="40" hidden="1" customHeight="1" x14ac:dyDescent="0.35">
      <c r="A180" s="35"/>
      <c r="B180" s="15"/>
      <c r="C180" s="15"/>
      <c r="D180" s="15"/>
      <c r="E180" s="18" t="str">
        <f t="shared" si="4"/>
        <v/>
      </c>
      <c r="F180" s="18" t="str">
        <f>IF(A180="","",COUNTIF(Quotes!$B$9:$B$258,A180))</f>
        <v/>
      </c>
      <c r="G180" s="19" t="str">
        <f>IF(A180="","",SUMIF(Quotes!$B$9:$B$258,A180,Quotes!$AI$9:$AI$258))</f>
        <v/>
      </c>
      <c r="H180" s="19" t="str">
        <f>IF(A180="","",SUMIF(Quotes!$B$9:$B$258,A180,Quotes!$AJ$9:$AJ$258))</f>
        <v/>
      </c>
      <c r="I180" s="15"/>
      <c r="J180" s="17"/>
      <c r="K180" s="17"/>
      <c r="L180" s="15"/>
      <c r="M180" s="15"/>
      <c r="N180" s="15"/>
      <c r="O180" s="18"/>
      <c r="P180" s="18"/>
      <c r="Q180" s="18" t="str">
        <f>IF(AND(A180&lt;&gt;"",P180&lt;&gt;"",D180&lt;&gt;"Closed",D180&lt;&gt;"Cancelled"),COUNTIFS($P$9:P180,"&lt;&gt;",$D$9:D180,"&lt;&gt;Closed",$D$9:D180,"&lt;&gt;Cancelled"),"")</f>
        <v/>
      </c>
      <c r="R180" s="18" t="str">
        <f t="shared" si="5"/>
        <v/>
      </c>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row>
    <row r="181" spans="1:44" ht="40" hidden="1" customHeight="1" x14ac:dyDescent="0.35">
      <c r="A181" s="34"/>
      <c r="B181" s="15"/>
      <c r="C181" s="15"/>
      <c r="D181" s="15"/>
      <c r="E181" s="14" t="str">
        <f t="shared" si="4"/>
        <v/>
      </c>
      <c r="F181" s="14" t="str">
        <f>IF(A181="","",COUNTIF(Quotes!$B$9:$B$258,A181))</f>
        <v/>
      </c>
      <c r="G181" s="16" t="str">
        <f>IF(A181="","",SUMIF(Quotes!$B$9:$B$258,A181,Quotes!$AI$9:$AI$258))</f>
        <v/>
      </c>
      <c r="H181" s="16" t="str">
        <f>IF(A181="","",SUMIF(Quotes!$B$9:$B$258,A181,Quotes!$AJ$9:$AJ$258))</f>
        <v/>
      </c>
      <c r="I181" s="15"/>
      <c r="J181" s="17"/>
      <c r="K181" s="17"/>
      <c r="L181" s="15"/>
      <c r="M181" s="15"/>
      <c r="N181" s="15"/>
      <c r="O181" s="14"/>
      <c r="P181" s="14"/>
      <c r="Q181" s="14" t="str">
        <f>IF(AND(A181&lt;&gt;"",P181&lt;&gt;"",D181&lt;&gt;"Closed",D181&lt;&gt;"Cancelled"),COUNTIFS($P$9:P181,"&lt;&gt;",$D$9:D181,"&lt;&gt;Closed",$D$9:D181,"&lt;&gt;Cancelled"),"")</f>
        <v/>
      </c>
      <c r="R181" s="14" t="str">
        <f t="shared" si="5"/>
        <v/>
      </c>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row>
    <row r="182" spans="1:44" ht="40" hidden="1" customHeight="1" x14ac:dyDescent="0.35">
      <c r="A182" s="35"/>
      <c r="B182" s="15"/>
      <c r="C182" s="15"/>
      <c r="D182" s="15"/>
      <c r="E182" s="18" t="str">
        <f t="shared" si="4"/>
        <v/>
      </c>
      <c r="F182" s="18" t="str">
        <f>IF(A182="","",COUNTIF(Quotes!$B$9:$B$258,A182))</f>
        <v/>
      </c>
      <c r="G182" s="19" t="str">
        <f>IF(A182="","",SUMIF(Quotes!$B$9:$B$258,A182,Quotes!$AI$9:$AI$258))</f>
        <v/>
      </c>
      <c r="H182" s="19" t="str">
        <f>IF(A182="","",SUMIF(Quotes!$B$9:$B$258,A182,Quotes!$AJ$9:$AJ$258))</f>
        <v/>
      </c>
      <c r="I182" s="15"/>
      <c r="J182" s="17"/>
      <c r="K182" s="17"/>
      <c r="L182" s="15"/>
      <c r="M182" s="15"/>
      <c r="N182" s="15"/>
      <c r="O182" s="18"/>
      <c r="P182" s="18"/>
      <c r="Q182" s="18" t="str">
        <f>IF(AND(A182&lt;&gt;"",P182&lt;&gt;"",D182&lt;&gt;"Closed",D182&lt;&gt;"Cancelled"),COUNTIFS($P$9:P182,"&lt;&gt;",$D$9:D182,"&lt;&gt;Closed",$D$9:D182,"&lt;&gt;Cancelled"),"")</f>
        <v/>
      </c>
      <c r="R182" s="18" t="str">
        <f t="shared" si="5"/>
        <v/>
      </c>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row>
    <row r="183" spans="1:44" ht="40" hidden="1" customHeight="1" x14ac:dyDescent="0.35">
      <c r="A183" s="34"/>
      <c r="B183" s="15"/>
      <c r="C183" s="15"/>
      <c r="D183" s="15"/>
      <c r="E183" s="14" t="str">
        <f t="shared" si="4"/>
        <v/>
      </c>
      <c r="F183" s="14" t="str">
        <f>IF(A183="","",COUNTIF(Quotes!$B$9:$B$258,A183))</f>
        <v/>
      </c>
      <c r="G183" s="16" t="str">
        <f>IF(A183="","",SUMIF(Quotes!$B$9:$B$258,A183,Quotes!$AI$9:$AI$258))</f>
        <v/>
      </c>
      <c r="H183" s="16" t="str">
        <f>IF(A183="","",SUMIF(Quotes!$B$9:$B$258,A183,Quotes!$AJ$9:$AJ$258))</f>
        <v/>
      </c>
      <c r="I183" s="15"/>
      <c r="J183" s="17"/>
      <c r="K183" s="17"/>
      <c r="L183" s="15"/>
      <c r="M183" s="15"/>
      <c r="N183" s="15"/>
      <c r="O183" s="14"/>
      <c r="P183" s="14"/>
      <c r="Q183" s="14" t="str">
        <f>IF(AND(A183&lt;&gt;"",P183&lt;&gt;"",D183&lt;&gt;"Closed",D183&lt;&gt;"Cancelled"),COUNTIFS($P$9:P183,"&lt;&gt;",$D$9:D183,"&lt;&gt;Closed",$D$9:D183,"&lt;&gt;Cancelled"),"")</f>
        <v/>
      </c>
      <c r="R183" s="14" t="str">
        <f t="shared" si="5"/>
        <v/>
      </c>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row>
    <row r="184" spans="1:44" ht="40" hidden="1" customHeight="1" x14ac:dyDescent="0.35">
      <c r="A184" s="35"/>
      <c r="B184" s="15"/>
      <c r="C184" s="15"/>
      <c r="D184" s="15"/>
      <c r="E184" s="18" t="str">
        <f t="shared" si="4"/>
        <v/>
      </c>
      <c r="F184" s="18" t="str">
        <f>IF(A184="","",COUNTIF(Quotes!$B$9:$B$258,A184))</f>
        <v/>
      </c>
      <c r="G184" s="19" t="str">
        <f>IF(A184="","",SUMIF(Quotes!$B$9:$B$258,A184,Quotes!$AI$9:$AI$258))</f>
        <v/>
      </c>
      <c r="H184" s="19" t="str">
        <f>IF(A184="","",SUMIF(Quotes!$B$9:$B$258,A184,Quotes!$AJ$9:$AJ$258))</f>
        <v/>
      </c>
      <c r="I184" s="15"/>
      <c r="J184" s="17"/>
      <c r="K184" s="17"/>
      <c r="L184" s="15"/>
      <c r="M184" s="15"/>
      <c r="N184" s="15"/>
      <c r="O184" s="18"/>
      <c r="P184" s="18"/>
      <c r="Q184" s="18" t="str">
        <f>IF(AND(A184&lt;&gt;"",P184&lt;&gt;"",D184&lt;&gt;"Closed",D184&lt;&gt;"Cancelled"),COUNTIFS($P$9:P184,"&lt;&gt;",$D$9:D184,"&lt;&gt;Closed",$D$9:D184,"&lt;&gt;Cancelled"),"")</f>
        <v/>
      </c>
      <c r="R184" s="18" t="str">
        <f t="shared" si="5"/>
        <v/>
      </c>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row>
    <row r="185" spans="1:44" ht="40" hidden="1" customHeight="1" x14ac:dyDescent="0.35">
      <c r="A185" s="34"/>
      <c r="B185" s="15"/>
      <c r="C185" s="15"/>
      <c r="D185" s="15"/>
      <c r="E185" s="14" t="str">
        <f t="shared" si="4"/>
        <v/>
      </c>
      <c r="F185" s="14" t="str">
        <f>IF(A185="","",COUNTIF(Quotes!$B$9:$B$258,A185))</f>
        <v/>
      </c>
      <c r="G185" s="16" t="str">
        <f>IF(A185="","",SUMIF(Quotes!$B$9:$B$258,A185,Quotes!$AI$9:$AI$258))</f>
        <v/>
      </c>
      <c r="H185" s="16" t="str">
        <f>IF(A185="","",SUMIF(Quotes!$B$9:$B$258,A185,Quotes!$AJ$9:$AJ$258))</f>
        <v/>
      </c>
      <c r="I185" s="15"/>
      <c r="J185" s="17"/>
      <c r="K185" s="17"/>
      <c r="L185" s="15"/>
      <c r="M185" s="15"/>
      <c r="N185" s="15"/>
      <c r="O185" s="14"/>
      <c r="P185" s="14"/>
      <c r="Q185" s="14" t="str">
        <f>IF(AND(A185&lt;&gt;"",P185&lt;&gt;"",D185&lt;&gt;"Closed",D185&lt;&gt;"Cancelled"),COUNTIFS($P$9:P185,"&lt;&gt;",$D$9:D185,"&lt;&gt;Closed",$D$9:D185,"&lt;&gt;Cancelled"),"")</f>
        <v/>
      </c>
      <c r="R185" s="14" t="str">
        <f t="shared" si="5"/>
        <v/>
      </c>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row>
    <row r="186" spans="1:44" ht="40" hidden="1" customHeight="1" x14ac:dyDescent="0.35">
      <c r="A186" s="35"/>
      <c r="B186" s="15"/>
      <c r="C186" s="15"/>
      <c r="D186" s="15"/>
      <c r="E186" s="18" t="str">
        <f t="shared" si="4"/>
        <v/>
      </c>
      <c r="F186" s="18" t="str">
        <f>IF(A186="","",COUNTIF(Quotes!$B$9:$B$258,A186))</f>
        <v/>
      </c>
      <c r="G186" s="19" t="str">
        <f>IF(A186="","",SUMIF(Quotes!$B$9:$B$258,A186,Quotes!$AI$9:$AI$258))</f>
        <v/>
      </c>
      <c r="H186" s="19" t="str">
        <f>IF(A186="","",SUMIF(Quotes!$B$9:$B$258,A186,Quotes!$AJ$9:$AJ$258))</f>
        <v/>
      </c>
      <c r="I186" s="15"/>
      <c r="J186" s="17"/>
      <c r="K186" s="17"/>
      <c r="L186" s="15"/>
      <c r="M186" s="15"/>
      <c r="N186" s="15"/>
      <c r="O186" s="18"/>
      <c r="P186" s="18"/>
      <c r="Q186" s="18" t="str">
        <f>IF(AND(A186&lt;&gt;"",P186&lt;&gt;"",D186&lt;&gt;"Closed",D186&lt;&gt;"Cancelled"),COUNTIFS($P$9:P186,"&lt;&gt;",$D$9:D186,"&lt;&gt;Closed",$D$9:D186,"&lt;&gt;Cancelled"),"")</f>
        <v/>
      </c>
      <c r="R186" s="18" t="str">
        <f t="shared" si="5"/>
        <v/>
      </c>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row>
    <row r="187" spans="1:44" ht="40" hidden="1" customHeight="1" x14ac:dyDescent="0.35">
      <c r="A187" s="34"/>
      <c r="B187" s="15"/>
      <c r="C187" s="15"/>
      <c r="D187" s="15"/>
      <c r="E187" s="14" t="str">
        <f t="shared" si="4"/>
        <v/>
      </c>
      <c r="F187" s="14" t="str">
        <f>IF(A187="","",COUNTIF(Quotes!$B$9:$B$258,A187))</f>
        <v/>
      </c>
      <c r="G187" s="16" t="str">
        <f>IF(A187="","",SUMIF(Quotes!$B$9:$B$258,A187,Quotes!$AI$9:$AI$258))</f>
        <v/>
      </c>
      <c r="H187" s="16" t="str">
        <f>IF(A187="","",SUMIF(Quotes!$B$9:$B$258,A187,Quotes!$AJ$9:$AJ$258))</f>
        <v/>
      </c>
      <c r="I187" s="15"/>
      <c r="J187" s="17"/>
      <c r="K187" s="17"/>
      <c r="L187" s="15"/>
      <c r="M187" s="15"/>
      <c r="N187" s="15"/>
      <c r="O187" s="14"/>
      <c r="P187" s="14"/>
      <c r="Q187" s="14" t="str">
        <f>IF(AND(A187&lt;&gt;"",P187&lt;&gt;"",D187&lt;&gt;"Closed",D187&lt;&gt;"Cancelled"),COUNTIFS($P$9:P187,"&lt;&gt;",$D$9:D187,"&lt;&gt;Closed",$D$9:D187,"&lt;&gt;Cancelled"),"")</f>
        <v/>
      </c>
      <c r="R187" s="14" t="str">
        <f t="shared" si="5"/>
        <v/>
      </c>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row>
    <row r="188" spans="1:44" ht="40" hidden="1" customHeight="1" x14ac:dyDescent="0.35">
      <c r="A188" s="35"/>
      <c r="B188" s="15"/>
      <c r="C188" s="15"/>
      <c r="D188" s="15"/>
      <c r="E188" s="18" t="str">
        <f t="shared" si="4"/>
        <v/>
      </c>
      <c r="F188" s="18" t="str">
        <f>IF(A188="","",COUNTIF(Quotes!$B$9:$B$258,A188))</f>
        <v/>
      </c>
      <c r="G188" s="19" t="str">
        <f>IF(A188="","",SUMIF(Quotes!$B$9:$B$258,A188,Quotes!$AI$9:$AI$258))</f>
        <v/>
      </c>
      <c r="H188" s="19" t="str">
        <f>IF(A188="","",SUMIF(Quotes!$B$9:$B$258,A188,Quotes!$AJ$9:$AJ$258))</f>
        <v/>
      </c>
      <c r="I188" s="15"/>
      <c r="J188" s="17"/>
      <c r="K188" s="17"/>
      <c r="L188" s="15"/>
      <c r="M188" s="15"/>
      <c r="N188" s="15"/>
      <c r="O188" s="18"/>
      <c r="P188" s="18"/>
      <c r="Q188" s="18" t="str">
        <f>IF(AND(A188&lt;&gt;"",P188&lt;&gt;"",D188&lt;&gt;"Closed",D188&lt;&gt;"Cancelled"),COUNTIFS($P$9:P188,"&lt;&gt;",$D$9:D188,"&lt;&gt;Closed",$D$9:D188,"&lt;&gt;Cancelled"),"")</f>
        <v/>
      </c>
      <c r="R188" s="18" t="str">
        <f t="shared" si="5"/>
        <v/>
      </c>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row>
    <row r="189" spans="1:44" ht="40" hidden="1" customHeight="1" x14ac:dyDescent="0.35">
      <c r="A189" s="34"/>
      <c r="B189" s="15"/>
      <c r="C189" s="15"/>
      <c r="D189" s="15"/>
      <c r="E189" s="14" t="str">
        <f t="shared" si="4"/>
        <v/>
      </c>
      <c r="F189" s="14" t="str">
        <f>IF(A189="","",COUNTIF(Quotes!$B$9:$B$258,A189))</f>
        <v/>
      </c>
      <c r="G189" s="16" t="str">
        <f>IF(A189="","",SUMIF(Quotes!$B$9:$B$258,A189,Quotes!$AI$9:$AI$258))</f>
        <v/>
      </c>
      <c r="H189" s="16" t="str">
        <f>IF(A189="","",SUMIF(Quotes!$B$9:$B$258,A189,Quotes!$AJ$9:$AJ$258))</f>
        <v/>
      </c>
      <c r="I189" s="15"/>
      <c r="J189" s="17"/>
      <c r="K189" s="17"/>
      <c r="L189" s="15"/>
      <c r="M189" s="15"/>
      <c r="N189" s="15"/>
      <c r="O189" s="14"/>
      <c r="P189" s="14"/>
      <c r="Q189" s="14" t="str">
        <f>IF(AND(A189&lt;&gt;"",P189&lt;&gt;"",D189&lt;&gt;"Closed",D189&lt;&gt;"Cancelled"),COUNTIFS($P$9:P189,"&lt;&gt;",$D$9:D189,"&lt;&gt;Closed",$D$9:D189,"&lt;&gt;Cancelled"),"")</f>
        <v/>
      </c>
      <c r="R189" s="14" t="str">
        <f t="shared" si="5"/>
        <v/>
      </c>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row>
    <row r="190" spans="1:44" ht="40" hidden="1" customHeight="1" x14ac:dyDescent="0.35">
      <c r="A190" s="35"/>
      <c r="B190" s="15"/>
      <c r="C190" s="15"/>
      <c r="D190" s="15"/>
      <c r="E190" s="18" t="str">
        <f t="shared" si="4"/>
        <v/>
      </c>
      <c r="F190" s="18" t="str">
        <f>IF(A190="","",COUNTIF(Quotes!$B$9:$B$258,A190))</f>
        <v/>
      </c>
      <c r="G190" s="19" t="str">
        <f>IF(A190="","",SUMIF(Quotes!$B$9:$B$258,A190,Quotes!$AI$9:$AI$258))</f>
        <v/>
      </c>
      <c r="H190" s="19" t="str">
        <f>IF(A190="","",SUMIF(Quotes!$B$9:$B$258,A190,Quotes!$AJ$9:$AJ$258))</f>
        <v/>
      </c>
      <c r="I190" s="15"/>
      <c r="J190" s="17"/>
      <c r="K190" s="17"/>
      <c r="L190" s="15"/>
      <c r="M190" s="15"/>
      <c r="N190" s="15"/>
      <c r="O190" s="18"/>
      <c r="P190" s="18"/>
      <c r="Q190" s="18" t="str">
        <f>IF(AND(A190&lt;&gt;"",P190&lt;&gt;"",D190&lt;&gt;"Closed",D190&lt;&gt;"Cancelled"),COUNTIFS($P$9:P190,"&lt;&gt;",$D$9:D190,"&lt;&gt;Closed",$D$9:D190,"&lt;&gt;Cancelled"),"")</f>
        <v/>
      </c>
      <c r="R190" s="18" t="str">
        <f t="shared" si="5"/>
        <v/>
      </c>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row>
    <row r="191" spans="1:44" ht="40" hidden="1" customHeight="1" x14ac:dyDescent="0.35">
      <c r="A191" s="34"/>
      <c r="B191" s="15"/>
      <c r="C191" s="15"/>
      <c r="D191" s="15"/>
      <c r="E191" s="14" t="str">
        <f t="shared" si="4"/>
        <v/>
      </c>
      <c r="F191" s="14" t="str">
        <f>IF(A191="","",COUNTIF(Quotes!$B$9:$B$258,A191))</f>
        <v/>
      </c>
      <c r="G191" s="16" t="str">
        <f>IF(A191="","",SUMIF(Quotes!$B$9:$B$258,A191,Quotes!$AI$9:$AI$258))</f>
        <v/>
      </c>
      <c r="H191" s="16" t="str">
        <f>IF(A191="","",SUMIF(Quotes!$B$9:$B$258,A191,Quotes!$AJ$9:$AJ$258))</f>
        <v/>
      </c>
      <c r="I191" s="15"/>
      <c r="J191" s="17"/>
      <c r="K191" s="17"/>
      <c r="L191" s="15"/>
      <c r="M191" s="15"/>
      <c r="N191" s="15"/>
      <c r="O191" s="14"/>
      <c r="P191" s="14"/>
      <c r="Q191" s="14" t="str">
        <f>IF(AND(A191&lt;&gt;"",P191&lt;&gt;"",D191&lt;&gt;"Closed",D191&lt;&gt;"Cancelled"),COUNTIFS($P$9:P191,"&lt;&gt;",$D$9:D191,"&lt;&gt;Closed",$D$9:D191,"&lt;&gt;Cancelled"),"")</f>
        <v/>
      </c>
      <c r="R191" s="14" t="str">
        <f t="shared" si="5"/>
        <v/>
      </c>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row>
    <row r="192" spans="1:44" ht="40" hidden="1" customHeight="1" x14ac:dyDescent="0.35">
      <c r="A192" s="35"/>
      <c r="B192" s="15"/>
      <c r="C192" s="15"/>
      <c r="D192" s="15"/>
      <c r="E192" s="18" t="str">
        <f t="shared" si="4"/>
        <v/>
      </c>
      <c r="F192" s="18" t="str">
        <f>IF(A192="","",COUNTIF(Quotes!$B$9:$B$258,A192))</f>
        <v/>
      </c>
      <c r="G192" s="19" t="str">
        <f>IF(A192="","",SUMIF(Quotes!$B$9:$B$258,A192,Quotes!$AI$9:$AI$258))</f>
        <v/>
      </c>
      <c r="H192" s="19" t="str">
        <f>IF(A192="","",SUMIF(Quotes!$B$9:$B$258,A192,Quotes!$AJ$9:$AJ$258))</f>
        <v/>
      </c>
      <c r="I192" s="15"/>
      <c r="J192" s="17"/>
      <c r="K192" s="17"/>
      <c r="L192" s="15"/>
      <c r="M192" s="15"/>
      <c r="N192" s="15"/>
      <c r="O192" s="18"/>
      <c r="P192" s="18"/>
      <c r="Q192" s="18" t="str">
        <f>IF(AND(A192&lt;&gt;"",P192&lt;&gt;"",D192&lt;&gt;"Closed",D192&lt;&gt;"Cancelled"),COUNTIFS($P$9:P192,"&lt;&gt;",$D$9:D192,"&lt;&gt;Closed",$D$9:D192,"&lt;&gt;Cancelled"),"")</f>
        <v/>
      </c>
      <c r="R192" s="18" t="str">
        <f t="shared" si="5"/>
        <v/>
      </c>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row>
    <row r="193" spans="1:44" ht="40" hidden="1" customHeight="1" x14ac:dyDescent="0.35">
      <c r="A193" s="34"/>
      <c r="B193" s="15"/>
      <c r="C193" s="15"/>
      <c r="D193" s="15"/>
      <c r="E193" s="14" t="str">
        <f t="shared" si="4"/>
        <v/>
      </c>
      <c r="F193" s="14" t="str">
        <f>IF(A193="","",COUNTIF(Quotes!$B$9:$B$258,A193))</f>
        <v/>
      </c>
      <c r="G193" s="16" t="str">
        <f>IF(A193="","",SUMIF(Quotes!$B$9:$B$258,A193,Quotes!$AI$9:$AI$258))</f>
        <v/>
      </c>
      <c r="H193" s="16" t="str">
        <f>IF(A193="","",SUMIF(Quotes!$B$9:$B$258,A193,Quotes!$AJ$9:$AJ$258))</f>
        <v/>
      </c>
      <c r="I193" s="15"/>
      <c r="J193" s="17"/>
      <c r="K193" s="17"/>
      <c r="L193" s="15"/>
      <c r="M193" s="15"/>
      <c r="N193" s="15"/>
      <c r="O193" s="14"/>
      <c r="P193" s="14"/>
      <c r="Q193" s="14" t="str">
        <f>IF(AND(A193&lt;&gt;"",P193&lt;&gt;"",D193&lt;&gt;"Closed",D193&lt;&gt;"Cancelled"),COUNTIFS($P$9:P193,"&lt;&gt;",$D$9:D193,"&lt;&gt;Closed",$D$9:D193,"&lt;&gt;Cancelled"),"")</f>
        <v/>
      </c>
      <c r="R193" s="14" t="str">
        <f t="shared" si="5"/>
        <v/>
      </c>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row>
    <row r="194" spans="1:44" ht="40" hidden="1" customHeight="1" x14ac:dyDescent="0.35">
      <c r="A194" s="35"/>
      <c r="B194" s="15"/>
      <c r="C194" s="15"/>
      <c r="D194" s="15"/>
      <c r="E194" s="18" t="str">
        <f t="shared" si="4"/>
        <v/>
      </c>
      <c r="F194" s="18" t="str">
        <f>IF(A194="","",COUNTIF(Quotes!$B$9:$B$258,A194))</f>
        <v/>
      </c>
      <c r="G194" s="19" t="str">
        <f>IF(A194="","",SUMIF(Quotes!$B$9:$B$258,A194,Quotes!$AI$9:$AI$258))</f>
        <v/>
      </c>
      <c r="H194" s="19" t="str">
        <f>IF(A194="","",SUMIF(Quotes!$B$9:$B$258,A194,Quotes!$AJ$9:$AJ$258))</f>
        <v/>
      </c>
      <c r="I194" s="15"/>
      <c r="J194" s="17"/>
      <c r="K194" s="17"/>
      <c r="L194" s="15"/>
      <c r="M194" s="15"/>
      <c r="N194" s="15"/>
      <c r="O194" s="18"/>
      <c r="P194" s="18"/>
      <c r="Q194" s="18" t="str">
        <f>IF(AND(A194&lt;&gt;"",P194&lt;&gt;"",D194&lt;&gt;"Closed",D194&lt;&gt;"Cancelled"),COUNTIFS($P$9:P194,"&lt;&gt;",$D$9:D194,"&lt;&gt;Closed",$D$9:D194,"&lt;&gt;Cancelled"),"")</f>
        <v/>
      </c>
      <c r="R194" s="18" t="str">
        <f t="shared" si="5"/>
        <v/>
      </c>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row>
    <row r="195" spans="1:44" ht="40" hidden="1" customHeight="1" x14ac:dyDescent="0.35">
      <c r="A195" s="34"/>
      <c r="B195" s="15"/>
      <c r="C195" s="15"/>
      <c r="D195" s="15"/>
      <c r="E195" s="14" t="str">
        <f t="shared" si="4"/>
        <v/>
      </c>
      <c r="F195" s="14" t="str">
        <f>IF(A195="","",COUNTIF(Quotes!$B$9:$B$258,A195))</f>
        <v/>
      </c>
      <c r="G195" s="16" t="str">
        <f>IF(A195="","",SUMIF(Quotes!$B$9:$B$258,A195,Quotes!$AI$9:$AI$258))</f>
        <v/>
      </c>
      <c r="H195" s="16" t="str">
        <f>IF(A195="","",SUMIF(Quotes!$B$9:$B$258,A195,Quotes!$AJ$9:$AJ$258))</f>
        <v/>
      </c>
      <c r="I195" s="15"/>
      <c r="J195" s="17"/>
      <c r="K195" s="17"/>
      <c r="L195" s="15"/>
      <c r="M195" s="15"/>
      <c r="N195" s="15"/>
      <c r="O195" s="14"/>
      <c r="P195" s="14"/>
      <c r="Q195" s="14" t="str">
        <f>IF(AND(A195&lt;&gt;"",P195&lt;&gt;"",D195&lt;&gt;"Closed",D195&lt;&gt;"Cancelled"),COUNTIFS($P$9:P195,"&lt;&gt;",$D$9:D195,"&lt;&gt;Closed",$D$9:D195,"&lt;&gt;Cancelled"),"")</f>
        <v/>
      </c>
      <c r="R195" s="14" t="str">
        <f t="shared" si="5"/>
        <v/>
      </c>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row>
    <row r="196" spans="1:44" ht="40" hidden="1" customHeight="1" x14ac:dyDescent="0.35">
      <c r="A196" s="35"/>
      <c r="B196" s="15"/>
      <c r="C196" s="15"/>
      <c r="D196" s="15"/>
      <c r="E196" s="18" t="str">
        <f t="shared" si="4"/>
        <v/>
      </c>
      <c r="F196" s="18" t="str">
        <f>IF(A196="","",COUNTIF(Quotes!$B$9:$B$258,A196))</f>
        <v/>
      </c>
      <c r="G196" s="19" t="str">
        <f>IF(A196="","",SUMIF(Quotes!$B$9:$B$258,A196,Quotes!$AI$9:$AI$258))</f>
        <v/>
      </c>
      <c r="H196" s="19" t="str">
        <f>IF(A196="","",SUMIF(Quotes!$B$9:$B$258,A196,Quotes!$AJ$9:$AJ$258))</f>
        <v/>
      </c>
      <c r="I196" s="15"/>
      <c r="J196" s="17"/>
      <c r="K196" s="17"/>
      <c r="L196" s="15"/>
      <c r="M196" s="15"/>
      <c r="N196" s="15"/>
      <c r="O196" s="18"/>
      <c r="P196" s="18"/>
      <c r="Q196" s="18" t="str">
        <f>IF(AND(A196&lt;&gt;"",P196&lt;&gt;"",D196&lt;&gt;"Closed",D196&lt;&gt;"Cancelled"),COUNTIFS($P$9:P196,"&lt;&gt;",$D$9:D196,"&lt;&gt;Closed",$D$9:D196,"&lt;&gt;Cancelled"),"")</f>
        <v/>
      </c>
      <c r="R196" s="18" t="str">
        <f t="shared" si="5"/>
        <v/>
      </c>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row>
    <row r="197" spans="1:44" ht="40" hidden="1" customHeight="1" x14ac:dyDescent="0.35">
      <c r="A197" s="34"/>
      <c r="B197" s="15"/>
      <c r="C197" s="15"/>
      <c r="D197" s="15"/>
      <c r="E197" s="14" t="str">
        <f t="shared" si="4"/>
        <v/>
      </c>
      <c r="F197" s="14" t="str">
        <f>IF(A197="","",COUNTIF(Quotes!$B$9:$B$258,A197))</f>
        <v/>
      </c>
      <c r="G197" s="16" t="str">
        <f>IF(A197="","",SUMIF(Quotes!$B$9:$B$258,A197,Quotes!$AI$9:$AI$258))</f>
        <v/>
      </c>
      <c r="H197" s="16" t="str">
        <f>IF(A197="","",SUMIF(Quotes!$B$9:$B$258,A197,Quotes!$AJ$9:$AJ$258))</f>
        <v/>
      </c>
      <c r="I197" s="15"/>
      <c r="J197" s="17"/>
      <c r="K197" s="17"/>
      <c r="L197" s="15"/>
      <c r="M197" s="15"/>
      <c r="N197" s="15"/>
      <c r="O197" s="14"/>
      <c r="P197" s="14"/>
      <c r="Q197" s="14" t="str">
        <f>IF(AND(A197&lt;&gt;"",P197&lt;&gt;"",D197&lt;&gt;"Closed",D197&lt;&gt;"Cancelled"),COUNTIFS($P$9:P197,"&lt;&gt;",$D$9:D197,"&lt;&gt;Closed",$D$9:D197,"&lt;&gt;Cancelled"),"")</f>
        <v/>
      </c>
      <c r="R197" s="14" t="str">
        <f t="shared" si="5"/>
        <v/>
      </c>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row>
    <row r="198" spans="1:44" ht="40" hidden="1" customHeight="1" x14ac:dyDescent="0.35">
      <c r="A198" s="35"/>
      <c r="B198" s="15"/>
      <c r="C198" s="15"/>
      <c r="D198" s="15"/>
      <c r="E198" s="18" t="str">
        <f t="shared" si="4"/>
        <v/>
      </c>
      <c r="F198" s="18" t="str">
        <f>IF(A198="","",COUNTIF(Quotes!$B$9:$B$258,A198))</f>
        <v/>
      </c>
      <c r="G198" s="19" t="str">
        <f>IF(A198="","",SUMIF(Quotes!$B$9:$B$258,A198,Quotes!$AI$9:$AI$258))</f>
        <v/>
      </c>
      <c r="H198" s="19" t="str">
        <f>IF(A198="","",SUMIF(Quotes!$B$9:$B$258,A198,Quotes!$AJ$9:$AJ$258))</f>
        <v/>
      </c>
      <c r="I198" s="15"/>
      <c r="J198" s="17"/>
      <c r="K198" s="17"/>
      <c r="L198" s="15"/>
      <c r="M198" s="15"/>
      <c r="N198" s="15"/>
      <c r="O198" s="18"/>
      <c r="P198" s="18"/>
      <c r="Q198" s="18" t="str">
        <f>IF(AND(A198&lt;&gt;"",P198&lt;&gt;"",D198&lt;&gt;"Closed",D198&lt;&gt;"Cancelled"),COUNTIFS($P$9:P198,"&lt;&gt;",$D$9:D198,"&lt;&gt;Closed",$D$9:D198,"&lt;&gt;Cancelled"),"")</f>
        <v/>
      </c>
      <c r="R198" s="18" t="str">
        <f t="shared" si="5"/>
        <v/>
      </c>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row>
    <row r="199" spans="1:44" ht="40" hidden="1" customHeight="1" x14ac:dyDescent="0.35">
      <c r="A199" s="34"/>
      <c r="B199" s="15"/>
      <c r="C199" s="15"/>
      <c r="D199" s="15"/>
      <c r="E199" s="14" t="str">
        <f t="shared" si="4"/>
        <v/>
      </c>
      <c r="F199" s="14" t="str">
        <f>IF(A199="","",COUNTIF(Quotes!$B$9:$B$258,A199))</f>
        <v/>
      </c>
      <c r="G199" s="16" t="str">
        <f>IF(A199="","",SUMIF(Quotes!$B$9:$B$258,A199,Quotes!$AI$9:$AI$258))</f>
        <v/>
      </c>
      <c r="H199" s="16" t="str">
        <f>IF(A199="","",SUMIF(Quotes!$B$9:$B$258,A199,Quotes!$AJ$9:$AJ$258))</f>
        <v/>
      </c>
      <c r="I199" s="15"/>
      <c r="J199" s="17"/>
      <c r="K199" s="17"/>
      <c r="L199" s="15"/>
      <c r="M199" s="15"/>
      <c r="N199" s="15"/>
      <c r="O199" s="14"/>
      <c r="P199" s="14"/>
      <c r="Q199" s="14" t="str">
        <f>IF(AND(A199&lt;&gt;"",P199&lt;&gt;"",D199&lt;&gt;"Closed",D199&lt;&gt;"Cancelled"),COUNTIFS($P$9:P199,"&lt;&gt;",$D$9:D199,"&lt;&gt;Closed",$D$9:D199,"&lt;&gt;Cancelled"),"")</f>
        <v/>
      </c>
      <c r="R199" s="14" t="str">
        <f t="shared" si="5"/>
        <v/>
      </c>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row>
    <row r="200" spans="1:44" ht="40" hidden="1" customHeight="1" x14ac:dyDescent="0.35">
      <c r="A200" s="35"/>
      <c r="B200" s="15"/>
      <c r="C200" s="15"/>
      <c r="D200" s="15"/>
      <c r="E200" s="18" t="str">
        <f t="shared" si="4"/>
        <v/>
      </c>
      <c r="F200" s="18" t="str">
        <f>IF(A200="","",COUNTIF(Quotes!$B$9:$B$258,A200))</f>
        <v/>
      </c>
      <c r="G200" s="19" t="str">
        <f>IF(A200="","",SUMIF(Quotes!$B$9:$B$258,A200,Quotes!$AI$9:$AI$258))</f>
        <v/>
      </c>
      <c r="H200" s="19" t="str">
        <f>IF(A200="","",SUMIF(Quotes!$B$9:$B$258,A200,Quotes!$AJ$9:$AJ$258))</f>
        <v/>
      </c>
      <c r="I200" s="15"/>
      <c r="J200" s="17"/>
      <c r="K200" s="17"/>
      <c r="L200" s="15"/>
      <c r="M200" s="15"/>
      <c r="N200" s="15"/>
      <c r="O200" s="18"/>
      <c r="P200" s="18"/>
      <c r="Q200" s="18" t="str">
        <f>IF(AND(A200&lt;&gt;"",P200&lt;&gt;"",D200&lt;&gt;"Closed",D200&lt;&gt;"Cancelled"),COUNTIFS($P$9:P200,"&lt;&gt;",$D$9:D200,"&lt;&gt;Closed",$D$9:D200,"&lt;&gt;Cancelled"),"")</f>
        <v/>
      </c>
      <c r="R200" s="18" t="str">
        <f t="shared" si="5"/>
        <v/>
      </c>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row>
    <row r="201" spans="1:44" ht="40" hidden="1" customHeight="1" x14ac:dyDescent="0.35">
      <c r="A201" s="34"/>
      <c r="B201" s="15"/>
      <c r="C201" s="15"/>
      <c r="D201" s="15"/>
      <c r="E201" s="14" t="str">
        <f t="shared" ref="E201:E258" si="6">IF(OR(A201="",P201=""),"",HYPERLINK("#'"&amp;P201&amp;"'!A1","OPEN JOB"))</f>
        <v/>
      </c>
      <c r="F201" s="14" t="str">
        <f>IF(A201="","",COUNTIF(Quotes!$B$9:$B$258,A201))</f>
        <v/>
      </c>
      <c r="G201" s="16" t="str">
        <f>IF(A201="","",SUMIF(Quotes!$B$9:$B$258,A201,Quotes!$AI$9:$AI$258))</f>
        <v/>
      </c>
      <c r="H201" s="16" t="str">
        <f>IF(A201="","",SUMIF(Quotes!$B$9:$B$258,A201,Quotes!$AJ$9:$AJ$258))</f>
        <v/>
      </c>
      <c r="I201" s="15"/>
      <c r="J201" s="17"/>
      <c r="K201" s="17"/>
      <c r="L201" s="15"/>
      <c r="M201" s="15"/>
      <c r="N201" s="15"/>
      <c r="O201" s="14"/>
      <c r="P201" s="14"/>
      <c r="Q201" s="14" t="str">
        <f>IF(AND(A201&lt;&gt;"",P201&lt;&gt;"",D201&lt;&gt;"Closed",D201&lt;&gt;"Cancelled"),COUNTIFS($P$9:P201,"&lt;&gt;",$D$9:D201,"&lt;&gt;Closed",$D$9:D201,"&lt;&gt;Cancelled"),"")</f>
        <v/>
      </c>
      <c r="R201" s="14" t="str">
        <f t="shared" ref="R201:R258" si="7">IF(A201="","",A201&amp;" | "&amp;B201)</f>
        <v/>
      </c>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row>
    <row r="202" spans="1:44" ht="40" hidden="1" customHeight="1" x14ac:dyDescent="0.35">
      <c r="A202" s="35"/>
      <c r="B202" s="15"/>
      <c r="C202" s="15"/>
      <c r="D202" s="15"/>
      <c r="E202" s="18" t="str">
        <f t="shared" si="6"/>
        <v/>
      </c>
      <c r="F202" s="18" t="str">
        <f>IF(A202="","",COUNTIF(Quotes!$B$9:$B$258,A202))</f>
        <v/>
      </c>
      <c r="G202" s="19" t="str">
        <f>IF(A202="","",SUMIF(Quotes!$B$9:$B$258,A202,Quotes!$AI$9:$AI$258))</f>
        <v/>
      </c>
      <c r="H202" s="19" t="str">
        <f>IF(A202="","",SUMIF(Quotes!$B$9:$B$258,A202,Quotes!$AJ$9:$AJ$258))</f>
        <v/>
      </c>
      <c r="I202" s="15"/>
      <c r="J202" s="17"/>
      <c r="K202" s="17"/>
      <c r="L202" s="15"/>
      <c r="M202" s="15"/>
      <c r="N202" s="15"/>
      <c r="O202" s="18"/>
      <c r="P202" s="18"/>
      <c r="Q202" s="18" t="str">
        <f>IF(AND(A202&lt;&gt;"",P202&lt;&gt;"",D202&lt;&gt;"Closed",D202&lt;&gt;"Cancelled"),COUNTIFS($P$9:P202,"&lt;&gt;",$D$9:D202,"&lt;&gt;Closed",$D$9:D202,"&lt;&gt;Cancelled"),"")</f>
        <v/>
      </c>
      <c r="R202" s="18" t="str">
        <f t="shared" si="7"/>
        <v/>
      </c>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row>
    <row r="203" spans="1:44" ht="40" hidden="1" customHeight="1" x14ac:dyDescent="0.35">
      <c r="A203" s="34"/>
      <c r="B203" s="15"/>
      <c r="C203" s="15"/>
      <c r="D203" s="15"/>
      <c r="E203" s="14" t="str">
        <f t="shared" si="6"/>
        <v/>
      </c>
      <c r="F203" s="14" t="str">
        <f>IF(A203="","",COUNTIF(Quotes!$B$9:$B$258,A203))</f>
        <v/>
      </c>
      <c r="G203" s="16" t="str">
        <f>IF(A203="","",SUMIF(Quotes!$B$9:$B$258,A203,Quotes!$AI$9:$AI$258))</f>
        <v/>
      </c>
      <c r="H203" s="16" t="str">
        <f>IF(A203="","",SUMIF(Quotes!$B$9:$B$258,A203,Quotes!$AJ$9:$AJ$258))</f>
        <v/>
      </c>
      <c r="I203" s="15"/>
      <c r="J203" s="17"/>
      <c r="K203" s="17"/>
      <c r="L203" s="15"/>
      <c r="M203" s="15"/>
      <c r="N203" s="15"/>
      <c r="O203" s="14"/>
      <c r="P203" s="14"/>
      <c r="Q203" s="14" t="str">
        <f>IF(AND(A203&lt;&gt;"",P203&lt;&gt;"",D203&lt;&gt;"Closed",D203&lt;&gt;"Cancelled"),COUNTIFS($P$9:P203,"&lt;&gt;",$D$9:D203,"&lt;&gt;Closed",$D$9:D203,"&lt;&gt;Cancelled"),"")</f>
        <v/>
      </c>
      <c r="R203" s="14" t="str">
        <f t="shared" si="7"/>
        <v/>
      </c>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row>
    <row r="204" spans="1:44" ht="40" hidden="1" customHeight="1" x14ac:dyDescent="0.35">
      <c r="A204" s="35"/>
      <c r="B204" s="15"/>
      <c r="C204" s="15"/>
      <c r="D204" s="15"/>
      <c r="E204" s="18" t="str">
        <f t="shared" si="6"/>
        <v/>
      </c>
      <c r="F204" s="18" t="str">
        <f>IF(A204="","",COUNTIF(Quotes!$B$9:$B$258,A204))</f>
        <v/>
      </c>
      <c r="G204" s="19" t="str">
        <f>IF(A204="","",SUMIF(Quotes!$B$9:$B$258,A204,Quotes!$AI$9:$AI$258))</f>
        <v/>
      </c>
      <c r="H204" s="19" t="str">
        <f>IF(A204="","",SUMIF(Quotes!$B$9:$B$258,A204,Quotes!$AJ$9:$AJ$258))</f>
        <v/>
      </c>
      <c r="I204" s="15"/>
      <c r="J204" s="17"/>
      <c r="K204" s="17"/>
      <c r="L204" s="15"/>
      <c r="M204" s="15"/>
      <c r="N204" s="15"/>
      <c r="O204" s="18"/>
      <c r="P204" s="18"/>
      <c r="Q204" s="18" t="str">
        <f>IF(AND(A204&lt;&gt;"",P204&lt;&gt;"",D204&lt;&gt;"Closed",D204&lt;&gt;"Cancelled"),COUNTIFS($P$9:P204,"&lt;&gt;",$D$9:D204,"&lt;&gt;Closed",$D$9:D204,"&lt;&gt;Cancelled"),"")</f>
        <v/>
      </c>
      <c r="R204" s="18" t="str">
        <f t="shared" si="7"/>
        <v/>
      </c>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row>
    <row r="205" spans="1:44" ht="40" hidden="1" customHeight="1" x14ac:dyDescent="0.35">
      <c r="A205" s="34"/>
      <c r="B205" s="15"/>
      <c r="C205" s="15"/>
      <c r="D205" s="15"/>
      <c r="E205" s="14" t="str">
        <f t="shared" si="6"/>
        <v/>
      </c>
      <c r="F205" s="14" t="str">
        <f>IF(A205="","",COUNTIF(Quotes!$B$9:$B$258,A205))</f>
        <v/>
      </c>
      <c r="G205" s="16" t="str">
        <f>IF(A205="","",SUMIF(Quotes!$B$9:$B$258,A205,Quotes!$AI$9:$AI$258))</f>
        <v/>
      </c>
      <c r="H205" s="16" t="str">
        <f>IF(A205="","",SUMIF(Quotes!$B$9:$B$258,A205,Quotes!$AJ$9:$AJ$258))</f>
        <v/>
      </c>
      <c r="I205" s="15"/>
      <c r="J205" s="17"/>
      <c r="K205" s="17"/>
      <c r="L205" s="15"/>
      <c r="M205" s="15"/>
      <c r="N205" s="15"/>
      <c r="O205" s="14"/>
      <c r="P205" s="14"/>
      <c r="Q205" s="14" t="str">
        <f>IF(AND(A205&lt;&gt;"",P205&lt;&gt;"",D205&lt;&gt;"Closed",D205&lt;&gt;"Cancelled"),COUNTIFS($P$9:P205,"&lt;&gt;",$D$9:D205,"&lt;&gt;Closed",$D$9:D205,"&lt;&gt;Cancelled"),"")</f>
        <v/>
      </c>
      <c r="R205" s="14" t="str">
        <f t="shared" si="7"/>
        <v/>
      </c>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row>
    <row r="206" spans="1:44" ht="40" hidden="1" customHeight="1" x14ac:dyDescent="0.35">
      <c r="A206" s="35"/>
      <c r="B206" s="15"/>
      <c r="C206" s="15"/>
      <c r="D206" s="15"/>
      <c r="E206" s="18" t="str">
        <f t="shared" si="6"/>
        <v/>
      </c>
      <c r="F206" s="18" t="str">
        <f>IF(A206="","",COUNTIF(Quotes!$B$9:$B$258,A206))</f>
        <v/>
      </c>
      <c r="G206" s="19" t="str">
        <f>IF(A206="","",SUMIF(Quotes!$B$9:$B$258,A206,Quotes!$AI$9:$AI$258))</f>
        <v/>
      </c>
      <c r="H206" s="19" t="str">
        <f>IF(A206="","",SUMIF(Quotes!$B$9:$B$258,A206,Quotes!$AJ$9:$AJ$258))</f>
        <v/>
      </c>
      <c r="I206" s="15"/>
      <c r="J206" s="17"/>
      <c r="K206" s="17"/>
      <c r="L206" s="15"/>
      <c r="M206" s="15"/>
      <c r="N206" s="15"/>
      <c r="O206" s="18"/>
      <c r="P206" s="18"/>
      <c r="Q206" s="18" t="str">
        <f>IF(AND(A206&lt;&gt;"",P206&lt;&gt;"",D206&lt;&gt;"Closed",D206&lt;&gt;"Cancelled"),COUNTIFS($P$9:P206,"&lt;&gt;",$D$9:D206,"&lt;&gt;Closed",$D$9:D206,"&lt;&gt;Cancelled"),"")</f>
        <v/>
      </c>
      <c r="R206" s="18" t="str">
        <f t="shared" si="7"/>
        <v/>
      </c>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row>
    <row r="207" spans="1:44" ht="40" hidden="1" customHeight="1" x14ac:dyDescent="0.35">
      <c r="A207" s="34"/>
      <c r="B207" s="15"/>
      <c r="C207" s="15"/>
      <c r="D207" s="15"/>
      <c r="E207" s="14" t="str">
        <f t="shared" si="6"/>
        <v/>
      </c>
      <c r="F207" s="14" t="str">
        <f>IF(A207="","",COUNTIF(Quotes!$B$9:$B$258,A207))</f>
        <v/>
      </c>
      <c r="G207" s="16" t="str">
        <f>IF(A207="","",SUMIF(Quotes!$B$9:$B$258,A207,Quotes!$AI$9:$AI$258))</f>
        <v/>
      </c>
      <c r="H207" s="16" t="str">
        <f>IF(A207="","",SUMIF(Quotes!$B$9:$B$258,A207,Quotes!$AJ$9:$AJ$258))</f>
        <v/>
      </c>
      <c r="I207" s="15"/>
      <c r="J207" s="17"/>
      <c r="K207" s="17"/>
      <c r="L207" s="15"/>
      <c r="M207" s="15"/>
      <c r="N207" s="15"/>
      <c r="O207" s="14"/>
      <c r="P207" s="14"/>
      <c r="Q207" s="14" t="str">
        <f>IF(AND(A207&lt;&gt;"",P207&lt;&gt;"",D207&lt;&gt;"Closed",D207&lt;&gt;"Cancelled"),COUNTIFS($P$9:P207,"&lt;&gt;",$D$9:D207,"&lt;&gt;Closed",$D$9:D207,"&lt;&gt;Cancelled"),"")</f>
        <v/>
      </c>
      <c r="R207" s="14" t="str">
        <f t="shared" si="7"/>
        <v/>
      </c>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row>
    <row r="208" spans="1:44" ht="40" hidden="1" customHeight="1" x14ac:dyDescent="0.35">
      <c r="A208" s="35"/>
      <c r="B208" s="15"/>
      <c r="C208" s="15"/>
      <c r="D208" s="15"/>
      <c r="E208" s="18" t="str">
        <f t="shared" si="6"/>
        <v/>
      </c>
      <c r="F208" s="18" t="str">
        <f>IF(A208="","",COUNTIF(Quotes!$B$9:$B$258,A208))</f>
        <v/>
      </c>
      <c r="G208" s="19" t="str">
        <f>IF(A208="","",SUMIF(Quotes!$B$9:$B$258,A208,Quotes!$AI$9:$AI$258))</f>
        <v/>
      </c>
      <c r="H208" s="19" t="str">
        <f>IF(A208="","",SUMIF(Quotes!$B$9:$B$258,A208,Quotes!$AJ$9:$AJ$258))</f>
        <v/>
      </c>
      <c r="I208" s="15"/>
      <c r="J208" s="17"/>
      <c r="K208" s="17"/>
      <c r="L208" s="15"/>
      <c r="M208" s="15"/>
      <c r="N208" s="15"/>
      <c r="O208" s="18"/>
      <c r="P208" s="18"/>
      <c r="Q208" s="18" t="str">
        <f>IF(AND(A208&lt;&gt;"",P208&lt;&gt;"",D208&lt;&gt;"Closed",D208&lt;&gt;"Cancelled"),COUNTIFS($P$9:P208,"&lt;&gt;",$D$9:D208,"&lt;&gt;Closed",$D$9:D208,"&lt;&gt;Cancelled"),"")</f>
        <v/>
      </c>
      <c r="R208" s="18" t="str">
        <f t="shared" si="7"/>
        <v/>
      </c>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row>
    <row r="209" spans="1:44" ht="40" hidden="1" customHeight="1" x14ac:dyDescent="0.35">
      <c r="A209" s="34"/>
      <c r="B209" s="15"/>
      <c r="C209" s="15"/>
      <c r="D209" s="15"/>
      <c r="E209" s="14" t="str">
        <f t="shared" si="6"/>
        <v/>
      </c>
      <c r="F209" s="14" t="str">
        <f>IF(A209="","",COUNTIF(Quotes!$B$9:$B$258,A209))</f>
        <v/>
      </c>
      <c r="G209" s="16" t="str">
        <f>IF(A209="","",SUMIF(Quotes!$B$9:$B$258,A209,Quotes!$AI$9:$AI$258))</f>
        <v/>
      </c>
      <c r="H209" s="16" t="str">
        <f>IF(A209="","",SUMIF(Quotes!$B$9:$B$258,A209,Quotes!$AJ$9:$AJ$258))</f>
        <v/>
      </c>
      <c r="I209" s="15"/>
      <c r="J209" s="17"/>
      <c r="K209" s="17"/>
      <c r="L209" s="15"/>
      <c r="M209" s="15"/>
      <c r="N209" s="15"/>
      <c r="O209" s="14"/>
      <c r="P209" s="14"/>
      <c r="Q209" s="14" t="str">
        <f>IF(AND(A209&lt;&gt;"",P209&lt;&gt;"",D209&lt;&gt;"Closed",D209&lt;&gt;"Cancelled"),COUNTIFS($P$9:P209,"&lt;&gt;",$D$9:D209,"&lt;&gt;Closed",$D$9:D209,"&lt;&gt;Cancelled"),"")</f>
        <v/>
      </c>
      <c r="R209" s="14" t="str">
        <f t="shared" si="7"/>
        <v/>
      </c>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row>
    <row r="210" spans="1:44" ht="40" hidden="1" customHeight="1" x14ac:dyDescent="0.35">
      <c r="A210" s="35"/>
      <c r="B210" s="15"/>
      <c r="C210" s="15"/>
      <c r="D210" s="15"/>
      <c r="E210" s="18" t="str">
        <f t="shared" si="6"/>
        <v/>
      </c>
      <c r="F210" s="18" t="str">
        <f>IF(A210="","",COUNTIF(Quotes!$B$9:$B$258,A210))</f>
        <v/>
      </c>
      <c r="G210" s="19" t="str">
        <f>IF(A210="","",SUMIF(Quotes!$B$9:$B$258,A210,Quotes!$AI$9:$AI$258))</f>
        <v/>
      </c>
      <c r="H210" s="19" t="str">
        <f>IF(A210="","",SUMIF(Quotes!$B$9:$B$258,A210,Quotes!$AJ$9:$AJ$258))</f>
        <v/>
      </c>
      <c r="I210" s="15"/>
      <c r="J210" s="17"/>
      <c r="K210" s="17"/>
      <c r="L210" s="15"/>
      <c r="M210" s="15"/>
      <c r="N210" s="15"/>
      <c r="O210" s="18"/>
      <c r="P210" s="18"/>
      <c r="Q210" s="18" t="str">
        <f>IF(AND(A210&lt;&gt;"",P210&lt;&gt;"",D210&lt;&gt;"Closed",D210&lt;&gt;"Cancelled"),COUNTIFS($P$9:P210,"&lt;&gt;",$D$9:D210,"&lt;&gt;Closed",$D$9:D210,"&lt;&gt;Cancelled"),"")</f>
        <v/>
      </c>
      <c r="R210" s="18" t="str">
        <f t="shared" si="7"/>
        <v/>
      </c>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row>
    <row r="211" spans="1:44" ht="40" hidden="1" customHeight="1" x14ac:dyDescent="0.35">
      <c r="A211" s="34"/>
      <c r="B211" s="15"/>
      <c r="C211" s="15"/>
      <c r="D211" s="15"/>
      <c r="E211" s="14" t="str">
        <f t="shared" si="6"/>
        <v/>
      </c>
      <c r="F211" s="14" t="str">
        <f>IF(A211="","",COUNTIF(Quotes!$B$9:$B$258,A211))</f>
        <v/>
      </c>
      <c r="G211" s="16" t="str">
        <f>IF(A211="","",SUMIF(Quotes!$B$9:$B$258,A211,Quotes!$AI$9:$AI$258))</f>
        <v/>
      </c>
      <c r="H211" s="16" t="str">
        <f>IF(A211="","",SUMIF(Quotes!$B$9:$B$258,A211,Quotes!$AJ$9:$AJ$258))</f>
        <v/>
      </c>
      <c r="I211" s="15"/>
      <c r="J211" s="17"/>
      <c r="K211" s="17"/>
      <c r="L211" s="15"/>
      <c r="M211" s="15"/>
      <c r="N211" s="15"/>
      <c r="O211" s="14"/>
      <c r="P211" s="14"/>
      <c r="Q211" s="14" t="str">
        <f>IF(AND(A211&lt;&gt;"",P211&lt;&gt;"",D211&lt;&gt;"Closed",D211&lt;&gt;"Cancelled"),COUNTIFS($P$9:P211,"&lt;&gt;",$D$9:D211,"&lt;&gt;Closed",$D$9:D211,"&lt;&gt;Cancelled"),"")</f>
        <v/>
      </c>
      <c r="R211" s="14" t="str">
        <f t="shared" si="7"/>
        <v/>
      </c>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row>
    <row r="212" spans="1:44" ht="40" hidden="1" customHeight="1" x14ac:dyDescent="0.35">
      <c r="A212" s="35"/>
      <c r="B212" s="15"/>
      <c r="C212" s="15"/>
      <c r="D212" s="15"/>
      <c r="E212" s="18" t="str">
        <f t="shared" si="6"/>
        <v/>
      </c>
      <c r="F212" s="18" t="str">
        <f>IF(A212="","",COUNTIF(Quotes!$B$9:$B$258,A212))</f>
        <v/>
      </c>
      <c r="G212" s="19" t="str">
        <f>IF(A212="","",SUMIF(Quotes!$B$9:$B$258,A212,Quotes!$AI$9:$AI$258))</f>
        <v/>
      </c>
      <c r="H212" s="19" t="str">
        <f>IF(A212="","",SUMIF(Quotes!$B$9:$B$258,A212,Quotes!$AJ$9:$AJ$258))</f>
        <v/>
      </c>
      <c r="I212" s="15"/>
      <c r="J212" s="17"/>
      <c r="K212" s="17"/>
      <c r="L212" s="15"/>
      <c r="M212" s="15"/>
      <c r="N212" s="15"/>
      <c r="O212" s="18"/>
      <c r="P212" s="18"/>
      <c r="Q212" s="18" t="str">
        <f>IF(AND(A212&lt;&gt;"",P212&lt;&gt;"",D212&lt;&gt;"Closed",D212&lt;&gt;"Cancelled"),COUNTIFS($P$9:P212,"&lt;&gt;",$D$9:D212,"&lt;&gt;Closed",$D$9:D212,"&lt;&gt;Cancelled"),"")</f>
        <v/>
      </c>
      <c r="R212" s="18" t="str">
        <f t="shared" si="7"/>
        <v/>
      </c>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row>
    <row r="213" spans="1:44" ht="40" hidden="1" customHeight="1" x14ac:dyDescent="0.35">
      <c r="A213" s="34"/>
      <c r="B213" s="15"/>
      <c r="C213" s="15"/>
      <c r="D213" s="15"/>
      <c r="E213" s="14" t="str">
        <f t="shared" si="6"/>
        <v/>
      </c>
      <c r="F213" s="14" t="str">
        <f>IF(A213="","",COUNTIF(Quotes!$B$9:$B$258,A213))</f>
        <v/>
      </c>
      <c r="G213" s="16" t="str">
        <f>IF(A213="","",SUMIF(Quotes!$B$9:$B$258,A213,Quotes!$AI$9:$AI$258))</f>
        <v/>
      </c>
      <c r="H213" s="16" t="str">
        <f>IF(A213="","",SUMIF(Quotes!$B$9:$B$258,A213,Quotes!$AJ$9:$AJ$258))</f>
        <v/>
      </c>
      <c r="I213" s="15"/>
      <c r="J213" s="17"/>
      <c r="K213" s="17"/>
      <c r="L213" s="15"/>
      <c r="M213" s="15"/>
      <c r="N213" s="15"/>
      <c r="O213" s="14"/>
      <c r="P213" s="14"/>
      <c r="Q213" s="14" t="str">
        <f>IF(AND(A213&lt;&gt;"",P213&lt;&gt;"",D213&lt;&gt;"Closed",D213&lt;&gt;"Cancelled"),COUNTIFS($P$9:P213,"&lt;&gt;",$D$9:D213,"&lt;&gt;Closed",$D$9:D213,"&lt;&gt;Cancelled"),"")</f>
        <v/>
      </c>
      <c r="R213" s="14" t="str">
        <f t="shared" si="7"/>
        <v/>
      </c>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row>
    <row r="214" spans="1:44" ht="40" hidden="1" customHeight="1" x14ac:dyDescent="0.35">
      <c r="A214" s="35"/>
      <c r="B214" s="15"/>
      <c r="C214" s="15"/>
      <c r="D214" s="15"/>
      <c r="E214" s="18" t="str">
        <f t="shared" si="6"/>
        <v/>
      </c>
      <c r="F214" s="18" t="str">
        <f>IF(A214="","",COUNTIF(Quotes!$B$9:$B$258,A214))</f>
        <v/>
      </c>
      <c r="G214" s="19" t="str">
        <f>IF(A214="","",SUMIF(Quotes!$B$9:$B$258,A214,Quotes!$AI$9:$AI$258))</f>
        <v/>
      </c>
      <c r="H214" s="19" t="str">
        <f>IF(A214="","",SUMIF(Quotes!$B$9:$B$258,A214,Quotes!$AJ$9:$AJ$258))</f>
        <v/>
      </c>
      <c r="I214" s="15"/>
      <c r="J214" s="17"/>
      <c r="K214" s="17"/>
      <c r="L214" s="15"/>
      <c r="M214" s="15"/>
      <c r="N214" s="15"/>
      <c r="O214" s="18"/>
      <c r="P214" s="18"/>
      <c r="Q214" s="18" t="str">
        <f>IF(AND(A214&lt;&gt;"",P214&lt;&gt;"",D214&lt;&gt;"Closed",D214&lt;&gt;"Cancelled"),COUNTIFS($P$9:P214,"&lt;&gt;",$D$9:D214,"&lt;&gt;Closed",$D$9:D214,"&lt;&gt;Cancelled"),"")</f>
        <v/>
      </c>
      <c r="R214" s="18" t="str">
        <f t="shared" si="7"/>
        <v/>
      </c>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row>
    <row r="215" spans="1:44" ht="40" hidden="1" customHeight="1" x14ac:dyDescent="0.35">
      <c r="A215" s="34"/>
      <c r="B215" s="15"/>
      <c r="C215" s="15"/>
      <c r="D215" s="15"/>
      <c r="E215" s="14" t="str">
        <f t="shared" si="6"/>
        <v/>
      </c>
      <c r="F215" s="14" t="str">
        <f>IF(A215="","",COUNTIF(Quotes!$B$9:$B$258,A215))</f>
        <v/>
      </c>
      <c r="G215" s="16" t="str">
        <f>IF(A215="","",SUMIF(Quotes!$B$9:$B$258,A215,Quotes!$AI$9:$AI$258))</f>
        <v/>
      </c>
      <c r="H215" s="16" t="str">
        <f>IF(A215="","",SUMIF(Quotes!$B$9:$B$258,A215,Quotes!$AJ$9:$AJ$258))</f>
        <v/>
      </c>
      <c r="I215" s="15"/>
      <c r="J215" s="17"/>
      <c r="K215" s="17"/>
      <c r="L215" s="15"/>
      <c r="M215" s="15"/>
      <c r="N215" s="15"/>
      <c r="O215" s="14"/>
      <c r="P215" s="14"/>
      <c r="Q215" s="14" t="str">
        <f>IF(AND(A215&lt;&gt;"",P215&lt;&gt;"",D215&lt;&gt;"Closed",D215&lt;&gt;"Cancelled"),COUNTIFS($P$9:P215,"&lt;&gt;",$D$9:D215,"&lt;&gt;Closed",$D$9:D215,"&lt;&gt;Cancelled"),"")</f>
        <v/>
      </c>
      <c r="R215" s="14" t="str">
        <f t="shared" si="7"/>
        <v/>
      </c>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row>
    <row r="216" spans="1:44" ht="40" hidden="1" customHeight="1" x14ac:dyDescent="0.35">
      <c r="A216" s="35"/>
      <c r="B216" s="15"/>
      <c r="C216" s="15"/>
      <c r="D216" s="15"/>
      <c r="E216" s="18" t="str">
        <f t="shared" si="6"/>
        <v/>
      </c>
      <c r="F216" s="18" t="str">
        <f>IF(A216="","",COUNTIF(Quotes!$B$9:$B$258,A216))</f>
        <v/>
      </c>
      <c r="G216" s="19" t="str">
        <f>IF(A216="","",SUMIF(Quotes!$B$9:$B$258,A216,Quotes!$AI$9:$AI$258))</f>
        <v/>
      </c>
      <c r="H216" s="19" t="str">
        <f>IF(A216="","",SUMIF(Quotes!$B$9:$B$258,A216,Quotes!$AJ$9:$AJ$258))</f>
        <v/>
      </c>
      <c r="I216" s="15"/>
      <c r="J216" s="17"/>
      <c r="K216" s="17"/>
      <c r="L216" s="15"/>
      <c r="M216" s="15"/>
      <c r="N216" s="15"/>
      <c r="O216" s="18"/>
      <c r="P216" s="18"/>
      <c r="Q216" s="18" t="str">
        <f>IF(AND(A216&lt;&gt;"",P216&lt;&gt;"",D216&lt;&gt;"Closed",D216&lt;&gt;"Cancelled"),COUNTIFS($P$9:P216,"&lt;&gt;",$D$9:D216,"&lt;&gt;Closed",$D$9:D216,"&lt;&gt;Cancelled"),"")</f>
        <v/>
      </c>
      <c r="R216" s="18" t="str">
        <f t="shared" si="7"/>
        <v/>
      </c>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row>
    <row r="217" spans="1:44" ht="40" hidden="1" customHeight="1" x14ac:dyDescent="0.35">
      <c r="A217" s="34"/>
      <c r="B217" s="15"/>
      <c r="C217" s="15"/>
      <c r="D217" s="15"/>
      <c r="E217" s="14" t="str">
        <f t="shared" si="6"/>
        <v/>
      </c>
      <c r="F217" s="14" t="str">
        <f>IF(A217="","",COUNTIF(Quotes!$B$9:$B$258,A217))</f>
        <v/>
      </c>
      <c r="G217" s="16" t="str">
        <f>IF(A217="","",SUMIF(Quotes!$B$9:$B$258,A217,Quotes!$AI$9:$AI$258))</f>
        <v/>
      </c>
      <c r="H217" s="16" t="str">
        <f>IF(A217="","",SUMIF(Quotes!$B$9:$B$258,A217,Quotes!$AJ$9:$AJ$258))</f>
        <v/>
      </c>
      <c r="I217" s="15"/>
      <c r="J217" s="17"/>
      <c r="K217" s="17"/>
      <c r="L217" s="15"/>
      <c r="M217" s="15"/>
      <c r="N217" s="15"/>
      <c r="O217" s="14"/>
      <c r="P217" s="14"/>
      <c r="Q217" s="14" t="str">
        <f>IF(AND(A217&lt;&gt;"",P217&lt;&gt;"",D217&lt;&gt;"Closed",D217&lt;&gt;"Cancelled"),COUNTIFS($P$9:P217,"&lt;&gt;",$D$9:D217,"&lt;&gt;Closed",$D$9:D217,"&lt;&gt;Cancelled"),"")</f>
        <v/>
      </c>
      <c r="R217" s="14" t="str">
        <f t="shared" si="7"/>
        <v/>
      </c>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row>
    <row r="218" spans="1:44" ht="40" hidden="1" customHeight="1" x14ac:dyDescent="0.35">
      <c r="A218" s="35"/>
      <c r="B218" s="15"/>
      <c r="C218" s="15"/>
      <c r="D218" s="15"/>
      <c r="E218" s="18" t="str">
        <f t="shared" si="6"/>
        <v/>
      </c>
      <c r="F218" s="18" t="str">
        <f>IF(A218="","",COUNTIF(Quotes!$B$9:$B$258,A218))</f>
        <v/>
      </c>
      <c r="G218" s="19" t="str">
        <f>IF(A218="","",SUMIF(Quotes!$B$9:$B$258,A218,Quotes!$AI$9:$AI$258))</f>
        <v/>
      </c>
      <c r="H218" s="19" t="str">
        <f>IF(A218="","",SUMIF(Quotes!$B$9:$B$258,A218,Quotes!$AJ$9:$AJ$258))</f>
        <v/>
      </c>
      <c r="I218" s="15"/>
      <c r="J218" s="17"/>
      <c r="K218" s="17"/>
      <c r="L218" s="15"/>
      <c r="M218" s="15"/>
      <c r="N218" s="15"/>
      <c r="O218" s="18"/>
      <c r="P218" s="18"/>
      <c r="Q218" s="18" t="str">
        <f>IF(AND(A218&lt;&gt;"",P218&lt;&gt;"",D218&lt;&gt;"Closed",D218&lt;&gt;"Cancelled"),COUNTIFS($P$9:P218,"&lt;&gt;",$D$9:D218,"&lt;&gt;Closed",$D$9:D218,"&lt;&gt;Cancelled"),"")</f>
        <v/>
      </c>
      <c r="R218" s="18" t="str">
        <f t="shared" si="7"/>
        <v/>
      </c>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row>
    <row r="219" spans="1:44" ht="40" hidden="1" customHeight="1" x14ac:dyDescent="0.35">
      <c r="A219" s="34"/>
      <c r="B219" s="15"/>
      <c r="C219" s="15"/>
      <c r="D219" s="15"/>
      <c r="E219" s="14" t="str">
        <f t="shared" si="6"/>
        <v/>
      </c>
      <c r="F219" s="14" t="str">
        <f>IF(A219="","",COUNTIF(Quotes!$B$9:$B$258,A219))</f>
        <v/>
      </c>
      <c r="G219" s="16" t="str">
        <f>IF(A219="","",SUMIF(Quotes!$B$9:$B$258,A219,Quotes!$AI$9:$AI$258))</f>
        <v/>
      </c>
      <c r="H219" s="16" t="str">
        <f>IF(A219="","",SUMIF(Quotes!$B$9:$B$258,A219,Quotes!$AJ$9:$AJ$258))</f>
        <v/>
      </c>
      <c r="I219" s="15"/>
      <c r="J219" s="17"/>
      <c r="K219" s="17"/>
      <c r="L219" s="15"/>
      <c r="M219" s="15"/>
      <c r="N219" s="15"/>
      <c r="O219" s="14"/>
      <c r="P219" s="14"/>
      <c r="Q219" s="14" t="str">
        <f>IF(AND(A219&lt;&gt;"",P219&lt;&gt;"",D219&lt;&gt;"Closed",D219&lt;&gt;"Cancelled"),COUNTIFS($P$9:P219,"&lt;&gt;",$D$9:D219,"&lt;&gt;Closed",$D$9:D219,"&lt;&gt;Cancelled"),"")</f>
        <v/>
      </c>
      <c r="R219" s="14" t="str">
        <f t="shared" si="7"/>
        <v/>
      </c>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row>
    <row r="220" spans="1:44" ht="40" hidden="1" customHeight="1" x14ac:dyDescent="0.35">
      <c r="A220" s="35"/>
      <c r="B220" s="15"/>
      <c r="C220" s="15"/>
      <c r="D220" s="15"/>
      <c r="E220" s="18" t="str">
        <f t="shared" si="6"/>
        <v/>
      </c>
      <c r="F220" s="18" t="str">
        <f>IF(A220="","",COUNTIF(Quotes!$B$9:$B$258,A220))</f>
        <v/>
      </c>
      <c r="G220" s="19" t="str">
        <f>IF(A220="","",SUMIF(Quotes!$B$9:$B$258,A220,Quotes!$AI$9:$AI$258))</f>
        <v/>
      </c>
      <c r="H220" s="19" t="str">
        <f>IF(A220="","",SUMIF(Quotes!$B$9:$B$258,A220,Quotes!$AJ$9:$AJ$258))</f>
        <v/>
      </c>
      <c r="I220" s="15"/>
      <c r="J220" s="17"/>
      <c r="K220" s="17"/>
      <c r="L220" s="15"/>
      <c r="M220" s="15"/>
      <c r="N220" s="15"/>
      <c r="O220" s="18"/>
      <c r="P220" s="18"/>
      <c r="Q220" s="18" t="str">
        <f>IF(AND(A220&lt;&gt;"",P220&lt;&gt;"",D220&lt;&gt;"Closed",D220&lt;&gt;"Cancelled"),COUNTIFS($P$9:P220,"&lt;&gt;",$D$9:D220,"&lt;&gt;Closed",$D$9:D220,"&lt;&gt;Cancelled"),"")</f>
        <v/>
      </c>
      <c r="R220" s="18" t="str">
        <f t="shared" si="7"/>
        <v/>
      </c>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row>
    <row r="221" spans="1:44" ht="40" hidden="1" customHeight="1" x14ac:dyDescent="0.35">
      <c r="A221" s="34"/>
      <c r="B221" s="15"/>
      <c r="C221" s="15"/>
      <c r="D221" s="15"/>
      <c r="E221" s="14" t="str">
        <f t="shared" si="6"/>
        <v/>
      </c>
      <c r="F221" s="14" t="str">
        <f>IF(A221="","",COUNTIF(Quotes!$B$9:$B$258,A221))</f>
        <v/>
      </c>
      <c r="G221" s="16" t="str">
        <f>IF(A221="","",SUMIF(Quotes!$B$9:$B$258,A221,Quotes!$AI$9:$AI$258))</f>
        <v/>
      </c>
      <c r="H221" s="16" t="str">
        <f>IF(A221="","",SUMIF(Quotes!$B$9:$B$258,A221,Quotes!$AJ$9:$AJ$258))</f>
        <v/>
      </c>
      <c r="I221" s="15"/>
      <c r="J221" s="17"/>
      <c r="K221" s="17"/>
      <c r="L221" s="15"/>
      <c r="M221" s="15"/>
      <c r="N221" s="15"/>
      <c r="O221" s="14"/>
      <c r="P221" s="14"/>
      <c r="Q221" s="14" t="str">
        <f>IF(AND(A221&lt;&gt;"",P221&lt;&gt;"",D221&lt;&gt;"Closed",D221&lt;&gt;"Cancelled"),COUNTIFS($P$9:P221,"&lt;&gt;",$D$9:D221,"&lt;&gt;Closed",$D$9:D221,"&lt;&gt;Cancelled"),"")</f>
        <v/>
      </c>
      <c r="R221" s="14" t="str">
        <f t="shared" si="7"/>
        <v/>
      </c>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row>
    <row r="222" spans="1:44" ht="40" hidden="1" customHeight="1" x14ac:dyDescent="0.35">
      <c r="A222" s="35"/>
      <c r="B222" s="15"/>
      <c r="C222" s="15"/>
      <c r="D222" s="15"/>
      <c r="E222" s="18" t="str">
        <f t="shared" si="6"/>
        <v/>
      </c>
      <c r="F222" s="18" t="str">
        <f>IF(A222="","",COUNTIF(Quotes!$B$9:$B$258,A222))</f>
        <v/>
      </c>
      <c r="G222" s="19" t="str">
        <f>IF(A222="","",SUMIF(Quotes!$B$9:$B$258,A222,Quotes!$AI$9:$AI$258))</f>
        <v/>
      </c>
      <c r="H222" s="19" t="str">
        <f>IF(A222="","",SUMIF(Quotes!$B$9:$B$258,A222,Quotes!$AJ$9:$AJ$258))</f>
        <v/>
      </c>
      <c r="I222" s="15"/>
      <c r="J222" s="17"/>
      <c r="K222" s="17"/>
      <c r="L222" s="15"/>
      <c r="M222" s="15"/>
      <c r="N222" s="15"/>
      <c r="O222" s="18"/>
      <c r="P222" s="18"/>
      <c r="Q222" s="18" t="str">
        <f>IF(AND(A222&lt;&gt;"",P222&lt;&gt;"",D222&lt;&gt;"Closed",D222&lt;&gt;"Cancelled"),COUNTIFS($P$9:P222,"&lt;&gt;",$D$9:D222,"&lt;&gt;Closed",$D$9:D222,"&lt;&gt;Cancelled"),"")</f>
        <v/>
      </c>
      <c r="R222" s="18" t="str">
        <f t="shared" si="7"/>
        <v/>
      </c>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row>
    <row r="223" spans="1:44" ht="40" hidden="1" customHeight="1" x14ac:dyDescent="0.35">
      <c r="A223" s="34"/>
      <c r="B223" s="15"/>
      <c r="C223" s="15"/>
      <c r="D223" s="15"/>
      <c r="E223" s="14" t="str">
        <f t="shared" si="6"/>
        <v/>
      </c>
      <c r="F223" s="14" t="str">
        <f>IF(A223="","",COUNTIF(Quotes!$B$9:$B$258,A223))</f>
        <v/>
      </c>
      <c r="G223" s="16" t="str">
        <f>IF(A223="","",SUMIF(Quotes!$B$9:$B$258,A223,Quotes!$AI$9:$AI$258))</f>
        <v/>
      </c>
      <c r="H223" s="16" t="str">
        <f>IF(A223="","",SUMIF(Quotes!$B$9:$B$258,A223,Quotes!$AJ$9:$AJ$258))</f>
        <v/>
      </c>
      <c r="I223" s="15"/>
      <c r="J223" s="17"/>
      <c r="K223" s="17"/>
      <c r="L223" s="15"/>
      <c r="M223" s="15"/>
      <c r="N223" s="15"/>
      <c r="O223" s="14"/>
      <c r="P223" s="14"/>
      <c r="Q223" s="14" t="str">
        <f>IF(AND(A223&lt;&gt;"",P223&lt;&gt;"",D223&lt;&gt;"Closed",D223&lt;&gt;"Cancelled"),COUNTIFS($P$9:P223,"&lt;&gt;",$D$9:D223,"&lt;&gt;Closed",$D$9:D223,"&lt;&gt;Cancelled"),"")</f>
        <v/>
      </c>
      <c r="R223" s="14" t="str">
        <f t="shared" si="7"/>
        <v/>
      </c>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row>
    <row r="224" spans="1:44" ht="40" hidden="1" customHeight="1" x14ac:dyDescent="0.35">
      <c r="A224" s="35"/>
      <c r="B224" s="15"/>
      <c r="C224" s="15"/>
      <c r="D224" s="15"/>
      <c r="E224" s="18" t="str">
        <f t="shared" si="6"/>
        <v/>
      </c>
      <c r="F224" s="18" t="str">
        <f>IF(A224="","",COUNTIF(Quotes!$B$9:$B$258,A224))</f>
        <v/>
      </c>
      <c r="G224" s="19" t="str">
        <f>IF(A224="","",SUMIF(Quotes!$B$9:$B$258,A224,Quotes!$AI$9:$AI$258))</f>
        <v/>
      </c>
      <c r="H224" s="19" t="str">
        <f>IF(A224="","",SUMIF(Quotes!$B$9:$B$258,A224,Quotes!$AJ$9:$AJ$258))</f>
        <v/>
      </c>
      <c r="I224" s="15"/>
      <c r="J224" s="17"/>
      <c r="K224" s="17"/>
      <c r="L224" s="15"/>
      <c r="M224" s="15"/>
      <c r="N224" s="15"/>
      <c r="O224" s="18"/>
      <c r="P224" s="18"/>
      <c r="Q224" s="18" t="str">
        <f>IF(AND(A224&lt;&gt;"",P224&lt;&gt;"",D224&lt;&gt;"Closed",D224&lt;&gt;"Cancelled"),COUNTIFS($P$9:P224,"&lt;&gt;",$D$9:D224,"&lt;&gt;Closed",$D$9:D224,"&lt;&gt;Cancelled"),"")</f>
        <v/>
      </c>
      <c r="R224" s="18" t="str">
        <f t="shared" si="7"/>
        <v/>
      </c>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row>
    <row r="225" spans="1:44" ht="40" hidden="1" customHeight="1" x14ac:dyDescent="0.35">
      <c r="A225" s="34"/>
      <c r="B225" s="15"/>
      <c r="C225" s="15"/>
      <c r="D225" s="15"/>
      <c r="E225" s="14" t="str">
        <f t="shared" si="6"/>
        <v/>
      </c>
      <c r="F225" s="14" t="str">
        <f>IF(A225="","",COUNTIF(Quotes!$B$9:$B$258,A225))</f>
        <v/>
      </c>
      <c r="G225" s="16" t="str">
        <f>IF(A225="","",SUMIF(Quotes!$B$9:$B$258,A225,Quotes!$AI$9:$AI$258))</f>
        <v/>
      </c>
      <c r="H225" s="16" t="str">
        <f>IF(A225="","",SUMIF(Quotes!$B$9:$B$258,A225,Quotes!$AJ$9:$AJ$258))</f>
        <v/>
      </c>
      <c r="I225" s="15"/>
      <c r="J225" s="17"/>
      <c r="K225" s="17"/>
      <c r="L225" s="15"/>
      <c r="M225" s="15"/>
      <c r="N225" s="15"/>
      <c r="O225" s="14"/>
      <c r="P225" s="14"/>
      <c r="Q225" s="14" t="str">
        <f>IF(AND(A225&lt;&gt;"",P225&lt;&gt;"",D225&lt;&gt;"Closed",D225&lt;&gt;"Cancelled"),COUNTIFS($P$9:P225,"&lt;&gt;",$D$9:D225,"&lt;&gt;Closed",$D$9:D225,"&lt;&gt;Cancelled"),"")</f>
        <v/>
      </c>
      <c r="R225" s="14" t="str">
        <f t="shared" si="7"/>
        <v/>
      </c>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row>
    <row r="226" spans="1:44" ht="40" hidden="1" customHeight="1" x14ac:dyDescent="0.35">
      <c r="A226" s="35"/>
      <c r="B226" s="15"/>
      <c r="C226" s="15"/>
      <c r="D226" s="15"/>
      <c r="E226" s="18" t="str">
        <f t="shared" si="6"/>
        <v/>
      </c>
      <c r="F226" s="18" t="str">
        <f>IF(A226="","",COUNTIF(Quotes!$B$9:$B$258,A226))</f>
        <v/>
      </c>
      <c r="G226" s="19" t="str">
        <f>IF(A226="","",SUMIF(Quotes!$B$9:$B$258,A226,Quotes!$AI$9:$AI$258))</f>
        <v/>
      </c>
      <c r="H226" s="19" t="str">
        <f>IF(A226="","",SUMIF(Quotes!$B$9:$B$258,A226,Quotes!$AJ$9:$AJ$258))</f>
        <v/>
      </c>
      <c r="I226" s="15"/>
      <c r="J226" s="17"/>
      <c r="K226" s="17"/>
      <c r="L226" s="15"/>
      <c r="M226" s="15"/>
      <c r="N226" s="15"/>
      <c r="O226" s="18"/>
      <c r="P226" s="18"/>
      <c r="Q226" s="18" t="str">
        <f>IF(AND(A226&lt;&gt;"",P226&lt;&gt;"",D226&lt;&gt;"Closed",D226&lt;&gt;"Cancelled"),COUNTIFS($P$9:P226,"&lt;&gt;",$D$9:D226,"&lt;&gt;Closed",$D$9:D226,"&lt;&gt;Cancelled"),"")</f>
        <v/>
      </c>
      <c r="R226" s="18" t="str">
        <f t="shared" si="7"/>
        <v/>
      </c>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row>
    <row r="227" spans="1:44" ht="40" hidden="1" customHeight="1" x14ac:dyDescent="0.35">
      <c r="A227" s="34"/>
      <c r="B227" s="15"/>
      <c r="C227" s="15"/>
      <c r="D227" s="15"/>
      <c r="E227" s="14" t="str">
        <f t="shared" si="6"/>
        <v/>
      </c>
      <c r="F227" s="14" t="str">
        <f>IF(A227="","",COUNTIF(Quotes!$B$9:$B$258,A227))</f>
        <v/>
      </c>
      <c r="G227" s="16" t="str">
        <f>IF(A227="","",SUMIF(Quotes!$B$9:$B$258,A227,Quotes!$AI$9:$AI$258))</f>
        <v/>
      </c>
      <c r="H227" s="16" t="str">
        <f>IF(A227="","",SUMIF(Quotes!$B$9:$B$258,A227,Quotes!$AJ$9:$AJ$258))</f>
        <v/>
      </c>
      <c r="I227" s="15"/>
      <c r="J227" s="17"/>
      <c r="K227" s="17"/>
      <c r="L227" s="15"/>
      <c r="M227" s="15"/>
      <c r="N227" s="15"/>
      <c r="O227" s="14"/>
      <c r="P227" s="14"/>
      <c r="Q227" s="14" t="str">
        <f>IF(AND(A227&lt;&gt;"",P227&lt;&gt;"",D227&lt;&gt;"Closed",D227&lt;&gt;"Cancelled"),COUNTIFS($P$9:P227,"&lt;&gt;",$D$9:D227,"&lt;&gt;Closed",$D$9:D227,"&lt;&gt;Cancelled"),"")</f>
        <v/>
      </c>
      <c r="R227" s="14" t="str">
        <f t="shared" si="7"/>
        <v/>
      </c>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row>
    <row r="228" spans="1:44" ht="40" hidden="1" customHeight="1" x14ac:dyDescent="0.35">
      <c r="A228" s="35"/>
      <c r="B228" s="15"/>
      <c r="C228" s="15"/>
      <c r="D228" s="15"/>
      <c r="E228" s="18" t="str">
        <f t="shared" si="6"/>
        <v/>
      </c>
      <c r="F228" s="18" t="str">
        <f>IF(A228="","",COUNTIF(Quotes!$B$9:$B$258,A228))</f>
        <v/>
      </c>
      <c r="G228" s="19" t="str">
        <f>IF(A228="","",SUMIF(Quotes!$B$9:$B$258,A228,Quotes!$AI$9:$AI$258))</f>
        <v/>
      </c>
      <c r="H228" s="19" t="str">
        <f>IF(A228="","",SUMIF(Quotes!$B$9:$B$258,A228,Quotes!$AJ$9:$AJ$258))</f>
        <v/>
      </c>
      <c r="I228" s="15"/>
      <c r="J228" s="17"/>
      <c r="K228" s="17"/>
      <c r="L228" s="15"/>
      <c r="M228" s="15"/>
      <c r="N228" s="15"/>
      <c r="O228" s="18"/>
      <c r="P228" s="18"/>
      <c r="Q228" s="18" t="str">
        <f>IF(AND(A228&lt;&gt;"",P228&lt;&gt;"",D228&lt;&gt;"Closed",D228&lt;&gt;"Cancelled"),COUNTIFS($P$9:P228,"&lt;&gt;",$D$9:D228,"&lt;&gt;Closed",$D$9:D228,"&lt;&gt;Cancelled"),"")</f>
        <v/>
      </c>
      <c r="R228" s="18" t="str">
        <f t="shared" si="7"/>
        <v/>
      </c>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row>
    <row r="229" spans="1:44" ht="40" hidden="1" customHeight="1" x14ac:dyDescent="0.35">
      <c r="A229" s="34"/>
      <c r="B229" s="15"/>
      <c r="C229" s="15"/>
      <c r="D229" s="15"/>
      <c r="E229" s="14" t="str">
        <f t="shared" si="6"/>
        <v/>
      </c>
      <c r="F229" s="14" t="str">
        <f>IF(A229="","",COUNTIF(Quotes!$B$9:$B$258,A229))</f>
        <v/>
      </c>
      <c r="G229" s="16" t="str">
        <f>IF(A229="","",SUMIF(Quotes!$B$9:$B$258,A229,Quotes!$AI$9:$AI$258))</f>
        <v/>
      </c>
      <c r="H229" s="16" t="str">
        <f>IF(A229="","",SUMIF(Quotes!$B$9:$B$258,A229,Quotes!$AJ$9:$AJ$258))</f>
        <v/>
      </c>
      <c r="I229" s="15"/>
      <c r="J229" s="17"/>
      <c r="K229" s="17"/>
      <c r="L229" s="15"/>
      <c r="M229" s="15"/>
      <c r="N229" s="15"/>
      <c r="O229" s="14"/>
      <c r="P229" s="14"/>
      <c r="Q229" s="14" t="str">
        <f>IF(AND(A229&lt;&gt;"",P229&lt;&gt;"",D229&lt;&gt;"Closed",D229&lt;&gt;"Cancelled"),COUNTIFS($P$9:P229,"&lt;&gt;",$D$9:D229,"&lt;&gt;Closed",$D$9:D229,"&lt;&gt;Cancelled"),"")</f>
        <v/>
      </c>
      <c r="R229" s="14" t="str">
        <f t="shared" si="7"/>
        <v/>
      </c>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row>
    <row r="230" spans="1:44" ht="40" hidden="1" customHeight="1" x14ac:dyDescent="0.35">
      <c r="A230" s="35"/>
      <c r="B230" s="15"/>
      <c r="C230" s="15"/>
      <c r="D230" s="15"/>
      <c r="E230" s="18" t="str">
        <f t="shared" si="6"/>
        <v/>
      </c>
      <c r="F230" s="18" t="str">
        <f>IF(A230="","",COUNTIF(Quotes!$B$9:$B$258,A230))</f>
        <v/>
      </c>
      <c r="G230" s="19" t="str">
        <f>IF(A230="","",SUMIF(Quotes!$B$9:$B$258,A230,Quotes!$AI$9:$AI$258))</f>
        <v/>
      </c>
      <c r="H230" s="19" t="str">
        <f>IF(A230="","",SUMIF(Quotes!$B$9:$B$258,A230,Quotes!$AJ$9:$AJ$258))</f>
        <v/>
      </c>
      <c r="I230" s="15"/>
      <c r="J230" s="17"/>
      <c r="K230" s="17"/>
      <c r="L230" s="15"/>
      <c r="M230" s="15"/>
      <c r="N230" s="15"/>
      <c r="O230" s="18"/>
      <c r="P230" s="18"/>
      <c r="Q230" s="18" t="str">
        <f>IF(AND(A230&lt;&gt;"",P230&lt;&gt;"",D230&lt;&gt;"Closed",D230&lt;&gt;"Cancelled"),COUNTIFS($P$9:P230,"&lt;&gt;",$D$9:D230,"&lt;&gt;Closed",$D$9:D230,"&lt;&gt;Cancelled"),"")</f>
        <v/>
      </c>
      <c r="R230" s="18" t="str">
        <f t="shared" si="7"/>
        <v/>
      </c>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row>
    <row r="231" spans="1:44" ht="40" hidden="1" customHeight="1" x14ac:dyDescent="0.35">
      <c r="A231" s="34"/>
      <c r="B231" s="15"/>
      <c r="C231" s="15"/>
      <c r="D231" s="15"/>
      <c r="E231" s="14" t="str">
        <f t="shared" si="6"/>
        <v/>
      </c>
      <c r="F231" s="14" t="str">
        <f>IF(A231="","",COUNTIF(Quotes!$B$9:$B$258,A231))</f>
        <v/>
      </c>
      <c r="G231" s="16" t="str">
        <f>IF(A231="","",SUMIF(Quotes!$B$9:$B$258,A231,Quotes!$AI$9:$AI$258))</f>
        <v/>
      </c>
      <c r="H231" s="16" t="str">
        <f>IF(A231="","",SUMIF(Quotes!$B$9:$B$258,A231,Quotes!$AJ$9:$AJ$258))</f>
        <v/>
      </c>
      <c r="I231" s="15"/>
      <c r="J231" s="17"/>
      <c r="K231" s="17"/>
      <c r="L231" s="15"/>
      <c r="M231" s="15"/>
      <c r="N231" s="15"/>
      <c r="O231" s="14"/>
      <c r="P231" s="14"/>
      <c r="Q231" s="14" t="str">
        <f>IF(AND(A231&lt;&gt;"",P231&lt;&gt;"",D231&lt;&gt;"Closed",D231&lt;&gt;"Cancelled"),COUNTIFS($P$9:P231,"&lt;&gt;",$D$9:D231,"&lt;&gt;Closed",$D$9:D231,"&lt;&gt;Cancelled"),"")</f>
        <v/>
      </c>
      <c r="R231" s="14" t="str">
        <f t="shared" si="7"/>
        <v/>
      </c>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row>
    <row r="232" spans="1:44" ht="40" hidden="1" customHeight="1" x14ac:dyDescent="0.35">
      <c r="A232" s="35"/>
      <c r="B232" s="15"/>
      <c r="C232" s="15"/>
      <c r="D232" s="15"/>
      <c r="E232" s="18" t="str">
        <f t="shared" si="6"/>
        <v/>
      </c>
      <c r="F232" s="18" t="str">
        <f>IF(A232="","",COUNTIF(Quotes!$B$9:$B$258,A232))</f>
        <v/>
      </c>
      <c r="G232" s="19" t="str">
        <f>IF(A232="","",SUMIF(Quotes!$B$9:$B$258,A232,Quotes!$AI$9:$AI$258))</f>
        <v/>
      </c>
      <c r="H232" s="19" t="str">
        <f>IF(A232="","",SUMIF(Quotes!$B$9:$B$258,A232,Quotes!$AJ$9:$AJ$258))</f>
        <v/>
      </c>
      <c r="I232" s="15"/>
      <c r="J232" s="17"/>
      <c r="K232" s="17"/>
      <c r="L232" s="15"/>
      <c r="M232" s="15"/>
      <c r="N232" s="15"/>
      <c r="O232" s="18"/>
      <c r="P232" s="18"/>
      <c r="Q232" s="18" t="str">
        <f>IF(AND(A232&lt;&gt;"",P232&lt;&gt;"",D232&lt;&gt;"Closed",D232&lt;&gt;"Cancelled"),COUNTIFS($P$9:P232,"&lt;&gt;",$D$9:D232,"&lt;&gt;Closed",$D$9:D232,"&lt;&gt;Cancelled"),"")</f>
        <v/>
      </c>
      <c r="R232" s="18" t="str">
        <f t="shared" si="7"/>
        <v/>
      </c>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row>
    <row r="233" spans="1:44" ht="40" hidden="1" customHeight="1" x14ac:dyDescent="0.35">
      <c r="A233" s="34"/>
      <c r="B233" s="15"/>
      <c r="C233" s="15"/>
      <c r="D233" s="15"/>
      <c r="E233" s="14" t="str">
        <f t="shared" si="6"/>
        <v/>
      </c>
      <c r="F233" s="14" t="str">
        <f>IF(A233="","",COUNTIF(Quotes!$B$9:$B$258,A233))</f>
        <v/>
      </c>
      <c r="G233" s="16" t="str">
        <f>IF(A233="","",SUMIF(Quotes!$B$9:$B$258,A233,Quotes!$AI$9:$AI$258))</f>
        <v/>
      </c>
      <c r="H233" s="16" t="str">
        <f>IF(A233="","",SUMIF(Quotes!$B$9:$B$258,A233,Quotes!$AJ$9:$AJ$258))</f>
        <v/>
      </c>
      <c r="I233" s="15"/>
      <c r="J233" s="17"/>
      <c r="K233" s="17"/>
      <c r="L233" s="15"/>
      <c r="M233" s="15"/>
      <c r="N233" s="15"/>
      <c r="O233" s="14"/>
      <c r="P233" s="14"/>
      <c r="Q233" s="14" t="str">
        <f>IF(AND(A233&lt;&gt;"",P233&lt;&gt;"",D233&lt;&gt;"Closed",D233&lt;&gt;"Cancelled"),COUNTIFS($P$9:P233,"&lt;&gt;",$D$9:D233,"&lt;&gt;Closed",$D$9:D233,"&lt;&gt;Cancelled"),"")</f>
        <v/>
      </c>
      <c r="R233" s="14" t="str">
        <f t="shared" si="7"/>
        <v/>
      </c>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row>
    <row r="234" spans="1:44" ht="40" hidden="1" customHeight="1" x14ac:dyDescent="0.35">
      <c r="A234" s="35"/>
      <c r="B234" s="15"/>
      <c r="C234" s="15"/>
      <c r="D234" s="15"/>
      <c r="E234" s="18" t="str">
        <f t="shared" si="6"/>
        <v/>
      </c>
      <c r="F234" s="18" t="str">
        <f>IF(A234="","",COUNTIF(Quotes!$B$9:$B$258,A234))</f>
        <v/>
      </c>
      <c r="G234" s="19" t="str">
        <f>IF(A234="","",SUMIF(Quotes!$B$9:$B$258,A234,Quotes!$AI$9:$AI$258))</f>
        <v/>
      </c>
      <c r="H234" s="19" t="str">
        <f>IF(A234="","",SUMIF(Quotes!$B$9:$B$258,A234,Quotes!$AJ$9:$AJ$258))</f>
        <v/>
      </c>
      <c r="I234" s="15"/>
      <c r="J234" s="17"/>
      <c r="K234" s="17"/>
      <c r="L234" s="15"/>
      <c r="M234" s="15"/>
      <c r="N234" s="15"/>
      <c r="O234" s="18"/>
      <c r="P234" s="18"/>
      <c r="Q234" s="18" t="str">
        <f>IF(AND(A234&lt;&gt;"",P234&lt;&gt;"",D234&lt;&gt;"Closed",D234&lt;&gt;"Cancelled"),COUNTIFS($P$9:P234,"&lt;&gt;",$D$9:D234,"&lt;&gt;Closed",$D$9:D234,"&lt;&gt;Cancelled"),"")</f>
        <v/>
      </c>
      <c r="R234" s="18" t="str">
        <f t="shared" si="7"/>
        <v/>
      </c>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row>
    <row r="235" spans="1:44" ht="40" hidden="1" customHeight="1" x14ac:dyDescent="0.35">
      <c r="A235" s="34"/>
      <c r="B235" s="15"/>
      <c r="C235" s="15"/>
      <c r="D235" s="15"/>
      <c r="E235" s="14" t="str">
        <f t="shared" si="6"/>
        <v/>
      </c>
      <c r="F235" s="14" t="str">
        <f>IF(A235="","",COUNTIF(Quotes!$B$9:$B$258,A235))</f>
        <v/>
      </c>
      <c r="G235" s="16" t="str">
        <f>IF(A235="","",SUMIF(Quotes!$B$9:$B$258,A235,Quotes!$AI$9:$AI$258))</f>
        <v/>
      </c>
      <c r="H235" s="16" t="str">
        <f>IF(A235="","",SUMIF(Quotes!$B$9:$B$258,A235,Quotes!$AJ$9:$AJ$258))</f>
        <v/>
      </c>
      <c r="I235" s="15"/>
      <c r="J235" s="17"/>
      <c r="K235" s="17"/>
      <c r="L235" s="15"/>
      <c r="M235" s="15"/>
      <c r="N235" s="15"/>
      <c r="O235" s="14"/>
      <c r="P235" s="14"/>
      <c r="Q235" s="14" t="str">
        <f>IF(AND(A235&lt;&gt;"",P235&lt;&gt;"",D235&lt;&gt;"Closed",D235&lt;&gt;"Cancelled"),COUNTIFS($P$9:P235,"&lt;&gt;",$D$9:D235,"&lt;&gt;Closed",$D$9:D235,"&lt;&gt;Cancelled"),"")</f>
        <v/>
      </c>
      <c r="R235" s="14" t="str">
        <f t="shared" si="7"/>
        <v/>
      </c>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row>
    <row r="236" spans="1:44" ht="40" hidden="1" customHeight="1" x14ac:dyDescent="0.35">
      <c r="A236" s="35"/>
      <c r="B236" s="15"/>
      <c r="C236" s="15"/>
      <c r="D236" s="15"/>
      <c r="E236" s="18" t="str">
        <f t="shared" si="6"/>
        <v/>
      </c>
      <c r="F236" s="18" t="str">
        <f>IF(A236="","",COUNTIF(Quotes!$B$9:$B$258,A236))</f>
        <v/>
      </c>
      <c r="G236" s="19" t="str">
        <f>IF(A236="","",SUMIF(Quotes!$B$9:$B$258,A236,Quotes!$AI$9:$AI$258))</f>
        <v/>
      </c>
      <c r="H236" s="19" t="str">
        <f>IF(A236="","",SUMIF(Quotes!$B$9:$B$258,A236,Quotes!$AJ$9:$AJ$258))</f>
        <v/>
      </c>
      <c r="I236" s="15"/>
      <c r="J236" s="17"/>
      <c r="K236" s="17"/>
      <c r="L236" s="15"/>
      <c r="M236" s="15"/>
      <c r="N236" s="15"/>
      <c r="O236" s="18"/>
      <c r="P236" s="18"/>
      <c r="Q236" s="18" t="str">
        <f>IF(AND(A236&lt;&gt;"",P236&lt;&gt;"",D236&lt;&gt;"Closed",D236&lt;&gt;"Cancelled"),COUNTIFS($P$9:P236,"&lt;&gt;",$D$9:D236,"&lt;&gt;Closed",$D$9:D236,"&lt;&gt;Cancelled"),"")</f>
        <v/>
      </c>
      <c r="R236" s="18" t="str">
        <f t="shared" si="7"/>
        <v/>
      </c>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row>
    <row r="237" spans="1:44" ht="40" hidden="1" customHeight="1" x14ac:dyDescent="0.35">
      <c r="A237" s="34"/>
      <c r="B237" s="15"/>
      <c r="C237" s="15"/>
      <c r="D237" s="15"/>
      <c r="E237" s="14" t="str">
        <f t="shared" si="6"/>
        <v/>
      </c>
      <c r="F237" s="14" t="str">
        <f>IF(A237="","",COUNTIF(Quotes!$B$9:$B$258,A237))</f>
        <v/>
      </c>
      <c r="G237" s="16" t="str">
        <f>IF(A237="","",SUMIF(Quotes!$B$9:$B$258,A237,Quotes!$AI$9:$AI$258))</f>
        <v/>
      </c>
      <c r="H237" s="16" t="str">
        <f>IF(A237="","",SUMIF(Quotes!$B$9:$B$258,A237,Quotes!$AJ$9:$AJ$258))</f>
        <v/>
      </c>
      <c r="I237" s="15"/>
      <c r="J237" s="17"/>
      <c r="K237" s="17"/>
      <c r="L237" s="15"/>
      <c r="M237" s="15"/>
      <c r="N237" s="15"/>
      <c r="O237" s="14"/>
      <c r="P237" s="14"/>
      <c r="Q237" s="14" t="str">
        <f>IF(AND(A237&lt;&gt;"",P237&lt;&gt;"",D237&lt;&gt;"Closed",D237&lt;&gt;"Cancelled"),COUNTIFS($P$9:P237,"&lt;&gt;",$D$9:D237,"&lt;&gt;Closed",$D$9:D237,"&lt;&gt;Cancelled"),"")</f>
        <v/>
      </c>
      <c r="R237" s="14" t="str">
        <f t="shared" si="7"/>
        <v/>
      </c>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row>
    <row r="238" spans="1:44" ht="40" hidden="1" customHeight="1" x14ac:dyDescent="0.35">
      <c r="A238" s="35"/>
      <c r="B238" s="15"/>
      <c r="C238" s="15"/>
      <c r="D238" s="15"/>
      <c r="E238" s="18" t="str">
        <f t="shared" si="6"/>
        <v/>
      </c>
      <c r="F238" s="18" t="str">
        <f>IF(A238="","",COUNTIF(Quotes!$B$9:$B$258,A238))</f>
        <v/>
      </c>
      <c r="G238" s="19" t="str">
        <f>IF(A238="","",SUMIF(Quotes!$B$9:$B$258,A238,Quotes!$AI$9:$AI$258))</f>
        <v/>
      </c>
      <c r="H238" s="19" t="str">
        <f>IF(A238="","",SUMIF(Quotes!$B$9:$B$258,A238,Quotes!$AJ$9:$AJ$258))</f>
        <v/>
      </c>
      <c r="I238" s="15"/>
      <c r="J238" s="17"/>
      <c r="K238" s="17"/>
      <c r="L238" s="15"/>
      <c r="M238" s="15"/>
      <c r="N238" s="15"/>
      <c r="O238" s="18"/>
      <c r="P238" s="18"/>
      <c r="Q238" s="18" t="str">
        <f>IF(AND(A238&lt;&gt;"",P238&lt;&gt;"",D238&lt;&gt;"Closed",D238&lt;&gt;"Cancelled"),COUNTIFS($P$9:P238,"&lt;&gt;",$D$9:D238,"&lt;&gt;Closed",$D$9:D238,"&lt;&gt;Cancelled"),"")</f>
        <v/>
      </c>
      <c r="R238" s="18" t="str">
        <f t="shared" si="7"/>
        <v/>
      </c>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row>
    <row r="239" spans="1:44" ht="40" hidden="1" customHeight="1" x14ac:dyDescent="0.35">
      <c r="A239" s="34"/>
      <c r="B239" s="15"/>
      <c r="C239" s="15"/>
      <c r="D239" s="15"/>
      <c r="E239" s="14" t="str">
        <f t="shared" si="6"/>
        <v/>
      </c>
      <c r="F239" s="14" t="str">
        <f>IF(A239="","",COUNTIF(Quotes!$B$9:$B$258,A239))</f>
        <v/>
      </c>
      <c r="G239" s="16" t="str">
        <f>IF(A239="","",SUMIF(Quotes!$B$9:$B$258,A239,Quotes!$AI$9:$AI$258))</f>
        <v/>
      </c>
      <c r="H239" s="16" t="str">
        <f>IF(A239="","",SUMIF(Quotes!$B$9:$B$258,A239,Quotes!$AJ$9:$AJ$258))</f>
        <v/>
      </c>
      <c r="I239" s="15"/>
      <c r="J239" s="17"/>
      <c r="K239" s="17"/>
      <c r="L239" s="15"/>
      <c r="M239" s="15"/>
      <c r="N239" s="15"/>
      <c r="O239" s="14"/>
      <c r="P239" s="14"/>
      <c r="Q239" s="14" t="str">
        <f>IF(AND(A239&lt;&gt;"",P239&lt;&gt;"",D239&lt;&gt;"Closed",D239&lt;&gt;"Cancelled"),COUNTIFS($P$9:P239,"&lt;&gt;",$D$9:D239,"&lt;&gt;Closed",$D$9:D239,"&lt;&gt;Cancelled"),"")</f>
        <v/>
      </c>
      <c r="R239" s="14" t="str">
        <f t="shared" si="7"/>
        <v/>
      </c>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row>
    <row r="240" spans="1:44" ht="40" hidden="1" customHeight="1" x14ac:dyDescent="0.35">
      <c r="A240" s="35"/>
      <c r="B240" s="15"/>
      <c r="C240" s="15"/>
      <c r="D240" s="15"/>
      <c r="E240" s="18" t="str">
        <f t="shared" si="6"/>
        <v/>
      </c>
      <c r="F240" s="18" t="str">
        <f>IF(A240="","",COUNTIF(Quotes!$B$9:$B$258,A240))</f>
        <v/>
      </c>
      <c r="G240" s="19" t="str">
        <f>IF(A240="","",SUMIF(Quotes!$B$9:$B$258,A240,Quotes!$AI$9:$AI$258))</f>
        <v/>
      </c>
      <c r="H240" s="19" t="str">
        <f>IF(A240="","",SUMIF(Quotes!$B$9:$B$258,A240,Quotes!$AJ$9:$AJ$258))</f>
        <v/>
      </c>
      <c r="I240" s="15"/>
      <c r="J240" s="17"/>
      <c r="K240" s="17"/>
      <c r="L240" s="15"/>
      <c r="M240" s="15"/>
      <c r="N240" s="15"/>
      <c r="O240" s="18"/>
      <c r="P240" s="18"/>
      <c r="Q240" s="18" t="str">
        <f>IF(AND(A240&lt;&gt;"",P240&lt;&gt;"",D240&lt;&gt;"Closed",D240&lt;&gt;"Cancelled"),COUNTIFS($P$9:P240,"&lt;&gt;",$D$9:D240,"&lt;&gt;Closed",$D$9:D240,"&lt;&gt;Cancelled"),"")</f>
        <v/>
      </c>
      <c r="R240" s="18" t="str">
        <f t="shared" si="7"/>
        <v/>
      </c>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row>
    <row r="241" spans="1:44" ht="40" hidden="1" customHeight="1" x14ac:dyDescent="0.35">
      <c r="A241" s="34"/>
      <c r="B241" s="15"/>
      <c r="C241" s="15"/>
      <c r="D241" s="15"/>
      <c r="E241" s="14" t="str">
        <f t="shared" si="6"/>
        <v/>
      </c>
      <c r="F241" s="14" t="str">
        <f>IF(A241="","",COUNTIF(Quotes!$B$9:$B$258,A241))</f>
        <v/>
      </c>
      <c r="G241" s="16" t="str">
        <f>IF(A241="","",SUMIF(Quotes!$B$9:$B$258,A241,Quotes!$AI$9:$AI$258))</f>
        <v/>
      </c>
      <c r="H241" s="16" t="str">
        <f>IF(A241="","",SUMIF(Quotes!$B$9:$B$258,A241,Quotes!$AJ$9:$AJ$258))</f>
        <v/>
      </c>
      <c r="I241" s="15"/>
      <c r="J241" s="17"/>
      <c r="K241" s="17"/>
      <c r="L241" s="15"/>
      <c r="M241" s="15"/>
      <c r="N241" s="15"/>
      <c r="O241" s="14"/>
      <c r="P241" s="14"/>
      <c r="Q241" s="14" t="str">
        <f>IF(AND(A241&lt;&gt;"",P241&lt;&gt;"",D241&lt;&gt;"Closed",D241&lt;&gt;"Cancelled"),COUNTIFS($P$9:P241,"&lt;&gt;",$D$9:D241,"&lt;&gt;Closed",$D$9:D241,"&lt;&gt;Cancelled"),"")</f>
        <v/>
      </c>
      <c r="R241" s="14" t="str">
        <f t="shared" si="7"/>
        <v/>
      </c>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row>
    <row r="242" spans="1:44" ht="40" hidden="1" customHeight="1" x14ac:dyDescent="0.35">
      <c r="A242" s="35"/>
      <c r="B242" s="15"/>
      <c r="C242" s="15"/>
      <c r="D242" s="15"/>
      <c r="E242" s="18" t="str">
        <f t="shared" si="6"/>
        <v/>
      </c>
      <c r="F242" s="18" t="str">
        <f>IF(A242="","",COUNTIF(Quotes!$B$9:$B$258,A242))</f>
        <v/>
      </c>
      <c r="G242" s="19" t="str">
        <f>IF(A242="","",SUMIF(Quotes!$B$9:$B$258,A242,Quotes!$AI$9:$AI$258))</f>
        <v/>
      </c>
      <c r="H242" s="19" t="str">
        <f>IF(A242="","",SUMIF(Quotes!$B$9:$B$258,A242,Quotes!$AJ$9:$AJ$258))</f>
        <v/>
      </c>
      <c r="I242" s="15"/>
      <c r="J242" s="17"/>
      <c r="K242" s="17"/>
      <c r="L242" s="15"/>
      <c r="M242" s="15"/>
      <c r="N242" s="15"/>
      <c r="O242" s="18"/>
      <c r="P242" s="18"/>
      <c r="Q242" s="18" t="str">
        <f>IF(AND(A242&lt;&gt;"",P242&lt;&gt;"",D242&lt;&gt;"Closed",D242&lt;&gt;"Cancelled"),COUNTIFS($P$9:P242,"&lt;&gt;",$D$9:D242,"&lt;&gt;Closed",$D$9:D242,"&lt;&gt;Cancelled"),"")</f>
        <v/>
      </c>
      <c r="R242" s="18" t="str">
        <f t="shared" si="7"/>
        <v/>
      </c>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row>
    <row r="243" spans="1:44" ht="40" hidden="1" customHeight="1" x14ac:dyDescent="0.35">
      <c r="A243" s="34"/>
      <c r="B243" s="15"/>
      <c r="C243" s="15"/>
      <c r="D243" s="15"/>
      <c r="E243" s="14" t="str">
        <f t="shared" si="6"/>
        <v/>
      </c>
      <c r="F243" s="14" t="str">
        <f>IF(A243="","",COUNTIF(Quotes!$B$9:$B$258,A243))</f>
        <v/>
      </c>
      <c r="G243" s="16" t="str">
        <f>IF(A243="","",SUMIF(Quotes!$B$9:$B$258,A243,Quotes!$AI$9:$AI$258))</f>
        <v/>
      </c>
      <c r="H243" s="16" t="str">
        <f>IF(A243="","",SUMIF(Quotes!$B$9:$B$258,A243,Quotes!$AJ$9:$AJ$258))</f>
        <v/>
      </c>
      <c r="I243" s="15"/>
      <c r="J243" s="17"/>
      <c r="K243" s="17"/>
      <c r="L243" s="15"/>
      <c r="M243" s="15"/>
      <c r="N243" s="15"/>
      <c r="O243" s="14"/>
      <c r="P243" s="14"/>
      <c r="Q243" s="14" t="str">
        <f>IF(AND(A243&lt;&gt;"",P243&lt;&gt;"",D243&lt;&gt;"Closed",D243&lt;&gt;"Cancelled"),COUNTIFS($P$9:P243,"&lt;&gt;",$D$9:D243,"&lt;&gt;Closed",$D$9:D243,"&lt;&gt;Cancelled"),"")</f>
        <v/>
      </c>
      <c r="R243" s="14" t="str">
        <f t="shared" si="7"/>
        <v/>
      </c>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row>
    <row r="244" spans="1:44" ht="40" hidden="1" customHeight="1" x14ac:dyDescent="0.35">
      <c r="A244" s="35"/>
      <c r="B244" s="15"/>
      <c r="C244" s="15"/>
      <c r="D244" s="15"/>
      <c r="E244" s="18" t="str">
        <f t="shared" si="6"/>
        <v/>
      </c>
      <c r="F244" s="18" t="str">
        <f>IF(A244="","",COUNTIF(Quotes!$B$9:$B$258,A244))</f>
        <v/>
      </c>
      <c r="G244" s="19" t="str">
        <f>IF(A244="","",SUMIF(Quotes!$B$9:$B$258,A244,Quotes!$AI$9:$AI$258))</f>
        <v/>
      </c>
      <c r="H244" s="19" t="str">
        <f>IF(A244="","",SUMIF(Quotes!$B$9:$B$258,A244,Quotes!$AJ$9:$AJ$258))</f>
        <v/>
      </c>
      <c r="I244" s="15"/>
      <c r="J244" s="17"/>
      <c r="K244" s="17"/>
      <c r="L244" s="15"/>
      <c r="M244" s="15"/>
      <c r="N244" s="15"/>
      <c r="O244" s="18"/>
      <c r="P244" s="18"/>
      <c r="Q244" s="18" t="str">
        <f>IF(AND(A244&lt;&gt;"",P244&lt;&gt;"",D244&lt;&gt;"Closed",D244&lt;&gt;"Cancelled"),COUNTIFS($P$9:P244,"&lt;&gt;",$D$9:D244,"&lt;&gt;Closed",$D$9:D244,"&lt;&gt;Cancelled"),"")</f>
        <v/>
      </c>
      <c r="R244" s="18" t="str">
        <f t="shared" si="7"/>
        <v/>
      </c>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row>
    <row r="245" spans="1:44" ht="40" hidden="1" customHeight="1" x14ac:dyDescent="0.35">
      <c r="A245" s="34"/>
      <c r="B245" s="15"/>
      <c r="C245" s="15"/>
      <c r="D245" s="15"/>
      <c r="E245" s="14" t="str">
        <f t="shared" si="6"/>
        <v/>
      </c>
      <c r="F245" s="14" t="str">
        <f>IF(A245="","",COUNTIF(Quotes!$B$9:$B$258,A245))</f>
        <v/>
      </c>
      <c r="G245" s="16" t="str">
        <f>IF(A245="","",SUMIF(Quotes!$B$9:$B$258,A245,Quotes!$AI$9:$AI$258))</f>
        <v/>
      </c>
      <c r="H245" s="16" t="str">
        <f>IF(A245="","",SUMIF(Quotes!$B$9:$B$258,A245,Quotes!$AJ$9:$AJ$258))</f>
        <v/>
      </c>
      <c r="I245" s="15"/>
      <c r="J245" s="17"/>
      <c r="K245" s="17"/>
      <c r="L245" s="15"/>
      <c r="M245" s="15"/>
      <c r="N245" s="15"/>
      <c r="O245" s="14"/>
      <c r="P245" s="14"/>
      <c r="Q245" s="14" t="str">
        <f>IF(AND(A245&lt;&gt;"",P245&lt;&gt;"",D245&lt;&gt;"Closed",D245&lt;&gt;"Cancelled"),COUNTIFS($P$9:P245,"&lt;&gt;",$D$9:D245,"&lt;&gt;Closed",$D$9:D245,"&lt;&gt;Cancelled"),"")</f>
        <v/>
      </c>
      <c r="R245" s="14" t="str">
        <f t="shared" si="7"/>
        <v/>
      </c>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row>
    <row r="246" spans="1:44" ht="40" hidden="1" customHeight="1" x14ac:dyDescent="0.35">
      <c r="A246" s="35"/>
      <c r="B246" s="15"/>
      <c r="C246" s="15"/>
      <c r="D246" s="15"/>
      <c r="E246" s="18" t="str">
        <f t="shared" si="6"/>
        <v/>
      </c>
      <c r="F246" s="18" t="str">
        <f>IF(A246="","",COUNTIF(Quotes!$B$9:$B$258,A246))</f>
        <v/>
      </c>
      <c r="G246" s="19" t="str">
        <f>IF(A246="","",SUMIF(Quotes!$B$9:$B$258,A246,Quotes!$AI$9:$AI$258))</f>
        <v/>
      </c>
      <c r="H246" s="19" t="str">
        <f>IF(A246="","",SUMIF(Quotes!$B$9:$B$258,A246,Quotes!$AJ$9:$AJ$258))</f>
        <v/>
      </c>
      <c r="I246" s="15"/>
      <c r="J246" s="17"/>
      <c r="K246" s="17"/>
      <c r="L246" s="15"/>
      <c r="M246" s="15"/>
      <c r="N246" s="15"/>
      <c r="O246" s="18"/>
      <c r="P246" s="18"/>
      <c r="Q246" s="18" t="str">
        <f>IF(AND(A246&lt;&gt;"",P246&lt;&gt;"",D246&lt;&gt;"Closed",D246&lt;&gt;"Cancelled"),COUNTIFS($P$9:P246,"&lt;&gt;",$D$9:D246,"&lt;&gt;Closed",$D$9:D246,"&lt;&gt;Cancelled"),"")</f>
        <v/>
      </c>
      <c r="R246" s="18" t="str">
        <f t="shared" si="7"/>
        <v/>
      </c>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row>
    <row r="247" spans="1:44" ht="40" hidden="1" customHeight="1" x14ac:dyDescent="0.35">
      <c r="A247" s="34"/>
      <c r="B247" s="15"/>
      <c r="C247" s="15"/>
      <c r="D247" s="15"/>
      <c r="E247" s="14" t="str">
        <f t="shared" si="6"/>
        <v/>
      </c>
      <c r="F247" s="14" t="str">
        <f>IF(A247="","",COUNTIF(Quotes!$B$9:$B$258,A247))</f>
        <v/>
      </c>
      <c r="G247" s="16" t="str">
        <f>IF(A247="","",SUMIF(Quotes!$B$9:$B$258,A247,Quotes!$AI$9:$AI$258))</f>
        <v/>
      </c>
      <c r="H247" s="16" t="str">
        <f>IF(A247="","",SUMIF(Quotes!$B$9:$B$258,A247,Quotes!$AJ$9:$AJ$258))</f>
        <v/>
      </c>
      <c r="I247" s="15"/>
      <c r="J247" s="17"/>
      <c r="K247" s="17"/>
      <c r="L247" s="15"/>
      <c r="M247" s="15"/>
      <c r="N247" s="15"/>
      <c r="O247" s="14"/>
      <c r="P247" s="14"/>
      <c r="Q247" s="14" t="str">
        <f>IF(AND(A247&lt;&gt;"",P247&lt;&gt;"",D247&lt;&gt;"Closed",D247&lt;&gt;"Cancelled"),COUNTIFS($P$9:P247,"&lt;&gt;",$D$9:D247,"&lt;&gt;Closed",$D$9:D247,"&lt;&gt;Cancelled"),"")</f>
        <v/>
      </c>
      <c r="R247" s="14" t="str">
        <f t="shared" si="7"/>
        <v/>
      </c>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row>
    <row r="248" spans="1:44" ht="40" hidden="1" customHeight="1" x14ac:dyDescent="0.35">
      <c r="A248" s="35"/>
      <c r="B248" s="15"/>
      <c r="C248" s="15"/>
      <c r="D248" s="15"/>
      <c r="E248" s="18" t="str">
        <f t="shared" si="6"/>
        <v/>
      </c>
      <c r="F248" s="18" t="str">
        <f>IF(A248="","",COUNTIF(Quotes!$B$9:$B$258,A248))</f>
        <v/>
      </c>
      <c r="G248" s="19" t="str">
        <f>IF(A248="","",SUMIF(Quotes!$B$9:$B$258,A248,Quotes!$AI$9:$AI$258))</f>
        <v/>
      </c>
      <c r="H248" s="19" t="str">
        <f>IF(A248="","",SUMIF(Quotes!$B$9:$B$258,A248,Quotes!$AJ$9:$AJ$258))</f>
        <v/>
      </c>
      <c r="I248" s="15"/>
      <c r="J248" s="17"/>
      <c r="K248" s="17"/>
      <c r="L248" s="15"/>
      <c r="M248" s="15"/>
      <c r="N248" s="15"/>
      <c r="O248" s="18"/>
      <c r="P248" s="18"/>
      <c r="Q248" s="18" t="str">
        <f>IF(AND(A248&lt;&gt;"",P248&lt;&gt;"",D248&lt;&gt;"Closed",D248&lt;&gt;"Cancelled"),COUNTIFS($P$9:P248,"&lt;&gt;",$D$9:D248,"&lt;&gt;Closed",$D$9:D248,"&lt;&gt;Cancelled"),"")</f>
        <v/>
      </c>
      <c r="R248" s="18" t="str">
        <f t="shared" si="7"/>
        <v/>
      </c>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row>
    <row r="249" spans="1:44" ht="40" hidden="1" customHeight="1" x14ac:dyDescent="0.35">
      <c r="A249" s="34"/>
      <c r="B249" s="15"/>
      <c r="C249" s="15"/>
      <c r="D249" s="15"/>
      <c r="E249" s="14" t="str">
        <f t="shared" si="6"/>
        <v/>
      </c>
      <c r="F249" s="14" t="str">
        <f>IF(A249="","",COUNTIF(Quotes!$B$9:$B$258,A249))</f>
        <v/>
      </c>
      <c r="G249" s="16" t="str">
        <f>IF(A249="","",SUMIF(Quotes!$B$9:$B$258,A249,Quotes!$AI$9:$AI$258))</f>
        <v/>
      </c>
      <c r="H249" s="16" t="str">
        <f>IF(A249="","",SUMIF(Quotes!$B$9:$B$258,A249,Quotes!$AJ$9:$AJ$258))</f>
        <v/>
      </c>
      <c r="I249" s="15"/>
      <c r="J249" s="17"/>
      <c r="K249" s="17"/>
      <c r="L249" s="15"/>
      <c r="M249" s="15"/>
      <c r="N249" s="15"/>
      <c r="O249" s="14"/>
      <c r="P249" s="14"/>
      <c r="Q249" s="14" t="str">
        <f>IF(AND(A249&lt;&gt;"",P249&lt;&gt;"",D249&lt;&gt;"Closed",D249&lt;&gt;"Cancelled"),COUNTIFS($P$9:P249,"&lt;&gt;",$D$9:D249,"&lt;&gt;Closed",$D$9:D249,"&lt;&gt;Cancelled"),"")</f>
        <v/>
      </c>
      <c r="R249" s="14" t="str">
        <f t="shared" si="7"/>
        <v/>
      </c>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row>
    <row r="250" spans="1:44" ht="40" hidden="1" customHeight="1" x14ac:dyDescent="0.35">
      <c r="A250" s="35"/>
      <c r="B250" s="15"/>
      <c r="C250" s="15"/>
      <c r="D250" s="15"/>
      <c r="E250" s="18" t="str">
        <f t="shared" si="6"/>
        <v/>
      </c>
      <c r="F250" s="18" t="str">
        <f>IF(A250="","",COUNTIF(Quotes!$B$9:$B$258,A250))</f>
        <v/>
      </c>
      <c r="G250" s="19" t="str">
        <f>IF(A250="","",SUMIF(Quotes!$B$9:$B$258,A250,Quotes!$AI$9:$AI$258))</f>
        <v/>
      </c>
      <c r="H250" s="19" t="str">
        <f>IF(A250="","",SUMIF(Quotes!$B$9:$B$258,A250,Quotes!$AJ$9:$AJ$258))</f>
        <v/>
      </c>
      <c r="I250" s="15"/>
      <c r="J250" s="17"/>
      <c r="K250" s="17"/>
      <c r="L250" s="15"/>
      <c r="M250" s="15"/>
      <c r="N250" s="15"/>
      <c r="O250" s="18"/>
      <c r="P250" s="18"/>
      <c r="Q250" s="18" t="str">
        <f>IF(AND(A250&lt;&gt;"",P250&lt;&gt;"",D250&lt;&gt;"Closed",D250&lt;&gt;"Cancelled"),COUNTIFS($P$9:P250,"&lt;&gt;",$D$9:D250,"&lt;&gt;Closed",$D$9:D250,"&lt;&gt;Cancelled"),"")</f>
        <v/>
      </c>
      <c r="R250" s="18" t="str">
        <f t="shared" si="7"/>
        <v/>
      </c>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row>
    <row r="251" spans="1:44" ht="40" hidden="1" customHeight="1" x14ac:dyDescent="0.35">
      <c r="A251" s="34"/>
      <c r="B251" s="15"/>
      <c r="C251" s="15"/>
      <c r="D251" s="15"/>
      <c r="E251" s="14" t="str">
        <f t="shared" si="6"/>
        <v/>
      </c>
      <c r="F251" s="14" t="str">
        <f>IF(A251="","",COUNTIF(Quotes!$B$9:$B$258,A251))</f>
        <v/>
      </c>
      <c r="G251" s="16" t="str">
        <f>IF(A251="","",SUMIF(Quotes!$B$9:$B$258,A251,Quotes!$AI$9:$AI$258))</f>
        <v/>
      </c>
      <c r="H251" s="16" t="str">
        <f>IF(A251="","",SUMIF(Quotes!$B$9:$B$258,A251,Quotes!$AJ$9:$AJ$258))</f>
        <v/>
      </c>
      <c r="I251" s="15"/>
      <c r="J251" s="17"/>
      <c r="K251" s="17"/>
      <c r="L251" s="15"/>
      <c r="M251" s="15"/>
      <c r="N251" s="15"/>
      <c r="O251" s="14"/>
      <c r="P251" s="14"/>
      <c r="Q251" s="14" t="str">
        <f>IF(AND(A251&lt;&gt;"",P251&lt;&gt;"",D251&lt;&gt;"Closed",D251&lt;&gt;"Cancelled"),COUNTIFS($P$9:P251,"&lt;&gt;",$D$9:D251,"&lt;&gt;Closed",$D$9:D251,"&lt;&gt;Cancelled"),"")</f>
        <v/>
      </c>
      <c r="R251" s="14" t="str">
        <f t="shared" si="7"/>
        <v/>
      </c>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row>
    <row r="252" spans="1:44" ht="40" hidden="1" customHeight="1" x14ac:dyDescent="0.35">
      <c r="A252" s="35"/>
      <c r="B252" s="15"/>
      <c r="C252" s="15"/>
      <c r="D252" s="15"/>
      <c r="E252" s="18" t="str">
        <f t="shared" si="6"/>
        <v/>
      </c>
      <c r="F252" s="18" t="str">
        <f>IF(A252="","",COUNTIF(Quotes!$B$9:$B$258,A252))</f>
        <v/>
      </c>
      <c r="G252" s="19" t="str">
        <f>IF(A252="","",SUMIF(Quotes!$B$9:$B$258,A252,Quotes!$AI$9:$AI$258))</f>
        <v/>
      </c>
      <c r="H252" s="19" t="str">
        <f>IF(A252="","",SUMIF(Quotes!$B$9:$B$258,A252,Quotes!$AJ$9:$AJ$258))</f>
        <v/>
      </c>
      <c r="I252" s="15"/>
      <c r="J252" s="17"/>
      <c r="K252" s="17"/>
      <c r="L252" s="15"/>
      <c r="M252" s="15"/>
      <c r="N252" s="15"/>
      <c r="O252" s="18"/>
      <c r="P252" s="18"/>
      <c r="Q252" s="18" t="str">
        <f>IF(AND(A252&lt;&gt;"",P252&lt;&gt;"",D252&lt;&gt;"Closed",D252&lt;&gt;"Cancelled"),COUNTIFS($P$9:P252,"&lt;&gt;",$D$9:D252,"&lt;&gt;Closed",$D$9:D252,"&lt;&gt;Cancelled"),"")</f>
        <v/>
      </c>
      <c r="R252" s="18" t="str">
        <f t="shared" si="7"/>
        <v/>
      </c>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row>
    <row r="253" spans="1:44" ht="40" hidden="1" customHeight="1" x14ac:dyDescent="0.35">
      <c r="A253" s="34"/>
      <c r="B253" s="15"/>
      <c r="C253" s="15"/>
      <c r="D253" s="15"/>
      <c r="E253" s="14" t="str">
        <f t="shared" si="6"/>
        <v/>
      </c>
      <c r="F253" s="14" t="str">
        <f>IF(A253="","",COUNTIF(Quotes!$B$9:$B$258,A253))</f>
        <v/>
      </c>
      <c r="G253" s="16" t="str">
        <f>IF(A253="","",SUMIF(Quotes!$B$9:$B$258,A253,Quotes!$AI$9:$AI$258))</f>
        <v/>
      </c>
      <c r="H253" s="16" t="str">
        <f>IF(A253="","",SUMIF(Quotes!$B$9:$B$258,A253,Quotes!$AJ$9:$AJ$258))</f>
        <v/>
      </c>
      <c r="I253" s="15"/>
      <c r="J253" s="17"/>
      <c r="K253" s="17"/>
      <c r="L253" s="15"/>
      <c r="M253" s="15"/>
      <c r="N253" s="15"/>
      <c r="O253" s="14"/>
      <c r="P253" s="14"/>
      <c r="Q253" s="14" t="str">
        <f>IF(AND(A253&lt;&gt;"",P253&lt;&gt;"",D253&lt;&gt;"Closed",D253&lt;&gt;"Cancelled"),COUNTIFS($P$9:P253,"&lt;&gt;",$D$9:D253,"&lt;&gt;Closed",$D$9:D253,"&lt;&gt;Cancelled"),"")</f>
        <v/>
      </c>
      <c r="R253" s="14" t="str">
        <f t="shared" si="7"/>
        <v/>
      </c>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row>
    <row r="254" spans="1:44" ht="40" hidden="1" customHeight="1" x14ac:dyDescent="0.35">
      <c r="A254" s="35"/>
      <c r="B254" s="15"/>
      <c r="C254" s="15"/>
      <c r="D254" s="15"/>
      <c r="E254" s="18" t="str">
        <f t="shared" si="6"/>
        <v/>
      </c>
      <c r="F254" s="18" t="str">
        <f>IF(A254="","",COUNTIF(Quotes!$B$9:$B$258,A254))</f>
        <v/>
      </c>
      <c r="G254" s="19" t="str">
        <f>IF(A254="","",SUMIF(Quotes!$B$9:$B$258,A254,Quotes!$AI$9:$AI$258))</f>
        <v/>
      </c>
      <c r="H254" s="19" t="str">
        <f>IF(A254="","",SUMIF(Quotes!$B$9:$B$258,A254,Quotes!$AJ$9:$AJ$258))</f>
        <v/>
      </c>
      <c r="I254" s="15"/>
      <c r="J254" s="17"/>
      <c r="K254" s="17"/>
      <c r="L254" s="15"/>
      <c r="M254" s="15"/>
      <c r="N254" s="15"/>
      <c r="O254" s="18"/>
      <c r="P254" s="18"/>
      <c r="Q254" s="18" t="str">
        <f>IF(AND(A254&lt;&gt;"",P254&lt;&gt;"",D254&lt;&gt;"Closed",D254&lt;&gt;"Cancelled"),COUNTIFS($P$9:P254,"&lt;&gt;",$D$9:D254,"&lt;&gt;Closed",$D$9:D254,"&lt;&gt;Cancelled"),"")</f>
        <v/>
      </c>
      <c r="R254" s="18" t="str">
        <f t="shared" si="7"/>
        <v/>
      </c>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row>
    <row r="255" spans="1:44" ht="40" hidden="1" customHeight="1" x14ac:dyDescent="0.35">
      <c r="A255" s="34"/>
      <c r="B255" s="15"/>
      <c r="C255" s="15"/>
      <c r="D255" s="15"/>
      <c r="E255" s="14" t="str">
        <f t="shared" si="6"/>
        <v/>
      </c>
      <c r="F255" s="14" t="str">
        <f>IF(A255="","",COUNTIF(Quotes!$B$9:$B$258,A255))</f>
        <v/>
      </c>
      <c r="G255" s="16" t="str">
        <f>IF(A255="","",SUMIF(Quotes!$B$9:$B$258,A255,Quotes!$AI$9:$AI$258))</f>
        <v/>
      </c>
      <c r="H255" s="16" t="str">
        <f>IF(A255="","",SUMIF(Quotes!$B$9:$B$258,A255,Quotes!$AJ$9:$AJ$258))</f>
        <v/>
      </c>
      <c r="I255" s="15"/>
      <c r="J255" s="17"/>
      <c r="K255" s="17"/>
      <c r="L255" s="15"/>
      <c r="M255" s="15"/>
      <c r="N255" s="15"/>
      <c r="O255" s="14"/>
      <c r="P255" s="14"/>
      <c r="Q255" s="14" t="str">
        <f>IF(AND(A255&lt;&gt;"",P255&lt;&gt;"",D255&lt;&gt;"Closed",D255&lt;&gt;"Cancelled"),COUNTIFS($P$9:P255,"&lt;&gt;",$D$9:D255,"&lt;&gt;Closed",$D$9:D255,"&lt;&gt;Cancelled"),"")</f>
        <v/>
      </c>
      <c r="R255" s="14" t="str">
        <f t="shared" si="7"/>
        <v/>
      </c>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row>
    <row r="256" spans="1:44" ht="40" hidden="1" customHeight="1" x14ac:dyDescent="0.35">
      <c r="A256" s="35"/>
      <c r="B256" s="15"/>
      <c r="C256" s="15"/>
      <c r="D256" s="15"/>
      <c r="E256" s="18" t="str">
        <f t="shared" si="6"/>
        <v/>
      </c>
      <c r="F256" s="18" t="str">
        <f>IF(A256="","",COUNTIF(Quotes!$B$9:$B$258,A256))</f>
        <v/>
      </c>
      <c r="G256" s="19" t="str">
        <f>IF(A256="","",SUMIF(Quotes!$B$9:$B$258,A256,Quotes!$AI$9:$AI$258))</f>
        <v/>
      </c>
      <c r="H256" s="19" t="str">
        <f>IF(A256="","",SUMIF(Quotes!$B$9:$B$258,A256,Quotes!$AJ$9:$AJ$258))</f>
        <v/>
      </c>
      <c r="I256" s="15"/>
      <c r="J256" s="17"/>
      <c r="K256" s="17"/>
      <c r="L256" s="15"/>
      <c r="M256" s="15"/>
      <c r="N256" s="15"/>
      <c r="O256" s="18"/>
      <c r="P256" s="18"/>
      <c r="Q256" s="18" t="str">
        <f>IF(AND(A256&lt;&gt;"",P256&lt;&gt;"",D256&lt;&gt;"Closed",D256&lt;&gt;"Cancelled"),COUNTIFS($P$9:P256,"&lt;&gt;",$D$9:D256,"&lt;&gt;Closed",$D$9:D256,"&lt;&gt;Cancelled"),"")</f>
        <v/>
      </c>
      <c r="R256" s="18" t="str">
        <f t="shared" si="7"/>
        <v/>
      </c>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row>
    <row r="257" spans="1:44" ht="40" hidden="1" customHeight="1" x14ac:dyDescent="0.35">
      <c r="A257" s="34"/>
      <c r="B257" s="15"/>
      <c r="C257" s="15"/>
      <c r="D257" s="15"/>
      <c r="E257" s="14" t="str">
        <f t="shared" si="6"/>
        <v/>
      </c>
      <c r="F257" s="14" t="str">
        <f>IF(A257="","",COUNTIF(Quotes!$B$9:$B$258,A257))</f>
        <v/>
      </c>
      <c r="G257" s="16" t="str">
        <f>IF(A257="","",SUMIF(Quotes!$B$9:$B$258,A257,Quotes!$AI$9:$AI$258))</f>
        <v/>
      </c>
      <c r="H257" s="16" t="str">
        <f>IF(A257="","",SUMIF(Quotes!$B$9:$B$258,A257,Quotes!$AJ$9:$AJ$258))</f>
        <v/>
      </c>
      <c r="I257" s="15"/>
      <c r="J257" s="17"/>
      <c r="K257" s="17"/>
      <c r="L257" s="15"/>
      <c r="M257" s="15"/>
      <c r="N257" s="15"/>
      <c r="O257" s="14"/>
      <c r="P257" s="14"/>
      <c r="Q257" s="14" t="str">
        <f>IF(AND(A257&lt;&gt;"",P257&lt;&gt;"",D257&lt;&gt;"Closed",D257&lt;&gt;"Cancelled"),COUNTIFS($P$9:P257,"&lt;&gt;",$D$9:D257,"&lt;&gt;Closed",$D$9:D257,"&lt;&gt;Cancelled"),"")</f>
        <v/>
      </c>
      <c r="R257" s="14" t="str">
        <f t="shared" si="7"/>
        <v/>
      </c>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row>
    <row r="258" spans="1:44" ht="40" hidden="1" customHeight="1" x14ac:dyDescent="0.35">
      <c r="A258" s="35"/>
      <c r="B258" s="15"/>
      <c r="C258" s="15"/>
      <c r="D258" s="15"/>
      <c r="E258" s="18" t="str">
        <f t="shared" si="6"/>
        <v/>
      </c>
      <c r="F258" s="18" t="str">
        <f>IF(A258="","",COUNTIF(Quotes!$B$9:$B$258,A258))</f>
        <v/>
      </c>
      <c r="G258" s="19" t="str">
        <f>IF(A258="","",SUMIF(Quotes!$B$9:$B$258,A258,Quotes!$AI$9:$AI$258))</f>
        <v/>
      </c>
      <c r="H258" s="19" t="str">
        <f>IF(A258="","",SUMIF(Quotes!$B$9:$B$258,A258,Quotes!$AJ$9:$AJ$258))</f>
        <v/>
      </c>
      <c r="I258" s="15"/>
      <c r="J258" s="17"/>
      <c r="K258" s="17"/>
      <c r="L258" s="15"/>
      <c r="M258" s="15"/>
      <c r="N258" s="15"/>
      <c r="O258" s="18"/>
      <c r="P258" s="18"/>
      <c r="Q258" s="18" t="str">
        <f>IF(AND(A258&lt;&gt;"",P258&lt;&gt;"",D258&lt;&gt;"Closed",D258&lt;&gt;"Cancelled"),COUNTIFS($P$9:P258,"&lt;&gt;",$D$9:D258,"&lt;&gt;Closed",$D$9:D258,"&lt;&gt;Cancelled"),"")</f>
        <v/>
      </c>
      <c r="R258" s="18" t="str">
        <f t="shared" si="7"/>
        <v/>
      </c>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row>
  </sheetData>
  <sheetProtection password="8651" sheet="1" autoFilter="0"/>
  <mergeCells count="5">
    <mergeCell ref="D6:H6"/>
    <mergeCell ref="A3:K3"/>
    <mergeCell ref="A6:C6"/>
    <mergeCell ref="A1:K2"/>
    <mergeCell ref="I6:K6"/>
  </mergeCells>
  <conditionalFormatting sqref="D9:D258">
    <cfRule type="cellIs" dxfId="15" priority="1" operator="equal">
      <formula>"Selected"</formula>
    </cfRule>
  </conditionalFormatting>
  <dataValidations count="3">
    <dataValidation type="list" allowBlank="1" showErrorMessage="1" errorTitle="Choose a listed value" error="Select one of the shared dropdown values." sqref="C9:C258" xr:uid="{00000000-0002-0000-0200-000000000000}">
      <formula1>lstDepartment</formula1>
    </dataValidation>
    <dataValidation type="list" allowBlank="1" showErrorMessage="1" errorTitle="Choose a listed value" error="Select one of the shared dropdown values." sqref="D9:D258" xr:uid="{00000000-0002-0000-0200-000001000000}">
      <formula1>lstJobStatus</formula1>
    </dataValidation>
    <dataValidation type="list" allowBlank="1" showErrorMessage="1" errorTitle="Choose a listed value" error="Select one of the shared dropdown values." sqref="O9:O258" xr:uid="{00000000-0002-0000-0200-000002000000}">
      <formula1>lstYesNo</formula1>
    </dataValidation>
  </dataValidations>
  <hyperlinks>
    <hyperlink ref="A4" location="'Overview'!A1" display="Overview" xr:uid="{00000000-0004-0000-0200-000000000000}"/>
    <hyperlink ref="B4" location="'Jobs'!A1" display="Jobs" xr:uid="{00000000-0004-0000-0200-000001000000}"/>
    <hyperlink ref="C4" location="'Suppliers'!A1" display="Suppliers" xr:uid="{00000000-0004-0000-0200-000002000000}"/>
    <hyperlink ref="D4" location="'Budget'!A1" display="Budget" xr:uid="{00000000-0004-0000-0200-000003000000}"/>
    <hyperlink ref="E4" location="'Quotes'!A1" display="Quotes" xr:uid="{00000000-0004-0000-0200-000004000000}"/>
    <hyperlink ref="F4" location="'Print Summary'!A1" display="Print summary" xr:uid="{00000000-0004-0000-0200-000005000000}"/>
    <hyperlink ref="G4" location="'Read Me'!A1" display="Guide" xr:uid="{00000000-0004-0000-0200-000006000000}"/>
    <hyperlink ref="A6" location="'Create Job'!A1" display="+ CREATE / OPEN JOB" xr:uid="{00000000-0004-0000-0200-000007000000}"/>
    <hyperlink ref="I6" location="'JOB 3103.01'!A1" display="OPEN EDITABLE PILOT" xr:uid="{00000000-0004-0000-0200-000008000000}"/>
  </hyperlinks>
  <pageMargins left="0.25" right="0.25" top="0.4" bottom="0.4" header="0.5" footer="0.5"/>
  <pageSetup paperSize="9" fitToHeight="0" orientation="landscape"/>
  <headerFooter>
    <oddFooter>&amp;LKERRY | DRYDOCK 2027&amp;CKERRY | Drydock 2027&amp;RPage &amp;P of &amp;N</oddFooter>
  </headerFooter>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87F8C"/>
    <pageSetUpPr fitToPage="1"/>
  </sheetPr>
  <dimension ref="A1:AR508"/>
  <sheetViews>
    <sheetView showGridLines="0" zoomScale="90" workbookViewId="0">
      <pane xSplit="2" ySplit="8" topLeftCell="C9" activePane="bottomRight" state="frozen"/>
      <selection pane="topRight"/>
      <selection pane="bottomLeft"/>
      <selection pane="bottomRight"/>
    </sheetView>
  </sheetViews>
  <sheetFormatPr defaultRowHeight="14.5" outlineLevelCol="1" x14ac:dyDescent="0.35"/>
  <cols>
    <col min="1" max="1" width="12" customWidth="1"/>
    <col min="2" max="2" width="31" customWidth="1"/>
    <col min="3" max="3" width="31" hidden="1" customWidth="1" outlineLevel="1"/>
    <col min="4" max="4" width="14" hidden="1" customWidth="1" outlineLevel="1"/>
    <col min="5" max="5" width="23" customWidth="1"/>
    <col min="6" max="6" width="36" customWidth="1"/>
    <col min="7" max="7" width="20" customWidth="1"/>
    <col min="8" max="8" width="22" customWidth="1"/>
    <col min="9" max="9" width="40" hidden="1" customWidth="1" outlineLevel="1"/>
    <col min="10" max="10" width="19" customWidth="1"/>
    <col min="11" max="11" width="11" customWidth="1"/>
    <col min="12" max="12" width="20" customWidth="1"/>
    <col min="13" max="13" width="18" customWidth="1"/>
    <col min="14" max="14" width="11" hidden="1" customWidth="1" outlineLevel="1"/>
    <col min="15" max="15" width="15" hidden="1" customWidth="1" outlineLevel="1"/>
    <col min="16" max="16" width="52" hidden="1" customWidth="1" outlineLevel="1"/>
    <col min="17" max="17" width="38" hidden="1" customWidth="1" outlineLevel="1"/>
    <col min="18" max="18" width="11" hidden="1" customWidth="1" outlineLevel="1"/>
    <col min="19" max="44" width="13" customWidth="1"/>
  </cols>
  <sheetData>
    <row r="1" spans="1:44" ht="27" customHeight="1" x14ac:dyDescent="0.35">
      <c r="A1" s="71" t="s">
        <v>338</v>
      </c>
      <c r="B1" s="39"/>
      <c r="C1" s="39"/>
      <c r="D1" s="39"/>
      <c r="E1" s="39"/>
      <c r="F1" s="39"/>
      <c r="G1" s="39"/>
      <c r="H1" s="39"/>
      <c r="I1" s="39"/>
      <c r="J1" s="39"/>
      <c r="K1" s="39"/>
      <c r="L1" s="39"/>
      <c r="M1" s="39"/>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row>
    <row r="2" spans="1:44" ht="20" customHeight="1" x14ac:dyDescent="0.35">
      <c r="A2" s="39"/>
      <c r="B2" s="39"/>
      <c r="C2" s="39"/>
      <c r="D2" s="39"/>
      <c r="E2" s="39"/>
      <c r="F2" s="39"/>
      <c r="G2" s="39"/>
      <c r="H2" s="39"/>
      <c r="I2" s="39"/>
      <c r="J2" s="39"/>
      <c r="K2" s="39"/>
      <c r="L2" s="39"/>
      <c r="M2" s="39"/>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row>
    <row r="3" spans="1:44" ht="21" customHeight="1" x14ac:dyDescent="0.35">
      <c r="A3" s="69" t="s">
        <v>339</v>
      </c>
      <c r="B3" s="39"/>
      <c r="C3" s="39"/>
      <c r="D3" s="39"/>
      <c r="E3" s="39"/>
      <c r="F3" s="39"/>
      <c r="G3" s="39"/>
      <c r="H3" s="39"/>
      <c r="I3" s="39"/>
      <c r="J3" s="39"/>
      <c r="K3" s="39"/>
      <c r="L3" s="39"/>
      <c r="M3" s="39"/>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44" ht="29" customHeight="1" x14ac:dyDescent="0.35">
      <c r="A4" s="11" t="s">
        <v>3</v>
      </c>
      <c r="B4" s="11" t="s">
        <v>4</v>
      </c>
      <c r="C4" s="20"/>
      <c r="D4" s="20"/>
      <c r="E4" s="12" t="s">
        <v>5</v>
      </c>
      <c r="F4" s="11" t="s">
        <v>6</v>
      </c>
      <c r="G4" s="11" t="s">
        <v>7</v>
      </c>
      <c r="H4" s="11" t="s">
        <v>8</v>
      </c>
      <c r="I4" s="20"/>
      <c r="J4" s="11" t="s">
        <v>53</v>
      </c>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row>
    <row r="5" spans="1:44" ht="10" customHeight="1" x14ac:dyDescent="0.3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44" ht="30" customHeight="1" x14ac:dyDescent="0.35">
      <c r="A6" s="70" t="s">
        <v>340</v>
      </c>
      <c r="B6" s="39"/>
      <c r="C6" s="20"/>
      <c r="D6" s="20"/>
      <c r="E6" s="69" t="s">
        <v>341</v>
      </c>
      <c r="F6" s="39"/>
      <c r="G6" s="39"/>
      <c r="H6" s="39"/>
      <c r="I6" s="20"/>
      <c r="J6" s="72" t="s">
        <v>342</v>
      </c>
      <c r="K6" s="39"/>
      <c r="L6" s="39"/>
      <c r="M6" s="39"/>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row>
    <row r="7" spans="1:44" ht="11" customHeight="1" x14ac:dyDescent="0.3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row>
    <row r="8" spans="1:44" ht="34" customHeight="1" x14ac:dyDescent="0.35">
      <c r="A8" s="13" t="s">
        <v>343</v>
      </c>
      <c r="B8" s="13" t="s">
        <v>344</v>
      </c>
      <c r="C8" s="13" t="s">
        <v>345</v>
      </c>
      <c r="D8" s="13" t="s">
        <v>346</v>
      </c>
      <c r="E8" s="13" t="s">
        <v>347</v>
      </c>
      <c r="F8" s="13" t="s">
        <v>348</v>
      </c>
      <c r="G8" s="13" t="s">
        <v>349</v>
      </c>
      <c r="H8" s="13" t="s">
        <v>350</v>
      </c>
      <c r="I8" s="13" t="s">
        <v>351</v>
      </c>
      <c r="J8" s="13" t="s">
        <v>352</v>
      </c>
      <c r="K8" s="13" t="s">
        <v>60</v>
      </c>
      <c r="L8" s="13" t="s">
        <v>61</v>
      </c>
      <c r="M8" s="13" t="s">
        <v>62</v>
      </c>
      <c r="N8" s="13" t="s">
        <v>69</v>
      </c>
      <c r="O8" s="13" t="s">
        <v>353</v>
      </c>
      <c r="P8" s="13" t="s">
        <v>354</v>
      </c>
      <c r="Q8" s="13" t="s">
        <v>355</v>
      </c>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row>
    <row r="9" spans="1:44" ht="48" customHeight="1" x14ac:dyDescent="0.35">
      <c r="A9" s="14" t="s">
        <v>356</v>
      </c>
      <c r="B9" s="15" t="s">
        <v>357</v>
      </c>
      <c r="C9" s="15" t="s">
        <v>358</v>
      </c>
      <c r="D9" s="14" t="s">
        <v>359</v>
      </c>
      <c r="E9" s="15" t="s">
        <v>360</v>
      </c>
      <c r="F9" s="15" t="s">
        <v>361</v>
      </c>
      <c r="G9" s="36"/>
      <c r="H9" s="15"/>
      <c r="I9" s="15" t="s">
        <v>362</v>
      </c>
      <c r="J9" s="14" t="s">
        <v>363</v>
      </c>
      <c r="K9" s="14">
        <f>IF(A9="","",COUNTIF(Quotes!$D$9:$D$258,D9))</f>
        <v>1</v>
      </c>
      <c r="L9" s="16">
        <f>IF(A9="","",IF(O9=1,SUMIF(Quotes!$C$9:$C$258,A9,Quotes!$AI$9:$AI$258),0))</f>
        <v>44800</v>
      </c>
      <c r="M9" s="16">
        <f>IF(A9="","",IF(O9=1,SUMIF(Quotes!$C$9:$C$258,A9,Quotes!$AJ$9:$AJ$258),0))</f>
        <v>0</v>
      </c>
      <c r="N9" s="14" t="s">
        <v>364</v>
      </c>
      <c r="O9" s="14">
        <f>IF(A9="","",IF(COUNTIF($A$9:A9,A9)=1,1,0))</f>
        <v>1</v>
      </c>
      <c r="P9" s="14" t="str">
        <f t="shared" ref="P9:P72" si="0">IF(A9="","",D9&amp;" | "&amp;B9&amp;" | "&amp;E9)</f>
        <v>CT00001 | RENK | RENKINFO</v>
      </c>
      <c r="Q9" s="14" t="str">
        <f t="shared" ref="Q9:Q72" si="1">IF(A9="","",A9&amp;" | "&amp;B9)</f>
        <v>A1 | RENK</v>
      </c>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row>
    <row r="10" spans="1:44" ht="48" customHeight="1" x14ac:dyDescent="0.35">
      <c r="A10" s="18" t="s">
        <v>365</v>
      </c>
      <c r="B10" s="15" t="s">
        <v>366</v>
      </c>
      <c r="C10" s="15" t="s">
        <v>367</v>
      </c>
      <c r="D10" s="18" t="s">
        <v>368</v>
      </c>
      <c r="E10" s="15" t="s">
        <v>369</v>
      </c>
      <c r="F10" s="15" t="s">
        <v>370</v>
      </c>
      <c r="G10" s="36">
        <v>70268900</v>
      </c>
      <c r="H10" s="15" t="s">
        <v>371</v>
      </c>
      <c r="I10" s="15" t="s">
        <v>372</v>
      </c>
      <c r="J10" s="18" t="s">
        <v>363</v>
      </c>
      <c r="K10" s="18">
        <f>IF(A10="","",COUNTIF(Quotes!$D$9:$D$258,D10))</f>
        <v>1</v>
      </c>
      <c r="L10" s="19">
        <f>IF(A10="","",IF(O10=1,SUMIF(Quotes!$C$9:$C$258,A10,Quotes!$AI$9:$AI$258),0))</f>
        <v>8426.7781419303046</v>
      </c>
      <c r="M10" s="19">
        <f>IF(A10="","",IF(O10=1,SUMIF(Quotes!$C$9:$C$258,A10,Quotes!$AJ$9:$AJ$258),0))</f>
        <v>0</v>
      </c>
      <c r="N10" s="18" t="s">
        <v>79</v>
      </c>
      <c r="O10" s="18">
        <f>IF(A10="","",IF(COUNTIF($A$9:A10,A10)=1,1,0))</f>
        <v>1</v>
      </c>
      <c r="P10" s="18" t="str">
        <f t="shared" si="0"/>
        <v>CT00002 | BAC IMPALLOY | Ole Elrum</v>
      </c>
      <c r="Q10" s="18" t="str">
        <f t="shared" si="1"/>
        <v>A2 | BAC IMPALLOY</v>
      </c>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row>
    <row r="11" spans="1:44" ht="48" customHeight="1" x14ac:dyDescent="0.35">
      <c r="A11" s="14" t="s">
        <v>373</v>
      </c>
      <c r="B11" s="15" t="s">
        <v>374</v>
      </c>
      <c r="C11" s="15" t="s">
        <v>375</v>
      </c>
      <c r="D11" s="14" t="s">
        <v>376</v>
      </c>
      <c r="E11" s="15" t="s">
        <v>377</v>
      </c>
      <c r="F11" s="15" t="s">
        <v>378</v>
      </c>
      <c r="G11" s="36">
        <v>709187649</v>
      </c>
      <c r="H11" s="15" t="s">
        <v>379</v>
      </c>
      <c r="I11" s="15" t="s">
        <v>372</v>
      </c>
      <c r="J11" s="14" t="s">
        <v>363</v>
      </c>
      <c r="K11" s="14">
        <f>IF(A11="","",COUNTIF(Quotes!$D$9:$D$258,D11))</f>
        <v>1</v>
      </c>
      <c r="L11" s="16">
        <f>IF(A11="","",IF(O11=1,SUMIF(Quotes!$C$9:$C$258,A11,Quotes!$AI$9:$AI$258),0))</f>
        <v>0</v>
      </c>
      <c r="M11" s="16">
        <f>IF(A11="","",IF(O11=1,SUMIF(Quotes!$C$9:$C$258,A11,Quotes!$AJ$9:$AJ$258),0))</f>
        <v>0</v>
      </c>
      <c r="N11" s="14" t="s">
        <v>79</v>
      </c>
      <c r="O11" s="14">
        <f>IF(A11="","",IF(COUNTIF($A$9:A11,A11)=1,1,0))</f>
        <v>1</v>
      </c>
      <c r="P11" s="14" t="str">
        <f t="shared" si="0"/>
        <v>CT00003 | HEMPEL | Björn Smit</v>
      </c>
      <c r="Q11" s="14" t="str">
        <f t="shared" si="1"/>
        <v>A3 | HEMPEL</v>
      </c>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row>
    <row r="12" spans="1:44" ht="48" customHeight="1" x14ac:dyDescent="0.35">
      <c r="A12" s="18" t="s">
        <v>380</v>
      </c>
      <c r="B12" s="15" t="s">
        <v>381</v>
      </c>
      <c r="C12" s="15" t="s">
        <v>375</v>
      </c>
      <c r="D12" s="18" t="s">
        <v>382</v>
      </c>
      <c r="E12" s="15" t="s">
        <v>383</v>
      </c>
      <c r="F12" s="15" t="s">
        <v>384</v>
      </c>
      <c r="G12" s="36">
        <v>627136325</v>
      </c>
      <c r="H12" s="15" t="s">
        <v>385</v>
      </c>
      <c r="I12" s="15" t="s">
        <v>362</v>
      </c>
      <c r="J12" s="18" t="s">
        <v>363</v>
      </c>
      <c r="K12" s="18">
        <f>IF(A12="","",COUNTIF(Quotes!$D$9:$D$258,D12))</f>
        <v>1</v>
      </c>
      <c r="L12" s="19">
        <f>IF(A12="","",IF(O12=1,SUMIF(Quotes!$C$9:$C$258,A12,Quotes!$AI$9:$AI$258),0))</f>
        <v>0</v>
      </c>
      <c r="M12" s="19">
        <f>IF(A12="","",IF(O12=1,SUMIF(Quotes!$C$9:$C$258,A12,Quotes!$AJ$9:$AJ$258),0))</f>
        <v>0</v>
      </c>
      <c r="N12" s="18" t="s">
        <v>79</v>
      </c>
      <c r="O12" s="18">
        <f>IF(A12="","",IF(COUNTIF($A$9:A12,A12)=1,1,0))</f>
        <v>1</v>
      </c>
      <c r="P12" s="18" t="str">
        <f t="shared" si="0"/>
        <v xml:space="preserve">CT00004 | Chugoku paints | Peter </v>
      </c>
      <c r="Q12" s="18" t="str">
        <f t="shared" si="1"/>
        <v>A4 | Chugoku paints</v>
      </c>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row>
    <row r="13" spans="1:44" ht="48" customHeight="1" x14ac:dyDescent="0.35">
      <c r="A13" s="14" t="s">
        <v>386</v>
      </c>
      <c r="B13" s="15" t="s">
        <v>387</v>
      </c>
      <c r="C13" s="15" t="s">
        <v>388</v>
      </c>
      <c r="D13" s="14" t="s">
        <v>389</v>
      </c>
      <c r="E13" s="15" t="s">
        <v>370</v>
      </c>
      <c r="F13" s="15" t="s">
        <v>370</v>
      </c>
      <c r="G13" s="36" t="s">
        <v>370</v>
      </c>
      <c r="H13" s="15" t="s">
        <v>370</v>
      </c>
      <c r="I13" s="15" t="s">
        <v>390</v>
      </c>
      <c r="J13" s="14" t="s">
        <v>363</v>
      </c>
      <c r="K13" s="14">
        <f>IF(A13="","",COUNTIF(Quotes!$D$9:$D$258,D13))</f>
        <v>1</v>
      </c>
      <c r="L13" s="16">
        <f>IF(A13="","",IF(O13=1,SUMIF(Quotes!$C$9:$C$258,A13,Quotes!$AI$9:$AI$258),0))</f>
        <v>0</v>
      </c>
      <c r="M13" s="16">
        <f>IF(A13="","",IF(O13=1,SUMIF(Quotes!$C$9:$C$258,A13,Quotes!$AJ$9:$AJ$258),0))</f>
        <v>0</v>
      </c>
      <c r="N13" s="14" t="s">
        <v>79</v>
      </c>
      <c r="O13" s="14">
        <f>IF(A13="","",IF(COUNTIF($A$9:A13,A13)=1,1,0))</f>
        <v>1</v>
      </c>
      <c r="P13" s="14" t="str">
        <f t="shared" si="0"/>
        <v>CT00005 | MAN | N/A</v>
      </c>
      <c r="Q13" s="14" t="str">
        <f t="shared" si="1"/>
        <v>A5 | MAN</v>
      </c>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row>
    <row r="14" spans="1:44" ht="48" customHeight="1" x14ac:dyDescent="0.35">
      <c r="A14" s="18" t="s">
        <v>391</v>
      </c>
      <c r="B14" s="15" t="s">
        <v>392</v>
      </c>
      <c r="C14" s="15" t="s">
        <v>393</v>
      </c>
      <c r="D14" s="18" t="s">
        <v>394</v>
      </c>
      <c r="E14" s="15" t="s">
        <v>395</v>
      </c>
      <c r="F14" s="15" t="s">
        <v>396</v>
      </c>
      <c r="G14" s="36">
        <v>3470637034</v>
      </c>
      <c r="H14" s="15" t="s">
        <v>397</v>
      </c>
      <c r="I14" s="15" t="s">
        <v>398</v>
      </c>
      <c r="J14" s="18" t="s">
        <v>363</v>
      </c>
      <c r="K14" s="18">
        <f>IF(A14="","",COUNTIF(Quotes!$D$9:$D$258,D14))</f>
        <v>4</v>
      </c>
      <c r="L14" s="19">
        <f>IF(A14="","",IF(O14=1,SUMIF(Quotes!$C$9:$C$258,A14,Quotes!$AI$9:$AI$258),0))</f>
        <v>250000</v>
      </c>
      <c r="M14" s="19">
        <f>IF(A14="","",IF(O14=1,SUMIF(Quotes!$C$9:$C$258,A14,Quotes!$AJ$9:$AJ$258),0))</f>
        <v>0</v>
      </c>
      <c r="N14" s="18" t="s">
        <v>79</v>
      </c>
      <c r="O14" s="18">
        <f>IF(A14="","",IF(COUNTIF($A$9:A14,A14)=1,1,0))</f>
        <v>1</v>
      </c>
      <c r="P14" s="18" t="str">
        <f t="shared" si="0"/>
        <v xml:space="preserve">CT00006 | PINNFABB | MATT </v>
      </c>
      <c r="Q14" s="18" t="str">
        <f t="shared" si="1"/>
        <v>A6 | PINNFABB</v>
      </c>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row>
    <row r="15" spans="1:44" ht="48" customHeight="1" x14ac:dyDescent="0.35">
      <c r="A15" s="14" t="s">
        <v>399</v>
      </c>
      <c r="B15" s="15" t="s">
        <v>400</v>
      </c>
      <c r="C15" s="15" t="s">
        <v>401</v>
      </c>
      <c r="D15" s="14" t="s">
        <v>402</v>
      </c>
      <c r="E15" s="15" t="s">
        <v>370</v>
      </c>
      <c r="F15" s="15" t="s">
        <v>370</v>
      </c>
      <c r="G15" s="36" t="s">
        <v>370</v>
      </c>
      <c r="H15" s="15" t="s">
        <v>379</v>
      </c>
      <c r="I15" s="15" t="s">
        <v>403</v>
      </c>
      <c r="J15" s="14" t="s">
        <v>363</v>
      </c>
      <c r="K15" s="14">
        <f>IF(A15="","",COUNTIF(Quotes!$D$9:$D$258,D15))</f>
        <v>3</v>
      </c>
      <c r="L15" s="16">
        <f>IF(A15="","",IF(O15=1,SUMIF(Quotes!$C$9:$C$258,A15,Quotes!$AI$9:$AI$258),0))</f>
        <v>0</v>
      </c>
      <c r="M15" s="16">
        <f>IF(A15="","",IF(O15=1,SUMIF(Quotes!$C$9:$C$258,A15,Quotes!$AJ$9:$AJ$258),0))</f>
        <v>0</v>
      </c>
      <c r="N15" s="14" t="s">
        <v>79</v>
      </c>
      <c r="O15" s="14">
        <f>IF(A15="","",IF(COUNTIF($A$9:A15,A15)=1,1,0))</f>
        <v>1</v>
      </c>
      <c r="P15" s="14" t="str">
        <f t="shared" si="0"/>
        <v>CT00007 | WÀRTSILA | N/A</v>
      </c>
      <c r="Q15" s="14" t="str">
        <f t="shared" si="1"/>
        <v>A7 | WÀRTSILA</v>
      </c>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row>
    <row r="16" spans="1:44" ht="48" customHeight="1" x14ac:dyDescent="0.35">
      <c r="A16" s="18" t="s">
        <v>399</v>
      </c>
      <c r="B16" s="15" t="s">
        <v>400</v>
      </c>
      <c r="C16" s="15" t="s">
        <v>404</v>
      </c>
      <c r="D16" s="18" t="s">
        <v>405</v>
      </c>
      <c r="E16" s="15" t="s">
        <v>406</v>
      </c>
      <c r="F16" s="15" t="s">
        <v>407</v>
      </c>
      <c r="G16" s="36" t="s">
        <v>408</v>
      </c>
      <c r="H16" s="15" t="s">
        <v>379</v>
      </c>
      <c r="I16" s="15" t="s">
        <v>409</v>
      </c>
      <c r="J16" s="18" t="s">
        <v>363</v>
      </c>
      <c r="K16" s="18">
        <f>IF(A16="","",COUNTIF(Quotes!$D$9:$D$258,D16))</f>
        <v>0</v>
      </c>
      <c r="L16" s="19">
        <f>IF(A16="","",IF(O16=1,SUMIF(Quotes!$C$9:$C$258,A16,Quotes!$AI$9:$AI$258),0))</f>
        <v>0</v>
      </c>
      <c r="M16" s="19">
        <f>IF(A16="","",IF(O16=1,SUMIF(Quotes!$C$9:$C$258,A16,Quotes!$AJ$9:$AJ$258),0))</f>
        <v>0</v>
      </c>
      <c r="N16" s="18" t="s">
        <v>79</v>
      </c>
      <c r="O16" s="18">
        <f>IF(A16="","",IF(COUNTIF($A$9:A16,A16)=1,1,0))</f>
        <v>0</v>
      </c>
      <c r="P16" s="18" t="str">
        <f t="shared" si="0"/>
        <v xml:space="preserve">CT00008 | WÀRTSILA | Yuzer </v>
      </c>
      <c r="Q16" s="18" t="str">
        <f t="shared" si="1"/>
        <v>A7 | WÀRTSILA</v>
      </c>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row>
    <row r="17" spans="1:44" ht="48" customHeight="1" x14ac:dyDescent="0.35">
      <c r="A17" s="14" t="s">
        <v>410</v>
      </c>
      <c r="B17" s="15" t="s">
        <v>411</v>
      </c>
      <c r="C17" s="15" t="s">
        <v>412</v>
      </c>
      <c r="D17" s="14" t="s">
        <v>413</v>
      </c>
      <c r="E17" s="15"/>
      <c r="F17" s="15" t="s">
        <v>414</v>
      </c>
      <c r="G17" s="36" t="s">
        <v>415</v>
      </c>
      <c r="H17" s="15" t="s">
        <v>416</v>
      </c>
      <c r="I17" s="15" t="s">
        <v>417</v>
      </c>
      <c r="J17" s="14" t="s">
        <v>363</v>
      </c>
      <c r="K17" s="14">
        <f>IF(A17="","",COUNTIF(Quotes!$D$9:$D$258,D17))</f>
        <v>1</v>
      </c>
      <c r="L17" s="16">
        <f>IF(A17="","",IF(O17=1,SUMIF(Quotes!$C$9:$C$258,A17,Quotes!$AI$9:$AI$258),0))</f>
        <v>0</v>
      </c>
      <c r="M17" s="16">
        <f>IF(A17="","",IF(O17=1,SUMIF(Quotes!$C$9:$C$258,A17,Quotes!$AJ$9:$AJ$258),0))</f>
        <v>0</v>
      </c>
      <c r="N17" s="14" t="s">
        <v>79</v>
      </c>
      <c r="O17" s="14">
        <f>IF(A17="","",IF(COUNTIF($A$9:A17,A17)=1,1,0))</f>
        <v>1</v>
      </c>
      <c r="P17" s="14" t="str">
        <f t="shared" si="0"/>
        <v xml:space="preserve">CT00009 | PJCircular | </v>
      </c>
      <c r="Q17" s="14" t="str">
        <f t="shared" si="1"/>
        <v>A8 | PJCircular</v>
      </c>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row>
    <row r="18" spans="1:44" ht="48" customHeight="1" x14ac:dyDescent="0.35">
      <c r="A18" s="18" t="s">
        <v>418</v>
      </c>
      <c r="B18" s="15" t="s">
        <v>419</v>
      </c>
      <c r="C18" s="15" t="s">
        <v>412</v>
      </c>
      <c r="D18" s="18" t="s">
        <v>420</v>
      </c>
      <c r="E18" s="15" t="s">
        <v>370</v>
      </c>
      <c r="F18" s="15" t="s">
        <v>421</v>
      </c>
      <c r="G18" s="36" t="s">
        <v>422</v>
      </c>
      <c r="H18" s="15" t="s">
        <v>385</v>
      </c>
      <c r="I18" s="15" t="s">
        <v>423</v>
      </c>
      <c r="J18" s="18" t="s">
        <v>363</v>
      </c>
      <c r="K18" s="18">
        <f>IF(A18="","",COUNTIF(Quotes!$D$9:$D$258,D18))</f>
        <v>1</v>
      </c>
      <c r="L18" s="19">
        <f>IF(A18="","",IF(O18=1,SUMIF(Quotes!$C$9:$C$258,A18,Quotes!$AI$9:$AI$258),0))</f>
        <v>0</v>
      </c>
      <c r="M18" s="19">
        <f>IF(A18="","",IF(O18=1,SUMIF(Quotes!$C$9:$C$258,A18,Quotes!$AJ$9:$AJ$258),0))</f>
        <v>0</v>
      </c>
      <c r="N18" s="18" t="s">
        <v>79</v>
      </c>
      <c r="O18" s="18">
        <f>IF(A18="","",IF(COUNTIF($A$9:A18,A18)=1,1,0))</f>
        <v>1</v>
      </c>
      <c r="P18" s="18" t="str">
        <f t="shared" si="0"/>
        <v>CT00010 | TURNER  | N/A</v>
      </c>
      <c r="Q18" s="18" t="str">
        <f t="shared" si="1"/>
        <v xml:space="preserve">A8.1 | TURNER </v>
      </c>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row>
    <row r="19" spans="1:44" ht="48" customHeight="1" x14ac:dyDescent="0.35">
      <c r="A19" s="14" t="s">
        <v>424</v>
      </c>
      <c r="B19" s="15" t="s">
        <v>425</v>
      </c>
      <c r="C19" s="15" t="s">
        <v>426</v>
      </c>
      <c r="D19" s="14" t="s">
        <v>427</v>
      </c>
      <c r="E19" s="15" t="s">
        <v>428</v>
      </c>
      <c r="F19" s="15" t="s">
        <v>429</v>
      </c>
      <c r="G19" s="36">
        <v>91919555</v>
      </c>
      <c r="H19" s="15" t="s">
        <v>430</v>
      </c>
      <c r="I19" s="15" t="s">
        <v>431</v>
      </c>
      <c r="J19" s="14" t="s">
        <v>363</v>
      </c>
      <c r="K19" s="14">
        <f>IF(A19="","",COUNTIF(Quotes!$D$9:$D$258,D19))</f>
        <v>1</v>
      </c>
      <c r="L19" s="16">
        <f>IF(A19="","",IF(O19=1,SUMIF(Quotes!$C$9:$C$258,A19,Quotes!$AI$9:$AI$258),0))</f>
        <v>0</v>
      </c>
      <c r="M19" s="16">
        <f>IF(A19="","",IF(O19=1,SUMIF(Quotes!$C$9:$C$258,A19,Quotes!$AJ$9:$AJ$258),0))</f>
        <v>0</v>
      </c>
      <c r="N19" s="14" t="s">
        <v>79</v>
      </c>
      <c r="O19" s="14">
        <f>IF(A19="","",IF(COUNTIF($A$9:A19,A19)=1,1,0))</f>
        <v>1</v>
      </c>
      <c r="P19" s="14" t="str">
        <f t="shared" si="0"/>
        <v>CT00011 | Autronica Fire and Security AS | Stian Hilde</v>
      </c>
      <c r="Q19" s="14" t="str">
        <f t="shared" si="1"/>
        <v>F1 | Autronica Fire and Security AS</v>
      </c>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row>
    <row r="20" spans="1:44" ht="48" customHeight="1" x14ac:dyDescent="0.35">
      <c r="A20" s="18" t="s">
        <v>432</v>
      </c>
      <c r="B20" s="15" t="s">
        <v>433</v>
      </c>
      <c r="C20" s="15" t="s">
        <v>426</v>
      </c>
      <c r="D20" s="18" t="s">
        <v>434</v>
      </c>
      <c r="E20" s="15" t="s">
        <v>435</v>
      </c>
      <c r="F20" s="15" t="s">
        <v>436</v>
      </c>
      <c r="G20" s="36" t="s">
        <v>437</v>
      </c>
      <c r="H20" s="15" t="s">
        <v>416</v>
      </c>
      <c r="I20" s="15" t="s">
        <v>438</v>
      </c>
      <c r="J20" s="18" t="s">
        <v>363</v>
      </c>
      <c r="K20" s="18">
        <f>IF(A20="","",COUNTIF(Quotes!$D$9:$D$258,D20))</f>
        <v>1</v>
      </c>
      <c r="L20" s="19">
        <f>IF(A20="","",IF(O20=1,SUMIF(Quotes!$C$9:$C$258,A20,Quotes!$AI$9:$AI$258),0))</f>
        <v>0</v>
      </c>
      <c r="M20" s="19">
        <f>IF(A20="","",IF(O20=1,SUMIF(Quotes!$C$9:$C$258,A20,Quotes!$AJ$9:$AJ$258),0))</f>
        <v>0</v>
      </c>
      <c r="N20" s="18" t="s">
        <v>79</v>
      </c>
      <c r="O20" s="18">
        <f>IF(A20="","",IF(COUNTIF($A$9:A20,A20)=1,1,0))</f>
        <v>1</v>
      </c>
      <c r="P20" s="18" t="str">
        <f t="shared" si="0"/>
        <v>CT00012 | Consillium | Martin</v>
      </c>
      <c r="Q20" s="18" t="str">
        <f t="shared" si="1"/>
        <v>F2 | Consillium</v>
      </c>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row>
    <row r="21" spans="1:44" ht="48" customHeight="1" x14ac:dyDescent="0.35">
      <c r="A21" s="14" t="s">
        <v>439</v>
      </c>
      <c r="B21" s="15" t="s">
        <v>440</v>
      </c>
      <c r="C21" s="15" t="s">
        <v>441</v>
      </c>
      <c r="D21" s="14" t="s">
        <v>442</v>
      </c>
      <c r="E21" s="15"/>
      <c r="F21" s="15" t="s">
        <v>443</v>
      </c>
      <c r="G21" s="36" t="s">
        <v>444</v>
      </c>
      <c r="H21" s="15" t="s">
        <v>430</v>
      </c>
      <c r="I21" s="15" t="s">
        <v>445</v>
      </c>
      <c r="J21" s="14" t="s">
        <v>363</v>
      </c>
      <c r="K21" s="14">
        <f>IF(A21="","",COUNTIF(Quotes!$D$9:$D$258,D21))</f>
        <v>3</v>
      </c>
      <c r="L21" s="16">
        <f>IF(A21="","",IF(O21=1,SUMIF(Quotes!$C$9:$C$258,A21,Quotes!$AI$9:$AI$258),0))</f>
        <v>144229.46494464943</v>
      </c>
      <c r="M21" s="16">
        <f>IF(A21="","",IF(O21=1,SUMIF(Quotes!$C$9:$C$258,A21,Quotes!$AJ$9:$AJ$258),0))</f>
        <v>0</v>
      </c>
      <c r="N21" s="14" t="s">
        <v>79</v>
      </c>
      <c r="O21" s="14">
        <f>IF(A21="","",IF(COUNTIF($A$9:A21,A21)=1,1,0))</f>
        <v>1</v>
      </c>
      <c r="P21" s="14" t="str">
        <f t="shared" si="0"/>
        <v xml:space="preserve">CT00013 | BRUNVOLL | </v>
      </c>
      <c r="Q21" s="14" t="str">
        <f t="shared" si="1"/>
        <v>A9 | BRUNVOLL</v>
      </c>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row>
    <row r="22" spans="1:44" ht="48" customHeight="1" x14ac:dyDescent="0.35">
      <c r="A22" s="18" t="s">
        <v>446</v>
      </c>
      <c r="B22" s="15" t="s">
        <v>447</v>
      </c>
      <c r="C22" s="15" t="s">
        <v>448</v>
      </c>
      <c r="D22" s="18" t="s">
        <v>449</v>
      </c>
      <c r="E22" s="15" t="s">
        <v>450</v>
      </c>
      <c r="F22" s="15" t="s">
        <v>451</v>
      </c>
      <c r="G22" s="36" t="s">
        <v>452</v>
      </c>
      <c r="H22" s="15" t="s">
        <v>430</v>
      </c>
      <c r="I22" s="15" t="s">
        <v>453</v>
      </c>
      <c r="J22" s="18" t="s">
        <v>363</v>
      </c>
      <c r="K22" s="18">
        <f>IF(A22="","",COUNTIF(Quotes!$D$9:$D$258,D22))</f>
        <v>2</v>
      </c>
      <c r="L22" s="19">
        <f>IF(A22="","",IF(O22=1,SUMIF(Quotes!$C$9:$C$258,A22,Quotes!$AI$9:$AI$258),0))</f>
        <v>42681</v>
      </c>
      <c r="M22" s="19">
        <f>IF(A22="","",IF(O22=1,SUMIF(Quotes!$C$9:$C$258,A22,Quotes!$AJ$9:$AJ$258),0))</f>
        <v>0</v>
      </c>
      <c r="N22" s="18" t="s">
        <v>79</v>
      </c>
      <c r="O22" s="18">
        <f>IF(A22="","",IF(COUNTIF($A$9:A22,A22)=1,1,0))</f>
        <v>1</v>
      </c>
      <c r="P22" s="18" t="str">
        <f t="shared" si="0"/>
        <v>CT00014 | Neuver maritime  | Hilde Omvik Kyte</v>
      </c>
      <c r="Q22" s="18" t="str">
        <f t="shared" si="1"/>
        <v xml:space="preserve">A10 | Neuver maritime </v>
      </c>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row>
    <row r="23" spans="1:44" ht="48" customHeight="1" x14ac:dyDescent="0.35">
      <c r="A23" s="14" t="s">
        <v>446</v>
      </c>
      <c r="B23" s="15" t="s">
        <v>447</v>
      </c>
      <c r="C23" s="15" t="s">
        <v>454</v>
      </c>
      <c r="D23" s="14" t="s">
        <v>455</v>
      </c>
      <c r="E23" s="15" t="s">
        <v>450</v>
      </c>
      <c r="F23" s="15" t="s">
        <v>451</v>
      </c>
      <c r="G23" s="36" t="s">
        <v>452</v>
      </c>
      <c r="H23" s="15" t="s">
        <v>430</v>
      </c>
      <c r="I23" s="15" t="s">
        <v>456</v>
      </c>
      <c r="J23" s="14" t="s">
        <v>363</v>
      </c>
      <c r="K23" s="14">
        <f>IF(A23="","",COUNTIF(Quotes!$D$9:$D$258,D23))</f>
        <v>0</v>
      </c>
      <c r="L23" s="16">
        <f>IF(A23="","",IF(O23=1,SUMIF(Quotes!$C$9:$C$258,A23,Quotes!$AI$9:$AI$258),0))</f>
        <v>0</v>
      </c>
      <c r="M23" s="16">
        <f>IF(A23="","",IF(O23=1,SUMIF(Quotes!$C$9:$C$258,A23,Quotes!$AJ$9:$AJ$258),0))</f>
        <v>0</v>
      </c>
      <c r="N23" s="14" t="s">
        <v>79</v>
      </c>
      <c r="O23" s="14">
        <f>IF(A23="","",IF(COUNTIF($A$9:A23,A23)=1,1,0))</f>
        <v>0</v>
      </c>
      <c r="P23" s="14" t="str">
        <f t="shared" si="0"/>
        <v>CT00015 | Neuver maritime  | Hilde Omvik Kyte</v>
      </c>
      <c r="Q23" s="14" t="str">
        <f t="shared" si="1"/>
        <v xml:space="preserve">A10 | Neuver maritime </v>
      </c>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row>
    <row r="24" spans="1:44" ht="48" customHeight="1" x14ac:dyDescent="0.35">
      <c r="A24" s="18" t="s">
        <v>457</v>
      </c>
      <c r="B24" s="15" t="s">
        <v>458</v>
      </c>
      <c r="C24" s="15" t="s">
        <v>375</v>
      </c>
      <c r="D24" s="18" t="s">
        <v>459</v>
      </c>
      <c r="E24" s="15" t="s">
        <v>460</v>
      </c>
      <c r="F24" s="15" t="s">
        <v>461</v>
      </c>
      <c r="G24" s="36" t="s">
        <v>370</v>
      </c>
      <c r="H24" s="15" t="s">
        <v>462</v>
      </c>
      <c r="I24" s="15" t="s">
        <v>445</v>
      </c>
      <c r="J24" s="18" t="s">
        <v>363</v>
      </c>
      <c r="K24" s="18">
        <f>IF(A24="","",COUNTIF(Quotes!$D$9:$D$258,D24))</f>
        <v>1</v>
      </c>
      <c r="L24" s="19">
        <f>IF(A24="","",IF(O24=1,SUMIF(Quotes!$C$9:$C$258,A24,Quotes!$AI$9:$AI$258),0))</f>
        <v>0</v>
      </c>
      <c r="M24" s="19">
        <f>IF(A24="","",IF(O24=1,SUMIF(Quotes!$C$9:$C$258,A24,Quotes!$AJ$9:$AJ$258),0))</f>
        <v>0</v>
      </c>
      <c r="N24" s="18" t="s">
        <v>79</v>
      </c>
      <c r="O24" s="18">
        <f>IF(A24="","",IF(COUNTIF($A$9:A24,A24)=1,1,0))</f>
        <v>1</v>
      </c>
      <c r="P24" s="18" t="str">
        <f t="shared" si="0"/>
        <v>CT00016 | NIPPON | Alex Uuetalu</v>
      </c>
      <c r="Q24" s="18" t="str">
        <f t="shared" si="1"/>
        <v>A11 | NIPPON</v>
      </c>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row>
    <row r="25" spans="1:44" ht="48" customHeight="1" x14ac:dyDescent="0.35">
      <c r="A25" s="14"/>
      <c r="B25" s="15"/>
      <c r="C25" s="15"/>
      <c r="D25" s="14"/>
      <c r="E25" s="15"/>
      <c r="F25" s="15"/>
      <c r="G25" s="36"/>
      <c r="H25" s="15"/>
      <c r="I25" s="15"/>
      <c r="J25" s="14" t="str">
        <f>IF(A25="","",IFERROR(HYPERLINK("#'Supplier Jobs'!A"&amp;(MATCH(A25,'Supplier Jobs'!$N$9:$N$258,0)+8),"JOBS / QUOTES"),"No quotes"))</f>
        <v/>
      </c>
      <c r="K25" s="14" t="str">
        <f>IF(A25="","",COUNTIF(Quotes!$D$9:$D$258,D25))</f>
        <v/>
      </c>
      <c r="L25" s="16" t="str">
        <f>IF(A25="","",IF(O25=1,SUMIF(Quotes!$C$9:$C$258,A25,Quotes!$AI$9:$AI$258),0))</f>
        <v/>
      </c>
      <c r="M25" s="16" t="str">
        <f>IF(A25="","",IF(O25=1,SUMIF(Quotes!$C$9:$C$258,A25,Quotes!$AJ$9:$AJ$258),0))</f>
        <v/>
      </c>
      <c r="N25" s="14"/>
      <c r="O25" s="14" t="str">
        <f>IF(A25="","",IF(COUNTIF($A$9:A25,A25)=1,1,0))</f>
        <v/>
      </c>
      <c r="P25" s="14" t="str">
        <f t="shared" si="0"/>
        <v/>
      </c>
      <c r="Q25" s="14" t="str">
        <f t="shared" si="1"/>
        <v/>
      </c>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row>
    <row r="26" spans="1:44" ht="48" customHeight="1" x14ac:dyDescent="0.35">
      <c r="A26" s="18"/>
      <c r="B26" s="15"/>
      <c r="C26" s="15"/>
      <c r="D26" s="18"/>
      <c r="E26" s="15"/>
      <c r="F26" s="15"/>
      <c r="G26" s="36"/>
      <c r="H26" s="15"/>
      <c r="I26" s="15"/>
      <c r="J26" s="18" t="str">
        <f>IF(A26="","",IFERROR(HYPERLINK("#'Supplier Jobs'!A"&amp;(MATCH(A26,'Supplier Jobs'!$N$9:$N$258,0)+8),"JOBS / QUOTES"),"No quotes"))</f>
        <v/>
      </c>
      <c r="K26" s="18" t="str">
        <f>IF(A26="","",COUNTIF(Quotes!$D$9:$D$258,D26))</f>
        <v/>
      </c>
      <c r="L26" s="19" t="str">
        <f>IF(A26="","",IF(O26=1,SUMIF(Quotes!$C$9:$C$258,A26,Quotes!$AI$9:$AI$258),0))</f>
        <v/>
      </c>
      <c r="M26" s="19" t="str">
        <f>IF(A26="","",IF(O26=1,SUMIF(Quotes!$C$9:$C$258,A26,Quotes!$AJ$9:$AJ$258),0))</f>
        <v/>
      </c>
      <c r="N26" s="18"/>
      <c r="O26" s="18" t="str">
        <f>IF(A26="","",IF(COUNTIF($A$9:A26,A26)=1,1,0))</f>
        <v/>
      </c>
      <c r="P26" s="18" t="str">
        <f t="shared" si="0"/>
        <v/>
      </c>
      <c r="Q26" s="18" t="str">
        <f t="shared" si="1"/>
        <v/>
      </c>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row>
    <row r="27" spans="1:44" ht="48" customHeight="1" x14ac:dyDescent="0.35">
      <c r="A27" s="14"/>
      <c r="B27" s="15"/>
      <c r="C27" s="15"/>
      <c r="D27" s="14"/>
      <c r="E27" s="15"/>
      <c r="F27" s="15"/>
      <c r="G27" s="36"/>
      <c r="H27" s="15"/>
      <c r="I27" s="15"/>
      <c r="J27" s="14" t="str">
        <f>IF(A27="","",IFERROR(HYPERLINK("#'Supplier Jobs'!A"&amp;(MATCH(A27,'Supplier Jobs'!$N$9:$N$258,0)+8),"JOBS / QUOTES"),"No quotes"))</f>
        <v/>
      </c>
      <c r="K27" s="14" t="str">
        <f>IF(A27="","",COUNTIF(Quotes!$D$9:$D$258,D27))</f>
        <v/>
      </c>
      <c r="L27" s="16" t="str">
        <f>IF(A27="","",IF(O27=1,SUMIF(Quotes!$C$9:$C$258,A27,Quotes!$AI$9:$AI$258),0))</f>
        <v/>
      </c>
      <c r="M27" s="16" t="str">
        <f>IF(A27="","",IF(O27=1,SUMIF(Quotes!$C$9:$C$258,A27,Quotes!$AJ$9:$AJ$258),0))</f>
        <v/>
      </c>
      <c r="N27" s="14"/>
      <c r="O27" s="14" t="str">
        <f>IF(A27="","",IF(COUNTIF($A$9:A27,A27)=1,1,0))</f>
        <v/>
      </c>
      <c r="P27" s="14" t="str">
        <f t="shared" si="0"/>
        <v/>
      </c>
      <c r="Q27" s="14" t="str">
        <f t="shared" si="1"/>
        <v/>
      </c>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row>
    <row r="28" spans="1:44" ht="48" customHeight="1" x14ac:dyDescent="0.35">
      <c r="A28" s="18"/>
      <c r="B28" s="15"/>
      <c r="C28" s="15"/>
      <c r="D28" s="18"/>
      <c r="E28" s="15"/>
      <c r="F28" s="15"/>
      <c r="G28" s="36"/>
      <c r="H28" s="15"/>
      <c r="I28" s="15"/>
      <c r="J28" s="18" t="str">
        <f>IF(A28="","",IFERROR(HYPERLINK("#'Supplier Jobs'!A"&amp;(MATCH(A28,'Supplier Jobs'!$N$9:$N$258,0)+8),"JOBS / QUOTES"),"No quotes"))</f>
        <v/>
      </c>
      <c r="K28" s="18" t="str">
        <f>IF(A28="","",COUNTIF(Quotes!$D$9:$D$258,D28))</f>
        <v/>
      </c>
      <c r="L28" s="19" t="str">
        <f>IF(A28="","",IF(O28=1,SUMIF(Quotes!$C$9:$C$258,A28,Quotes!$AI$9:$AI$258),0))</f>
        <v/>
      </c>
      <c r="M28" s="19" t="str">
        <f>IF(A28="","",IF(O28=1,SUMIF(Quotes!$C$9:$C$258,A28,Quotes!$AJ$9:$AJ$258),0))</f>
        <v/>
      </c>
      <c r="N28" s="18"/>
      <c r="O28" s="18" t="str">
        <f>IF(A28="","",IF(COUNTIF($A$9:A28,A28)=1,1,0))</f>
        <v/>
      </c>
      <c r="P28" s="18" t="str">
        <f t="shared" si="0"/>
        <v/>
      </c>
      <c r="Q28" s="18" t="str">
        <f t="shared" si="1"/>
        <v/>
      </c>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row>
    <row r="29" spans="1:44" ht="48" customHeight="1" x14ac:dyDescent="0.35">
      <c r="A29" s="14"/>
      <c r="B29" s="15"/>
      <c r="C29" s="15"/>
      <c r="D29" s="14"/>
      <c r="E29" s="15"/>
      <c r="F29" s="15"/>
      <c r="G29" s="36"/>
      <c r="H29" s="15"/>
      <c r="I29" s="15"/>
      <c r="J29" s="14" t="str">
        <f>IF(A29="","",IFERROR(HYPERLINK("#'Supplier Jobs'!A"&amp;(MATCH(A29,'Supplier Jobs'!$N$9:$N$258,0)+8),"JOBS / QUOTES"),"No quotes"))</f>
        <v/>
      </c>
      <c r="K29" s="14" t="str">
        <f>IF(A29="","",COUNTIF(Quotes!$D$9:$D$258,D29))</f>
        <v/>
      </c>
      <c r="L29" s="16" t="str">
        <f>IF(A29="","",IF(O29=1,SUMIF(Quotes!$C$9:$C$258,A29,Quotes!$AI$9:$AI$258),0))</f>
        <v/>
      </c>
      <c r="M29" s="16" t="str">
        <f>IF(A29="","",IF(O29=1,SUMIF(Quotes!$C$9:$C$258,A29,Quotes!$AJ$9:$AJ$258),0))</f>
        <v/>
      </c>
      <c r="N29" s="14"/>
      <c r="O29" s="14" t="str">
        <f>IF(A29="","",IF(COUNTIF($A$9:A29,A29)=1,1,0))</f>
        <v/>
      </c>
      <c r="P29" s="14" t="str">
        <f t="shared" si="0"/>
        <v/>
      </c>
      <c r="Q29" s="14" t="str">
        <f t="shared" si="1"/>
        <v/>
      </c>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row>
    <row r="30" spans="1:44" ht="48" customHeight="1" x14ac:dyDescent="0.35">
      <c r="A30" s="18"/>
      <c r="B30" s="15"/>
      <c r="C30" s="15"/>
      <c r="D30" s="18"/>
      <c r="E30" s="15"/>
      <c r="F30" s="15"/>
      <c r="G30" s="36"/>
      <c r="H30" s="15"/>
      <c r="I30" s="15"/>
      <c r="J30" s="18" t="str">
        <f>IF(A30="","",IFERROR(HYPERLINK("#'Supplier Jobs'!A"&amp;(MATCH(A30,'Supplier Jobs'!$N$9:$N$258,0)+8),"JOBS / QUOTES"),"No quotes"))</f>
        <v/>
      </c>
      <c r="K30" s="18" t="str">
        <f>IF(A30="","",COUNTIF(Quotes!$D$9:$D$258,D30))</f>
        <v/>
      </c>
      <c r="L30" s="19" t="str">
        <f>IF(A30="","",IF(O30=1,SUMIF(Quotes!$C$9:$C$258,A30,Quotes!$AI$9:$AI$258),0))</f>
        <v/>
      </c>
      <c r="M30" s="19" t="str">
        <f>IF(A30="","",IF(O30=1,SUMIF(Quotes!$C$9:$C$258,A30,Quotes!$AJ$9:$AJ$258),0))</f>
        <v/>
      </c>
      <c r="N30" s="18"/>
      <c r="O30" s="18" t="str">
        <f>IF(A30="","",IF(COUNTIF($A$9:A30,A30)=1,1,0))</f>
        <v/>
      </c>
      <c r="P30" s="18" t="str">
        <f t="shared" si="0"/>
        <v/>
      </c>
      <c r="Q30" s="18" t="str">
        <f t="shared" si="1"/>
        <v/>
      </c>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row>
    <row r="31" spans="1:44" ht="48" customHeight="1" x14ac:dyDescent="0.35">
      <c r="A31" s="14"/>
      <c r="B31" s="15"/>
      <c r="C31" s="15"/>
      <c r="D31" s="14"/>
      <c r="E31" s="15"/>
      <c r="F31" s="15"/>
      <c r="G31" s="36"/>
      <c r="H31" s="15"/>
      <c r="I31" s="15"/>
      <c r="J31" s="14" t="str">
        <f>IF(A31="","",IFERROR(HYPERLINK("#'Supplier Jobs'!A"&amp;(MATCH(A31,'Supplier Jobs'!$N$9:$N$258,0)+8),"JOBS / QUOTES"),"No quotes"))</f>
        <v/>
      </c>
      <c r="K31" s="14" t="str">
        <f>IF(A31="","",COUNTIF(Quotes!$D$9:$D$258,D31))</f>
        <v/>
      </c>
      <c r="L31" s="16" t="str">
        <f>IF(A31="","",IF(O31=1,SUMIF(Quotes!$C$9:$C$258,A31,Quotes!$AI$9:$AI$258),0))</f>
        <v/>
      </c>
      <c r="M31" s="16" t="str">
        <f>IF(A31="","",IF(O31=1,SUMIF(Quotes!$C$9:$C$258,A31,Quotes!$AJ$9:$AJ$258),0))</f>
        <v/>
      </c>
      <c r="N31" s="14"/>
      <c r="O31" s="14" t="str">
        <f>IF(A31="","",IF(COUNTIF($A$9:A31,A31)=1,1,0))</f>
        <v/>
      </c>
      <c r="P31" s="14" t="str">
        <f t="shared" si="0"/>
        <v/>
      </c>
      <c r="Q31" s="14" t="str">
        <f t="shared" si="1"/>
        <v/>
      </c>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row>
    <row r="32" spans="1:44" ht="48" customHeight="1" x14ac:dyDescent="0.35">
      <c r="A32" s="18"/>
      <c r="B32" s="15"/>
      <c r="C32" s="15"/>
      <c r="D32" s="18"/>
      <c r="E32" s="15"/>
      <c r="F32" s="15"/>
      <c r="G32" s="36"/>
      <c r="H32" s="15"/>
      <c r="I32" s="15"/>
      <c r="J32" s="18" t="str">
        <f>IF(A32="","",IFERROR(HYPERLINK("#'Supplier Jobs'!A"&amp;(MATCH(A32,'Supplier Jobs'!$N$9:$N$258,0)+8),"JOBS / QUOTES"),"No quotes"))</f>
        <v/>
      </c>
      <c r="K32" s="18" t="str">
        <f>IF(A32="","",COUNTIF(Quotes!$D$9:$D$258,D32))</f>
        <v/>
      </c>
      <c r="L32" s="19" t="str">
        <f>IF(A32="","",IF(O32=1,SUMIF(Quotes!$C$9:$C$258,A32,Quotes!$AI$9:$AI$258),0))</f>
        <v/>
      </c>
      <c r="M32" s="19" t="str">
        <f>IF(A32="","",IF(O32=1,SUMIF(Quotes!$C$9:$C$258,A32,Quotes!$AJ$9:$AJ$258),0))</f>
        <v/>
      </c>
      <c r="N32" s="18"/>
      <c r="O32" s="18" t="str">
        <f>IF(A32="","",IF(COUNTIF($A$9:A32,A32)=1,1,0))</f>
        <v/>
      </c>
      <c r="P32" s="18" t="str">
        <f t="shared" si="0"/>
        <v/>
      </c>
      <c r="Q32" s="18" t="str">
        <f t="shared" si="1"/>
        <v/>
      </c>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row>
    <row r="33" spans="1:44" ht="48" customHeight="1" x14ac:dyDescent="0.35">
      <c r="A33" s="14"/>
      <c r="B33" s="15"/>
      <c r="C33" s="15"/>
      <c r="D33" s="14"/>
      <c r="E33" s="15"/>
      <c r="F33" s="15"/>
      <c r="G33" s="36"/>
      <c r="H33" s="15"/>
      <c r="I33" s="15"/>
      <c r="J33" s="14" t="str">
        <f>IF(A33="","",IFERROR(HYPERLINK("#'Supplier Jobs'!A"&amp;(MATCH(A33,'Supplier Jobs'!$N$9:$N$258,0)+8),"JOBS / QUOTES"),"No quotes"))</f>
        <v/>
      </c>
      <c r="K33" s="14" t="str">
        <f>IF(A33="","",COUNTIF(Quotes!$D$9:$D$258,D33))</f>
        <v/>
      </c>
      <c r="L33" s="16" t="str">
        <f>IF(A33="","",IF(O33=1,SUMIF(Quotes!$C$9:$C$258,A33,Quotes!$AI$9:$AI$258),0))</f>
        <v/>
      </c>
      <c r="M33" s="16" t="str">
        <f>IF(A33="","",IF(O33=1,SUMIF(Quotes!$C$9:$C$258,A33,Quotes!$AJ$9:$AJ$258),0))</f>
        <v/>
      </c>
      <c r="N33" s="14"/>
      <c r="O33" s="14" t="str">
        <f>IF(A33="","",IF(COUNTIF($A$9:A33,A33)=1,1,0))</f>
        <v/>
      </c>
      <c r="P33" s="14" t="str">
        <f t="shared" si="0"/>
        <v/>
      </c>
      <c r="Q33" s="14" t="str">
        <f t="shared" si="1"/>
        <v/>
      </c>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row>
    <row r="34" spans="1:44" ht="48" customHeight="1" x14ac:dyDescent="0.35">
      <c r="A34" s="18"/>
      <c r="B34" s="15"/>
      <c r="C34" s="15"/>
      <c r="D34" s="18"/>
      <c r="E34" s="15"/>
      <c r="F34" s="15"/>
      <c r="G34" s="36"/>
      <c r="H34" s="15"/>
      <c r="I34" s="15"/>
      <c r="J34" s="18" t="str">
        <f>IF(A34="","",IFERROR(HYPERLINK("#'Supplier Jobs'!A"&amp;(MATCH(A34,'Supplier Jobs'!$N$9:$N$258,0)+8),"JOBS / QUOTES"),"No quotes"))</f>
        <v/>
      </c>
      <c r="K34" s="18" t="str">
        <f>IF(A34="","",COUNTIF(Quotes!$D$9:$D$258,D34))</f>
        <v/>
      </c>
      <c r="L34" s="19" t="str">
        <f>IF(A34="","",IF(O34=1,SUMIF(Quotes!$C$9:$C$258,A34,Quotes!$AI$9:$AI$258),0))</f>
        <v/>
      </c>
      <c r="M34" s="19" t="str">
        <f>IF(A34="","",IF(O34=1,SUMIF(Quotes!$C$9:$C$258,A34,Quotes!$AJ$9:$AJ$258),0))</f>
        <v/>
      </c>
      <c r="N34" s="18"/>
      <c r="O34" s="18" t="str">
        <f>IF(A34="","",IF(COUNTIF($A$9:A34,A34)=1,1,0))</f>
        <v/>
      </c>
      <c r="P34" s="18" t="str">
        <f t="shared" si="0"/>
        <v/>
      </c>
      <c r="Q34" s="18" t="str">
        <f t="shared" si="1"/>
        <v/>
      </c>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row>
    <row r="35" spans="1:44" ht="48" customHeight="1" x14ac:dyDescent="0.35">
      <c r="A35" s="14"/>
      <c r="B35" s="15"/>
      <c r="C35" s="15"/>
      <c r="D35" s="14"/>
      <c r="E35" s="15"/>
      <c r="F35" s="15"/>
      <c r="G35" s="36"/>
      <c r="H35" s="15"/>
      <c r="I35" s="15"/>
      <c r="J35" s="14" t="str">
        <f>IF(A35="","",IFERROR(HYPERLINK("#'Supplier Jobs'!A"&amp;(MATCH(A35,'Supplier Jobs'!$N$9:$N$258,0)+8),"JOBS / QUOTES"),"No quotes"))</f>
        <v/>
      </c>
      <c r="K35" s="14" t="str">
        <f>IF(A35="","",COUNTIF(Quotes!$D$9:$D$258,D35))</f>
        <v/>
      </c>
      <c r="L35" s="16" t="str">
        <f>IF(A35="","",IF(O35=1,SUMIF(Quotes!$C$9:$C$258,A35,Quotes!$AI$9:$AI$258),0))</f>
        <v/>
      </c>
      <c r="M35" s="16" t="str">
        <f>IF(A35="","",IF(O35=1,SUMIF(Quotes!$C$9:$C$258,A35,Quotes!$AJ$9:$AJ$258),0))</f>
        <v/>
      </c>
      <c r="N35" s="14"/>
      <c r="O35" s="14" t="str">
        <f>IF(A35="","",IF(COUNTIF($A$9:A35,A35)=1,1,0))</f>
        <v/>
      </c>
      <c r="P35" s="14" t="str">
        <f t="shared" si="0"/>
        <v/>
      </c>
      <c r="Q35" s="14" t="str">
        <f t="shared" si="1"/>
        <v/>
      </c>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row>
    <row r="36" spans="1:44" ht="48" customHeight="1" x14ac:dyDescent="0.35">
      <c r="A36" s="18"/>
      <c r="B36" s="15"/>
      <c r="C36" s="15"/>
      <c r="D36" s="18"/>
      <c r="E36" s="15"/>
      <c r="F36" s="15"/>
      <c r="G36" s="36"/>
      <c r="H36" s="15"/>
      <c r="I36" s="15"/>
      <c r="J36" s="18" t="str">
        <f>IF(A36="","",IFERROR(HYPERLINK("#'Supplier Jobs'!A"&amp;(MATCH(A36,'Supplier Jobs'!$N$9:$N$258,0)+8),"JOBS / QUOTES"),"No quotes"))</f>
        <v/>
      </c>
      <c r="K36" s="18" t="str">
        <f>IF(A36="","",COUNTIF(Quotes!$D$9:$D$258,D36))</f>
        <v/>
      </c>
      <c r="L36" s="19" t="str">
        <f>IF(A36="","",IF(O36=1,SUMIF(Quotes!$C$9:$C$258,A36,Quotes!$AI$9:$AI$258),0))</f>
        <v/>
      </c>
      <c r="M36" s="19" t="str">
        <f>IF(A36="","",IF(O36=1,SUMIF(Quotes!$C$9:$C$258,A36,Quotes!$AJ$9:$AJ$258),0))</f>
        <v/>
      </c>
      <c r="N36" s="18"/>
      <c r="O36" s="18" t="str">
        <f>IF(A36="","",IF(COUNTIF($A$9:A36,A36)=1,1,0))</f>
        <v/>
      </c>
      <c r="P36" s="18" t="str">
        <f t="shared" si="0"/>
        <v/>
      </c>
      <c r="Q36" s="18" t="str">
        <f t="shared" si="1"/>
        <v/>
      </c>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row>
    <row r="37" spans="1:44" ht="48" customHeight="1" x14ac:dyDescent="0.35">
      <c r="A37" s="14"/>
      <c r="B37" s="15"/>
      <c r="C37" s="15"/>
      <c r="D37" s="14"/>
      <c r="E37" s="15"/>
      <c r="F37" s="15"/>
      <c r="G37" s="36"/>
      <c r="H37" s="15"/>
      <c r="I37" s="15"/>
      <c r="J37" s="14" t="str">
        <f>IF(A37="","",IFERROR(HYPERLINK("#'Supplier Jobs'!A"&amp;(MATCH(A37,'Supplier Jobs'!$N$9:$N$258,0)+8),"JOBS / QUOTES"),"No quotes"))</f>
        <v/>
      </c>
      <c r="K37" s="14" t="str">
        <f>IF(A37="","",COUNTIF(Quotes!$D$9:$D$258,D37))</f>
        <v/>
      </c>
      <c r="L37" s="16" t="str">
        <f>IF(A37="","",IF(O37=1,SUMIF(Quotes!$C$9:$C$258,A37,Quotes!$AI$9:$AI$258),0))</f>
        <v/>
      </c>
      <c r="M37" s="16" t="str">
        <f>IF(A37="","",IF(O37=1,SUMIF(Quotes!$C$9:$C$258,A37,Quotes!$AJ$9:$AJ$258),0))</f>
        <v/>
      </c>
      <c r="N37" s="14"/>
      <c r="O37" s="14" t="str">
        <f>IF(A37="","",IF(COUNTIF($A$9:A37,A37)=1,1,0))</f>
        <v/>
      </c>
      <c r="P37" s="14" t="str">
        <f t="shared" si="0"/>
        <v/>
      </c>
      <c r="Q37" s="14" t="str">
        <f t="shared" si="1"/>
        <v/>
      </c>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row>
    <row r="38" spans="1:44" ht="48" customHeight="1" x14ac:dyDescent="0.35">
      <c r="A38" s="18"/>
      <c r="B38" s="15"/>
      <c r="C38" s="15"/>
      <c r="D38" s="18"/>
      <c r="E38" s="15"/>
      <c r="F38" s="15"/>
      <c r="G38" s="36"/>
      <c r="H38" s="15"/>
      <c r="I38" s="15"/>
      <c r="J38" s="18" t="str">
        <f>IF(A38="","",IFERROR(HYPERLINK("#'Supplier Jobs'!A"&amp;(MATCH(A38,'Supplier Jobs'!$N$9:$N$258,0)+8),"JOBS / QUOTES"),"No quotes"))</f>
        <v/>
      </c>
      <c r="K38" s="18" t="str">
        <f>IF(A38="","",COUNTIF(Quotes!$D$9:$D$258,D38))</f>
        <v/>
      </c>
      <c r="L38" s="19" t="str">
        <f>IF(A38="","",IF(O38=1,SUMIF(Quotes!$C$9:$C$258,A38,Quotes!$AI$9:$AI$258),0))</f>
        <v/>
      </c>
      <c r="M38" s="19" t="str">
        <f>IF(A38="","",IF(O38=1,SUMIF(Quotes!$C$9:$C$258,A38,Quotes!$AJ$9:$AJ$258),0))</f>
        <v/>
      </c>
      <c r="N38" s="18"/>
      <c r="O38" s="18" t="str">
        <f>IF(A38="","",IF(COUNTIF($A$9:A38,A38)=1,1,0))</f>
        <v/>
      </c>
      <c r="P38" s="18" t="str">
        <f t="shared" si="0"/>
        <v/>
      </c>
      <c r="Q38" s="18" t="str">
        <f t="shared" si="1"/>
        <v/>
      </c>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row>
    <row r="39" spans="1:44" ht="48" customHeight="1" x14ac:dyDescent="0.35">
      <c r="A39" s="14"/>
      <c r="B39" s="15"/>
      <c r="C39" s="15"/>
      <c r="D39" s="14"/>
      <c r="E39" s="15"/>
      <c r="F39" s="15"/>
      <c r="G39" s="36"/>
      <c r="H39" s="15"/>
      <c r="I39" s="15"/>
      <c r="J39" s="14" t="str">
        <f>IF(A39="","",IFERROR(HYPERLINK("#'Supplier Jobs'!A"&amp;(MATCH(A39,'Supplier Jobs'!$N$9:$N$258,0)+8),"JOBS / QUOTES"),"No quotes"))</f>
        <v/>
      </c>
      <c r="K39" s="14" t="str">
        <f>IF(A39="","",COUNTIF(Quotes!$D$9:$D$258,D39))</f>
        <v/>
      </c>
      <c r="L39" s="16" t="str">
        <f>IF(A39="","",IF(O39=1,SUMIF(Quotes!$C$9:$C$258,A39,Quotes!$AI$9:$AI$258),0))</f>
        <v/>
      </c>
      <c r="M39" s="16" t="str">
        <f>IF(A39="","",IF(O39=1,SUMIF(Quotes!$C$9:$C$258,A39,Quotes!$AJ$9:$AJ$258),0))</f>
        <v/>
      </c>
      <c r="N39" s="14"/>
      <c r="O39" s="14" t="str">
        <f>IF(A39="","",IF(COUNTIF($A$9:A39,A39)=1,1,0))</f>
        <v/>
      </c>
      <c r="P39" s="14" t="str">
        <f t="shared" si="0"/>
        <v/>
      </c>
      <c r="Q39" s="14" t="str">
        <f t="shared" si="1"/>
        <v/>
      </c>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row>
    <row r="40" spans="1:44" ht="48" customHeight="1" x14ac:dyDescent="0.35">
      <c r="A40" s="18"/>
      <c r="B40" s="15"/>
      <c r="C40" s="15"/>
      <c r="D40" s="18"/>
      <c r="E40" s="15"/>
      <c r="F40" s="15"/>
      <c r="G40" s="36"/>
      <c r="H40" s="15"/>
      <c r="I40" s="15"/>
      <c r="J40" s="18" t="str">
        <f>IF(A40="","",IFERROR(HYPERLINK("#'Supplier Jobs'!A"&amp;(MATCH(A40,'Supplier Jobs'!$N$9:$N$258,0)+8),"JOBS / QUOTES"),"No quotes"))</f>
        <v/>
      </c>
      <c r="K40" s="18" t="str">
        <f>IF(A40="","",COUNTIF(Quotes!$D$9:$D$258,D40))</f>
        <v/>
      </c>
      <c r="L40" s="19" t="str">
        <f>IF(A40="","",IF(O40=1,SUMIF(Quotes!$C$9:$C$258,A40,Quotes!$AI$9:$AI$258),0))</f>
        <v/>
      </c>
      <c r="M40" s="19" t="str">
        <f>IF(A40="","",IF(O40=1,SUMIF(Quotes!$C$9:$C$258,A40,Quotes!$AJ$9:$AJ$258),0))</f>
        <v/>
      </c>
      <c r="N40" s="18"/>
      <c r="O40" s="18" t="str">
        <f>IF(A40="","",IF(COUNTIF($A$9:A40,A40)=1,1,0))</f>
        <v/>
      </c>
      <c r="P40" s="18" t="str">
        <f t="shared" si="0"/>
        <v/>
      </c>
      <c r="Q40" s="18" t="str">
        <f t="shared" si="1"/>
        <v/>
      </c>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row>
    <row r="41" spans="1:44" ht="48" customHeight="1" x14ac:dyDescent="0.35">
      <c r="A41" s="14"/>
      <c r="B41" s="15"/>
      <c r="C41" s="15"/>
      <c r="D41" s="14"/>
      <c r="E41" s="15"/>
      <c r="F41" s="15"/>
      <c r="G41" s="36"/>
      <c r="H41" s="15"/>
      <c r="I41" s="15"/>
      <c r="J41" s="14" t="str">
        <f>IF(A41="","",IFERROR(HYPERLINK("#'Supplier Jobs'!A"&amp;(MATCH(A41,'Supplier Jobs'!$N$9:$N$258,0)+8),"JOBS / QUOTES"),"No quotes"))</f>
        <v/>
      </c>
      <c r="K41" s="14" t="str">
        <f>IF(A41="","",COUNTIF(Quotes!$D$9:$D$258,D41))</f>
        <v/>
      </c>
      <c r="L41" s="16" t="str">
        <f>IF(A41="","",IF(O41=1,SUMIF(Quotes!$C$9:$C$258,A41,Quotes!$AI$9:$AI$258),0))</f>
        <v/>
      </c>
      <c r="M41" s="16" t="str">
        <f>IF(A41="","",IF(O41=1,SUMIF(Quotes!$C$9:$C$258,A41,Quotes!$AJ$9:$AJ$258),0))</f>
        <v/>
      </c>
      <c r="N41" s="14"/>
      <c r="O41" s="14" t="str">
        <f>IF(A41="","",IF(COUNTIF($A$9:A41,A41)=1,1,0))</f>
        <v/>
      </c>
      <c r="P41" s="14" t="str">
        <f t="shared" si="0"/>
        <v/>
      </c>
      <c r="Q41" s="14" t="str">
        <f t="shared" si="1"/>
        <v/>
      </c>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row>
    <row r="42" spans="1:44" ht="48" customHeight="1" x14ac:dyDescent="0.35">
      <c r="A42" s="18"/>
      <c r="B42" s="15"/>
      <c r="C42" s="15"/>
      <c r="D42" s="18"/>
      <c r="E42" s="15"/>
      <c r="F42" s="15"/>
      <c r="G42" s="36"/>
      <c r="H42" s="15"/>
      <c r="I42" s="15"/>
      <c r="J42" s="18" t="str">
        <f>IF(A42="","",IFERROR(HYPERLINK("#'Supplier Jobs'!A"&amp;(MATCH(A42,'Supplier Jobs'!$N$9:$N$258,0)+8),"JOBS / QUOTES"),"No quotes"))</f>
        <v/>
      </c>
      <c r="K42" s="18" t="str">
        <f>IF(A42="","",COUNTIF(Quotes!$D$9:$D$258,D42))</f>
        <v/>
      </c>
      <c r="L42" s="19" t="str">
        <f>IF(A42="","",IF(O42=1,SUMIF(Quotes!$C$9:$C$258,A42,Quotes!$AI$9:$AI$258),0))</f>
        <v/>
      </c>
      <c r="M42" s="19" t="str">
        <f>IF(A42="","",IF(O42=1,SUMIF(Quotes!$C$9:$C$258,A42,Quotes!$AJ$9:$AJ$258),0))</f>
        <v/>
      </c>
      <c r="N42" s="18"/>
      <c r="O42" s="18" t="str">
        <f>IF(A42="","",IF(COUNTIF($A$9:A42,A42)=1,1,0))</f>
        <v/>
      </c>
      <c r="P42" s="18" t="str">
        <f t="shared" si="0"/>
        <v/>
      </c>
      <c r="Q42" s="18" t="str">
        <f t="shared" si="1"/>
        <v/>
      </c>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row>
    <row r="43" spans="1:44" ht="48" customHeight="1" x14ac:dyDescent="0.35">
      <c r="A43" s="14"/>
      <c r="B43" s="15"/>
      <c r="C43" s="15"/>
      <c r="D43" s="14"/>
      <c r="E43" s="15"/>
      <c r="F43" s="15"/>
      <c r="G43" s="36"/>
      <c r="H43" s="15"/>
      <c r="I43" s="15"/>
      <c r="J43" s="14" t="str">
        <f>IF(A43="","",IFERROR(HYPERLINK("#'Supplier Jobs'!A"&amp;(MATCH(A43,'Supplier Jobs'!$N$9:$N$258,0)+8),"JOBS / QUOTES"),"No quotes"))</f>
        <v/>
      </c>
      <c r="K43" s="14" t="str">
        <f>IF(A43="","",COUNTIF(Quotes!$D$9:$D$258,D43))</f>
        <v/>
      </c>
      <c r="L43" s="16" t="str">
        <f>IF(A43="","",IF(O43=1,SUMIF(Quotes!$C$9:$C$258,A43,Quotes!$AI$9:$AI$258),0))</f>
        <v/>
      </c>
      <c r="M43" s="16" t="str">
        <f>IF(A43="","",IF(O43=1,SUMIF(Quotes!$C$9:$C$258,A43,Quotes!$AJ$9:$AJ$258),0))</f>
        <v/>
      </c>
      <c r="N43" s="14"/>
      <c r="O43" s="14" t="str">
        <f>IF(A43="","",IF(COUNTIF($A$9:A43,A43)=1,1,0))</f>
        <v/>
      </c>
      <c r="P43" s="14" t="str">
        <f t="shared" si="0"/>
        <v/>
      </c>
      <c r="Q43" s="14" t="str">
        <f t="shared" si="1"/>
        <v/>
      </c>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row>
    <row r="44" spans="1:44" ht="48" customHeight="1" x14ac:dyDescent="0.35">
      <c r="A44" s="18"/>
      <c r="B44" s="15"/>
      <c r="C44" s="15"/>
      <c r="D44" s="18"/>
      <c r="E44" s="15"/>
      <c r="F44" s="15"/>
      <c r="G44" s="36"/>
      <c r="H44" s="15"/>
      <c r="I44" s="15"/>
      <c r="J44" s="18" t="str">
        <f>IF(A44="","",IFERROR(HYPERLINK("#'Supplier Jobs'!A"&amp;(MATCH(A44,'Supplier Jobs'!$N$9:$N$258,0)+8),"JOBS / QUOTES"),"No quotes"))</f>
        <v/>
      </c>
      <c r="K44" s="18" t="str">
        <f>IF(A44="","",COUNTIF(Quotes!$D$9:$D$258,D44))</f>
        <v/>
      </c>
      <c r="L44" s="19" t="str">
        <f>IF(A44="","",IF(O44=1,SUMIF(Quotes!$C$9:$C$258,A44,Quotes!$AI$9:$AI$258),0))</f>
        <v/>
      </c>
      <c r="M44" s="19" t="str">
        <f>IF(A44="","",IF(O44=1,SUMIF(Quotes!$C$9:$C$258,A44,Quotes!$AJ$9:$AJ$258),0))</f>
        <v/>
      </c>
      <c r="N44" s="18"/>
      <c r="O44" s="18" t="str">
        <f>IF(A44="","",IF(COUNTIF($A$9:A44,A44)=1,1,0))</f>
        <v/>
      </c>
      <c r="P44" s="18" t="str">
        <f t="shared" si="0"/>
        <v/>
      </c>
      <c r="Q44" s="18" t="str">
        <f t="shared" si="1"/>
        <v/>
      </c>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row>
    <row r="45" spans="1:44" ht="48" customHeight="1" x14ac:dyDescent="0.35">
      <c r="A45" s="14"/>
      <c r="B45" s="15"/>
      <c r="C45" s="15"/>
      <c r="D45" s="14"/>
      <c r="E45" s="15"/>
      <c r="F45" s="15"/>
      <c r="G45" s="36"/>
      <c r="H45" s="15"/>
      <c r="I45" s="15"/>
      <c r="J45" s="14" t="str">
        <f>IF(A45="","",IFERROR(HYPERLINK("#'Supplier Jobs'!A"&amp;(MATCH(A45,'Supplier Jobs'!$N$9:$N$258,0)+8),"JOBS / QUOTES"),"No quotes"))</f>
        <v/>
      </c>
      <c r="K45" s="14" t="str">
        <f>IF(A45="","",COUNTIF(Quotes!$D$9:$D$258,D45))</f>
        <v/>
      </c>
      <c r="L45" s="16" t="str">
        <f>IF(A45="","",IF(O45=1,SUMIF(Quotes!$C$9:$C$258,A45,Quotes!$AI$9:$AI$258),0))</f>
        <v/>
      </c>
      <c r="M45" s="16" t="str">
        <f>IF(A45="","",IF(O45=1,SUMIF(Quotes!$C$9:$C$258,A45,Quotes!$AJ$9:$AJ$258),0))</f>
        <v/>
      </c>
      <c r="N45" s="14"/>
      <c r="O45" s="14" t="str">
        <f>IF(A45="","",IF(COUNTIF($A$9:A45,A45)=1,1,0))</f>
        <v/>
      </c>
      <c r="P45" s="14" t="str">
        <f t="shared" si="0"/>
        <v/>
      </c>
      <c r="Q45" s="14" t="str">
        <f t="shared" si="1"/>
        <v/>
      </c>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row>
    <row r="46" spans="1:44" ht="48" customHeight="1" x14ac:dyDescent="0.35">
      <c r="A46" s="18"/>
      <c r="B46" s="15"/>
      <c r="C46" s="15"/>
      <c r="D46" s="18"/>
      <c r="E46" s="15"/>
      <c r="F46" s="15"/>
      <c r="G46" s="36"/>
      <c r="H46" s="15"/>
      <c r="I46" s="15"/>
      <c r="J46" s="18" t="str">
        <f>IF(A46="","",IFERROR(HYPERLINK("#'Supplier Jobs'!A"&amp;(MATCH(A46,'Supplier Jobs'!$N$9:$N$258,0)+8),"JOBS / QUOTES"),"No quotes"))</f>
        <v/>
      </c>
      <c r="K46" s="18" t="str">
        <f>IF(A46="","",COUNTIF(Quotes!$D$9:$D$258,D46))</f>
        <v/>
      </c>
      <c r="L46" s="19" t="str">
        <f>IF(A46="","",IF(O46=1,SUMIF(Quotes!$C$9:$C$258,A46,Quotes!$AI$9:$AI$258),0))</f>
        <v/>
      </c>
      <c r="M46" s="19" t="str">
        <f>IF(A46="","",IF(O46=1,SUMIF(Quotes!$C$9:$C$258,A46,Quotes!$AJ$9:$AJ$258),0))</f>
        <v/>
      </c>
      <c r="N46" s="18"/>
      <c r="O46" s="18" t="str">
        <f>IF(A46="","",IF(COUNTIF($A$9:A46,A46)=1,1,0))</f>
        <v/>
      </c>
      <c r="P46" s="18" t="str">
        <f t="shared" si="0"/>
        <v/>
      </c>
      <c r="Q46" s="18" t="str">
        <f t="shared" si="1"/>
        <v/>
      </c>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row>
    <row r="47" spans="1:44" ht="48" customHeight="1" x14ac:dyDescent="0.35">
      <c r="A47" s="14"/>
      <c r="B47" s="15"/>
      <c r="C47" s="15"/>
      <c r="D47" s="14"/>
      <c r="E47" s="15"/>
      <c r="F47" s="15"/>
      <c r="G47" s="36"/>
      <c r="H47" s="15"/>
      <c r="I47" s="15"/>
      <c r="J47" s="14" t="str">
        <f>IF(A47="","",IFERROR(HYPERLINK("#'Supplier Jobs'!A"&amp;(MATCH(A47,'Supplier Jobs'!$N$9:$N$258,0)+8),"JOBS / QUOTES"),"No quotes"))</f>
        <v/>
      </c>
      <c r="K47" s="14" t="str">
        <f>IF(A47="","",COUNTIF(Quotes!$D$9:$D$258,D47))</f>
        <v/>
      </c>
      <c r="L47" s="16" t="str">
        <f>IF(A47="","",IF(O47=1,SUMIF(Quotes!$C$9:$C$258,A47,Quotes!$AI$9:$AI$258),0))</f>
        <v/>
      </c>
      <c r="M47" s="16" t="str">
        <f>IF(A47="","",IF(O47=1,SUMIF(Quotes!$C$9:$C$258,A47,Quotes!$AJ$9:$AJ$258),0))</f>
        <v/>
      </c>
      <c r="N47" s="14"/>
      <c r="O47" s="14" t="str">
        <f>IF(A47="","",IF(COUNTIF($A$9:A47,A47)=1,1,0))</f>
        <v/>
      </c>
      <c r="P47" s="14" t="str">
        <f t="shared" si="0"/>
        <v/>
      </c>
      <c r="Q47" s="14" t="str">
        <f t="shared" si="1"/>
        <v/>
      </c>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row>
    <row r="48" spans="1:44" ht="48" customHeight="1" x14ac:dyDescent="0.35">
      <c r="A48" s="18"/>
      <c r="B48" s="15"/>
      <c r="C48" s="15"/>
      <c r="D48" s="18"/>
      <c r="E48" s="15"/>
      <c r="F48" s="15"/>
      <c r="G48" s="36"/>
      <c r="H48" s="15"/>
      <c r="I48" s="15"/>
      <c r="J48" s="18" t="str">
        <f>IF(A48="","",IFERROR(HYPERLINK("#'Supplier Jobs'!A"&amp;(MATCH(A48,'Supplier Jobs'!$N$9:$N$258,0)+8),"JOBS / QUOTES"),"No quotes"))</f>
        <v/>
      </c>
      <c r="K48" s="18" t="str">
        <f>IF(A48="","",COUNTIF(Quotes!$D$9:$D$258,D48))</f>
        <v/>
      </c>
      <c r="L48" s="19" t="str">
        <f>IF(A48="","",IF(O48=1,SUMIF(Quotes!$C$9:$C$258,A48,Quotes!$AI$9:$AI$258),0))</f>
        <v/>
      </c>
      <c r="M48" s="19" t="str">
        <f>IF(A48="","",IF(O48=1,SUMIF(Quotes!$C$9:$C$258,A48,Quotes!$AJ$9:$AJ$258),0))</f>
        <v/>
      </c>
      <c r="N48" s="18"/>
      <c r="O48" s="18" t="str">
        <f>IF(A48="","",IF(COUNTIF($A$9:A48,A48)=1,1,0))</f>
        <v/>
      </c>
      <c r="P48" s="18" t="str">
        <f t="shared" si="0"/>
        <v/>
      </c>
      <c r="Q48" s="18" t="str">
        <f t="shared" si="1"/>
        <v/>
      </c>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row>
    <row r="49" spans="1:44" ht="48" customHeight="1" x14ac:dyDescent="0.35">
      <c r="A49" s="14"/>
      <c r="B49" s="15"/>
      <c r="C49" s="15"/>
      <c r="D49" s="14"/>
      <c r="E49" s="15"/>
      <c r="F49" s="15"/>
      <c r="G49" s="36"/>
      <c r="H49" s="15"/>
      <c r="I49" s="15"/>
      <c r="J49" s="14" t="str">
        <f>IF(A49="","",IFERROR(HYPERLINK("#'Supplier Jobs'!A"&amp;(MATCH(A49,'Supplier Jobs'!$N$9:$N$258,0)+8),"JOBS / QUOTES"),"No quotes"))</f>
        <v/>
      </c>
      <c r="K49" s="14" t="str">
        <f>IF(A49="","",COUNTIF(Quotes!$D$9:$D$258,D49))</f>
        <v/>
      </c>
      <c r="L49" s="16" t="str">
        <f>IF(A49="","",IF(O49=1,SUMIF(Quotes!$C$9:$C$258,A49,Quotes!$AI$9:$AI$258),0))</f>
        <v/>
      </c>
      <c r="M49" s="16" t="str">
        <f>IF(A49="","",IF(O49=1,SUMIF(Quotes!$C$9:$C$258,A49,Quotes!$AJ$9:$AJ$258),0))</f>
        <v/>
      </c>
      <c r="N49" s="14"/>
      <c r="O49" s="14" t="str">
        <f>IF(A49="","",IF(COUNTIF($A$9:A49,A49)=1,1,0))</f>
        <v/>
      </c>
      <c r="P49" s="14" t="str">
        <f t="shared" si="0"/>
        <v/>
      </c>
      <c r="Q49" s="14" t="str">
        <f t="shared" si="1"/>
        <v/>
      </c>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row>
    <row r="50" spans="1:44" ht="48" customHeight="1" x14ac:dyDescent="0.35">
      <c r="A50" s="18"/>
      <c r="B50" s="15"/>
      <c r="C50" s="15"/>
      <c r="D50" s="18"/>
      <c r="E50" s="15"/>
      <c r="F50" s="15"/>
      <c r="G50" s="36"/>
      <c r="H50" s="15"/>
      <c r="I50" s="15"/>
      <c r="J50" s="18" t="str">
        <f>IF(A50="","",IFERROR(HYPERLINK("#'Supplier Jobs'!A"&amp;(MATCH(A50,'Supplier Jobs'!$N$9:$N$258,0)+8),"JOBS / QUOTES"),"No quotes"))</f>
        <v/>
      </c>
      <c r="K50" s="18" t="str">
        <f>IF(A50="","",COUNTIF(Quotes!$D$9:$D$258,D50))</f>
        <v/>
      </c>
      <c r="L50" s="19" t="str">
        <f>IF(A50="","",IF(O50=1,SUMIF(Quotes!$C$9:$C$258,A50,Quotes!$AI$9:$AI$258),0))</f>
        <v/>
      </c>
      <c r="M50" s="19" t="str">
        <f>IF(A50="","",IF(O50=1,SUMIF(Quotes!$C$9:$C$258,A50,Quotes!$AJ$9:$AJ$258),0))</f>
        <v/>
      </c>
      <c r="N50" s="18"/>
      <c r="O50" s="18" t="str">
        <f>IF(A50="","",IF(COUNTIF($A$9:A50,A50)=1,1,0))</f>
        <v/>
      </c>
      <c r="P50" s="18" t="str">
        <f t="shared" si="0"/>
        <v/>
      </c>
      <c r="Q50" s="18" t="str">
        <f t="shared" si="1"/>
        <v/>
      </c>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row>
    <row r="51" spans="1:44" ht="48" customHeight="1" x14ac:dyDescent="0.35">
      <c r="A51" s="14"/>
      <c r="B51" s="15"/>
      <c r="C51" s="15"/>
      <c r="D51" s="14"/>
      <c r="E51" s="15"/>
      <c r="F51" s="15"/>
      <c r="G51" s="36"/>
      <c r="H51" s="15"/>
      <c r="I51" s="15"/>
      <c r="J51" s="14" t="str">
        <f>IF(A51="","",IFERROR(HYPERLINK("#'Supplier Jobs'!A"&amp;(MATCH(A51,'Supplier Jobs'!$N$9:$N$258,0)+8),"JOBS / QUOTES"),"No quotes"))</f>
        <v/>
      </c>
      <c r="K51" s="14" t="str">
        <f>IF(A51="","",COUNTIF(Quotes!$D$9:$D$258,D51))</f>
        <v/>
      </c>
      <c r="L51" s="16" t="str">
        <f>IF(A51="","",IF(O51=1,SUMIF(Quotes!$C$9:$C$258,A51,Quotes!$AI$9:$AI$258),0))</f>
        <v/>
      </c>
      <c r="M51" s="16" t="str">
        <f>IF(A51="","",IF(O51=1,SUMIF(Quotes!$C$9:$C$258,A51,Quotes!$AJ$9:$AJ$258),0))</f>
        <v/>
      </c>
      <c r="N51" s="14"/>
      <c r="O51" s="14" t="str">
        <f>IF(A51="","",IF(COUNTIF($A$9:A51,A51)=1,1,0))</f>
        <v/>
      </c>
      <c r="P51" s="14" t="str">
        <f t="shared" si="0"/>
        <v/>
      </c>
      <c r="Q51" s="14" t="str">
        <f t="shared" si="1"/>
        <v/>
      </c>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row>
    <row r="52" spans="1:44" ht="48" customHeight="1" x14ac:dyDescent="0.35">
      <c r="A52" s="18"/>
      <c r="B52" s="15"/>
      <c r="C52" s="15"/>
      <c r="D52" s="18"/>
      <c r="E52" s="15"/>
      <c r="F52" s="15"/>
      <c r="G52" s="36"/>
      <c r="H52" s="15"/>
      <c r="I52" s="15"/>
      <c r="J52" s="18" t="str">
        <f>IF(A52="","",IFERROR(HYPERLINK("#'Supplier Jobs'!A"&amp;(MATCH(A52,'Supplier Jobs'!$N$9:$N$258,0)+8),"JOBS / QUOTES"),"No quotes"))</f>
        <v/>
      </c>
      <c r="K52" s="18" t="str">
        <f>IF(A52="","",COUNTIF(Quotes!$D$9:$D$258,D52))</f>
        <v/>
      </c>
      <c r="L52" s="19" t="str">
        <f>IF(A52="","",IF(O52=1,SUMIF(Quotes!$C$9:$C$258,A52,Quotes!$AI$9:$AI$258),0))</f>
        <v/>
      </c>
      <c r="M52" s="19" t="str">
        <f>IF(A52="","",IF(O52=1,SUMIF(Quotes!$C$9:$C$258,A52,Quotes!$AJ$9:$AJ$258),0))</f>
        <v/>
      </c>
      <c r="N52" s="18"/>
      <c r="O52" s="18" t="str">
        <f>IF(A52="","",IF(COUNTIF($A$9:A52,A52)=1,1,0))</f>
        <v/>
      </c>
      <c r="P52" s="18" t="str">
        <f t="shared" si="0"/>
        <v/>
      </c>
      <c r="Q52" s="18" t="str">
        <f t="shared" si="1"/>
        <v/>
      </c>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row>
    <row r="53" spans="1:44" ht="48" customHeight="1" x14ac:dyDescent="0.35">
      <c r="A53" s="14"/>
      <c r="B53" s="15"/>
      <c r="C53" s="15"/>
      <c r="D53" s="14"/>
      <c r="E53" s="15"/>
      <c r="F53" s="15"/>
      <c r="G53" s="36"/>
      <c r="H53" s="15"/>
      <c r="I53" s="15"/>
      <c r="J53" s="14" t="str">
        <f>IF(A53="","",IFERROR(HYPERLINK("#'Supplier Jobs'!A"&amp;(MATCH(A53,'Supplier Jobs'!$N$9:$N$258,0)+8),"JOBS / QUOTES"),"No quotes"))</f>
        <v/>
      </c>
      <c r="K53" s="14" t="str">
        <f>IF(A53="","",COUNTIF(Quotes!$D$9:$D$258,D53))</f>
        <v/>
      </c>
      <c r="L53" s="16" t="str">
        <f>IF(A53="","",IF(O53=1,SUMIF(Quotes!$C$9:$C$258,A53,Quotes!$AI$9:$AI$258),0))</f>
        <v/>
      </c>
      <c r="M53" s="16" t="str">
        <f>IF(A53="","",IF(O53=1,SUMIF(Quotes!$C$9:$C$258,A53,Quotes!$AJ$9:$AJ$258),0))</f>
        <v/>
      </c>
      <c r="N53" s="14"/>
      <c r="O53" s="14" t="str">
        <f>IF(A53="","",IF(COUNTIF($A$9:A53,A53)=1,1,0))</f>
        <v/>
      </c>
      <c r="P53" s="14" t="str">
        <f t="shared" si="0"/>
        <v/>
      </c>
      <c r="Q53" s="14" t="str">
        <f t="shared" si="1"/>
        <v/>
      </c>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row>
    <row r="54" spans="1:44" ht="48" customHeight="1" x14ac:dyDescent="0.35">
      <c r="A54" s="18"/>
      <c r="B54" s="15"/>
      <c r="C54" s="15"/>
      <c r="D54" s="18"/>
      <c r="E54" s="15"/>
      <c r="F54" s="15"/>
      <c r="G54" s="36"/>
      <c r="H54" s="15"/>
      <c r="I54" s="15"/>
      <c r="J54" s="18" t="str">
        <f>IF(A54="","",IFERROR(HYPERLINK("#'Supplier Jobs'!A"&amp;(MATCH(A54,'Supplier Jobs'!$N$9:$N$258,0)+8),"JOBS / QUOTES"),"No quotes"))</f>
        <v/>
      </c>
      <c r="K54" s="18" t="str">
        <f>IF(A54="","",COUNTIF(Quotes!$D$9:$D$258,D54))</f>
        <v/>
      </c>
      <c r="L54" s="19" t="str">
        <f>IF(A54="","",IF(O54=1,SUMIF(Quotes!$C$9:$C$258,A54,Quotes!$AI$9:$AI$258),0))</f>
        <v/>
      </c>
      <c r="M54" s="19" t="str">
        <f>IF(A54="","",IF(O54=1,SUMIF(Quotes!$C$9:$C$258,A54,Quotes!$AJ$9:$AJ$258),0))</f>
        <v/>
      </c>
      <c r="N54" s="18"/>
      <c r="O54" s="18" t="str">
        <f>IF(A54="","",IF(COUNTIF($A$9:A54,A54)=1,1,0))</f>
        <v/>
      </c>
      <c r="P54" s="18" t="str">
        <f t="shared" si="0"/>
        <v/>
      </c>
      <c r="Q54" s="18" t="str">
        <f t="shared" si="1"/>
        <v/>
      </c>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row>
    <row r="55" spans="1:44" ht="48" customHeight="1" x14ac:dyDescent="0.35">
      <c r="A55" s="14"/>
      <c r="B55" s="15"/>
      <c r="C55" s="15"/>
      <c r="D55" s="14"/>
      <c r="E55" s="15"/>
      <c r="F55" s="15"/>
      <c r="G55" s="36"/>
      <c r="H55" s="15"/>
      <c r="I55" s="15"/>
      <c r="J55" s="14" t="str">
        <f>IF(A55="","",IFERROR(HYPERLINK("#'Supplier Jobs'!A"&amp;(MATCH(A55,'Supplier Jobs'!$N$9:$N$258,0)+8),"JOBS / QUOTES"),"No quotes"))</f>
        <v/>
      </c>
      <c r="K55" s="14" t="str">
        <f>IF(A55="","",COUNTIF(Quotes!$D$9:$D$258,D55))</f>
        <v/>
      </c>
      <c r="L55" s="16" t="str">
        <f>IF(A55="","",IF(O55=1,SUMIF(Quotes!$C$9:$C$258,A55,Quotes!$AI$9:$AI$258),0))</f>
        <v/>
      </c>
      <c r="M55" s="16" t="str">
        <f>IF(A55="","",IF(O55=1,SUMIF(Quotes!$C$9:$C$258,A55,Quotes!$AJ$9:$AJ$258),0))</f>
        <v/>
      </c>
      <c r="N55" s="14"/>
      <c r="O55" s="14" t="str">
        <f>IF(A55="","",IF(COUNTIF($A$9:A55,A55)=1,1,0))</f>
        <v/>
      </c>
      <c r="P55" s="14" t="str">
        <f t="shared" si="0"/>
        <v/>
      </c>
      <c r="Q55" s="14" t="str">
        <f t="shared" si="1"/>
        <v/>
      </c>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row>
    <row r="56" spans="1:44" ht="48" customHeight="1" x14ac:dyDescent="0.35">
      <c r="A56" s="18"/>
      <c r="B56" s="15"/>
      <c r="C56" s="15"/>
      <c r="D56" s="18"/>
      <c r="E56" s="15"/>
      <c r="F56" s="15"/>
      <c r="G56" s="36"/>
      <c r="H56" s="15"/>
      <c r="I56" s="15"/>
      <c r="J56" s="18" t="str">
        <f>IF(A56="","",IFERROR(HYPERLINK("#'Supplier Jobs'!A"&amp;(MATCH(A56,'Supplier Jobs'!$N$9:$N$258,0)+8),"JOBS / QUOTES"),"No quotes"))</f>
        <v/>
      </c>
      <c r="K56" s="18" t="str">
        <f>IF(A56="","",COUNTIF(Quotes!$D$9:$D$258,D56))</f>
        <v/>
      </c>
      <c r="L56" s="19" t="str">
        <f>IF(A56="","",IF(O56=1,SUMIF(Quotes!$C$9:$C$258,A56,Quotes!$AI$9:$AI$258),0))</f>
        <v/>
      </c>
      <c r="M56" s="19" t="str">
        <f>IF(A56="","",IF(O56=1,SUMIF(Quotes!$C$9:$C$258,A56,Quotes!$AJ$9:$AJ$258),0))</f>
        <v/>
      </c>
      <c r="N56" s="18"/>
      <c r="O56" s="18" t="str">
        <f>IF(A56="","",IF(COUNTIF($A$9:A56,A56)=1,1,0))</f>
        <v/>
      </c>
      <c r="P56" s="18" t="str">
        <f t="shared" si="0"/>
        <v/>
      </c>
      <c r="Q56" s="18" t="str">
        <f t="shared" si="1"/>
        <v/>
      </c>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row>
    <row r="57" spans="1:44" ht="48" customHeight="1" x14ac:dyDescent="0.35">
      <c r="A57" s="14"/>
      <c r="B57" s="15"/>
      <c r="C57" s="15"/>
      <c r="D57" s="14"/>
      <c r="E57" s="15"/>
      <c r="F57" s="15"/>
      <c r="G57" s="36"/>
      <c r="H57" s="15"/>
      <c r="I57" s="15"/>
      <c r="J57" s="14" t="str">
        <f>IF(A57="","",IFERROR(HYPERLINK("#'Supplier Jobs'!A"&amp;(MATCH(A57,'Supplier Jobs'!$N$9:$N$258,0)+8),"JOBS / QUOTES"),"No quotes"))</f>
        <v/>
      </c>
      <c r="K57" s="14" t="str">
        <f>IF(A57="","",COUNTIF(Quotes!$D$9:$D$258,D57))</f>
        <v/>
      </c>
      <c r="L57" s="16" t="str">
        <f>IF(A57="","",IF(O57=1,SUMIF(Quotes!$C$9:$C$258,A57,Quotes!$AI$9:$AI$258),0))</f>
        <v/>
      </c>
      <c r="M57" s="16" t="str">
        <f>IF(A57="","",IF(O57=1,SUMIF(Quotes!$C$9:$C$258,A57,Quotes!$AJ$9:$AJ$258),0))</f>
        <v/>
      </c>
      <c r="N57" s="14"/>
      <c r="O57" s="14" t="str">
        <f>IF(A57="","",IF(COUNTIF($A$9:A57,A57)=1,1,0))</f>
        <v/>
      </c>
      <c r="P57" s="14" t="str">
        <f t="shared" si="0"/>
        <v/>
      </c>
      <c r="Q57" s="14" t="str">
        <f t="shared" si="1"/>
        <v/>
      </c>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row>
    <row r="58" spans="1:44" ht="48" customHeight="1" x14ac:dyDescent="0.35">
      <c r="A58" s="18"/>
      <c r="B58" s="15"/>
      <c r="C58" s="15"/>
      <c r="D58" s="18"/>
      <c r="E58" s="15"/>
      <c r="F58" s="15"/>
      <c r="G58" s="36"/>
      <c r="H58" s="15"/>
      <c r="I58" s="15"/>
      <c r="J58" s="18" t="str">
        <f>IF(A58="","",IFERROR(HYPERLINK("#'Supplier Jobs'!A"&amp;(MATCH(A58,'Supplier Jobs'!$N$9:$N$258,0)+8),"JOBS / QUOTES"),"No quotes"))</f>
        <v/>
      </c>
      <c r="K58" s="18" t="str">
        <f>IF(A58="","",COUNTIF(Quotes!$D$9:$D$258,D58))</f>
        <v/>
      </c>
      <c r="L58" s="19" t="str">
        <f>IF(A58="","",IF(O58=1,SUMIF(Quotes!$C$9:$C$258,A58,Quotes!$AI$9:$AI$258),0))</f>
        <v/>
      </c>
      <c r="M58" s="19" t="str">
        <f>IF(A58="","",IF(O58=1,SUMIF(Quotes!$C$9:$C$258,A58,Quotes!$AJ$9:$AJ$258),0))</f>
        <v/>
      </c>
      <c r="N58" s="18"/>
      <c r="O58" s="18" t="str">
        <f>IF(A58="","",IF(COUNTIF($A$9:A58,A58)=1,1,0))</f>
        <v/>
      </c>
      <c r="P58" s="18" t="str">
        <f t="shared" si="0"/>
        <v/>
      </c>
      <c r="Q58" s="18" t="str">
        <f t="shared" si="1"/>
        <v/>
      </c>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row>
    <row r="59" spans="1:44" ht="48" customHeight="1" x14ac:dyDescent="0.35">
      <c r="A59" s="14"/>
      <c r="B59" s="15"/>
      <c r="C59" s="15"/>
      <c r="D59" s="14"/>
      <c r="E59" s="15"/>
      <c r="F59" s="15"/>
      <c r="G59" s="36"/>
      <c r="H59" s="15"/>
      <c r="I59" s="15"/>
      <c r="J59" s="14" t="str">
        <f>IF(A59="","",IFERROR(HYPERLINK("#'Supplier Jobs'!A"&amp;(MATCH(A59,'Supplier Jobs'!$N$9:$N$258,0)+8),"JOBS / QUOTES"),"No quotes"))</f>
        <v/>
      </c>
      <c r="K59" s="14" t="str">
        <f>IF(A59="","",COUNTIF(Quotes!$D$9:$D$258,D59))</f>
        <v/>
      </c>
      <c r="L59" s="16" t="str">
        <f>IF(A59="","",IF(O59=1,SUMIF(Quotes!$C$9:$C$258,A59,Quotes!$AI$9:$AI$258),0))</f>
        <v/>
      </c>
      <c r="M59" s="16" t="str">
        <f>IF(A59="","",IF(O59=1,SUMIF(Quotes!$C$9:$C$258,A59,Quotes!$AJ$9:$AJ$258),0))</f>
        <v/>
      </c>
      <c r="N59" s="14"/>
      <c r="O59" s="14" t="str">
        <f>IF(A59="","",IF(COUNTIF($A$9:A59,A59)=1,1,0))</f>
        <v/>
      </c>
      <c r="P59" s="14" t="str">
        <f t="shared" si="0"/>
        <v/>
      </c>
      <c r="Q59" s="14" t="str">
        <f t="shared" si="1"/>
        <v/>
      </c>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row>
    <row r="60" spans="1:44" ht="48" customHeight="1" x14ac:dyDescent="0.35">
      <c r="A60" s="18"/>
      <c r="B60" s="15"/>
      <c r="C60" s="15"/>
      <c r="D60" s="18"/>
      <c r="E60" s="15"/>
      <c r="F60" s="15"/>
      <c r="G60" s="36"/>
      <c r="H60" s="15"/>
      <c r="I60" s="15"/>
      <c r="J60" s="18" t="str">
        <f>IF(A60="","",IFERROR(HYPERLINK("#'Supplier Jobs'!A"&amp;(MATCH(A60,'Supplier Jobs'!$N$9:$N$258,0)+8),"JOBS / QUOTES"),"No quotes"))</f>
        <v/>
      </c>
      <c r="K60" s="18" t="str">
        <f>IF(A60="","",COUNTIF(Quotes!$D$9:$D$258,D60))</f>
        <v/>
      </c>
      <c r="L60" s="19" t="str">
        <f>IF(A60="","",IF(O60=1,SUMIF(Quotes!$C$9:$C$258,A60,Quotes!$AI$9:$AI$258),0))</f>
        <v/>
      </c>
      <c r="M60" s="19" t="str">
        <f>IF(A60="","",IF(O60=1,SUMIF(Quotes!$C$9:$C$258,A60,Quotes!$AJ$9:$AJ$258),0))</f>
        <v/>
      </c>
      <c r="N60" s="18"/>
      <c r="O60" s="18" t="str">
        <f>IF(A60="","",IF(COUNTIF($A$9:A60,A60)=1,1,0))</f>
        <v/>
      </c>
      <c r="P60" s="18" t="str">
        <f t="shared" si="0"/>
        <v/>
      </c>
      <c r="Q60" s="18" t="str">
        <f t="shared" si="1"/>
        <v/>
      </c>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row>
    <row r="61" spans="1:44" ht="48" customHeight="1" x14ac:dyDescent="0.35">
      <c r="A61" s="14"/>
      <c r="B61" s="15"/>
      <c r="C61" s="15"/>
      <c r="D61" s="14"/>
      <c r="E61" s="15"/>
      <c r="F61" s="15"/>
      <c r="G61" s="36"/>
      <c r="H61" s="15"/>
      <c r="I61" s="15"/>
      <c r="J61" s="14" t="str">
        <f>IF(A61="","",IFERROR(HYPERLINK("#'Supplier Jobs'!A"&amp;(MATCH(A61,'Supplier Jobs'!$N$9:$N$258,0)+8),"JOBS / QUOTES"),"No quotes"))</f>
        <v/>
      </c>
      <c r="K61" s="14" t="str">
        <f>IF(A61="","",COUNTIF(Quotes!$D$9:$D$258,D61))</f>
        <v/>
      </c>
      <c r="L61" s="16" t="str">
        <f>IF(A61="","",IF(O61=1,SUMIF(Quotes!$C$9:$C$258,A61,Quotes!$AI$9:$AI$258),0))</f>
        <v/>
      </c>
      <c r="M61" s="16" t="str">
        <f>IF(A61="","",IF(O61=1,SUMIF(Quotes!$C$9:$C$258,A61,Quotes!$AJ$9:$AJ$258),0))</f>
        <v/>
      </c>
      <c r="N61" s="14"/>
      <c r="O61" s="14" t="str">
        <f>IF(A61="","",IF(COUNTIF($A$9:A61,A61)=1,1,0))</f>
        <v/>
      </c>
      <c r="P61" s="14" t="str">
        <f t="shared" si="0"/>
        <v/>
      </c>
      <c r="Q61" s="14" t="str">
        <f t="shared" si="1"/>
        <v/>
      </c>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row>
    <row r="62" spans="1:44" ht="48" customHeight="1" x14ac:dyDescent="0.35">
      <c r="A62" s="18"/>
      <c r="B62" s="15"/>
      <c r="C62" s="15"/>
      <c r="D62" s="18"/>
      <c r="E62" s="15"/>
      <c r="F62" s="15"/>
      <c r="G62" s="36"/>
      <c r="H62" s="15"/>
      <c r="I62" s="15"/>
      <c r="J62" s="18" t="str">
        <f>IF(A62="","",IFERROR(HYPERLINK("#'Supplier Jobs'!A"&amp;(MATCH(A62,'Supplier Jobs'!$N$9:$N$258,0)+8),"JOBS / QUOTES"),"No quotes"))</f>
        <v/>
      </c>
      <c r="K62" s="18" t="str">
        <f>IF(A62="","",COUNTIF(Quotes!$D$9:$D$258,D62))</f>
        <v/>
      </c>
      <c r="L62" s="19" t="str">
        <f>IF(A62="","",IF(O62=1,SUMIF(Quotes!$C$9:$C$258,A62,Quotes!$AI$9:$AI$258),0))</f>
        <v/>
      </c>
      <c r="M62" s="19" t="str">
        <f>IF(A62="","",IF(O62=1,SUMIF(Quotes!$C$9:$C$258,A62,Quotes!$AJ$9:$AJ$258),0))</f>
        <v/>
      </c>
      <c r="N62" s="18"/>
      <c r="O62" s="18" t="str">
        <f>IF(A62="","",IF(COUNTIF($A$9:A62,A62)=1,1,0))</f>
        <v/>
      </c>
      <c r="P62" s="18" t="str">
        <f t="shared" si="0"/>
        <v/>
      </c>
      <c r="Q62" s="18" t="str">
        <f t="shared" si="1"/>
        <v/>
      </c>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row>
    <row r="63" spans="1:44" ht="48" customHeight="1" x14ac:dyDescent="0.35">
      <c r="A63" s="14"/>
      <c r="B63" s="15"/>
      <c r="C63" s="15"/>
      <c r="D63" s="14"/>
      <c r="E63" s="15"/>
      <c r="F63" s="15"/>
      <c r="G63" s="36"/>
      <c r="H63" s="15"/>
      <c r="I63" s="15"/>
      <c r="J63" s="14" t="str">
        <f>IF(A63="","",IFERROR(HYPERLINK("#'Supplier Jobs'!A"&amp;(MATCH(A63,'Supplier Jobs'!$N$9:$N$258,0)+8),"JOBS / QUOTES"),"No quotes"))</f>
        <v/>
      </c>
      <c r="K63" s="14" t="str">
        <f>IF(A63="","",COUNTIF(Quotes!$D$9:$D$258,D63))</f>
        <v/>
      </c>
      <c r="L63" s="16" t="str">
        <f>IF(A63="","",IF(O63=1,SUMIF(Quotes!$C$9:$C$258,A63,Quotes!$AI$9:$AI$258),0))</f>
        <v/>
      </c>
      <c r="M63" s="16" t="str">
        <f>IF(A63="","",IF(O63=1,SUMIF(Quotes!$C$9:$C$258,A63,Quotes!$AJ$9:$AJ$258),0))</f>
        <v/>
      </c>
      <c r="N63" s="14"/>
      <c r="O63" s="14" t="str">
        <f>IF(A63="","",IF(COUNTIF($A$9:A63,A63)=1,1,0))</f>
        <v/>
      </c>
      <c r="P63" s="14" t="str">
        <f t="shared" si="0"/>
        <v/>
      </c>
      <c r="Q63" s="14" t="str">
        <f t="shared" si="1"/>
        <v/>
      </c>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row>
    <row r="64" spans="1:44" ht="48" customHeight="1" x14ac:dyDescent="0.35">
      <c r="A64" s="18"/>
      <c r="B64" s="15"/>
      <c r="C64" s="15"/>
      <c r="D64" s="18"/>
      <c r="E64" s="15"/>
      <c r="F64" s="15"/>
      <c r="G64" s="36"/>
      <c r="H64" s="15"/>
      <c r="I64" s="15"/>
      <c r="J64" s="18" t="str">
        <f>IF(A64="","",IFERROR(HYPERLINK("#'Supplier Jobs'!A"&amp;(MATCH(A64,'Supplier Jobs'!$N$9:$N$258,0)+8),"JOBS / QUOTES"),"No quotes"))</f>
        <v/>
      </c>
      <c r="K64" s="18" t="str">
        <f>IF(A64="","",COUNTIF(Quotes!$D$9:$D$258,D64))</f>
        <v/>
      </c>
      <c r="L64" s="19" t="str">
        <f>IF(A64="","",IF(O64=1,SUMIF(Quotes!$C$9:$C$258,A64,Quotes!$AI$9:$AI$258),0))</f>
        <v/>
      </c>
      <c r="M64" s="19" t="str">
        <f>IF(A64="","",IF(O64=1,SUMIF(Quotes!$C$9:$C$258,A64,Quotes!$AJ$9:$AJ$258),0))</f>
        <v/>
      </c>
      <c r="N64" s="18"/>
      <c r="O64" s="18" t="str">
        <f>IF(A64="","",IF(COUNTIF($A$9:A64,A64)=1,1,0))</f>
        <v/>
      </c>
      <c r="P64" s="18" t="str">
        <f t="shared" si="0"/>
        <v/>
      </c>
      <c r="Q64" s="18" t="str">
        <f t="shared" si="1"/>
        <v/>
      </c>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row>
    <row r="65" spans="1:44" ht="48" customHeight="1" x14ac:dyDescent="0.35">
      <c r="A65" s="14"/>
      <c r="B65" s="15"/>
      <c r="C65" s="15"/>
      <c r="D65" s="14"/>
      <c r="E65" s="15"/>
      <c r="F65" s="15"/>
      <c r="G65" s="36"/>
      <c r="H65" s="15"/>
      <c r="I65" s="15"/>
      <c r="J65" s="14" t="str">
        <f>IF(A65="","",IFERROR(HYPERLINK("#'Supplier Jobs'!A"&amp;(MATCH(A65,'Supplier Jobs'!$N$9:$N$258,0)+8),"JOBS / QUOTES"),"No quotes"))</f>
        <v/>
      </c>
      <c r="K65" s="14" t="str">
        <f>IF(A65="","",COUNTIF(Quotes!$D$9:$D$258,D65))</f>
        <v/>
      </c>
      <c r="L65" s="16" t="str">
        <f>IF(A65="","",IF(O65=1,SUMIF(Quotes!$C$9:$C$258,A65,Quotes!$AI$9:$AI$258),0))</f>
        <v/>
      </c>
      <c r="M65" s="16" t="str">
        <f>IF(A65="","",IF(O65=1,SUMIF(Quotes!$C$9:$C$258,A65,Quotes!$AJ$9:$AJ$258),0))</f>
        <v/>
      </c>
      <c r="N65" s="14"/>
      <c r="O65" s="14" t="str">
        <f>IF(A65="","",IF(COUNTIF($A$9:A65,A65)=1,1,0))</f>
        <v/>
      </c>
      <c r="P65" s="14" t="str">
        <f t="shared" si="0"/>
        <v/>
      </c>
      <c r="Q65" s="14" t="str">
        <f t="shared" si="1"/>
        <v/>
      </c>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row>
    <row r="66" spans="1:44" ht="48" customHeight="1" x14ac:dyDescent="0.35">
      <c r="A66" s="18"/>
      <c r="B66" s="15"/>
      <c r="C66" s="15"/>
      <c r="D66" s="18"/>
      <c r="E66" s="15"/>
      <c r="F66" s="15"/>
      <c r="G66" s="36"/>
      <c r="H66" s="15"/>
      <c r="I66" s="15"/>
      <c r="J66" s="18" t="str">
        <f>IF(A66="","",IFERROR(HYPERLINK("#'Supplier Jobs'!A"&amp;(MATCH(A66,'Supplier Jobs'!$N$9:$N$258,0)+8),"JOBS / QUOTES"),"No quotes"))</f>
        <v/>
      </c>
      <c r="K66" s="18" t="str">
        <f>IF(A66="","",COUNTIF(Quotes!$D$9:$D$258,D66))</f>
        <v/>
      </c>
      <c r="L66" s="19" t="str">
        <f>IF(A66="","",IF(O66=1,SUMIF(Quotes!$C$9:$C$258,A66,Quotes!$AI$9:$AI$258),0))</f>
        <v/>
      </c>
      <c r="M66" s="19" t="str">
        <f>IF(A66="","",IF(O66=1,SUMIF(Quotes!$C$9:$C$258,A66,Quotes!$AJ$9:$AJ$258),0))</f>
        <v/>
      </c>
      <c r="N66" s="18"/>
      <c r="O66" s="18" t="str">
        <f>IF(A66="","",IF(COUNTIF($A$9:A66,A66)=1,1,0))</f>
        <v/>
      </c>
      <c r="P66" s="18" t="str">
        <f t="shared" si="0"/>
        <v/>
      </c>
      <c r="Q66" s="18" t="str">
        <f t="shared" si="1"/>
        <v/>
      </c>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row>
    <row r="67" spans="1:44" ht="48" customHeight="1" x14ac:dyDescent="0.35">
      <c r="A67" s="14"/>
      <c r="B67" s="15"/>
      <c r="C67" s="15"/>
      <c r="D67" s="14"/>
      <c r="E67" s="15"/>
      <c r="F67" s="15"/>
      <c r="G67" s="36"/>
      <c r="H67" s="15"/>
      <c r="I67" s="15"/>
      <c r="J67" s="14" t="str">
        <f>IF(A67="","",IFERROR(HYPERLINK("#'Supplier Jobs'!A"&amp;(MATCH(A67,'Supplier Jobs'!$N$9:$N$258,0)+8),"JOBS / QUOTES"),"No quotes"))</f>
        <v/>
      </c>
      <c r="K67" s="14" t="str">
        <f>IF(A67="","",COUNTIF(Quotes!$D$9:$D$258,D67))</f>
        <v/>
      </c>
      <c r="L67" s="16" t="str">
        <f>IF(A67="","",IF(O67=1,SUMIF(Quotes!$C$9:$C$258,A67,Quotes!$AI$9:$AI$258),0))</f>
        <v/>
      </c>
      <c r="M67" s="16" t="str">
        <f>IF(A67="","",IF(O67=1,SUMIF(Quotes!$C$9:$C$258,A67,Quotes!$AJ$9:$AJ$258),0))</f>
        <v/>
      </c>
      <c r="N67" s="14"/>
      <c r="O67" s="14" t="str">
        <f>IF(A67="","",IF(COUNTIF($A$9:A67,A67)=1,1,0))</f>
        <v/>
      </c>
      <c r="P67" s="14" t="str">
        <f t="shared" si="0"/>
        <v/>
      </c>
      <c r="Q67" s="14" t="str">
        <f t="shared" si="1"/>
        <v/>
      </c>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row>
    <row r="68" spans="1:44" ht="48" customHeight="1" x14ac:dyDescent="0.35">
      <c r="A68" s="18"/>
      <c r="B68" s="15"/>
      <c r="C68" s="15"/>
      <c r="D68" s="18"/>
      <c r="E68" s="15"/>
      <c r="F68" s="15"/>
      <c r="G68" s="36"/>
      <c r="H68" s="15"/>
      <c r="I68" s="15"/>
      <c r="J68" s="18" t="str">
        <f>IF(A68="","",IFERROR(HYPERLINK("#'Supplier Jobs'!A"&amp;(MATCH(A68,'Supplier Jobs'!$N$9:$N$258,0)+8),"JOBS / QUOTES"),"No quotes"))</f>
        <v/>
      </c>
      <c r="K68" s="18" t="str">
        <f>IF(A68="","",COUNTIF(Quotes!$D$9:$D$258,D68))</f>
        <v/>
      </c>
      <c r="L68" s="19" t="str">
        <f>IF(A68="","",IF(O68=1,SUMIF(Quotes!$C$9:$C$258,A68,Quotes!$AI$9:$AI$258),0))</f>
        <v/>
      </c>
      <c r="M68" s="19" t="str">
        <f>IF(A68="","",IF(O68=1,SUMIF(Quotes!$C$9:$C$258,A68,Quotes!$AJ$9:$AJ$258),0))</f>
        <v/>
      </c>
      <c r="N68" s="18"/>
      <c r="O68" s="18" t="str">
        <f>IF(A68="","",IF(COUNTIF($A$9:A68,A68)=1,1,0))</f>
        <v/>
      </c>
      <c r="P68" s="18" t="str">
        <f t="shared" si="0"/>
        <v/>
      </c>
      <c r="Q68" s="18" t="str">
        <f t="shared" si="1"/>
        <v/>
      </c>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row>
    <row r="69" spans="1:44" ht="48" customHeight="1" x14ac:dyDescent="0.35">
      <c r="A69" s="14"/>
      <c r="B69" s="15"/>
      <c r="C69" s="15"/>
      <c r="D69" s="14"/>
      <c r="E69" s="15"/>
      <c r="F69" s="15"/>
      <c r="G69" s="36"/>
      <c r="H69" s="15"/>
      <c r="I69" s="15"/>
      <c r="J69" s="14" t="str">
        <f>IF(A69="","",IFERROR(HYPERLINK("#'Supplier Jobs'!A"&amp;(MATCH(A69,'Supplier Jobs'!$N$9:$N$258,0)+8),"JOBS / QUOTES"),"No quotes"))</f>
        <v/>
      </c>
      <c r="K69" s="14" t="str">
        <f>IF(A69="","",COUNTIF(Quotes!$D$9:$D$258,D69))</f>
        <v/>
      </c>
      <c r="L69" s="16" t="str">
        <f>IF(A69="","",IF(O69=1,SUMIF(Quotes!$C$9:$C$258,A69,Quotes!$AI$9:$AI$258),0))</f>
        <v/>
      </c>
      <c r="M69" s="16" t="str">
        <f>IF(A69="","",IF(O69=1,SUMIF(Quotes!$C$9:$C$258,A69,Quotes!$AJ$9:$AJ$258),0))</f>
        <v/>
      </c>
      <c r="N69" s="14"/>
      <c r="O69" s="14" t="str">
        <f>IF(A69="","",IF(COUNTIF($A$9:A69,A69)=1,1,0))</f>
        <v/>
      </c>
      <c r="P69" s="14" t="str">
        <f t="shared" si="0"/>
        <v/>
      </c>
      <c r="Q69" s="14" t="str">
        <f t="shared" si="1"/>
        <v/>
      </c>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row>
    <row r="70" spans="1:44" ht="48" customHeight="1" x14ac:dyDescent="0.35">
      <c r="A70" s="18"/>
      <c r="B70" s="15"/>
      <c r="C70" s="15"/>
      <c r="D70" s="18"/>
      <c r="E70" s="15"/>
      <c r="F70" s="15"/>
      <c r="G70" s="36"/>
      <c r="H70" s="15"/>
      <c r="I70" s="15"/>
      <c r="J70" s="18" t="str">
        <f>IF(A70="","",IFERROR(HYPERLINK("#'Supplier Jobs'!A"&amp;(MATCH(A70,'Supplier Jobs'!$N$9:$N$258,0)+8),"JOBS / QUOTES"),"No quotes"))</f>
        <v/>
      </c>
      <c r="K70" s="18" t="str">
        <f>IF(A70="","",COUNTIF(Quotes!$D$9:$D$258,D70))</f>
        <v/>
      </c>
      <c r="L70" s="19" t="str">
        <f>IF(A70="","",IF(O70=1,SUMIF(Quotes!$C$9:$C$258,A70,Quotes!$AI$9:$AI$258),0))</f>
        <v/>
      </c>
      <c r="M70" s="19" t="str">
        <f>IF(A70="","",IF(O70=1,SUMIF(Quotes!$C$9:$C$258,A70,Quotes!$AJ$9:$AJ$258),0))</f>
        <v/>
      </c>
      <c r="N70" s="18"/>
      <c r="O70" s="18" t="str">
        <f>IF(A70="","",IF(COUNTIF($A$9:A70,A70)=1,1,0))</f>
        <v/>
      </c>
      <c r="P70" s="18" t="str">
        <f t="shared" si="0"/>
        <v/>
      </c>
      <c r="Q70" s="18" t="str">
        <f t="shared" si="1"/>
        <v/>
      </c>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row>
    <row r="71" spans="1:44" ht="48" customHeight="1" x14ac:dyDescent="0.35">
      <c r="A71" s="14"/>
      <c r="B71" s="15"/>
      <c r="C71" s="15"/>
      <c r="D71" s="14"/>
      <c r="E71" s="15"/>
      <c r="F71" s="15"/>
      <c r="G71" s="36"/>
      <c r="H71" s="15"/>
      <c r="I71" s="15"/>
      <c r="J71" s="14" t="str">
        <f>IF(A71="","",IFERROR(HYPERLINK("#'Supplier Jobs'!A"&amp;(MATCH(A71,'Supplier Jobs'!$N$9:$N$258,0)+8),"JOBS / QUOTES"),"No quotes"))</f>
        <v/>
      </c>
      <c r="K71" s="14" t="str">
        <f>IF(A71="","",COUNTIF(Quotes!$D$9:$D$258,D71))</f>
        <v/>
      </c>
      <c r="L71" s="16" t="str">
        <f>IF(A71="","",IF(O71=1,SUMIF(Quotes!$C$9:$C$258,A71,Quotes!$AI$9:$AI$258),0))</f>
        <v/>
      </c>
      <c r="M71" s="16" t="str">
        <f>IF(A71="","",IF(O71=1,SUMIF(Quotes!$C$9:$C$258,A71,Quotes!$AJ$9:$AJ$258),0))</f>
        <v/>
      </c>
      <c r="N71" s="14"/>
      <c r="O71" s="14" t="str">
        <f>IF(A71="","",IF(COUNTIF($A$9:A71,A71)=1,1,0))</f>
        <v/>
      </c>
      <c r="P71" s="14" t="str">
        <f t="shared" si="0"/>
        <v/>
      </c>
      <c r="Q71" s="14" t="str">
        <f t="shared" si="1"/>
        <v/>
      </c>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row>
    <row r="72" spans="1:44" ht="48" customHeight="1" x14ac:dyDescent="0.35">
      <c r="A72" s="18"/>
      <c r="B72" s="15"/>
      <c r="C72" s="15"/>
      <c r="D72" s="18"/>
      <c r="E72" s="15"/>
      <c r="F72" s="15"/>
      <c r="G72" s="36"/>
      <c r="H72" s="15"/>
      <c r="I72" s="15"/>
      <c r="J72" s="18" t="str">
        <f>IF(A72="","",IFERROR(HYPERLINK("#'Supplier Jobs'!A"&amp;(MATCH(A72,'Supplier Jobs'!$N$9:$N$258,0)+8),"JOBS / QUOTES"),"No quotes"))</f>
        <v/>
      </c>
      <c r="K72" s="18" t="str">
        <f>IF(A72="","",COUNTIF(Quotes!$D$9:$D$258,D72))</f>
        <v/>
      </c>
      <c r="L72" s="19" t="str">
        <f>IF(A72="","",IF(O72=1,SUMIF(Quotes!$C$9:$C$258,A72,Quotes!$AI$9:$AI$258),0))</f>
        <v/>
      </c>
      <c r="M72" s="19" t="str">
        <f>IF(A72="","",IF(O72=1,SUMIF(Quotes!$C$9:$C$258,A72,Quotes!$AJ$9:$AJ$258),0))</f>
        <v/>
      </c>
      <c r="N72" s="18"/>
      <c r="O72" s="18" t="str">
        <f>IF(A72="","",IF(COUNTIF($A$9:A72,A72)=1,1,0))</f>
        <v/>
      </c>
      <c r="P72" s="18" t="str">
        <f t="shared" si="0"/>
        <v/>
      </c>
      <c r="Q72" s="18" t="str">
        <f t="shared" si="1"/>
        <v/>
      </c>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row>
    <row r="73" spans="1:44" ht="48" customHeight="1" x14ac:dyDescent="0.35">
      <c r="A73" s="14"/>
      <c r="B73" s="15"/>
      <c r="C73" s="15"/>
      <c r="D73" s="14"/>
      <c r="E73" s="15"/>
      <c r="F73" s="15"/>
      <c r="G73" s="36"/>
      <c r="H73" s="15"/>
      <c r="I73" s="15"/>
      <c r="J73" s="14" t="str">
        <f>IF(A73="","",IFERROR(HYPERLINK("#'Supplier Jobs'!A"&amp;(MATCH(A73,'Supplier Jobs'!$N$9:$N$258,0)+8),"JOBS / QUOTES"),"No quotes"))</f>
        <v/>
      </c>
      <c r="K73" s="14" t="str">
        <f>IF(A73="","",COUNTIF(Quotes!$D$9:$D$258,D73))</f>
        <v/>
      </c>
      <c r="L73" s="16" t="str">
        <f>IF(A73="","",IF(O73=1,SUMIF(Quotes!$C$9:$C$258,A73,Quotes!$AI$9:$AI$258),0))</f>
        <v/>
      </c>
      <c r="M73" s="16" t="str">
        <f>IF(A73="","",IF(O73=1,SUMIF(Quotes!$C$9:$C$258,A73,Quotes!$AJ$9:$AJ$258),0))</f>
        <v/>
      </c>
      <c r="N73" s="14"/>
      <c r="O73" s="14" t="str">
        <f>IF(A73="","",IF(COUNTIF($A$9:A73,A73)=1,1,0))</f>
        <v/>
      </c>
      <c r="P73" s="14" t="str">
        <f t="shared" ref="P73:P136" si="2">IF(A73="","",D73&amp;" | "&amp;B73&amp;" | "&amp;E73)</f>
        <v/>
      </c>
      <c r="Q73" s="14" t="str">
        <f t="shared" ref="Q73:Q136" si="3">IF(A73="","",A73&amp;" | "&amp;B73)</f>
        <v/>
      </c>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row>
    <row r="74" spans="1:44" ht="48" customHeight="1" x14ac:dyDescent="0.35">
      <c r="A74" s="18"/>
      <c r="B74" s="15"/>
      <c r="C74" s="15"/>
      <c r="D74" s="18"/>
      <c r="E74" s="15"/>
      <c r="F74" s="15"/>
      <c r="G74" s="36"/>
      <c r="H74" s="15"/>
      <c r="I74" s="15"/>
      <c r="J74" s="18" t="str">
        <f>IF(A74="","",IFERROR(HYPERLINK("#'Supplier Jobs'!A"&amp;(MATCH(A74,'Supplier Jobs'!$N$9:$N$258,0)+8),"JOBS / QUOTES"),"No quotes"))</f>
        <v/>
      </c>
      <c r="K74" s="18" t="str">
        <f>IF(A74="","",COUNTIF(Quotes!$D$9:$D$258,D74))</f>
        <v/>
      </c>
      <c r="L74" s="19" t="str">
        <f>IF(A74="","",IF(O74=1,SUMIF(Quotes!$C$9:$C$258,A74,Quotes!$AI$9:$AI$258),0))</f>
        <v/>
      </c>
      <c r="M74" s="19" t="str">
        <f>IF(A74="","",IF(O74=1,SUMIF(Quotes!$C$9:$C$258,A74,Quotes!$AJ$9:$AJ$258),0))</f>
        <v/>
      </c>
      <c r="N74" s="18"/>
      <c r="O74" s="18" t="str">
        <f>IF(A74="","",IF(COUNTIF($A$9:A74,A74)=1,1,0))</f>
        <v/>
      </c>
      <c r="P74" s="18" t="str">
        <f t="shared" si="2"/>
        <v/>
      </c>
      <c r="Q74" s="18" t="str">
        <f t="shared" si="3"/>
        <v/>
      </c>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row>
    <row r="75" spans="1:44" ht="48" customHeight="1" x14ac:dyDescent="0.35">
      <c r="A75" s="14"/>
      <c r="B75" s="15"/>
      <c r="C75" s="15"/>
      <c r="D75" s="14"/>
      <c r="E75" s="15"/>
      <c r="F75" s="15"/>
      <c r="G75" s="36"/>
      <c r="H75" s="15"/>
      <c r="I75" s="15"/>
      <c r="J75" s="14" t="str">
        <f>IF(A75="","",IFERROR(HYPERLINK("#'Supplier Jobs'!A"&amp;(MATCH(A75,'Supplier Jobs'!$N$9:$N$258,0)+8),"JOBS / QUOTES"),"No quotes"))</f>
        <v/>
      </c>
      <c r="K75" s="14" t="str">
        <f>IF(A75="","",COUNTIF(Quotes!$D$9:$D$258,D75))</f>
        <v/>
      </c>
      <c r="L75" s="16" t="str">
        <f>IF(A75="","",IF(O75=1,SUMIF(Quotes!$C$9:$C$258,A75,Quotes!$AI$9:$AI$258),0))</f>
        <v/>
      </c>
      <c r="M75" s="16" t="str">
        <f>IF(A75="","",IF(O75=1,SUMIF(Quotes!$C$9:$C$258,A75,Quotes!$AJ$9:$AJ$258),0))</f>
        <v/>
      </c>
      <c r="N75" s="14"/>
      <c r="O75" s="14" t="str">
        <f>IF(A75="","",IF(COUNTIF($A$9:A75,A75)=1,1,0))</f>
        <v/>
      </c>
      <c r="P75" s="14" t="str">
        <f t="shared" si="2"/>
        <v/>
      </c>
      <c r="Q75" s="14" t="str">
        <f t="shared" si="3"/>
        <v/>
      </c>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row>
    <row r="76" spans="1:44" ht="48" customHeight="1" x14ac:dyDescent="0.35">
      <c r="A76" s="18"/>
      <c r="B76" s="15"/>
      <c r="C76" s="15"/>
      <c r="D76" s="18"/>
      <c r="E76" s="15"/>
      <c r="F76" s="15"/>
      <c r="G76" s="36"/>
      <c r="H76" s="15"/>
      <c r="I76" s="15"/>
      <c r="J76" s="18" t="str">
        <f>IF(A76="","",IFERROR(HYPERLINK("#'Supplier Jobs'!A"&amp;(MATCH(A76,'Supplier Jobs'!$N$9:$N$258,0)+8),"JOBS / QUOTES"),"No quotes"))</f>
        <v/>
      </c>
      <c r="K76" s="18" t="str">
        <f>IF(A76="","",COUNTIF(Quotes!$D$9:$D$258,D76))</f>
        <v/>
      </c>
      <c r="L76" s="19" t="str">
        <f>IF(A76="","",IF(O76=1,SUMIF(Quotes!$C$9:$C$258,A76,Quotes!$AI$9:$AI$258),0))</f>
        <v/>
      </c>
      <c r="M76" s="19" t="str">
        <f>IF(A76="","",IF(O76=1,SUMIF(Quotes!$C$9:$C$258,A76,Quotes!$AJ$9:$AJ$258),0))</f>
        <v/>
      </c>
      <c r="N76" s="18"/>
      <c r="O76" s="18" t="str">
        <f>IF(A76="","",IF(COUNTIF($A$9:A76,A76)=1,1,0))</f>
        <v/>
      </c>
      <c r="P76" s="18" t="str">
        <f t="shared" si="2"/>
        <v/>
      </c>
      <c r="Q76" s="18" t="str">
        <f t="shared" si="3"/>
        <v/>
      </c>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row>
    <row r="77" spans="1:44" ht="48" customHeight="1" x14ac:dyDescent="0.35">
      <c r="A77" s="14"/>
      <c r="B77" s="15"/>
      <c r="C77" s="15"/>
      <c r="D77" s="14"/>
      <c r="E77" s="15"/>
      <c r="F77" s="15"/>
      <c r="G77" s="36"/>
      <c r="H77" s="15"/>
      <c r="I77" s="15"/>
      <c r="J77" s="14" t="str">
        <f>IF(A77="","",IFERROR(HYPERLINK("#'Supplier Jobs'!A"&amp;(MATCH(A77,'Supplier Jobs'!$N$9:$N$258,0)+8),"JOBS / QUOTES"),"No quotes"))</f>
        <v/>
      </c>
      <c r="K77" s="14" t="str">
        <f>IF(A77="","",COUNTIF(Quotes!$D$9:$D$258,D77))</f>
        <v/>
      </c>
      <c r="L77" s="16" t="str">
        <f>IF(A77="","",IF(O77=1,SUMIF(Quotes!$C$9:$C$258,A77,Quotes!$AI$9:$AI$258),0))</f>
        <v/>
      </c>
      <c r="M77" s="16" t="str">
        <f>IF(A77="","",IF(O77=1,SUMIF(Quotes!$C$9:$C$258,A77,Quotes!$AJ$9:$AJ$258),0))</f>
        <v/>
      </c>
      <c r="N77" s="14"/>
      <c r="O77" s="14" t="str">
        <f>IF(A77="","",IF(COUNTIF($A$9:A77,A77)=1,1,0))</f>
        <v/>
      </c>
      <c r="P77" s="14" t="str">
        <f t="shared" si="2"/>
        <v/>
      </c>
      <c r="Q77" s="14" t="str">
        <f t="shared" si="3"/>
        <v/>
      </c>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row>
    <row r="78" spans="1:44" ht="48" customHeight="1" x14ac:dyDescent="0.35">
      <c r="A78" s="18"/>
      <c r="B78" s="15"/>
      <c r="C78" s="15"/>
      <c r="D78" s="18"/>
      <c r="E78" s="15"/>
      <c r="F78" s="15"/>
      <c r="G78" s="36"/>
      <c r="H78" s="15"/>
      <c r="I78" s="15"/>
      <c r="J78" s="18" t="str">
        <f>IF(A78="","",IFERROR(HYPERLINK("#'Supplier Jobs'!A"&amp;(MATCH(A78,'Supplier Jobs'!$N$9:$N$258,0)+8),"JOBS / QUOTES"),"No quotes"))</f>
        <v/>
      </c>
      <c r="K78" s="18" t="str">
        <f>IF(A78="","",COUNTIF(Quotes!$D$9:$D$258,D78))</f>
        <v/>
      </c>
      <c r="L78" s="19" t="str">
        <f>IF(A78="","",IF(O78=1,SUMIF(Quotes!$C$9:$C$258,A78,Quotes!$AI$9:$AI$258),0))</f>
        <v/>
      </c>
      <c r="M78" s="19" t="str">
        <f>IF(A78="","",IF(O78=1,SUMIF(Quotes!$C$9:$C$258,A78,Quotes!$AJ$9:$AJ$258),0))</f>
        <v/>
      </c>
      <c r="N78" s="18"/>
      <c r="O78" s="18" t="str">
        <f>IF(A78="","",IF(COUNTIF($A$9:A78,A78)=1,1,0))</f>
        <v/>
      </c>
      <c r="P78" s="18" t="str">
        <f t="shared" si="2"/>
        <v/>
      </c>
      <c r="Q78" s="18" t="str">
        <f t="shared" si="3"/>
        <v/>
      </c>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row>
    <row r="79" spans="1:44" ht="48" customHeight="1" x14ac:dyDescent="0.35">
      <c r="A79" s="14"/>
      <c r="B79" s="15"/>
      <c r="C79" s="15"/>
      <c r="D79" s="14"/>
      <c r="E79" s="15"/>
      <c r="F79" s="15"/>
      <c r="G79" s="36"/>
      <c r="H79" s="15"/>
      <c r="I79" s="15"/>
      <c r="J79" s="14" t="str">
        <f>IF(A79="","",IFERROR(HYPERLINK("#'Supplier Jobs'!A"&amp;(MATCH(A79,'Supplier Jobs'!$N$9:$N$258,0)+8),"JOBS / QUOTES"),"No quotes"))</f>
        <v/>
      </c>
      <c r="K79" s="14" t="str">
        <f>IF(A79="","",COUNTIF(Quotes!$D$9:$D$258,D79))</f>
        <v/>
      </c>
      <c r="L79" s="16" t="str">
        <f>IF(A79="","",IF(O79=1,SUMIF(Quotes!$C$9:$C$258,A79,Quotes!$AI$9:$AI$258),0))</f>
        <v/>
      </c>
      <c r="M79" s="16" t="str">
        <f>IF(A79="","",IF(O79=1,SUMIF(Quotes!$C$9:$C$258,A79,Quotes!$AJ$9:$AJ$258),0))</f>
        <v/>
      </c>
      <c r="N79" s="14"/>
      <c r="O79" s="14" t="str">
        <f>IF(A79="","",IF(COUNTIF($A$9:A79,A79)=1,1,0))</f>
        <v/>
      </c>
      <c r="P79" s="14" t="str">
        <f t="shared" si="2"/>
        <v/>
      </c>
      <c r="Q79" s="14" t="str">
        <f t="shared" si="3"/>
        <v/>
      </c>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row>
    <row r="80" spans="1:44" ht="48" customHeight="1" x14ac:dyDescent="0.35">
      <c r="A80" s="18"/>
      <c r="B80" s="15"/>
      <c r="C80" s="15"/>
      <c r="D80" s="18"/>
      <c r="E80" s="15"/>
      <c r="F80" s="15"/>
      <c r="G80" s="36"/>
      <c r="H80" s="15"/>
      <c r="I80" s="15"/>
      <c r="J80" s="18" t="str">
        <f>IF(A80="","",IFERROR(HYPERLINK("#'Supplier Jobs'!A"&amp;(MATCH(A80,'Supplier Jobs'!$N$9:$N$258,0)+8),"JOBS / QUOTES"),"No quotes"))</f>
        <v/>
      </c>
      <c r="K80" s="18" t="str">
        <f>IF(A80="","",COUNTIF(Quotes!$D$9:$D$258,D80))</f>
        <v/>
      </c>
      <c r="L80" s="19" t="str">
        <f>IF(A80="","",IF(O80=1,SUMIF(Quotes!$C$9:$C$258,A80,Quotes!$AI$9:$AI$258),0))</f>
        <v/>
      </c>
      <c r="M80" s="19" t="str">
        <f>IF(A80="","",IF(O80=1,SUMIF(Quotes!$C$9:$C$258,A80,Quotes!$AJ$9:$AJ$258),0))</f>
        <v/>
      </c>
      <c r="N80" s="18"/>
      <c r="O80" s="18" t="str">
        <f>IF(A80="","",IF(COUNTIF($A$9:A80,A80)=1,1,0))</f>
        <v/>
      </c>
      <c r="P80" s="18" t="str">
        <f t="shared" si="2"/>
        <v/>
      </c>
      <c r="Q80" s="18" t="str">
        <f t="shared" si="3"/>
        <v/>
      </c>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row>
    <row r="81" spans="1:44" ht="48" customHeight="1" x14ac:dyDescent="0.35">
      <c r="A81" s="14"/>
      <c r="B81" s="15"/>
      <c r="C81" s="15"/>
      <c r="D81" s="14"/>
      <c r="E81" s="15"/>
      <c r="F81" s="15"/>
      <c r="G81" s="36"/>
      <c r="H81" s="15"/>
      <c r="I81" s="15"/>
      <c r="J81" s="14" t="str">
        <f>IF(A81="","",IFERROR(HYPERLINK("#'Supplier Jobs'!A"&amp;(MATCH(A81,'Supplier Jobs'!$N$9:$N$258,0)+8),"JOBS / QUOTES"),"No quotes"))</f>
        <v/>
      </c>
      <c r="K81" s="14" t="str">
        <f>IF(A81="","",COUNTIF(Quotes!$D$9:$D$258,D81))</f>
        <v/>
      </c>
      <c r="L81" s="16" t="str">
        <f>IF(A81="","",IF(O81=1,SUMIF(Quotes!$C$9:$C$258,A81,Quotes!$AI$9:$AI$258),0))</f>
        <v/>
      </c>
      <c r="M81" s="16" t="str">
        <f>IF(A81="","",IF(O81=1,SUMIF(Quotes!$C$9:$C$258,A81,Quotes!$AJ$9:$AJ$258),0))</f>
        <v/>
      </c>
      <c r="N81" s="14"/>
      <c r="O81" s="14" t="str">
        <f>IF(A81="","",IF(COUNTIF($A$9:A81,A81)=1,1,0))</f>
        <v/>
      </c>
      <c r="P81" s="14" t="str">
        <f t="shared" si="2"/>
        <v/>
      </c>
      <c r="Q81" s="14" t="str">
        <f t="shared" si="3"/>
        <v/>
      </c>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row>
    <row r="82" spans="1:44" ht="48" customHeight="1" x14ac:dyDescent="0.35">
      <c r="A82" s="18"/>
      <c r="B82" s="15"/>
      <c r="C82" s="15"/>
      <c r="D82" s="18"/>
      <c r="E82" s="15"/>
      <c r="F82" s="15"/>
      <c r="G82" s="36"/>
      <c r="H82" s="15"/>
      <c r="I82" s="15"/>
      <c r="J82" s="18" t="str">
        <f>IF(A82="","",IFERROR(HYPERLINK("#'Supplier Jobs'!A"&amp;(MATCH(A82,'Supplier Jobs'!$N$9:$N$258,0)+8),"JOBS / QUOTES"),"No quotes"))</f>
        <v/>
      </c>
      <c r="K82" s="18" t="str">
        <f>IF(A82="","",COUNTIF(Quotes!$D$9:$D$258,D82))</f>
        <v/>
      </c>
      <c r="L82" s="19" t="str">
        <f>IF(A82="","",IF(O82=1,SUMIF(Quotes!$C$9:$C$258,A82,Quotes!$AI$9:$AI$258),0))</f>
        <v/>
      </c>
      <c r="M82" s="19" t="str">
        <f>IF(A82="","",IF(O82=1,SUMIF(Quotes!$C$9:$C$258,A82,Quotes!$AJ$9:$AJ$258),0))</f>
        <v/>
      </c>
      <c r="N82" s="18"/>
      <c r="O82" s="18" t="str">
        <f>IF(A82="","",IF(COUNTIF($A$9:A82,A82)=1,1,0))</f>
        <v/>
      </c>
      <c r="P82" s="18" t="str">
        <f t="shared" si="2"/>
        <v/>
      </c>
      <c r="Q82" s="18" t="str">
        <f t="shared" si="3"/>
        <v/>
      </c>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row>
    <row r="83" spans="1:44" ht="48" customHeight="1" x14ac:dyDescent="0.35">
      <c r="A83" s="14"/>
      <c r="B83" s="15"/>
      <c r="C83" s="15"/>
      <c r="D83" s="14"/>
      <c r="E83" s="15"/>
      <c r="F83" s="15"/>
      <c r="G83" s="36"/>
      <c r="H83" s="15"/>
      <c r="I83" s="15"/>
      <c r="J83" s="14" t="str">
        <f>IF(A83="","",IFERROR(HYPERLINK("#'Supplier Jobs'!A"&amp;(MATCH(A83,'Supplier Jobs'!$N$9:$N$258,0)+8),"JOBS / QUOTES"),"No quotes"))</f>
        <v/>
      </c>
      <c r="K83" s="14" t="str">
        <f>IF(A83="","",COUNTIF(Quotes!$D$9:$D$258,D83))</f>
        <v/>
      </c>
      <c r="L83" s="16" t="str">
        <f>IF(A83="","",IF(O83=1,SUMIF(Quotes!$C$9:$C$258,A83,Quotes!$AI$9:$AI$258),0))</f>
        <v/>
      </c>
      <c r="M83" s="16" t="str">
        <f>IF(A83="","",IF(O83=1,SUMIF(Quotes!$C$9:$C$258,A83,Quotes!$AJ$9:$AJ$258),0))</f>
        <v/>
      </c>
      <c r="N83" s="14"/>
      <c r="O83" s="14" t="str">
        <f>IF(A83="","",IF(COUNTIF($A$9:A83,A83)=1,1,0))</f>
        <v/>
      </c>
      <c r="P83" s="14" t="str">
        <f t="shared" si="2"/>
        <v/>
      </c>
      <c r="Q83" s="14" t="str">
        <f t="shared" si="3"/>
        <v/>
      </c>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row>
    <row r="84" spans="1:44" ht="48" customHeight="1" x14ac:dyDescent="0.35">
      <c r="A84" s="18"/>
      <c r="B84" s="15"/>
      <c r="C84" s="15"/>
      <c r="D84" s="18"/>
      <c r="E84" s="15"/>
      <c r="F84" s="15"/>
      <c r="G84" s="36"/>
      <c r="H84" s="15"/>
      <c r="I84" s="15"/>
      <c r="J84" s="18" t="str">
        <f>IF(A84="","",IFERROR(HYPERLINK("#'Supplier Jobs'!A"&amp;(MATCH(A84,'Supplier Jobs'!$N$9:$N$258,0)+8),"JOBS / QUOTES"),"No quotes"))</f>
        <v/>
      </c>
      <c r="K84" s="18" t="str">
        <f>IF(A84="","",COUNTIF(Quotes!$D$9:$D$258,D84))</f>
        <v/>
      </c>
      <c r="L84" s="19" t="str">
        <f>IF(A84="","",IF(O84=1,SUMIF(Quotes!$C$9:$C$258,A84,Quotes!$AI$9:$AI$258),0))</f>
        <v/>
      </c>
      <c r="M84" s="19" t="str">
        <f>IF(A84="","",IF(O84=1,SUMIF(Quotes!$C$9:$C$258,A84,Quotes!$AJ$9:$AJ$258),0))</f>
        <v/>
      </c>
      <c r="N84" s="18"/>
      <c r="O84" s="18" t="str">
        <f>IF(A84="","",IF(COUNTIF($A$9:A84,A84)=1,1,0))</f>
        <v/>
      </c>
      <c r="P84" s="18" t="str">
        <f t="shared" si="2"/>
        <v/>
      </c>
      <c r="Q84" s="18" t="str">
        <f t="shared" si="3"/>
        <v/>
      </c>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row>
    <row r="85" spans="1:44" ht="48" customHeight="1" x14ac:dyDescent="0.35">
      <c r="A85" s="14"/>
      <c r="B85" s="15"/>
      <c r="C85" s="15"/>
      <c r="D85" s="14"/>
      <c r="E85" s="15"/>
      <c r="F85" s="15"/>
      <c r="G85" s="36"/>
      <c r="H85" s="15"/>
      <c r="I85" s="15"/>
      <c r="J85" s="14" t="str">
        <f>IF(A85="","",IFERROR(HYPERLINK("#'Supplier Jobs'!A"&amp;(MATCH(A85,'Supplier Jobs'!$N$9:$N$258,0)+8),"JOBS / QUOTES"),"No quotes"))</f>
        <v/>
      </c>
      <c r="K85" s="14" t="str">
        <f>IF(A85="","",COUNTIF(Quotes!$D$9:$D$258,D85))</f>
        <v/>
      </c>
      <c r="L85" s="16" t="str">
        <f>IF(A85="","",IF(O85=1,SUMIF(Quotes!$C$9:$C$258,A85,Quotes!$AI$9:$AI$258),0))</f>
        <v/>
      </c>
      <c r="M85" s="16" t="str">
        <f>IF(A85="","",IF(O85=1,SUMIF(Quotes!$C$9:$C$258,A85,Quotes!$AJ$9:$AJ$258),0))</f>
        <v/>
      </c>
      <c r="N85" s="14"/>
      <c r="O85" s="14" t="str">
        <f>IF(A85="","",IF(COUNTIF($A$9:A85,A85)=1,1,0))</f>
        <v/>
      </c>
      <c r="P85" s="14" t="str">
        <f t="shared" si="2"/>
        <v/>
      </c>
      <c r="Q85" s="14" t="str">
        <f t="shared" si="3"/>
        <v/>
      </c>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row>
    <row r="86" spans="1:44" ht="48" customHeight="1" x14ac:dyDescent="0.35">
      <c r="A86" s="18"/>
      <c r="B86" s="15"/>
      <c r="C86" s="15"/>
      <c r="D86" s="18"/>
      <c r="E86" s="15"/>
      <c r="F86" s="15"/>
      <c r="G86" s="36"/>
      <c r="H86" s="15"/>
      <c r="I86" s="15"/>
      <c r="J86" s="18" t="str">
        <f>IF(A86="","",IFERROR(HYPERLINK("#'Supplier Jobs'!A"&amp;(MATCH(A86,'Supplier Jobs'!$N$9:$N$258,0)+8),"JOBS / QUOTES"),"No quotes"))</f>
        <v/>
      </c>
      <c r="K86" s="18" t="str">
        <f>IF(A86="","",COUNTIF(Quotes!$D$9:$D$258,D86))</f>
        <v/>
      </c>
      <c r="L86" s="19" t="str">
        <f>IF(A86="","",IF(O86=1,SUMIF(Quotes!$C$9:$C$258,A86,Quotes!$AI$9:$AI$258),0))</f>
        <v/>
      </c>
      <c r="M86" s="19" t="str">
        <f>IF(A86="","",IF(O86=1,SUMIF(Quotes!$C$9:$C$258,A86,Quotes!$AJ$9:$AJ$258),0))</f>
        <v/>
      </c>
      <c r="N86" s="18"/>
      <c r="O86" s="18" t="str">
        <f>IF(A86="","",IF(COUNTIF($A$9:A86,A86)=1,1,0))</f>
        <v/>
      </c>
      <c r="P86" s="18" t="str">
        <f t="shared" si="2"/>
        <v/>
      </c>
      <c r="Q86" s="18" t="str">
        <f t="shared" si="3"/>
        <v/>
      </c>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row>
    <row r="87" spans="1:44" ht="48" customHeight="1" x14ac:dyDescent="0.35">
      <c r="A87" s="14"/>
      <c r="B87" s="15"/>
      <c r="C87" s="15"/>
      <c r="D87" s="14"/>
      <c r="E87" s="15"/>
      <c r="F87" s="15"/>
      <c r="G87" s="36"/>
      <c r="H87" s="15"/>
      <c r="I87" s="15"/>
      <c r="J87" s="14" t="str">
        <f>IF(A87="","",IFERROR(HYPERLINK("#'Supplier Jobs'!A"&amp;(MATCH(A87,'Supplier Jobs'!$N$9:$N$258,0)+8),"JOBS / QUOTES"),"No quotes"))</f>
        <v/>
      </c>
      <c r="K87" s="14" t="str">
        <f>IF(A87="","",COUNTIF(Quotes!$D$9:$D$258,D87))</f>
        <v/>
      </c>
      <c r="L87" s="16" t="str">
        <f>IF(A87="","",IF(O87=1,SUMIF(Quotes!$C$9:$C$258,A87,Quotes!$AI$9:$AI$258),0))</f>
        <v/>
      </c>
      <c r="M87" s="16" t="str">
        <f>IF(A87="","",IF(O87=1,SUMIF(Quotes!$C$9:$C$258,A87,Quotes!$AJ$9:$AJ$258),0))</f>
        <v/>
      </c>
      <c r="N87" s="14"/>
      <c r="O87" s="14" t="str">
        <f>IF(A87="","",IF(COUNTIF($A$9:A87,A87)=1,1,0))</f>
        <v/>
      </c>
      <c r="P87" s="14" t="str">
        <f t="shared" si="2"/>
        <v/>
      </c>
      <c r="Q87" s="14" t="str">
        <f t="shared" si="3"/>
        <v/>
      </c>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row>
    <row r="88" spans="1:44" ht="48" customHeight="1" x14ac:dyDescent="0.35">
      <c r="A88" s="18"/>
      <c r="B88" s="15"/>
      <c r="C88" s="15"/>
      <c r="D88" s="18"/>
      <c r="E88" s="15"/>
      <c r="F88" s="15"/>
      <c r="G88" s="36"/>
      <c r="H88" s="15"/>
      <c r="I88" s="15"/>
      <c r="J88" s="18" t="str">
        <f>IF(A88="","",IFERROR(HYPERLINK("#'Supplier Jobs'!A"&amp;(MATCH(A88,'Supplier Jobs'!$N$9:$N$258,0)+8),"JOBS / QUOTES"),"No quotes"))</f>
        <v/>
      </c>
      <c r="K88" s="18" t="str">
        <f>IF(A88="","",COUNTIF(Quotes!$D$9:$D$258,D88))</f>
        <v/>
      </c>
      <c r="L88" s="19" t="str">
        <f>IF(A88="","",IF(O88=1,SUMIF(Quotes!$C$9:$C$258,A88,Quotes!$AI$9:$AI$258),0))</f>
        <v/>
      </c>
      <c r="M88" s="19" t="str">
        <f>IF(A88="","",IF(O88=1,SUMIF(Quotes!$C$9:$C$258,A88,Quotes!$AJ$9:$AJ$258),0))</f>
        <v/>
      </c>
      <c r="N88" s="18"/>
      <c r="O88" s="18" t="str">
        <f>IF(A88="","",IF(COUNTIF($A$9:A88,A88)=1,1,0))</f>
        <v/>
      </c>
      <c r="P88" s="18" t="str">
        <f t="shared" si="2"/>
        <v/>
      </c>
      <c r="Q88" s="18" t="str">
        <f t="shared" si="3"/>
        <v/>
      </c>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row>
    <row r="89" spans="1:44" ht="48" customHeight="1" x14ac:dyDescent="0.35">
      <c r="A89" s="14"/>
      <c r="B89" s="15"/>
      <c r="C89" s="15"/>
      <c r="D89" s="14"/>
      <c r="E89" s="15"/>
      <c r="F89" s="15"/>
      <c r="G89" s="36"/>
      <c r="H89" s="15"/>
      <c r="I89" s="15"/>
      <c r="J89" s="14" t="str">
        <f>IF(A89="","",IFERROR(HYPERLINK("#'Supplier Jobs'!A"&amp;(MATCH(A89,'Supplier Jobs'!$N$9:$N$258,0)+8),"JOBS / QUOTES"),"No quotes"))</f>
        <v/>
      </c>
      <c r="K89" s="14" t="str">
        <f>IF(A89="","",COUNTIF(Quotes!$D$9:$D$258,D89))</f>
        <v/>
      </c>
      <c r="L89" s="16" t="str">
        <f>IF(A89="","",IF(O89=1,SUMIF(Quotes!$C$9:$C$258,A89,Quotes!$AI$9:$AI$258),0))</f>
        <v/>
      </c>
      <c r="M89" s="16" t="str">
        <f>IF(A89="","",IF(O89=1,SUMIF(Quotes!$C$9:$C$258,A89,Quotes!$AJ$9:$AJ$258),0))</f>
        <v/>
      </c>
      <c r="N89" s="14"/>
      <c r="O89" s="14" t="str">
        <f>IF(A89="","",IF(COUNTIF($A$9:A89,A89)=1,1,0))</f>
        <v/>
      </c>
      <c r="P89" s="14" t="str">
        <f t="shared" si="2"/>
        <v/>
      </c>
      <c r="Q89" s="14" t="str">
        <f t="shared" si="3"/>
        <v/>
      </c>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row>
    <row r="90" spans="1:44" ht="48" customHeight="1" x14ac:dyDescent="0.35">
      <c r="A90" s="18"/>
      <c r="B90" s="15"/>
      <c r="C90" s="15"/>
      <c r="D90" s="18"/>
      <c r="E90" s="15"/>
      <c r="F90" s="15"/>
      <c r="G90" s="36"/>
      <c r="H90" s="15"/>
      <c r="I90" s="15"/>
      <c r="J90" s="18" t="str">
        <f>IF(A90="","",IFERROR(HYPERLINK("#'Supplier Jobs'!A"&amp;(MATCH(A90,'Supplier Jobs'!$N$9:$N$258,0)+8),"JOBS / QUOTES"),"No quotes"))</f>
        <v/>
      </c>
      <c r="K90" s="18" t="str">
        <f>IF(A90="","",COUNTIF(Quotes!$D$9:$D$258,D90))</f>
        <v/>
      </c>
      <c r="L90" s="19" t="str">
        <f>IF(A90="","",IF(O90=1,SUMIF(Quotes!$C$9:$C$258,A90,Quotes!$AI$9:$AI$258),0))</f>
        <v/>
      </c>
      <c r="M90" s="19" t="str">
        <f>IF(A90="","",IF(O90=1,SUMIF(Quotes!$C$9:$C$258,A90,Quotes!$AJ$9:$AJ$258),0))</f>
        <v/>
      </c>
      <c r="N90" s="18"/>
      <c r="O90" s="18" t="str">
        <f>IF(A90="","",IF(COUNTIF($A$9:A90,A90)=1,1,0))</f>
        <v/>
      </c>
      <c r="P90" s="18" t="str">
        <f t="shared" si="2"/>
        <v/>
      </c>
      <c r="Q90" s="18" t="str">
        <f t="shared" si="3"/>
        <v/>
      </c>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row>
    <row r="91" spans="1:44" ht="48" customHeight="1" x14ac:dyDescent="0.35">
      <c r="A91" s="14"/>
      <c r="B91" s="15"/>
      <c r="C91" s="15"/>
      <c r="D91" s="14"/>
      <c r="E91" s="15"/>
      <c r="F91" s="15"/>
      <c r="G91" s="36"/>
      <c r="H91" s="15"/>
      <c r="I91" s="15"/>
      <c r="J91" s="14" t="str">
        <f>IF(A91="","",IFERROR(HYPERLINK("#'Supplier Jobs'!A"&amp;(MATCH(A91,'Supplier Jobs'!$N$9:$N$258,0)+8),"JOBS / QUOTES"),"No quotes"))</f>
        <v/>
      </c>
      <c r="K91" s="14" t="str">
        <f>IF(A91="","",COUNTIF(Quotes!$D$9:$D$258,D91))</f>
        <v/>
      </c>
      <c r="L91" s="16" t="str">
        <f>IF(A91="","",IF(O91=1,SUMIF(Quotes!$C$9:$C$258,A91,Quotes!$AI$9:$AI$258),0))</f>
        <v/>
      </c>
      <c r="M91" s="16" t="str">
        <f>IF(A91="","",IF(O91=1,SUMIF(Quotes!$C$9:$C$258,A91,Quotes!$AJ$9:$AJ$258),0))</f>
        <v/>
      </c>
      <c r="N91" s="14"/>
      <c r="O91" s="14" t="str">
        <f>IF(A91="","",IF(COUNTIF($A$9:A91,A91)=1,1,0))</f>
        <v/>
      </c>
      <c r="P91" s="14" t="str">
        <f t="shared" si="2"/>
        <v/>
      </c>
      <c r="Q91" s="14" t="str">
        <f t="shared" si="3"/>
        <v/>
      </c>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row>
    <row r="92" spans="1:44" ht="48" customHeight="1" x14ac:dyDescent="0.35">
      <c r="A92" s="18"/>
      <c r="B92" s="15"/>
      <c r="C92" s="15"/>
      <c r="D92" s="18"/>
      <c r="E92" s="15"/>
      <c r="F92" s="15"/>
      <c r="G92" s="36"/>
      <c r="H92" s="15"/>
      <c r="I92" s="15"/>
      <c r="J92" s="18" t="str">
        <f>IF(A92="","",IFERROR(HYPERLINK("#'Supplier Jobs'!A"&amp;(MATCH(A92,'Supplier Jobs'!$N$9:$N$258,0)+8),"JOBS / QUOTES"),"No quotes"))</f>
        <v/>
      </c>
      <c r="K92" s="18" t="str">
        <f>IF(A92="","",COUNTIF(Quotes!$D$9:$D$258,D92))</f>
        <v/>
      </c>
      <c r="L92" s="19" t="str">
        <f>IF(A92="","",IF(O92=1,SUMIF(Quotes!$C$9:$C$258,A92,Quotes!$AI$9:$AI$258),0))</f>
        <v/>
      </c>
      <c r="M92" s="19" t="str">
        <f>IF(A92="","",IF(O92=1,SUMIF(Quotes!$C$9:$C$258,A92,Quotes!$AJ$9:$AJ$258),0))</f>
        <v/>
      </c>
      <c r="N92" s="18"/>
      <c r="O92" s="18" t="str">
        <f>IF(A92="","",IF(COUNTIF($A$9:A92,A92)=1,1,0))</f>
        <v/>
      </c>
      <c r="P92" s="18" t="str">
        <f t="shared" si="2"/>
        <v/>
      </c>
      <c r="Q92" s="18" t="str">
        <f t="shared" si="3"/>
        <v/>
      </c>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row>
    <row r="93" spans="1:44" ht="48" customHeight="1" x14ac:dyDescent="0.35">
      <c r="A93" s="14"/>
      <c r="B93" s="15"/>
      <c r="C93" s="15"/>
      <c r="D93" s="14"/>
      <c r="E93" s="15"/>
      <c r="F93" s="15"/>
      <c r="G93" s="36"/>
      <c r="H93" s="15"/>
      <c r="I93" s="15"/>
      <c r="J93" s="14" t="str">
        <f>IF(A93="","",IFERROR(HYPERLINK("#'Supplier Jobs'!A"&amp;(MATCH(A93,'Supplier Jobs'!$N$9:$N$258,0)+8),"JOBS / QUOTES"),"No quotes"))</f>
        <v/>
      </c>
      <c r="K93" s="14" t="str">
        <f>IF(A93="","",COUNTIF(Quotes!$D$9:$D$258,D93))</f>
        <v/>
      </c>
      <c r="L93" s="16" t="str">
        <f>IF(A93="","",IF(O93=1,SUMIF(Quotes!$C$9:$C$258,A93,Quotes!$AI$9:$AI$258),0))</f>
        <v/>
      </c>
      <c r="M93" s="16" t="str">
        <f>IF(A93="","",IF(O93=1,SUMIF(Quotes!$C$9:$C$258,A93,Quotes!$AJ$9:$AJ$258),0))</f>
        <v/>
      </c>
      <c r="N93" s="14"/>
      <c r="O93" s="14" t="str">
        <f>IF(A93="","",IF(COUNTIF($A$9:A93,A93)=1,1,0))</f>
        <v/>
      </c>
      <c r="P93" s="14" t="str">
        <f t="shared" si="2"/>
        <v/>
      </c>
      <c r="Q93" s="14" t="str">
        <f t="shared" si="3"/>
        <v/>
      </c>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row>
    <row r="94" spans="1:44" ht="48" customHeight="1" x14ac:dyDescent="0.35">
      <c r="A94" s="18"/>
      <c r="B94" s="15"/>
      <c r="C94" s="15"/>
      <c r="D94" s="18"/>
      <c r="E94" s="15"/>
      <c r="F94" s="15"/>
      <c r="G94" s="36"/>
      <c r="H94" s="15"/>
      <c r="I94" s="15"/>
      <c r="J94" s="18" t="str">
        <f>IF(A94="","",IFERROR(HYPERLINK("#'Supplier Jobs'!A"&amp;(MATCH(A94,'Supplier Jobs'!$N$9:$N$258,0)+8),"JOBS / QUOTES"),"No quotes"))</f>
        <v/>
      </c>
      <c r="K94" s="18" t="str">
        <f>IF(A94="","",COUNTIF(Quotes!$D$9:$D$258,D94))</f>
        <v/>
      </c>
      <c r="L94" s="19" t="str">
        <f>IF(A94="","",IF(O94=1,SUMIF(Quotes!$C$9:$C$258,A94,Quotes!$AI$9:$AI$258),0))</f>
        <v/>
      </c>
      <c r="M94" s="19" t="str">
        <f>IF(A94="","",IF(O94=1,SUMIF(Quotes!$C$9:$C$258,A94,Quotes!$AJ$9:$AJ$258),0))</f>
        <v/>
      </c>
      <c r="N94" s="18"/>
      <c r="O94" s="18" t="str">
        <f>IF(A94="","",IF(COUNTIF($A$9:A94,A94)=1,1,0))</f>
        <v/>
      </c>
      <c r="P94" s="18" t="str">
        <f t="shared" si="2"/>
        <v/>
      </c>
      <c r="Q94" s="18" t="str">
        <f t="shared" si="3"/>
        <v/>
      </c>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row>
    <row r="95" spans="1:44" ht="48" customHeight="1" x14ac:dyDescent="0.35">
      <c r="A95" s="14"/>
      <c r="B95" s="15"/>
      <c r="C95" s="15"/>
      <c r="D95" s="14"/>
      <c r="E95" s="15"/>
      <c r="F95" s="15"/>
      <c r="G95" s="36"/>
      <c r="H95" s="15"/>
      <c r="I95" s="15"/>
      <c r="J95" s="14" t="str">
        <f>IF(A95="","",IFERROR(HYPERLINK("#'Supplier Jobs'!A"&amp;(MATCH(A95,'Supplier Jobs'!$N$9:$N$258,0)+8),"JOBS / QUOTES"),"No quotes"))</f>
        <v/>
      </c>
      <c r="K95" s="14" t="str">
        <f>IF(A95="","",COUNTIF(Quotes!$D$9:$D$258,D95))</f>
        <v/>
      </c>
      <c r="L95" s="16" t="str">
        <f>IF(A95="","",IF(O95=1,SUMIF(Quotes!$C$9:$C$258,A95,Quotes!$AI$9:$AI$258),0))</f>
        <v/>
      </c>
      <c r="M95" s="16" t="str">
        <f>IF(A95="","",IF(O95=1,SUMIF(Quotes!$C$9:$C$258,A95,Quotes!$AJ$9:$AJ$258),0))</f>
        <v/>
      </c>
      <c r="N95" s="14"/>
      <c r="O95" s="14" t="str">
        <f>IF(A95="","",IF(COUNTIF($A$9:A95,A95)=1,1,0))</f>
        <v/>
      </c>
      <c r="P95" s="14" t="str">
        <f t="shared" si="2"/>
        <v/>
      </c>
      <c r="Q95" s="14" t="str">
        <f t="shared" si="3"/>
        <v/>
      </c>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row>
    <row r="96" spans="1:44" ht="48" customHeight="1" x14ac:dyDescent="0.35">
      <c r="A96" s="18"/>
      <c r="B96" s="15"/>
      <c r="C96" s="15"/>
      <c r="D96" s="18"/>
      <c r="E96" s="15"/>
      <c r="F96" s="15"/>
      <c r="G96" s="36"/>
      <c r="H96" s="15"/>
      <c r="I96" s="15"/>
      <c r="J96" s="18" t="str">
        <f>IF(A96="","",IFERROR(HYPERLINK("#'Supplier Jobs'!A"&amp;(MATCH(A96,'Supplier Jobs'!$N$9:$N$258,0)+8),"JOBS / QUOTES"),"No quotes"))</f>
        <v/>
      </c>
      <c r="K96" s="18" t="str">
        <f>IF(A96="","",COUNTIF(Quotes!$D$9:$D$258,D96))</f>
        <v/>
      </c>
      <c r="L96" s="19" t="str">
        <f>IF(A96="","",IF(O96=1,SUMIF(Quotes!$C$9:$C$258,A96,Quotes!$AI$9:$AI$258),0))</f>
        <v/>
      </c>
      <c r="M96" s="19" t="str">
        <f>IF(A96="","",IF(O96=1,SUMIF(Quotes!$C$9:$C$258,A96,Quotes!$AJ$9:$AJ$258),0))</f>
        <v/>
      </c>
      <c r="N96" s="18"/>
      <c r="O96" s="18" t="str">
        <f>IF(A96="","",IF(COUNTIF($A$9:A96,A96)=1,1,0))</f>
        <v/>
      </c>
      <c r="P96" s="18" t="str">
        <f t="shared" si="2"/>
        <v/>
      </c>
      <c r="Q96" s="18" t="str">
        <f t="shared" si="3"/>
        <v/>
      </c>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row>
    <row r="97" spans="1:44" ht="48" customHeight="1" x14ac:dyDescent="0.35">
      <c r="A97" s="14"/>
      <c r="B97" s="15"/>
      <c r="C97" s="15"/>
      <c r="D97" s="14"/>
      <c r="E97" s="15"/>
      <c r="F97" s="15"/>
      <c r="G97" s="36"/>
      <c r="H97" s="15"/>
      <c r="I97" s="15"/>
      <c r="J97" s="14" t="str">
        <f>IF(A97="","",IFERROR(HYPERLINK("#'Supplier Jobs'!A"&amp;(MATCH(A97,'Supplier Jobs'!$N$9:$N$258,0)+8),"JOBS / QUOTES"),"No quotes"))</f>
        <v/>
      </c>
      <c r="K97" s="14" t="str">
        <f>IF(A97="","",COUNTIF(Quotes!$D$9:$D$258,D97))</f>
        <v/>
      </c>
      <c r="L97" s="16" t="str">
        <f>IF(A97="","",IF(O97=1,SUMIF(Quotes!$C$9:$C$258,A97,Quotes!$AI$9:$AI$258),0))</f>
        <v/>
      </c>
      <c r="M97" s="16" t="str">
        <f>IF(A97="","",IF(O97=1,SUMIF(Quotes!$C$9:$C$258,A97,Quotes!$AJ$9:$AJ$258),0))</f>
        <v/>
      </c>
      <c r="N97" s="14"/>
      <c r="O97" s="14" t="str">
        <f>IF(A97="","",IF(COUNTIF($A$9:A97,A97)=1,1,0))</f>
        <v/>
      </c>
      <c r="P97" s="14" t="str">
        <f t="shared" si="2"/>
        <v/>
      </c>
      <c r="Q97" s="14" t="str">
        <f t="shared" si="3"/>
        <v/>
      </c>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row>
    <row r="98" spans="1:44" ht="48" customHeight="1" x14ac:dyDescent="0.35">
      <c r="A98" s="18"/>
      <c r="B98" s="15"/>
      <c r="C98" s="15"/>
      <c r="D98" s="18"/>
      <c r="E98" s="15"/>
      <c r="F98" s="15"/>
      <c r="G98" s="36"/>
      <c r="H98" s="15"/>
      <c r="I98" s="15"/>
      <c r="J98" s="18" t="str">
        <f>IF(A98="","",IFERROR(HYPERLINK("#'Supplier Jobs'!A"&amp;(MATCH(A98,'Supplier Jobs'!$N$9:$N$258,0)+8),"JOBS / QUOTES"),"No quotes"))</f>
        <v/>
      </c>
      <c r="K98" s="18" t="str">
        <f>IF(A98="","",COUNTIF(Quotes!$D$9:$D$258,D98))</f>
        <v/>
      </c>
      <c r="L98" s="19" t="str">
        <f>IF(A98="","",IF(O98=1,SUMIF(Quotes!$C$9:$C$258,A98,Quotes!$AI$9:$AI$258),0))</f>
        <v/>
      </c>
      <c r="M98" s="19" t="str">
        <f>IF(A98="","",IF(O98=1,SUMIF(Quotes!$C$9:$C$258,A98,Quotes!$AJ$9:$AJ$258),0))</f>
        <v/>
      </c>
      <c r="N98" s="18"/>
      <c r="O98" s="18" t="str">
        <f>IF(A98="","",IF(COUNTIF($A$9:A98,A98)=1,1,0))</f>
        <v/>
      </c>
      <c r="P98" s="18" t="str">
        <f t="shared" si="2"/>
        <v/>
      </c>
      <c r="Q98" s="18" t="str">
        <f t="shared" si="3"/>
        <v/>
      </c>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row>
    <row r="99" spans="1:44" ht="48" customHeight="1" x14ac:dyDescent="0.35">
      <c r="A99" s="14"/>
      <c r="B99" s="15"/>
      <c r="C99" s="15"/>
      <c r="D99" s="14"/>
      <c r="E99" s="15"/>
      <c r="F99" s="15"/>
      <c r="G99" s="36"/>
      <c r="H99" s="15"/>
      <c r="I99" s="15"/>
      <c r="J99" s="14" t="str">
        <f>IF(A99="","",IFERROR(HYPERLINK("#'Supplier Jobs'!A"&amp;(MATCH(A99,'Supplier Jobs'!$N$9:$N$258,0)+8),"JOBS / QUOTES"),"No quotes"))</f>
        <v/>
      </c>
      <c r="K99" s="14" t="str">
        <f>IF(A99="","",COUNTIF(Quotes!$D$9:$D$258,D99))</f>
        <v/>
      </c>
      <c r="L99" s="16" t="str">
        <f>IF(A99="","",IF(O99=1,SUMIF(Quotes!$C$9:$C$258,A99,Quotes!$AI$9:$AI$258),0))</f>
        <v/>
      </c>
      <c r="M99" s="16" t="str">
        <f>IF(A99="","",IF(O99=1,SUMIF(Quotes!$C$9:$C$258,A99,Quotes!$AJ$9:$AJ$258),0))</f>
        <v/>
      </c>
      <c r="N99" s="14"/>
      <c r="O99" s="14" t="str">
        <f>IF(A99="","",IF(COUNTIF($A$9:A99,A99)=1,1,0))</f>
        <v/>
      </c>
      <c r="P99" s="14" t="str">
        <f t="shared" si="2"/>
        <v/>
      </c>
      <c r="Q99" s="14" t="str">
        <f t="shared" si="3"/>
        <v/>
      </c>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row>
    <row r="100" spans="1:44" ht="48" customHeight="1" x14ac:dyDescent="0.35">
      <c r="A100" s="18"/>
      <c r="B100" s="15"/>
      <c r="C100" s="15"/>
      <c r="D100" s="18"/>
      <c r="E100" s="15"/>
      <c r="F100" s="15"/>
      <c r="G100" s="36"/>
      <c r="H100" s="15"/>
      <c r="I100" s="15"/>
      <c r="J100" s="18" t="str">
        <f>IF(A100="","",IFERROR(HYPERLINK("#'Supplier Jobs'!A"&amp;(MATCH(A100,'Supplier Jobs'!$N$9:$N$258,0)+8),"JOBS / QUOTES"),"No quotes"))</f>
        <v/>
      </c>
      <c r="K100" s="18" t="str">
        <f>IF(A100="","",COUNTIF(Quotes!$D$9:$D$258,D100))</f>
        <v/>
      </c>
      <c r="L100" s="19" t="str">
        <f>IF(A100="","",IF(O100=1,SUMIF(Quotes!$C$9:$C$258,A100,Quotes!$AI$9:$AI$258),0))</f>
        <v/>
      </c>
      <c r="M100" s="19" t="str">
        <f>IF(A100="","",IF(O100=1,SUMIF(Quotes!$C$9:$C$258,A100,Quotes!$AJ$9:$AJ$258),0))</f>
        <v/>
      </c>
      <c r="N100" s="18"/>
      <c r="O100" s="18" t="str">
        <f>IF(A100="","",IF(COUNTIF($A$9:A100,A100)=1,1,0))</f>
        <v/>
      </c>
      <c r="P100" s="18" t="str">
        <f t="shared" si="2"/>
        <v/>
      </c>
      <c r="Q100" s="18" t="str">
        <f t="shared" si="3"/>
        <v/>
      </c>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row>
    <row r="101" spans="1:44" ht="48" customHeight="1" x14ac:dyDescent="0.35">
      <c r="A101" s="14"/>
      <c r="B101" s="15"/>
      <c r="C101" s="15"/>
      <c r="D101" s="14"/>
      <c r="E101" s="15"/>
      <c r="F101" s="15"/>
      <c r="G101" s="36"/>
      <c r="H101" s="15"/>
      <c r="I101" s="15"/>
      <c r="J101" s="14" t="str">
        <f>IF(A101="","",IFERROR(HYPERLINK("#'Supplier Jobs'!A"&amp;(MATCH(A101,'Supplier Jobs'!$N$9:$N$258,0)+8),"JOBS / QUOTES"),"No quotes"))</f>
        <v/>
      </c>
      <c r="K101" s="14" t="str">
        <f>IF(A101="","",COUNTIF(Quotes!$D$9:$D$258,D101))</f>
        <v/>
      </c>
      <c r="L101" s="16" t="str">
        <f>IF(A101="","",IF(O101=1,SUMIF(Quotes!$C$9:$C$258,A101,Quotes!$AI$9:$AI$258),0))</f>
        <v/>
      </c>
      <c r="M101" s="16" t="str">
        <f>IF(A101="","",IF(O101=1,SUMIF(Quotes!$C$9:$C$258,A101,Quotes!$AJ$9:$AJ$258),0))</f>
        <v/>
      </c>
      <c r="N101" s="14"/>
      <c r="O101" s="14" t="str">
        <f>IF(A101="","",IF(COUNTIF($A$9:A101,A101)=1,1,0))</f>
        <v/>
      </c>
      <c r="P101" s="14" t="str">
        <f t="shared" si="2"/>
        <v/>
      </c>
      <c r="Q101" s="14" t="str">
        <f t="shared" si="3"/>
        <v/>
      </c>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row>
    <row r="102" spans="1:44" ht="48" customHeight="1" x14ac:dyDescent="0.35">
      <c r="A102" s="18"/>
      <c r="B102" s="15"/>
      <c r="C102" s="15"/>
      <c r="D102" s="18"/>
      <c r="E102" s="15"/>
      <c r="F102" s="15"/>
      <c r="G102" s="36"/>
      <c r="H102" s="15"/>
      <c r="I102" s="15"/>
      <c r="J102" s="18" t="str">
        <f>IF(A102="","",IFERROR(HYPERLINK("#'Supplier Jobs'!A"&amp;(MATCH(A102,'Supplier Jobs'!$N$9:$N$258,0)+8),"JOBS / QUOTES"),"No quotes"))</f>
        <v/>
      </c>
      <c r="K102" s="18" t="str">
        <f>IF(A102="","",COUNTIF(Quotes!$D$9:$D$258,D102))</f>
        <v/>
      </c>
      <c r="L102" s="19" t="str">
        <f>IF(A102="","",IF(O102=1,SUMIF(Quotes!$C$9:$C$258,A102,Quotes!$AI$9:$AI$258),0))</f>
        <v/>
      </c>
      <c r="M102" s="19" t="str">
        <f>IF(A102="","",IF(O102=1,SUMIF(Quotes!$C$9:$C$258,A102,Quotes!$AJ$9:$AJ$258),0))</f>
        <v/>
      </c>
      <c r="N102" s="18"/>
      <c r="O102" s="18" t="str">
        <f>IF(A102="","",IF(COUNTIF($A$9:A102,A102)=1,1,0))</f>
        <v/>
      </c>
      <c r="P102" s="18" t="str">
        <f t="shared" si="2"/>
        <v/>
      </c>
      <c r="Q102" s="18" t="str">
        <f t="shared" si="3"/>
        <v/>
      </c>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row>
    <row r="103" spans="1:44" ht="48" customHeight="1" x14ac:dyDescent="0.35">
      <c r="A103" s="14"/>
      <c r="B103" s="15"/>
      <c r="C103" s="15"/>
      <c r="D103" s="14"/>
      <c r="E103" s="15"/>
      <c r="F103" s="15"/>
      <c r="G103" s="36"/>
      <c r="H103" s="15"/>
      <c r="I103" s="15"/>
      <c r="J103" s="14" t="str">
        <f>IF(A103="","",IFERROR(HYPERLINK("#'Supplier Jobs'!A"&amp;(MATCH(A103,'Supplier Jobs'!$N$9:$N$258,0)+8),"JOBS / QUOTES"),"No quotes"))</f>
        <v/>
      </c>
      <c r="K103" s="14" t="str">
        <f>IF(A103="","",COUNTIF(Quotes!$D$9:$D$258,D103))</f>
        <v/>
      </c>
      <c r="L103" s="16" t="str">
        <f>IF(A103="","",IF(O103=1,SUMIF(Quotes!$C$9:$C$258,A103,Quotes!$AI$9:$AI$258),0))</f>
        <v/>
      </c>
      <c r="M103" s="16" t="str">
        <f>IF(A103="","",IF(O103=1,SUMIF(Quotes!$C$9:$C$258,A103,Quotes!$AJ$9:$AJ$258),0))</f>
        <v/>
      </c>
      <c r="N103" s="14"/>
      <c r="O103" s="14" t="str">
        <f>IF(A103="","",IF(COUNTIF($A$9:A103,A103)=1,1,0))</f>
        <v/>
      </c>
      <c r="P103" s="14" t="str">
        <f t="shared" si="2"/>
        <v/>
      </c>
      <c r="Q103" s="14" t="str">
        <f t="shared" si="3"/>
        <v/>
      </c>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row>
    <row r="104" spans="1:44" ht="48" customHeight="1" x14ac:dyDescent="0.35">
      <c r="A104" s="18"/>
      <c r="B104" s="15"/>
      <c r="C104" s="15"/>
      <c r="D104" s="18"/>
      <c r="E104" s="15"/>
      <c r="F104" s="15"/>
      <c r="G104" s="36"/>
      <c r="H104" s="15"/>
      <c r="I104" s="15"/>
      <c r="J104" s="18" t="str">
        <f>IF(A104="","",IFERROR(HYPERLINK("#'Supplier Jobs'!A"&amp;(MATCH(A104,'Supplier Jobs'!$N$9:$N$258,0)+8),"JOBS / QUOTES"),"No quotes"))</f>
        <v/>
      </c>
      <c r="K104" s="18" t="str">
        <f>IF(A104="","",COUNTIF(Quotes!$D$9:$D$258,D104))</f>
        <v/>
      </c>
      <c r="L104" s="19" t="str">
        <f>IF(A104="","",IF(O104=1,SUMIF(Quotes!$C$9:$C$258,A104,Quotes!$AI$9:$AI$258),0))</f>
        <v/>
      </c>
      <c r="M104" s="19" t="str">
        <f>IF(A104="","",IF(O104=1,SUMIF(Quotes!$C$9:$C$258,A104,Quotes!$AJ$9:$AJ$258),0))</f>
        <v/>
      </c>
      <c r="N104" s="18"/>
      <c r="O104" s="18" t="str">
        <f>IF(A104="","",IF(COUNTIF($A$9:A104,A104)=1,1,0))</f>
        <v/>
      </c>
      <c r="P104" s="18" t="str">
        <f t="shared" si="2"/>
        <v/>
      </c>
      <c r="Q104" s="18" t="str">
        <f t="shared" si="3"/>
        <v/>
      </c>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row>
    <row r="105" spans="1:44" ht="48" customHeight="1" x14ac:dyDescent="0.35">
      <c r="A105" s="14"/>
      <c r="B105" s="15"/>
      <c r="C105" s="15"/>
      <c r="D105" s="14"/>
      <c r="E105" s="15"/>
      <c r="F105" s="15"/>
      <c r="G105" s="36"/>
      <c r="H105" s="15"/>
      <c r="I105" s="15"/>
      <c r="J105" s="14" t="str">
        <f>IF(A105="","",IFERROR(HYPERLINK("#'Supplier Jobs'!A"&amp;(MATCH(A105,'Supplier Jobs'!$N$9:$N$258,0)+8),"JOBS / QUOTES"),"No quotes"))</f>
        <v/>
      </c>
      <c r="K105" s="14" t="str">
        <f>IF(A105="","",COUNTIF(Quotes!$D$9:$D$258,D105))</f>
        <v/>
      </c>
      <c r="L105" s="16" t="str">
        <f>IF(A105="","",IF(O105=1,SUMIF(Quotes!$C$9:$C$258,A105,Quotes!$AI$9:$AI$258),0))</f>
        <v/>
      </c>
      <c r="M105" s="16" t="str">
        <f>IF(A105="","",IF(O105=1,SUMIF(Quotes!$C$9:$C$258,A105,Quotes!$AJ$9:$AJ$258),0))</f>
        <v/>
      </c>
      <c r="N105" s="14"/>
      <c r="O105" s="14" t="str">
        <f>IF(A105="","",IF(COUNTIF($A$9:A105,A105)=1,1,0))</f>
        <v/>
      </c>
      <c r="P105" s="14" t="str">
        <f t="shared" si="2"/>
        <v/>
      </c>
      <c r="Q105" s="14" t="str">
        <f t="shared" si="3"/>
        <v/>
      </c>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row>
    <row r="106" spans="1:44" ht="48" customHeight="1" x14ac:dyDescent="0.35">
      <c r="A106" s="18"/>
      <c r="B106" s="15"/>
      <c r="C106" s="15"/>
      <c r="D106" s="18"/>
      <c r="E106" s="15"/>
      <c r="F106" s="15"/>
      <c r="G106" s="36"/>
      <c r="H106" s="15"/>
      <c r="I106" s="15"/>
      <c r="J106" s="18" t="str">
        <f>IF(A106="","",IFERROR(HYPERLINK("#'Supplier Jobs'!A"&amp;(MATCH(A106,'Supplier Jobs'!$N$9:$N$258,0)+8),"JOBS / QUOTES"),"No quotes"))</f>
        <v/>
      </c>
      <c r="K106" s="18" t="str">
        <f>IF(A106="","",COUNTIF(Quotes!$D$9:$D$258,D106))</f>
        <v/>
      </c>
      <c r="L106" s="19" t="str">
        <f>IF(A106="","",IF(O106=1,SUMIF(Quotes!$C$9:$C$258,A106,Quotes!$AI$9:$AI$258),0))</f>
        <v/>
      </c>
      <c r="M106" s="19" t="str">
        <f>IF(A106="","",IF(O106=1,SUMIF(Quotes!$C$9:$C$258,A106,Quotes!$AJ$9:$AJ$258),0))</f>
        <v/>
      </c>
      <c r="N106" s="18"/>
      <c r="O106" s="18" t="str">
        <f>IF(A106="","",IF(COUNTIF($A$9:A106,A106)=1,1,0))</f>
        <v/>
      </c>
      <c r="P106" s="18" t="str">
        <f t="shared" si="2"/>
        <v/>
      </c>
      <c r="Q106" s="18" t="str">
        <f t="shared" si="3"/>
        <v/>
      </c>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row>
    <row r="107" spans="1:44" ht="48" customHeight="1" x14ac:dyDescent="0.35">
      <c r="A107" s="14"/>
      <c r="B107" s="15"/>
      <c r="C107" s="15"/>
      <c r="D107" s="14"/>
      <c r="E107" s="15"/>
      <c r="F107" s="15"/>
      <c r="G107" s="36"/>
      <c r="H107" s="15"/>
      <c r="I107" s="15"/>
      <c r="J107" s="14" t="str">
        <f>IF(A107="","",IFERROR(HYPERLINK("#'Supplier Jobs'!A"&amp;(MATCH(A107,'Supplier Jobs'!$N$9:$N$258,0)+8),"JOBS / QUOTES"),"No quotes"))</f>
        <v/>
      </c>
      <c r="K107" s="14" t="str">
        <f>IF(A107="","",COUNTIF(Quotes!$D$9:$D$258,D107))</f>
        <v/>
      </c>
      <c r="L107" s="16" t="str">
        <f>IF(A107="","",IF(O107=1,SUMIF(Quotes!$C$9:$C$258,A107,Quotes!$AI$9:$AI$258),0))</f>
        <v/>
      </c>
      <c r="M107" s="16" t="str">
        <f>IF(A107="","",IF(O107=1,SUMIF(Quotes!$C$9:$C$258,A107,Quotes!$AJ$9:$AJ$258),0))</f>
        <v/>
      </c>
      <c r="N107" s="14"/>
      <c r="O107" s="14" t="str">
        <f>IF(A107="","",IF(COUNTIF($A$9:A107,A107)=1,1,0))</f>
        <v/>
      </c>
      <c r="P107" s="14" t="str">
        <f t="shared" si="2"/>
        <v/>
      </c>
      <c r="Q107" s="14" t="str">
        <f t="shared" si="3"/>
        <v/>
      </c>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row>
    <row r="108" spans="1:44" ht="48" customHeight="1" x14ac:dyDescent="0.35">
      <c r="A108" s="18"/>
      <c r="B108" s="15"/>
      <c r="C108" s="15"/>
      <c r="D108" s="18"/>
      <c r="E108" s="15"/>
      <c r="F108" s="15"/>
      <c r="G108" s="36"/>
      <c r="H108" s="15"/>
      <c r="I108" s="15"/>
      <c r="J108" s="18" t="str">
        <f>IF(A108="","",IFERROR(HYPERLINK("#'Supplier Jobs'!A"&amp;(MATCH(A108,'Supplier Jobs'!$N$9:$N$258,0)+8),"JOBS / QUOTES"),"No quotes"))</f>
        <v/>
      </c>
      <c r="K108" s="18" t="str">
        <f>IF(A108="","",COUNTIF(Quotes!$D$9:$D$258,D108))</f>
        <v/>
      </c>
      <c r="L108" s="19" t="str">
        <f>IF(A108="","",IF(O108=1,SUMIF(Quotes!$C$9:$C$258,A108,Quotes!$AI$9:$AI$258),0))</f>
        <v/>
      </c>
      <c r="M108" s="19" t="str">
        <f>IF(A108="","",IF(O108=1,SUMIF(Quotes!$C$9:$C$258,A108,Quotes!$AJ$9:$AJ$258),0))</f>
        <v/>
      </c>
      <c r="N108" s="18"/>
      <c r="O108" s="18" t="str">
        <f>IF(A108="","",IF(COUNTIF($A$9:A108,A108)=1,1,0))</f>
        <v/>
      </c>
      <c r="P108" s="18" t="str">
        <f t="shared" si="2"/>
        <v/>
      </c>
      <c r="Q108" s="18" t="str">
        <f t="shared" si="3"/>
        <v/>
      </c>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row>
    <row r="109" spans="1:44" ht="48" customHeight="1" x14ac:dyDescent="0.35">
      <c r="A109" s="14"/>
      <c r="B109" s="15"/>
      <c r="C109" s="15"/>
      <c r="D109" s="14"/>
      <c r="E109" s="15"/>
      <c r="F109" s="15"/>
      <c r="G109" s="36"/>
      <c r="H109" s="15"/>
      <c r="I109" s="15"/>
      <c r="J109" s="14" t="str">
        <f>IF(A109="","",IFERROR(HYPERLINK("#'Supplier Jobs'!A"&amp;(MATCH(A109,'Supplier Jobs'!$N$9:$N$258,0)+8),"JOBS / QUOTES"),"No quotes"))</f>
        <v/>
      </c>
      <c r="K109" s="14" t="str">
        <f>IF(A109="","",COUNTIF(Quotes!$D$9:$D$258,D109))</f>
        <v/>
      </c>
      <c r="L109" s="16" t="str">
        <f>IF(A109="","",IF(O109=1,SUMIF(Quotes!$C$9:$C$258,A109,Quotes!$AI$9:$AI$258),0))</f>
        <v/>
      </c>
      <c r="M109" s="16" t="str">
        <f>IF(A109="","",IF(O109=1,SUMIF(Quotes!$C$9:$C$258,A109,Quotes!$AJ$9:$AJ$258),0))</f>
        <v/>
      </c>
      <c r="N109" s="14"/>
      <c r="O109" s="14" t="str">
        <f>IF(A109="","",IF(COUNTIF($A$9:A109,A109)=1,1,0))</f>
        <v/>
      </c>
      <c r="P109" s="14" t="str">
        <f t="shared" si="2"/>
        <v/>
      </c>
      <c r="Q109" s="14" t="str">
        <f t="shared" si="3"/>
        <v/>
      </c>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row>
    <row r="110" spans="1:44" ht="48" customHeight="1" x14ac:dyDescent="0.35">
      <c r="A110" s="18"/>
      <c r="B110" s="15"/>
      <c r="C110" s="15"/>
      <c r="D110" s="18"/>
      <c r="E110" s="15"/>
      <c r="F110" s="15"/>
      <c r="G110" s="36"/>
      <c r="H110" s="15"/>
      <c r="I110" s="15"/>
      <c r="J110" s="18" t="str">
        <f>IF(A110="","",IFERROR(HYPERLINK("#'Supplier Jobs'!A"&amp;(MATCH(A110,'Supplier Jobs'!$N$9:$N$258,0)+8),"JOBS / QUOTES"),"No quotes"))</f>
        <v/>
      </c>
      <c r="K110" s="18" t="str">
        <f>IF(A110="","",COUNTIF(Quotes!$D$9:$D$258,D110))</f>
        <v/>
      </c>
      <c r="L110" s="19" t="str">
        <f>IF(A110="","",IF(O110=1,SUMIF(Quotes!$C$9:$C$258,A110,Quotes!$AI$9:$AI$258),0))</f>
        <v/>
      </c>
      <c r="M110" s="19" t="str">
        <f>IF(A110="","",IF(O110=1,SUMIF(Quotes!$C$9:$C$258,A110,Quotes!$AJ$9:$AJ$258),0))</f>
        <v/>
      </c>
      <c r="N110" s="18"/>
      <c r="O110" s="18" t="str">
        <f>IF(A110="","",IF(COUNTIF($A$9:A110,A110)=1,1,0))</f>
        <v/>
      </c>
      <c r="P110" s="18" t="str">
        <f t="shared" si="2"/>
        <v/>
      </c>
      <c r="Q110" s="18" t="str">
        <f t="shared" si="3"/>
        <v/>
      </c>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row>
    <row r="111" spans="1:44" ht="48" customHeight="1" x14ac:dyDescent="0.35">
      <c r="A111" s="14"/>
      <c r="B111" s="15"/>
      <c r="C111" s="15"/>
      <c r="D111" s="14"/>
      <c r="E111" s="15"/>
      <c r="F111" s="15"/>
      <c r="G111" s="36"/>
      <c r="H111" s="15"/>
      <c r="I111" s="15"/>
      <c r="J111" s="14" t="str">
        <f>IF(A111="","",IFERROR(HYPERLINK("#'Supplier Jobs'!A"&amp;(MATCH(A111,'Supplier Jobs'!$N$9:$N$258,0)+8),"JOBS / QUOTES"),"No quotes"))</f>
        <v/>
      </c>
      <c r="K111" s="14" t="str">
        <f>IF(A111="","",COUNTIF(Quotes!$D$9:$D$258,D111))</f>
        <v/>
      </c>
      <c r="L111" s="16" t="str">
        <f>IF(A111="","",IF(O111=1,SUMIF(Quotes!$C$9:$C$258,A111,Quotes!$AI$9:$AI$258),0))</f>
        <v/>
      </c>
      <c r="M111" s="16" t="str">
        <f>IF(A111="","",IF(O111=1,SUMIF(Quotes!$C$9:$C$258,A111,Quotes!$AJ$9:$AJ$258),0))</f>
        <v/>
      </c>
      <c r="N111" s="14"/>
      <c r="O111" s="14" t="str">
        <f>IF(A111="","",IF(COUNTIF($A$9:A111,A111)=1,1,0))</f>
        <v/>
      </c>
      <c r="P111" s="14" t="str">
        <f t="shared" si="2"/>
        <v/>
      </c>
      <c r="Q111" s="14" t="str">
        <f t="shared" si="3"/>
        <v/>
      </c>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row>
    <row r="112" spans="1:44" ht="48" customHeight="1" x14ac:dyDescent="0.35">
      <c r="A112" s="18"/>
      <c r="B112" s="15"/>
      <c r="C112" s="15"/>
      <c r="D112" s="18"/>
      <c r="E112" s="15"/>
      <c r="F112" s="15"/>
      <c r="G112" s="36"/>
      <c r="H112" s="15"/>
      <c r="I112" s="15"/>
      <c r="J112" s="18" t="str">
        <f>IF(A112="","",IFERROR(HYPERLINK("#'Supplier Jobs'!A"&amp;(MATCH(A112,'Supplier Jobs'!$N$9:$N$258,0)+8),"JOBS / QUOTES"),"No quotes"))</f>
        <v/>
      </c>
      <c r="K112" s="18" t="str">
        <f>IF(A112="","",COUNTIF(Quotes!$D$9:$D$258,D112))</f>
        <v/>
      </c>
      <c r="L112" s="19" t="str">
        <f>IF(A112="","",IF(O112=1,SUMIF(Quotes!$C$9:$C$258,A112,Quotes!$AI$9:$AI$258),0))</f>
        <v/>
      </c>
      <c r="M112" s="19" t="str">
        <f>IF(A112="","",IF(O112=1,SUMIF(Quotes!$C$9:$C$258,A112,Quotes!$AJ$9:$AJ$258),0))</f>
        <v/>
      </c>
      <c r="N112" s="18"/>
      <c r="O112" s="18" t="str">
        <f>IF(A112="","",IF(COUNTIF($A$9:A112,A112)=1,1,0))</f>
        <v/>
      </c>
      <c r="P112" s="18" t="str">
        <f t="shared" si="2"/>
        <v/>
      </c>
      <c r="Q112" s="18" t="str">
        <f t="shared" si="3"/>
        <v/>
      </c>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row>
    <row r="113" spans="1:44" ht="48" customHeight="1" x14ac:dyDescent="0.35">
      <c r="A113" s="14"/>
      <c r="B113" s="15"/>
      <c r="C113" s="15"/>
      <c r="D113" s="14"/>
      <c r="E113" s="15"/>
      <c r="F113" s="15"/>
      <c r="G113" s="36"/>
      <c r="H113" s="15"/>
      <c r="I113" s="15"/>
      <c r="J113" s="14" t="str">
        <f>IF(A113="","",IFERROR(HYPERLINK("#'Supplier Jobs'!A"&amp;(MATCH(A113,'Supplier Jobs'!$N$9:$N$258,0)+8),"JOBS / QUOTES"),"No quotes"))</f>
        <v/>
      </c>
      <c r="K113" s="14" t="str">
        <f>IF(A113="","",COUNTIF(Quotes!$D$9:$D$258,D113))</f>
        <v/>
      </c>
      <c r="L113" s="16" t="str">
        <f>IF(A113="","",IF(O113=1,SUMIF(Quotes!$C$9:$C$258,A113,Quotes!$AI$9:$AI$258),0))</f>
        <v/>
      </c>
      <c r="M113" s="16" t="str">
        <f>IF(A113="","",IF(O113=1,SUMIF(Quotes!$C$9:$C$258,A113,Quotes!$AJ$9:$AJ$258),0))</f>
        <v/>
      </c>
      <c r="N113" s="14"/>
      <c r="O113" s="14" t="str">
        <f>IF(A113="","",IF(COUNTIF($A$9:A113,A113)=1,1,0))</f>
        <v/>
      </c>
      <c r="P113" s="14" t="str">
        <f t="shared" si="2"/>
        <v/>
      </c>
      <c r="Q113" s="14" t="str">
        <f t="shared" si="3"/>
        <v/>
      </c>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row>
    <row r="114" spans="1:44" ht="48" customHeight="1" x14ac:dyDescent="0.35">
      <c r="A114" s="18"/>
      <c r="B114" s="15"/>
      <c r="C114" s="15"/>
      <c r="D114" s="18"/>
      <c r="E114" s="15"/>
      <c r="F114" s="15"/>
      <c r="G114" s="36"/>
      <c r="H114" s="15"/>
      <c r="I114" s="15"/>
      <c r="J114" s="18" t="str">
        <f>IF(A114="","",IFERROR(HYPERLINK("#'Supplier Jobs'!A"&amp;(MATCH(A114,'Supplier Jobs'!$N$9:$N$258,0)+8),"JOBS / QUOTES"),"No quotes"))</f>
        <v/>
      </c>
      <c r="K114" s="18" t="str">
        <f>IF(A114="","",COUNTIF(Quotes!$D$9:$D$258,D114))</f>
        <v/>
      </c>
      <c r="L114" s="19" t="str">
        <f>IF(A114="","",IF(O114=1,SUMIF(Quotes!$C$9:$C$258,A114,Quotes!$AI$9:$AI$258),0))</f>
        <v/>
      </c>
      <c r="M114" s="19" t="str">
        <f>IF(A114="","",IF(O114=1,SUMIF(Quotes!$C$9:$C$258,A114,Quotes!$AJ$9:$AJ$258),0))</f>
        <v/>
      </c>
      <c r="N114" s="18"/>
      <c r="O114" s="18" t="str">
        <f>IF(A114="","",IF(COUNTIF($A$9:A114,A114)=1,1,0))</f>
        <v/>
      </c>
      <c r="P114" s="18" t="str">
        <f t="shared" si="2"/>
        <v/>
      </c>
      <c r="Q114" s="18" t="str">
        <f t="shared" si="3"/>
        <v/>
      </c>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row>
    <row r="115" spans="1:44" ht="48" customHeight="1" x14ac:dyDescent="0.35">
      <c r="A115" s="14"/>
      <c r="B115" s="15"/>
      <c r="C115" s="15"/>
      <c r="D115" s="14"/>
      <c r="E115" s="15"/>
      <c r="F115" s="15"/>
      <c r="G115" s="36"/>
      <c r="H115" s="15"/>
      <c r="I115" s="15"/>
      <c r="J115" s="14" t="str">
        <f>IF(A115="","",IFERROR(HYPERLINK("#'Supplier Jobs'!A"&amp;(MATCH(A115,'Supplier Jobs'!$N$9:$N$258,0)+8),"JOBS / QUOTES"),"No quotes"))</f>
        <v/>
      </c>
      <c r="K115" s="14" t="str">
        <f>IF(A115="","",COUNTIF(Quotes!$D$9:$D$258,D115))</f>
        <v/>
      </c>
      <c r="L115" s="16" t="str">
        <f>IF(A115="","",IF(O115=1,SUMIF(Quotes!$C$9:$C$258,A115,Quotes!$AI$9:$AI$258),0))</f>
        <v/>
      </c>
      <c r="M115" s="16" t="str">
        <f>IF(A115="","",IF(O115=1,SUMIF(Quotes!$C$9:$C$258,A115,Quotes!$AJ$9:$AJ$258),0))</f>
        <v/>
      </c>
      <c r="N115" s="14"/>
      <c r="O115" s="14" t="str">
        <f>IF(A115="","",IF(COUNTIF($A$9:A115,A115)=1,1,0))</f>
        <v/>
      </c>
      <c r="P115" s="14" t="str">
        <f t="shared" si="2"/>
        <v/>
      </c>
      <c r="Q115" s="14" t="str">
        <f t="shared" si="3"/>
        <v/>
      </c>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row>
    <row r="116" spans="1:44" ht="48" customHeight="1" x14ac:dyDescent="0.35">
      <c r="A116" s="18"/>
      <c r="B116" s="15"/>
      <c r="C116" s="15"/>
      <c r="D116" s="18"/>
      <c r="E116" s="15"/>
      <c r="F116" s="15"/>
      <c r="G116" s="36"/>
      <c r="H116" s="15"/>
      <c r="I116" s="15"/>
      <c r="J116" s="18" t="str">
        <f>IF(A116="","",IFERROR(HYPERLINK("#'Supplier Jobs'!A"&amp;(MATCH(A116,'Supplier Jobs'!$N$9:$N$258,0)+8),"JOBS / QUOTES"),"No quotes"))</f>
        <v/>
      </c>
      <c r="K116" s="18" t="str">
        <f>IF(A116="","",COUNTIF(Quotes!$D$9:$D$258,D116))</f>
        <v/>
      </c>
      <c r="L116" s="19" t="str">
        <f>IF(A116="","",IF(O116=1,SUMIF(Quotes!$C$9:$C$258,A116,Quotes!$AI$9:$AI$258),0))</f>
        <v/>
      </c>
      <c r="M116" s="19" t="str">
        <f>IF(A116="","",IF(O116=1,SUMIF(Quotes!$C$9:$C$258,A116,Quotes!$AJ$9:$AJ$258),0))</f>
        <v/>
      </c>
      <c r="N116" s="18"/>
      <c r="O116" s="18" t="str">
        <f>IF(A116="","",IF(COUNTIF($A$9:A116,A116)=1,1,0))</f>
        <v/>
      </c>
      <c r="P116" s="18" t="str">
        <f t="shared" si="2"/>
        <v/>
      </c>
      <c r="Q116" s="18" t="str">
        <f t="shared" si="3"/>
        <v/>
      </c>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row>
    <row r="117" spans="1:44" ht="48" customHeight="1" x14ac:dyDescent="0.35">
      <c r="A117" s="14"/>
      <c r="B117" s="15"/>
      <c r="C117" s="15"/>
      <c r="D117" s="14"/>
      <c r="E117" s="15"/>
      <c r="F117" s="15"/>
      <c r="G117" s="36"/>
      <c r="H117" s="15"/>
      <c r="I117" s="15"/>
      <c r="J117" s="14" t="str">
        <f>IF(A117="","",IFERROR(HYPERLINK("#'Supplier Jobs'!A"&amp;(MATCH(A117,'Supplier Jobs'!$N$9:$N$258,0)+8),"JOBS / QUOTES"),"No quotes"))</f>
        <v/>
      </c>
      <c r="K117" s="14" t="str">
        <f>IF(A117="","",COUNTIF(Quotes!$D$9:$D$258,D117))</f>
        <v/>
      </c>
      <c r="L117" s="16" t="str">
        <f>IF(A117="","",IF(O117=1,SUMIF(Quotes!$C$9:$C$258,A117,Quotes!$AI$9:$AI$258),0))</f>
        <v/>
      </c>
      <c r="M117" s="16" t="str">
        <f>IF(A117="","",IF(O117=1,SUMIF(Quotes!$C$9:$C$258,A117,Quotes!$AJ$9:$AJ$258),0))</f>
        <v/>
      </c>
      <c r="N117" s="14"/>
      <c r="O117" s="14" t="str">
        <f>IF(A117="","",IF(COUNTIF($A$9:A117,A117)=1,1,0))</f>
        <v/>
      </c>
      <c r="P117" s="14" t="str">
        <f t="shared" si="2"/>
        <v/>
      </c>
      <c r="Q117" s="14" t="str">
        <f t="shared" si="3"/>
        <v/>
      </c>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row>
    <row r="118" spans="1:44" ht="48" customHeight="1" x14ac:dyDescent="0.35">
      <c r="A118" s="18"/>
      <c r="B118" s="15"/>
      <c r="C118" s="15"/>
      <c r="D118" s="18"/>
      <c r="E118" s="15"/>
      <c r="F118" s="15"/>
      <c r="G118" s="36"/>
      <c r="H118" s="15"/>
      <c r="I118" s="15"/>
      <c r="J118" s="18" t="str">
        <f>IF(A118="","",IFERROR(HYPERLINK("#'Supplier Jobs'!A"&amp;(MATCH(A118,'Supplier Jobs'!$N$9:$N$258,0)+8),"JOBS / QUOTES"),"No quotes"))</f>
        <v/>
      </c>
      <c r="K118" s="18" t="str">
        <f>IF(A118="","",COUNTIF(Quotes!$D$9:$D$258,D118))</f>
        <v/>
      </c>
      <c r="L118" s="19" t="str">
        <f>IF(A118="","",IF(O118=1,SUMIF(Quotes!$C$9:$C$258,A118,Quotes!$AI$9:$AI$258),0))</f>
        <v/>
      </c>
      <c r="M118" s="19" t="str">
        <f>IF(A118="","",IF(O118=1,SUMIF(Quotes!$C$9:$C$258,A118,Quotes!$AJ$9:$AJ$258),0))</f>
        <v/>
      </c>
      <c r="N118" s="18"/>
      <c r="O118" s="18" t="str">
        <f>IF(A118="","",IF(COUNTIF($A$9:A118,A118)=1,1,0))</f>
        <v/>
      </c>
      <c r="P118" s="18" t="str">
        <f t="shared" si="2"/>
        <v/>
      </c>
      <c r="Q118" s="18" t="str">
        <f t="shared" si="3"/>
        <v/>
      </c>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row>
    <row r="119" spans="1:44" ht="48" customHeight="1" x14ac:dyDescent="0.35">
      <c r="A119" s="14"/>
      <c r="B119" s="15"/>
      <c r="C119" s="15"/>
      <c r="D119" s="14"/>
      <c r="E119" s="15"/>
      <c r="F119" s="15"/>
      <c r="G119" s="36"/>
      <c r="H119" s="15"/>
      <c r="I119" s="15"/>
      <c r="J119" s="14" t="str">
        <f>IF(A119="","",IFERROR(HYPERLINK("#'Supplier Jobs'!A"&amp;(MATCH(A119,'Supplier Jobs'!$N$9:$N$258,0)+8),"JOBS / QUOTES"),"No quotes"))</f>
        <v/>
      </c>
      <c r="K119" s="14" t="str">
        <f>IF(A119="","",COUNTIF(Quotes!$D$9:$D$258,D119))</f>
        <v/>
      </c>
      <c r="L119" s="16" t="str">
        <f>IF(A119="","",IF(O119=1,SUMIF(Quotes!$C$9:$C$258,A119,Quotes!$AI$9:$AI$258),0))</f>
        <v/>
      </c>
      <c r="M119" s="16" t="str">
        <f>IF(A119="","",IF(O119=1,SUMIF(Quotes!$C$9:$C$258,A119,Quotes!$AJ$9:$AJ$258),0))</f>
        <v/>
      </c>
      <c r="N119" s="14"/>
      <c r="O119" s="14" t="str">
        <f>IF(A119="","",IF(COUNTIF($A$9:A119,A119)=1,1,0))</f>
        <v/>
      </c>
      <c r="P119" s="14" t="str">
        <f t="shared" si="2"/>
        <v/>
      </c>
      <c r="Q119" s="14" t="str">
        <f t="shared" si="3"/>
        <v/>
      </c>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row>
    <row r="120" spans="1:44" ht="48" customHeight="1" x14ac:dyDescent="0.35">
      <c r="A120" s="18"/>
      <c r="B120" s="15"/>
      <c r="C120" s="15"/>
      <c r="D120" s="18"/>
      <c r="E120" s="15"/>
      <c r="F120" s="15"/>
      <c r="G120" s="36"/>
      <c r="H120" s="15"/>
      <c r="I120" s="15"/>
      <c r="J120" s="18" t="str">
        <f>IF(A120="","",IFERROR(HYPERLINK("#'Supplier Jobs'!A"&amp;(MATCH(A120,'Supplier Jobs'!$N$9:$N$258,0)+8),"JOBS / QUOTES"),"No quotes"))</f>
        <v/>
      </c>
      <c r="K120" s="18" t="str">
        <f>IF(A120="","",COUNTIF(Quotes!$D$9:$D$258,D120))</f>
        <v/>
      </c>
      <c r="L120" s="19" t="str">
        <f>IF(A120="","",IF(O120=1,SUMIF(Quotes!$C$9:$C$258,A120,Quotes!$AI$9:$AI$258),0))</f>
        <v/>
      </c>
      <c r="M120" s="19" t="str">
        <f>IF(A120="","",IF(O120=1,SUMIF(Quotes!$C$9:$C$258,A120,Quotes!$AJ$9:$AJ$258),0))</f>
        <v/>
      </c>
      <c r="N120" s="18"/>
      <c r="O120" s="18" t="str">
        <f>IF(A120="","",IF(COUNTIF($A$9:A120,A120)=1,1,0))</f>
        <v/>
      </c>
      <c r="P120" s="18" t="str">
        <f t="shared" si="2"/>
        <v/>
      </c>
      <c r="Q120" s="18" t="str">
        <f t="shared" si="3"/>
        <v/>
      </c>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row>
    <row r="121" spans="1:44" ht="48" customHeight="1" x14ac:dyDescent="0.35">
      <c r="A121" s="14"/>
      <c r="B121" s="15"/>
      <c r="C121" s="15"/>
      <c r="D121" s="14"/>
      <c r="E121" s="15"/>
      <c r="F121" s="15"/>
      <c r="G121" s="36"/>
      <c r="H121" s="15"/>
      <c r="I121" s="15"/>
      <c r="J121" s="14" t="str">
        <f>IF(A121="","",IFERROR(HYPERLINK("#'Supplier Jobs'!A"&amp;(MATCH(A121,'Supplier Jobs'!$N$9:$N$258,0)+8),"JOBS / QUOTES"),"No quotes"))</f>
        <v/>
      </c>
      <c r="K121" s="14" t="str">
        <f>IF(A121="","",COUNTIF(Quotes!$D$9:$D$258,D121))</f>
        <v/>
      </c>
      <c r="L121" s="16" t="str">
        <f>IF(A121="","",IF(O121=1,SUMIF(Quotes!$C$9:$C$258,A121,Quotes!$AI$9:$AI$258),0))</f>
        <v/>
      </c>
      <c r="M121" s="16" t="str">
        <f>IF(A121="","",IF(O121=1,SUMIF(Quotes!$C$9:$C$258,A121,Quotes!$AJ$9:$AJ$258),0))</f>
        <v/>
      </c>
      <c r="N121" s="14"/>
      <c r="O121" s="14" t="str">
        <f>IF(A121="","",IF(COUNTIF($A$9:A121,A121)=1,1,0))</f>
        <v/>
      </c>
      <c r="P121" s="14" t="str">
        <f t="shared" si="2"/>
        <v/>
      </c>
      <c r="Q121" s="14" t="str">
        <f t="shared" si="3"/>
        <v/>
      </c>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row>
    <row r="122" spans="1:44" ht="48" customHeight="1" x14ac:dyDescent="0.35">
      <c r="A122" s="18"/>
      <c r="B122" s="15"/>
      <c r="C122" s="15"/>
      <c r="D122" s="18"/>
      <c r="E122" s="15"/>
      <c r="F122" s="15"/>
      <c r="G122" s="36"/>
      <c r="H122" s="15"/>
      <c r="I122" s="15"/>
      <c r="J122" s="18" t="str">
        <f>IF(A122="","",IFERROR(HYPERLINK("#'Supplier Jobs'!A"&amp;(MATCH(A122,'Supplier Jobs'!$N$9:$N$258,0)+8),"JOBS / QUOTES"),"No quotes"))</f>
        <v/>
      </c>
      <c r="K122" s="18" t="str">
        <f>IF(A122="","",COUNTIF(Quotes!$D$9:$D$258,D122))</f>
        <v/>
      </c>
      <c r="L122" s="19" t="str">
        <f>IF(A122="","",IF(O122=1,SUMIF(Quotes!$C$9:$C$258,A122,Quotes!$AI$9:$AI$258),0))</f>
        <v/>
      </c>
      <c r="M122" s="19" t="str">
        <f>IF(A122="","",IF(O122=1,SUMIF(Quotes!$C$9:$C$258,A122,Quotes!$AJ$9:$AJ$258),0))</f>
        <v/>
      </c>
      <c r="N122" s="18"/>
      <c r="O122" s="18" t="str">
        <f>IF(A122="","",IF(COUNTIF($A$9:A122,A122)=1,1,0))</f>
        <v/>
      </c>
      <c r="P122" s="18" t="str">
        <f t="shared" si="2"/>
        <v/>
      </c>
      <c r="Q122" s="18" t="str">
        <f t="shared" si="3"/>
        <v/>
      </c>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row>
    <row r="123" spans="1:44" ht="48" customHeight="1" x14ac:dyDescent="0.35">
      <c r="A123" s="14"/>
      <c r="B123" s="15"/>
      <c r="C123" s="15"/>
      <c r="D123" s="14"/>
      <c r="E123" s="15"/>
      <c r="F123" s="15"/>
      <c r="G123" s="36"/>
      <c r="H123" s="15"/>
      <c r="I123" s="15"/>
      <c r="J123" s="14" t="str">
        <f>IF(A123="","",IFERROR(HYPERLINK("#'Supplier Jobs'!A"&amp;(MATCH(A123,'Supplier Jobs'!$N$9:$N$258,0)+8),"JOBS / QUOTES"),"No quotes"))</f>
        <v/>
      </c>
      <c r="K123" s="14" t="str">
        <f>IF(A123="","",COUNTIF(Quotes!$D$9:$D$258,D123))</f>
        <v/>
      </c>
      <c r="L123" s="16" t="str">
        <f>IF(A123="","",IF(O123=1,SUMIF(Quotes!$C$9:$C$258,A123,Quotes!$AI$9:$AI$258),0))</f>
        <v/>
      </c>
      <c r="M123" s="16" t="str">
        <f>IF(A123="","",IF(O123=1,SUMIF(Quotes!$C$9:$C$258,A123,Quotes!$AJ$9:$AJ$258),0))</f>
        <v/>
      </c>
      <c r="N123" s="14"/>
      <c r="O123" s="14" t="str">
        <f>IF(A123="","",IF(COUNTIF($A$9:A123,A123)=1,1,0))</f>
        <v/>
      </c>
      <c r="P123" s="14" t="str">
        <f t="shared" si="2"/>
        <v/>
      </c>
      <c r="Q123" s="14" t="str">
        <f t="shared" si="3"/>
        <v/>
      </c>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row>
    <row r="124" spans="1:44" ht="48" customHeight="1" x14ac:dyDescent="0.35">
      <c r="A124" s="18"/>
      <c r="B124" s="15"/>
      <c r="C124" s="15"/>
      <c r="D124" s="18"/>
      <c r="E124" s="15"/>
      <c r="F124" s="15"/>
      <c r="G124" s="36"/>
      <c r="H124" s="15"/>
      <c r="I124" s="15"/>
      <c r="J124" s="18" t="str">
        <f>IF(A124="","",IFERROR(HYPERLINK("#'Supplier Jobs'!A"&amp;(MATCH(A124,'Supplier Jobs'!$N$9:$N$258,0)+8),"JOBS / QUOTES"),"No quotes"))</f>
        <v/>
      </c>
      <c r="K124" s="18" t="str">
        <f>IF(A124="","",COUNTIF(Quotes!$D$9:$D$258,D124))</f>
        <v/>
      </c>
      <c r="L124" s="19" t="str">
        <f>IF(A124="","",IF(O124=1,SUMIF(Quotes!$C$9:$C$258,A124,Quotes!$AI$9:$AI$258),0))</f>
        <v/>
      </c>
      <c r="M124" s="19" t="str">
        <f>IF(A124="","",IF(O124=1,SUMIF(Quotes!$C$9:$C$258,A124,Quotes!$AJ$9:$AJ$258),0))</f>
        <v/>
      </c>
      <c r="N124" s="18"/>
      <c r="O124" s="18" t="str">
        <f>IF(A124="","",IF(COUNTIF($A$9:A124,A124)=1,1,0))</f>
        <v/>
      </c>
      <c r="P124" s="18" t="str">
        <f t="shared" si="2"/>
        <v/>
      </c>
      <c r="Q124" s="18" t="str">
        <f t="shared" si="3"/>
        <v/>
      </c>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row>
    <row r="125" spans="1:44" ht="48" customHeight="1" x14ac:dyDescent="0.35">
      <c r="A125" s="14"/>
      <c r="B125" s="15"/>
      <c r="C125" s="15"/>
      <c r="D125" s="14"/>
      <c r="E125" s="15"/>
      <c r="F125" s="15"/>
      <c r="G125" s="36"/>
      <c r="H125" s="15"/>
      <c r="I125" s="15"/>
      <c r="J125" s="14" t="str">
        <f>IF(A125="","",IFERROR(HYPERLINK("#'Supplier Jobs'!A"&amp;(MATCH(A125,'Supplier Jobs'!$N$9:$N$258,0)+8),"JOBS / QUOTES"),"No quotes"))</f>
        <v/>
      </c>
      <c r="K125" s="14" t="str">
        <f>IF(A125="","",COUNTIF(Quotes!$D$9:$D$258,D125))</f>
        <v/>
      </c>
      <c r="L125" s="16" t="str">
        <f>IF(A125="","",IF(O125=1,SUMIF(Quotes!$C$9:$C$258,A125,Quotes!$AI$9:$AI$258),0))</f>
        <v/>
      </c>
      <c r="M125" s="16" t="str">
        <f>IF(A125="","",IF(O125=1,SUMIF(Quotes!$C$9:$C$258,A125,Quotes!$AJ$9:$AJ$258),0))</f>
        <v/>
      </c>
      <c r="N125" s="14"/>
      <c r="O125" s="14" t="str">
        <f>IF(A125="","",IF(COUNTIF($A$9:A125,A125)=1,1,0))</f>
        <v/>
      </c>
      <c r="P125" s="14" t="str">
        <f t="shared" si="2"/>
        <v/>
      </c>
      <c r="Q125" s="14" t="str">
        <f t="shared" si="3"/>
        <v/>
      </c>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row>
    <row r="126" spans="1:44" ht="48" customHeight="1" x14ac:dyDescent="0.35">
      <c r="A126" s="18"/>
      <c r="B126" s="15"/>
      <c r="C126" s="15"/>
      <c r="D126" s="18"/>
      <c r="E126" s="15"/>
      <c r="F126" s="15"/>
      <c r="G126" s="36"/>
      <c r="H126" s="15"/>
      <c r="I126" s="15"/>
      <c r="J126" s="18" t="str">
        <f>IF(A126="","",IFERROR(HYPERLINK("#'Supplier Jobs'!A"&amp;(MATCH(A126,'Supplier Jobs'!$N$9:$N$258,0)+8),"JOBS / QUOTES"),"No quotes"))</f>
        <v/>
      </c>
      <c r="K126" s="18" t="str">
        <f>IF(A126="","",COUNTIF(Quotes!$D$9:$D$258,D126))</f>
        <v/>
      </c>
      <c r="L126" s="19" t="str">
        <f>IF(A126="","",IF(O126=1,SUMIF(Quotes!$C$9:$C$258,A126,Quotes!$AI$9:$AI$258),0))</f>
        <v/>
      </c>
      <c r="M126" s="19" t="str">
        <f>IF(A126="","",IF(O126=1,SUMIF(Quotes!$C$9:$C$258,A126,Quotes!$AJ$9:$AJ$258),0))</f>
        <v/>
      </c>
      <c r="N126" s="18"/>
      <c r="O126" s="18" t="str">
        <f>IF(A126="","",IF(COUNTIF($A$9:A126,A126)=1,1,0))</f>
        <v/>
      </c>
      <c r="P126" s="18" t="str">
        <f t="shared" si="2"/>
        <v/>
      </c>
      <c r="Q126" s="18" t="str">
        <f t="shared" si="3"/>
        <v/>
      </c>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row>
    <row r="127" spans="1:44" ht="48" customHeight="1" x14ac:dyDescent="0.35">
      <c r="A127" s="14"/>
      <c r="B127" s="15"/>
      <c r="C127" s="15"/>
      <c r="D127" s="14"/>
      <c r="E127" s="15"/>
      <c r="F127" s="15"/>
      <c r="G127" s="36"/>
      <c r="H127" s="15"/>
      <c r="I127" s="15"/>
      <c r="J127" s="14" t="str">
        <f>IF(A127="","",IFERROR(HYPERLINK("#'Supplier Jobs'!A"&amp;(MATCH(A127,'Supplier Jobs'!$N$9:$N$258,0)+8),"JOBS / QUOTES"),"No quotes"))</f>
        <v/>
      </c>
      <c r="K127" s="14" t="str">
        <f>IF(A127="","",COUNTIF(Quotes!$D$9:$D$258,D127))</f>
        <v/>
      </c>
      <c r="L127" s="16" t="str">
        <f>IF(A127="","",IF(O127=1,SUMIF(Quotes!$C$9:$C$258,A127,Quotes!$AI$9:$AI$258),0))</f>
        <v/>
      </c>
      <c r="M127" s="16" t="str">
        <f>IF(A127="","",IF(O127=1,SUMIF(Quotes!$C$9:$C$258,A127,Quotes!$AJ$9:$AJ$258),0))</f>
        <v/>
      </c>
      <c r="N127" s="14"/>
      <c r="O127" s="14" t="str">
        <f>IF(A127="","",IF(COUNTIF($A$9:A127,A127)=1,1,0))</f>
        <v/>
      </c>
      <c r="P127" s="14" t="str">
        <f t="shared" si="2"/>
        <v/>
      </c>
      <c r="Q127" s="14" t="str">
        <f t="shared" si="3"/>
        <v/>
      </c>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row>
    <row r="128" spans="1:44" ht="48" customHeight="1" x14ac:dyDescent="0.35">
      <c r="A128" s="18"/>
      <c r="B128" s="15"/>
      <c r="C128" s="15"/>
      <c r="D128" s="18"/>
      <c r="E128" s="15"/>
      <c r="F128" s="15"/>
      <c r="G128" s="36"/>
      <c r="H128" s="15"/>
      <c r="I128" s="15"/>
      <c r="J128" s="18" t="str">
        <f>IF(A128="","",IFERROR(HYPERLINK("#'Supplier Jobs'!A"&amp;(MATCH(A128,'Supplier Jobs'!$N$9:$N$258,0)+8),"JOBS / QUOTES"),"No quotes"))</f>
        <v/>
      </c>
      <c r="K128" s="18" t="str">
        <f>IF(A128="","",COUNTIF(Quotes!$D$9:$D$258,D128))</f>
        <v/>
      </c>
      <c r="L128" s="19" t="str">
        <f>IF(A128="","",IF(O128=1,SUMIF(Quotes!$C$9:$C$258,A128,Quotes!$AI$9:$AI$258),0))</f>
        <v/>
      </c>
      <c r="M128" s="19" t="str">
        <f>IF(A128="","",IF(O128=1,SUMIF(Quotes!$C$9:$C$258,A128,Quotes!$AJ$9:$AJ$258),0))</f>
        <v/>
      </c>
      <c r="N128" s="18"/>
      <c r="O128" s="18" t="str">
        <f>IF(A128="","",IF(COUNTIF($A$9:A128,A128)=1,1,0))</f>
        <v/>
      </c>
      <c r="P128" s="18" t="str">
        <f t="shared" si="2"/>
        <v/>
      </c>
      <c r="Q128" s="18" t="str">
        <f t="shared" si="3"/>
        <v/>
      </c>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row>
    <row r="129" spans="1:44" ht="48" customHeight="1" x14ac:dyDescent="0.35">
      <c r="A129" s="14"/>
      <c r="B129" s="15"/>
      <c r="C129" s="15"/>
      <c r="D129" s="14"/>
      <c r="E129" s="15"/>
      <c r="F129" s="15"/>
      <c r="G129" s="36"/>
      <c r="H129" s="15"/>
      <c r="I129" s="15"/>
      <c r="J129" s="14" t="str">
        <f>IF(A129="","",IFERROR(HYPERLINK("#'Supplier Jobs'!A"&amp;(MATCH(A129,'Supplier Jobs'!$N$9:$N$258,0)+8),"JOBS / QUOTES"),"No quotes"))</f>
        <v/>
      </c>
      <c r="K129" s="14" t="str">
        <f>IF(A129="","",COUNTIF(Quotes!$D$9:$D$258,D129))</f>
        <v/>
      </c>
      <c r="L129" s="16" t="str">
        <f>IF(A129="","",IF(O129=1,SUMIF(Quotes!$C$9:$C$258,A129,Quotes!$AI$9:$AI$258),0))</f>
        <v/>
      </c>
      <c r="M129" s="16" t="str">
        <f>IF(A129="","",IF(O129=1,SUMIF(Quotes!$C$9:$C$258,A129,Quotes!$AJ$9:$AJ$258),0))</f>
        <v/>
      </c>
      <c r="N129" s="14"/>
      <c r="O129" s="14" t="str">
        <f>IF(A129="","",IF(COUNTIF($A$9:A129,A129)=1,1,0))</f>
        <v/>
      </c>
      <c r="P129" s="14" t="str">
        <f t="shared" si="2"/>
        <v/>
      </c>
      <c r="Q129" s="14" t="str">
        <f t="shared" si="3"/>
        <v/>
      </c>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row>
    <row r="130" spans="1:44" ht="48" customHeight="1" x14ac:dyDescent="0.35">
      <c r="A130" s="18"/>
      <c r="B130" s="15"/>
      <c r="C130" s="15"/>
      <c r="D130" s="18"/>
      <c r="E130" s="15"/>
      <c r="F130" s="15"/>
      <c r="G130" s="36"/>
      <c r="H130" s="15"/>
      <c r="I130" s="15"/>
      <c r="J130" s="18" t="str">
        <f>IF(A130="","",IFERROR(HYPERLINK("#'Supplier Jobs'!A"&amp;(MATCH(A130,'Supplier Jobs'!$N$9:$N$258,0)+8),"JOBS / QUOTES"),"No quotes"))</f>
        <v/>
      </c>
      <c r="K130" s="18" t="str">
        <f>IF(A130="","",COUNTIF(Quotes!$D$9:$D$258,D130))</f>
        <v/>
      </c>
      <c r="L130" s="19" t="str">
        <f>IF(A130="","",IF(O130=1,SUMIF(Quotes!$C$9:$C$258,A130,Quotes!$AI$9:$AI$258),0))</f>
        <v/>
      </c>
      <c r="M130" s="19" t="str">
        <f>IF(A130="","",IF(O130=1,SUMIF(Quotes!$C$9:$C$258,A130,Quotes!$AJ$9:$AJ$258),0))</f>
        <v/>
      </c>
      <c r="N130" s="18"/>
      <c r="O130" s="18" t="str">
        <f>IF(A130="","",IF(COUNTIF($A$9:A130,A130)=1,1,0))</f>
        <v/>
      </c>
      <c r="P130" s="18" t="str">
        <f t="shared" si="2"/>
        <v/>
      </c>
      <c r="Q130" s="18" t="str">
        <f t="shared" si="3"/>
        <v/>
      </c>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row>
    <row r="131" spans="1:44" ht="48" customHeight="1" x14ac:dyDescent="0.35">
      <c r="A131" s="14"/>
      <c r="B131" s="15"/>
      <c r="C131" s="15"/>
      <c r="D131" s="14"/>
      <c r="E131" s="15"/>
      <c r="F131" s="15"/>
      <c r="G131" s="36"/>
      <c r="H131" s="15"/>
      <c r="I131" s="15"/>
      <c r="J131" s="14" t="str">
        <f>IF(A131="","",IFERROR(HYPERLINK("#'Supplier Jobs'!A"&amp;(MATCH(A131,'Supplier Jobs'!$N$9:$N$258,0)+8),"JOBS / QUOTES"),"No quotes"))</f>
        <v/>
      </c>
      <c r="K131" s="14" t="str">
        <f>IF(A131="","",COUNTIF(Quotes!$D$9:$D$258,D131))</f>
        <v/>
      </c>
      <c r="L131" s="16" t="str">
        <f>IF(A131="","",IF(O131=1,SUMIF(Quotes!$C$9:$C$258,A131,Quotes!$AI$9:$AI$258),0))</f>
        <v/>
      </c>
      <c r="M131" s="16" t="str">
        <f>IF(A131="","",IF(O131=1,SUMIF(Quotes!$C$9:$C$258,A131,Quotes!$AJ$9:$AJ$258),0))</f>
        <v/>
      </c>
      <c r="N131" s="14"/>
      <c r="O131" s="14" t="str">
        <f>IF(A131="","",IF(COUNTIF($A$9:A131,A131)=1,1,0))</f>
        <v/>
      </c>
      <c r="P131" s="14" t="str">
        <f t="shared" si="2"/>
        <v/>
      </c>
      <c r="Q131" s="14" t="str">
        <f t="shared" si="3"/>
        <v/>
      </c>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row>
    <row r="132" spans="1:44" ht="48" customHeight="1" x14ac:dyDescent="0.35">
      <c r="A132" s="18"/>
      <c r="B132" s="15"/>
      <c r="C132" s="15"/>
      <c r="D132" s="18"/>
      <c r="E132" s="15"/>
      <c r="F132" s="15"/>
      <c r="G132" s="36"/>
      <c r="H132" s="15"/>
      <c r="I132" s="15"/>
      <c r="J132" s="18" t="str">
        <f>IF(A132="","",IFERROR(HYPERLINK("#'Supplier Jobs'!A"&amp;(MATCH(A132,'Supplier Jobs'!$N$9:$N$258,0)+8),"JOBS / QUOTES"),"No quotes"))</f>
        <v/>
      </c>
      <c r="K132" s="18" t="str">
        <f>IF(A132="","",COUNTIF(Quotes!$D$9:$D$258,D132))</f>
        <v/>
      </c>
      <c r="L132" s="19" t="str">
        <f>IF(A132="","",IF(O132=1,SUMIF(Quotes!$C$9:$C$258,A132,Quotes!$AI$9:$AI$258),0))</f>
        <v/>
      </c>
      <c r="M132" s="19" t="str">
        <f>IF(A132="","",IF(O132=1,SUMIF(Quotes!$C$9:$C$258,A132,Quotes!$AJ$9:$AJ$258),0))</f>
        <v/>
      </c>
      <c r="N132" s="18"/>
      <c r="O132" s="18" t="str">
        <f>IF(A132="","",IF(COUNTIF($A$9:A132,A132)=1,1,0))</f>
        <v/>
      </c>
      <c r="P132" s="18" t="str">
        <f t="shared" si="2"/>
        <v/>
      </c>
      <c r="Q132" s="18" t="str">
        <f t="shared" si="3"/>
        <v/>
      </c>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row>
    <row r="133" spans="1:44" ht="48" customHeight="1" x14ac:dyDescent="0.35">
      <c r="A133" s="14"/>
      <c r="B133" s="15"/>
      <c r="C133" s="15"/>
      <c r="D133" s="14"/>
      <c r="E133" s="15"/>
      <c r="F133" s="15"/>
      <c r="G133" s="36"/>
      <c r="H133" s="15"/>
      <c r="I133" s="15"/>
      <c r="J133" s="14" t="str">
        <f>IF(A133="","",IFERROR(HYPERLINK("#'Supplier Jobs'!A"&amp;(MATCH(A133,'Supplier Jobs'!$N$9:$N$258,0)+8),"JOBS / QUOTES"),"No quotes"))</f>
        <v/>
      </c>
      <c r="K133" s="14" t="str">
        <f>IF(A133="","",COUNTIF(Quotes!$D$9:$D$258,D133))</f>
        <v/>
      </c>
      <c r="L133" s="16" t="str">
        <f>IF(A133="","",IF(O133=1,SUMIF(Quotes!$C$9:$C$258,A133,Quotes!$AI$9:$AI$258),0))</f>
        <v/>
      </c>
      <c r="M133" s="16" t="str">
        <f>IF(A133="","",IF(O133=1,SUMIF(Quotes!$C$9:$C$258,A133,Quotes!$AJ$9:$AJ$258),0))</f>
        <v/>
      </c>
      <c r="N133" s="14"/>
      <c r="O133" s="14" t="str">
        <f>IF(A133="","",IF(COUNTIF($A$9:A133,A133)=1,1,0))</f>
        <v/>
      </c>
      <c r="P133" s="14" t="str">
        <f t="shared" si="2"/>
        <v/>
      </c>
      <c r="Q133" s="14" t="str">
        <f t="shared" si="3"/>
        <v/>
      </c>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row>
    <row r="134" spans="1:44" ht="48" customHeight="1" x14ac:dyDescent="0.35">
      <c r="A134" s="18"/>
      <c r="B134" s="15"/>
      <c r="C134" s="15"/>
      <c r="D134" s="18"/>
      <c r="E134" s="15"/>
      <c r="F134" s="15"/>
      <c r="G134" s="36"/>
      <c r="H134" s="15"/>
      <c r="I134" s="15"/>
      <c r="J134" s="18" t="str">
        <f>IF(A134="","",IFERROR(HYPERLINK("#'Supplier Jobs'!A"&amp;(MATCH(A134,'Supplier Jobs'!$N$9:$N$258,0)+8),"JOBS / QUOTES"),"No quotes"))</f>
        <v/>
      </c>
      <c r="K134" s="18" t="str">
        <f>IF(A134="","",COUNTIF(Quotes!$D$9:$D$258,D134))</f>
        <v/>
      </c>
      <c r="L134" s="19" t="str">
        <f>IF(A134="","",IF(O134=1,SUMIF(Quotes!$C$9:$C$258,A134,Quotes!$AI$9:$AI$258),0))</f>
        <v/>
      </c>
      <c r="M134" s="19" t="str">
        <f>IF(A134="","",IF(O134=1,SUMIF(Quotes!$C$9:$C$258,A134,Quotes!$AJ$9:$AJ$258),0))</f>
        <v/>
      </c>
      <c r="N134" s="18"/>
      <c r="O134" s="18" t="str">
        <f>IF(A134="","",IF(COUNTIF($A$9:A134,A134)=1,1,0))</f>
        <v/>
      </c>
      <c r="P134" s="18" t="str">
        <f t="shared" si="2"/>
        <v/>
      </c>
      <c r="Q134" s="18" t="str">
        <f t="shared" si="3"/>
        <v/>
      </c>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row>
    <row r="135" spans="1:44" ht="48" customHeight="1" x14ac:dyDescent="0.35">
      <c r="A135" s="14"/>
      <c r="B135" s="15"/>
      <c r="C135" s="15"/>
      <c r="D135" s="14"/>
      <c r="E135" s="15"/>
      <c r="F135" s="15"/>
      <c r="G135" s="36"/>
      <c r="H135" s="15"/>
      <c r="I135" s="15"/>
      <c r="J135" s="14" t="str">
        <f>IF(A135="","",IFERROR(HYPERLINK("#'Supplier Jobs'!A"&amp;(MATCH(A135,'Supplier Jobs'!$N$9:$N$258,0)+8),"JOBS / QUOTES"),"No quotes"))</f>
        <v/>
      </c>
      <c r="K135" s="14" t="str">
        <f>IF(A135="","",COUNTIF(Quotes!$D$9:$D$258,D135))</f>
        <v/>
      </c>
      <c r="L135" s="16" t="str">
        <f>IF(A135="","",IF(O135=1,SUMIF(Quotes!$C$9:$C$258,A135,Quotes!$AI$9:$AI$258),0))</f>
        <v/>
      </c>
      <c r="M135" s="16" t="str">
        <f>IF(A135="","",IF(O135=1,SUMIF(Quotes!$C$9:$C$258,A135,Quotes!$AJ$9:$AJ$258),0))</f>
        <v/>
      </c>
      <c r="N135" s="14"/>
      <c r="O135" s="14" t="str">
        <f>IF(A135="","",IF(COUNTIF($A$9:A135,A135)=1,1,0))</f>
        <v/>
      </c>
      <c r="P135" s="14" t="str">
        <f t="shared" si="2"/>
        <v/>
      </c>
      <c r="Q135" s="14" t="str">
        <f t="shared" si="3"/>
        <v/>
      </c>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row>
    <row r="136" spans="1:44" ht="48" customHeight="1" x14ac:dyDescent="0.35">
      <c r="A136" s="18"/>
      <c r="B136" s="15"/>
      <c r="C136" s="15"/>
      <c r="D136" s="18"/>
      <c r="E136" s="15"/>
      <c r="F136" s="15"/>
      <c r="G136" s="36"/>
      <c r="H136" s="15"/>
      <c r="I136" s="15"/>
      <c r="J136" s="18" t="str">
        <f>IF(A136="","",IFERROR(HYPERLINK("#'Supplier Jobs'!A"&amp;(MATCH(A136,'Supplier Jobs'!$N$9:$N$258,0)+8),"JOBS / QUOTES"),"No quotes"))</f>
        <v/>
      </c>
      <c r="K136" s="18" t="str">
        <f>IF(A136="","",COUNTIF(Quotes!$D$9:$D$258,D136))</f>
        <v/>
      </c>
      <c r="L136" s="19" t="str">
        <f>IF(A136="","",IF(O136=1,SUMIF(Quotes!$C$9:$C$258,A136,Quotes!$AI$9:$AI$258),0))</f>
        <v/>
      </c>
      <c r="M136" s="19" t="str">
        <f>IF(A136="","",IF(O136=1,SUMIF(Quotes!$C$9:$C$258,A136,Quotes!$AJ$9:$AJ$258),0))</f>
        <v/>
      </c>
      <c r="N136" s="18"/>
      <c r="O136" s="18" t="str">
        <f>IF(A136="","",IF(COUNTIF($A$9:A136,A136)=1,1,0))</f>
        <v/>
      </c>
      <c r="P136" s="18" t="str">
        <f t="shared" si="2"/>
        <v/>
      </c>
      <c r="Q136" s="18" t="str">
        <f t="shared" si="3"/>
        <v/>
      </c>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row>
    <row r="137" spans="1:44" ht="48" customHeight="1" x14ac:dyDescent="0.35">
      <c r="A137" s="14"/>
      <c r="B137" s="15"/>
      <c r="C137" s="15"/>
      <c r="D137" s="14"/>
      <c r="E137" s="15"/>
      <c r="F137" s="15"/>
      <c r="G137" s="36"/>
      <c r="H137" s="15"/>
      <c r="I137" s="15"/>
      <c r="J137" s="14" t="str">
        <f>IF(A137="","",IFERROR(HYPERLINK("#'Supplier Jobs'!A"&amp;(MATCH(A137,'Supplier Jobs'!$N$9:$N$258,0)+8),"JOBS / QUOTES"),"No quotes"))</f>
        <v/>
      </c>
      <c r="K137" s="14" t="str">
        <f>IF(A137="","",COUNTIF(Quotes!$D$9:$D$258,D137))</f>
        <v/>
      </c>
      <c r="L137" s="16" t="str">
        <f>IF(A137="","",IF(O137=1,SUMIF(Quotes!$C$9:$C$258,A137,Quotes!$AI$9:$AI$258),0))</f>
        <v/>
      </c>
      <c r="M137" s="16" t="str">
        <f>IF(A137="","",IF(O137=1,SUMIF(Quotes!$C$9:$C$258,A137,Quotes!$AJ$9:$AJ$258),0))</f>
        <v/>
      </c>
      <c r="N137" s="14"/>
      <c r="O137" s="14" t="str">
        <f>IF(A137="","",IF(COUNTIF($A$9:A137,A137)=1,1,0))</f>
        <v/>
      </c>
      <c r="P137" s="14" t="str">
        <f t="shared" ref="P137:P200" si="4">IF(A137="","",D137&amp;" | "&amp;B137&amp;" | "&amp;E137)</f>
        <v/>
      </c>
      <c r="Q137" s="14" t="str">
        <f t="shared" ref="Q137:Q200" si="5">IF(A137="","",A137&amp;" | "&amp;B137)</f>
        <v/>
      </c>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row>
    <row r="138" spans="1:44" ht="48" customHeight="1" x14ac:dyDescent="0.35">
      <c r="A138" s="18"/>
      <c r="B138" s="15"/>
      <c r="C138" s="15"/>
      <c r="D138" s="18"/>
      <c r="E138" s="15"/>
      <c r="F138" s="15"/>
      <c r="G138" s="36"/>
      <c r="H138" s="15"/>
      <c r="I138" s="15"/>
      <c r="J138" s="18" t="str">
        <f>IF(A138="","",IFERROR(HYPERLINK("#'Supplier Jobs'!A"&amp;(MATCH(A138,'Supplier Jobs'!$N$9:$N$258,0)+8),"JOBS / QUOTES"),"No quotes"))</f>
        <v/>
      </c>
      <c r="K138" s="18" t="str">
        <f>IF(A138="","",COUNTIF(Quotes!$D$9:$D$258,D138))</f>
        <v/>
      </c>
      <c r="L138" s="19" t="str">
        <f>IF(A138="","",IF(O138=1,SUMIF(Quotes!$C$9:$C$258,A138,Quotes!$AI$9:$AI$258),0))</f>
        <v/>
      </c>
      <c r="M138" s="19" t="str">
        <f>IF(A138="","",IF(O138=1,SUMIF(Quotes!$C$9:$C$258,A138,Quotes!$AJ$9:$AJ$258),0))</f>
        <v/>
      </c>
      <c r="N138" s="18"/>
      <c r="O138" s="18" t="str">
        <f>IF(A138="","",IF(COUNTIF($A$9:A138,A138)=1,1,0))</f>
        <v/>
      </c>
      <c r="P138" s="18" t="str">
        <f t="shared" si="4"/>
        <v/>
      </c>
      <c r="Q138" s="18" t="str">
        <f t="shared" si="5"/>
        <v/>
      </c>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row>
    <row r="139" spans="1:44" ht="48" customHeight="1" x14ac:dyDescent="0.35">
      <c r="A139" s="14"/>
      <c r="B139" s="15"/>
      <c r="C139" s="15"/>
      <c r="D139" s="14"/>
      <c r="E139" s="15"/>
      <c r="F139" s="15"/>
      <c r="G139" s="36"/>
      <c r="H139" s="15"/>
      <c r="I139" s="15"/>
      <c r="J139" s="14" t="str">
        <f>IF(A139="","",IFERROR(HYPERLINK("#'Supplier Jobs'!A"&amp;(MATCH(A139,'Supplier Jobs'!$N$9:$N$258,0)+8),"JOBS / QUOTES"),"No quotes"))</f>
        <v/>
      </c>
      <c r="K139" s="14" t="str">
        <f>IF(A139="","",COUNTIF(Quotes!$D$9:$D$258,D139))</f>
        <v/>
      </c>
      <c r="L139" s="16" t="str">
        <f>IF(A139="","",IF(O139=1,SUMIF(Quotes!$C$9:$C$258,A139,Quotes!$AI$9:$AI$258),0))</f>
        <v/>
      </c>
      <c r="M139" s="16" t="str">
        <f>IF(A139="","",IF(O139=1,SUMIF(Quotes!$C$9:$C$258,A139,Quotes!$AJ$9:$AJ$258),0))</f>
        <v/>
      </c>
      <c r="N139" s="14"/>
      <c r="O139" s="14" t="str">
        <f>IF(A139="","",IF(COUNTIF($A$9:A139,A139)=1,1,0))</f>
        <v/>
      </c>
      <c r="P139" s="14" t="str">
        <f t="shared" si="4"/>
        <v/>
      </c>
      <c r="Q139" s="14" t="str">
        <f t="shared" si="5"/>
        <v/>
      </c>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row>
    <row r="140" spans="1:44" ht="48" customHeight="1" x14ac:dyDescent="0.35">
      <c r="A140" s="18"/>
      <c r="B140" s="15"/>
      <c r="C140" s="15"/>
      <c r="D140" s="18"/>
      <c r="E140" s="15"/>
      <c r="F140" s="15"/>
      <c r="G140" s="36"/>
      <c r="H140" s="15"/>
      <c r="I140" s="15"/>
      <c r="J140" s="18" t="str">
        <f>IF(A140="","",IFERROR(HYPERLINK("#'Supplier Jobs'!A"&amp;(MATCH(A140,'Supplier Jobs'!$N$9:$N$258,0)+8),"JOBS / QUOTES"),"No quotes"))</f>
        <v/>
      </c>
      <c r="K140" s="18" t="str">
        <f>IF(A140="","",COUNTIF(Quotes!$D$9:$D$258,D140))</f>
        <v/>
      </c>
      <c r="L140" s="19" t="str">
        <f>IF(A140="","",IF(O140=1,SUMIF(Quotes!$C$9:$C$258,A140,Quotes!$AI$9:$AI$258),0))</f>
        <v/>
      </c>
      <c r="M140" s="19" t="str">
        <f>IF(A140="","",IF(O140=1,SUMIF(Quotes!$C$9:$C$258,A140,Quotes!$AJ$9:$AJ$258),0))</f>
        <v/>
      </c>
      <c r="N140" s="18"/>
      <c r="O140" s="18" t="str">
        <f>IF(A140="","",IF(COUNTIF($A$9:A140,A140)=1,1,0))</f>
        <v/>
      </c>
      <c r="P140" s="18" t="str">
        <f t="shared" si="4"/>
        <v/>
      </c>
      <c r="Q140" s="18" t="str">
        <f t="shared" si="5"/>
        <v/>
      </c>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row>
    <row r="141" spans="1:44" ht="48" customHeight="1" x14ac:dyDescent="0.35">
      <c r="A141" s="14"/>
      <c r="B141" s="15"/>
      <c r="C141" s="15"/>
      <c r="D141" s="14"/>
      <c r="E141" s="15"/>
      <c r="F141" s="15"/>
      <c r="G141" s="36"/>
      <c r="H141" s="15"/>
      <c r="I141" s="15"/>
      <c r="J141" s="14" t="str">
        <f>IF(A141="","",IFERROR(HYPERLINK("#'Supplier Jobs'!A"&amp;(MATCH(A141,'Supplier Jobs'!$N$9:$N$258,0)+8),"JOBS / QUOTES"),"No quotes"))</f>
        <v/>
      </c>
      <c r="K141" s="14" t="str">
        <f>IF(A141="","",COUNTIF(Quotes!$D$9:$D$258,D141))</f>
        <v/>
      </c>
      <c r="L141" s="16" t="str">
        <f>IF(A141="","",IF(O141=1,SUMIF(Quotes!$C$9:$C$258,A141,Quotes!$AI$9:$AI$258),0))</f>
        <v/>
      </c>
      <c r="M141" s="16" t="str">
        <f>IF(A141="","",IF(O141=1,SUMIF(Quotes!$C$9:$C$258,A141,Quotes!$AJ$9:$AJ$258),0))</f>
        <v/>
      </c>
      <c r="N141" s="14"/>
      <c r="O141" s="14" t="str">
        <f>IF(A141="","",IF(COUNTIF($A$9:A141,A141)=1,1,0))</f>
        <v/>
      </c>
      <c r="P141" s="14" t="str">
        <f t="shared" si="4"/>
        <v/>
      </c>
      <c r="Q141" s="14" t="str">
        <f t="shared" si="5"/>
        <v/>
      </c>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row>
    <row r="142" spans="1:44" ht="48" customHeight="1" x14ac:dyDescent="0.35">
      <c r="A142" s="18"/>
      <c r="B142" s="15"/>
      <c r="C142" s="15"/>
      <c r="D142" s="18"/>
      <c r="E142" s="15"/>
      <c r="F142" s="15"/>
      <c r="G142" s="36"/>
      <c r="H142" s="15"/>
      <c r="I142" s="15"/>
      <c r="J142" s="18" t="str">
        <f>IF(A142="","",IFERROR(HYPERLINK("#'Supplier Jobs'!A"&amp;(MATCH(A142,'Supplier Jobs'!$N$9:$N$258,0)+8),"JOBS / QUOTES"),"No quotes"))</f>
        <v/>
      </c>
      <c r="K142" s="18" t="str">
        <f>IF(A142="","",COUNTIF(Quotes!$D$9:$D$258,D142))</f>
        <v/>
      </c>
      <c r="L142" s="19" t="str">
        <f>IF(A142="","",IF(O142=1,SUMIF(Quotes!$C$9:$C$258,A142,Quotes!$AI$9:$AI$258),0))</f>
        <v/>
      </c>
      <c r="M142" s="19" t="str">
        <f>IF(A142="","",IF(O142=1,SUMIF(Quotes!$C$9:$C$258,A142,Quotes!$AJ$9:$AJ$258),0))</f>
        <v/>
      </c>
      <c r="N142" s="18"/>
      <c r="O142" s="18" t="str">
        <f>IF(A142="","",IF(COUNTIF($A$9:A142,A142)=1,1,0))</f>
        <v/>
      </c>
      <c r="P142" s="18" t="str">
        <f t="shared" si="4"/>
        <v/>
      </c>
      <c r="Q142" s="18" t="str">
        <f t="shared" si="5"/>
        <v/>
      </c>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row>
    <row r="143" spans="1:44" ht="48" customHeight="1" x14ac:dyDescent="0.35">
      <c r="A143" s="14"/>
      <c r="B143" s="15"/>
      <c r="C143" s="15"/>
      <c r="D143" s="14"/>
      <c r="E143" s="15"/>
      <c r="F143" s="15"/>
      <c r="G143" s="36"/>
      <c r="H143" s="15"/>
      <c r="I143" s="15"/>
      <c r="J143" s="14" t="str">
        <f>IF(A143="","",IFERROR(HYPERLINK("#'Supplier Jobs'!A"&amp;(MATCH(A143,'Supplier Jobs'!$N$9:$N$258,0)+8),"JOBS / QUOTES"),"No quotes"))</f>
        <v/>
      </c>
      <c r="K143" s="14" t="str">
        <f>IF(A143="","",COUNTIF(Quotes!$D$9:$D$258,D143))</f>
        <v/>
      </c>
      <c r="L143" s="16" t="str">
        <f>IF(A143="","",IF(O143=1,SUMIF(Quotes!$C$9:$C$258,A143,Quotes!$AI$9:$AI$258),0))</f>
        <v/>
      </c>
      <c r="M143" s="16" t="str">
        <f>IF(A143="","",IF(O143=1,SUMIF(Quotes!$C$9:$C$258,A143,Quotes!$AJ$9:$AJ$258),0))</f>
        <v/>
      </c>
      <c r="N143" s="14"/>
      <c r="O143" s="14" t="str">
        <f>IF(A143="","",IF(COUNTIF($A$9:A143,A143)=1,1,0))</f>
        <v/>
      </c>
      <c r="P143" s="14" t="str">
        <f t="shared" si="4"/>
        <v/>
      </c>
      <c r="Q143" s="14" t="str">
        <f t="shared" si="5"/>
        <v/>
      </c>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row>
    <row r="144" spans="1:44" ht="48" customHeight="1" x14ac:dyDescent="0.35">
      <c r="A144" s="18"/>
      <c r="B144" s="15"/>
      <c r="C144" s="15"/>
      <c r="D144" s="18"/>
      <c r="E144" s="15"/>
      <c r="F144" s="15"/>
      <c r="G144" s="36"/>
      <c r="H144" s="15"/>
      <c r="I144" s="15"/>
      <c r="J144" s="18" t="str">
        <f>IF(A144="","",IFERROR(HYPERLINK("#'Supplier Jobs'!A"&amp;(MATCH(A144,'Supplier Jobs'!$N$9:$N$258,0)+8),"JOBS / QUOTES"),"No quotes"))</f>
        <v/>
      </c>
      <c r="K144" s="18" t="str">
        <f>IF(A144="","",COUNTIF(Quotes!$D$9:$D$258,D144))</f>
        <v/>
      </c>
      <c r="L144" s="19" t="str">
        <f>IF(A144="","",IF(O144=1,SUMIF(Quotes!$C$9:$C$258,A144,Quotes!$AI$9:$AI$258),0))</f>
        <v/>
      </c>
      <c r="M144" s="19" t="str">
        <f>IF(A144="","",IF(O144=1,SUMIF(Quotes!$C$9:$C$258,A144,Quotes!$AJ$9:$AJ$258),0))</f>
        <v/>
      </c>
      <c r="N144" s="18"/>
      <c r="O144" s="18" t="str">
        <f>IF(A144="","",IF(COUNTIF($A$9:A144,A144)=1,1,0))</f>
        <v/>
      </c>
      <c r="P144" s="18" t="str">
        <f t="shared" si="4"/>
        <v/>
      </c>
      <c r="Q144" s="18" t="str">
        <f t="shared" si="5"/>
        <v/>
      </c>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row>
    <row r="145" spans="1:44" ht="48" customHeight="1" x14ac:dyDescent="0.35">
      <c r="A145" s="14"/>
      <c r="B145" s="15"/>
      <c r="C145" s="15"/>
      <c r="D145" s="14"/>
      <c r="E145" s="15"/>
      <c r="F145" s="15"/>
      <c r="G145" s="36"/>
      <c r="H145" s="15"/>
      <c r="I145" s="15"/>
      <c r="J145" s="14" t="str">
        <f>IF(A145="","",IFERROR(HYPERLINK("#'Supplier Jobs'!A"&amp;(MATCH(A145,'Supplier Jobs'!$N$9:$N$258,0)+8),"JOBS / QUOTES"),"No quotes"))</f>
        <v/>
      </c>
      <c r="K145" s="14" t="str">
        <f>IF(A145="","",COUNTIF(Quotes!$D$9:$D$258,D145))</f>
        <v/>
      </c>
      <c r="L145" s="16" t="str">
        <f>IF(A145="","",IF(O145=1,SUMIF(Quotes!$C$9:$C$258,A145,Quotes!$AI$9:$AI$258),0))</f>
        <v/>
      </c>
      <c r="M145" s="16" t="str">
        <f>IF(A145="","",IF(O145=1,SUMIF(Quotes!$C$9:$C$258,A145,Quotes!$AJ$9:$AJ$258),0))</f>
        <v/>
      </c>
      <c r="N145" s="14"/>
      <c r="O145" s="14" t="str">
        <f>IF(A145="","",IF(COUNTIF($A$9:A145,A145)=1,1,0))</f>
        <v/>
      </c>
      <c r="P145" s="14" t="str">
        <f t="shared" si="4"/>
        <v/>
      </c>
      <c r="Q145" s="14" t="str">
        <f t="shared" si="5"/>
        <v/>
      </c>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row>
    <row r="146" spans="1:44" ht="48" customHeight="1" x14ac:dyDescent="0.35">
      <c r="A146" s="18"/>
      <c r="B146" s="15"/>
      <c r="C146" s="15"/>
      <c r="D146" s="18"/>
      <c r="E146" s="15"/>
      <c r="F146" s="15"/>
      <c r="G146" s="36"/>
      <c r="H146" s="15"/>
      <c r="I146" s="15"/>
      <c r="J146" s="18" t="str">
        <f>IF(A146="","",IFERROR(HYPERLINK("#'Supplier Jobs'!A"&amp;(MATCH(A146,'Supplier Jobs'!$N$9:$N$258,0)+8),"JOBS / QUOTES"),"No quotes"))</f>
        <v/>
      </c>
      <c r="K146" s="18" t="str">
        <f>IF(A146="","",COUNTIF(Quotes!$D$9:$D$258,D146))</f>
        <v/>
      </c>
      <c r="L146" s="19" t="str">
        <f>IF(A146="","",IF(O146=1,SUMIF(Quotes!$C$9:$C$258,A146,Quotes!$AI$9:$AI$258),0))</f>
        <v/>
      </c>
      <c r="M146" s="19" t="str">
        <f>IF(A146="","",IF(O146=1,SUMIF(Quotes!$C$9:$C$258,A146,Quotes!$AJ$9:$AJ$258),0))</f>
        <v/>
      </c>
      <c r="N146" s="18"/>
      <c r="O146" s="18" t="str">
        <f>IF(A146="","",IF(COUNTIF($A$9:A146,A146)=1,1,0))</f>
        <v/>
      </c>
      <c r="P146" s="18" t="str">
        <f t="shared" si="4"/>
        <v/>
      </c>
      <c r="Q146" s="18" t="str">
        <f t="shared" si="5"/>
        <v/>
      </c>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row>
    <row r="147" spans="1:44" ht="48" customHeight="1" x14ac:dyDescent="0.35">
      <c r="A147" s="14"/>
      <c r="B147" s="15"/>
      <c r="C147" s="15"/>
      <c r="D147" s="14"/>
      <c r="E147" s="15"/>
      <c r="F147" s="15"/>
      <c r="G147" s="36"/>
      <c r="H147" s="15"/>
      <c r="I147" s="15"/>
      <c r="J147" s="14" t="str">
        <f>IF(A147="","",IFERROR(HYPERLINK("#'Supplier Jobs'!A"&amp;(MATCH(A147,'Supplier Jobs'!$N$9:$N$258,0)+8),"JOBS / QUOTES"),"No quotes"))</f>
        <v/>
      </c>
      <c r="K147" s="14" t="str">
        <f>IF(A147="","",COUNTIF(Quotes!$D$9:$D$258,D147))</f>
        <v/>
      </c>
      <c r="L147" s="16" t="str">
        <f>IF(A147="","",IF(O147=1,SUMIF(Quotes!$C$9:$C$258,A147,Quotes!$AI$9:$AI$258),0))</f>
        <v/>
      </c>
      <c r="M147" s="16" t="str">
        <f>IF(A147="","",IF(O147=1,SUMIF(Quotes!$C$9:$C$258,A147,Quotes!$AJ$9:$AJ$258),0))</f>
        <v/>
      </c>
      <c r="N147" s="14"/>
      <c r="O147" s="14" t="str">
        <f>IF(A147="","",IF(COUNTIF($A$9:A147,A147)=1,1,0))</f>
        <v/>
      </c>
      <c r="P147" s="14" t="str">
        <f t="shared" si="4"/>
        <v/>
      </c>
      <c r="Q147" s="14" t="str">
        <f t="shared" si="5"/>
        <v/>
      </c>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row>
    <row r="148" spans="1:44" ht="48" customHeight="1" x14ac:dyDescent="0.35">
      <c r="A148" s="18"/>
      <c r="B148" s="15"/>
      <c r="C148" s="15"/>
      <c r="D148" s="18"/>
      <c r="E148" s="15"/>
      <c r="F148" s="15"/>
      <c r="G148" s="36"/>
      <c r="H148" s="15"/>
      <c r="I148" s="15"/>
      <c r="J148" s="18" t="str">
        <f>IF(A148="","",IFERROR(HYPERLINK("#'Supplier Jobs'!A"&amp;(MATCH(A148,'Supplier Jobs'!$N$9:$N$258,0)+8),"JOBS / QUOTES"),"No quotes"))</f>
        <v/>
      </c>
      <c r="K148" s="18" t="str">
        <f>IF(A148="","",COUNTIF(Quotes!$D$9:$D$258,D148))</f>
        <v/>
      </c>
      <c r="L148" s="19" t="str">
        <f>IF(A148="","",IF(O148=1,SUMIF(Quotes!$C$9:$C$258,A148,Quotes!$AI$9:$AI$258),0))</f>
        <v/>
      </c>
      <c r="M148" s="19" t="str">
        <f>IF(A148="","",IF(O148=1,SUMIF(Quotes!$C$9:$C$258,A148,Quotes!$AJ$9:$AJ$258),0))</f>
        <v/>
      </c>
      <c r="N148" s="18"/>
      <c r="O148" s="18" t="str">
        <f>IF(A148="","",IF(COUNTIF($A$9:A148,A148)=1,1,0))</f>
        <v/>
      </c>
      <c r="P148" s="18" t="str">
        <f t="shared" si="4"/>
        <v/>
      </c>
      <c r="Q148" s="18" t="str">
        <f t="shared" si="5"/>
        <v/>
      </c>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row>
    <row r="149" spans="1:44" ht="48" customHeight="1" x14ac:dyDescent="0.35">
      <c r="A149" s="14"/>
      <c r="B149" s="15"/>
      <c r="C149" s="15"/>
      <c r="D149" s="14"/>
      <c r="E149" s="15"/>
      <c r="F149" s="15"/>
      <c r="G149" s="36"/>
      <c r="H149" s="15"/>
      <c r="I149" s="15"/>
      <c r="J149" s="14" t="str">
        <f>IF(A149="","",IFERROR(HYPERLINK("#'Supplier Jobs'!A"&amp;(MATCH(A149,'Supplier Jobs'!$N$9:$N$258,0)+8),"JOBS / QUOTES"),"No quotes"))</f>
        <v/>
      </c>
      <c r="K149" s="14" t="str">
        <f>IF(A149="","",COUNTIF(Quotes!$D$9:$D$258,D149))</f>
        <v/>
      </c>
      <c r="L149" s="16" t="str">
        <f>IF(A149="","",IF(O149=1,SUMIF(Quotes!$C$9:$C$258,A149,Quotes!$AI$9:$AI$258),0))</f>
        <v/>
      </c>
      <c r="M149" s="16" t="str">
        <f>IF(A149="","",IF(O149=1,SUMIF(Quotes!$C$9:$C$258,A149,Quotes!$AJ$9:$AJ$258),0))</f>
        <v/>
      </c>
      <c r="N149" s="14"/>
      <c r="O149" s="14" t="str">
        <f>IF(A149="","",IF(COUNTIF($A$9:A149,A149)=1,1,0))</f>
        <v/>
      </c>
      <c r="P149" s="14" t="str">
        <f t="shared" si="4"/>
        <v/>
      </c>
      <c r="Q149" s="14" t="str">
        <f t="shared" si="5"/>
        <v/>
      </c>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row>
    <row r="150" spans="1:44" ht="48" customHeight="1" x14ac:dyDescent="0.35">
      <c r="A150" s="18"/>
      <c r="B150" s="15"/>
      <c r="C150" s="15"/>
      <c r="D150" s="18"/>
      <c r="E150" s="15"/>
      <c r="F150" s="15"/>
      <c r="G150" s="36"/>
      <c r="H150" s="15"/>
      <c r="I150" s="15"/>
      <c r="J150" s="18" t="str">
        <f>IF(A150="","",IFERROR(HYPERLINK("#'Supplier Jobs'!A"&amp;(MATCH(A150,'Supplier Jobs'!$N$9:$N$258,0)+8),"JOBS / QUOTES"),"No quotes"))</f>
        <v/>
      </c>
      <c r="K150" s="18" t="str">
        <f>IF(A150="","",COUNTIF(Quotes!$D$9:$D$258,D150))</f>
        <v/>
      </c>
      <c r="L150" s="19" t="str">
        <f>IF(A150="","",IF(O150=1,SUMIF(Quotes!$C$9:$C$258,A150,Quotes!$AI$9:$AI$258),0))</f>
        <v/>
      </c>
      <c r="M150" s="19" t="str">
        <f>IF(A150="","",IF(O150=1,SUMIF(Quotes!$C$9:$C$258,A150,Quotes!$AJ$9:$AJ$258),0))</f>
        <v/>
      </c>
      <c r="N150" s="18"/>
      <c r="O150" s="18" t="str">
        <f>IF(A150="","",IF(COUNTIF($A$9:A150,A150)=1,1,0))</f>
        <v/>
      </c>
      <c r="P150" s="18" t="str">
        <f t="shared" si="4"/>
        <v/>
      </c>
      <c r="Q150" s="18" t="str">
        <f t="shared" si="5"/>
        <v/>
      </c>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row>
    <row r="151" spans="1:44" ht="48" customHeight="1" x14ac:dyDescent="0.35">
      <c r="A151" s="14"/>
      <c r="B151" s="15"/>
      <c r="C151" s="15"/>
      <c r="D151" s="14"/>
      <c r="E151" s="15"/>
      <c r="F151" s="15"/>
      <c r="G151" s="36"/>
      <c r="H151" s="15"/>
      <c r="I151" s="15"/>
      <c r="J151" s="14" t="str">
        <f>IF(A151="","",IFERROR(HYPERLINK("#'Supplier Jobs'!A"&amp;(MATCH(A151,'Supplier Jobs'!$N$9:$N$258,0)+8),"JOBS / QUOTES"),"No quotes"))</f>
        <v/>
      </c>
      <c r="K151" s="14" t="str">
        <f>IF(A151="","",COUNTIF(Quotes!$D$9:$D$258,D151))</f>
        <v/>
      </c>
      <c r="L151" s="16" t="str">
        <f>IF(A151="","",IF(O151=1,SUMIF(Quotes!$C$9:$C$258,A151,Quotes!$AI$9:$AI$258),0))</f>
        <v/>
      </c>
      <c r="M151" s="16" t="str">
        <f>IF(A151="","",IF(O151=1,SUMIF(Quotes!$C$9:$C$258,A151,Quotes!$AJ$9:$AJ$258),0))</f>
        <v/>
      </c>
      <c r="N151" s="14"/>
      <c r="O151" s="14" t="str">
        <f>IF(A151="","",IF(COUNTIF($A$9:A151,A151)=1,1,0))</f>
        <v/>
      </c>
      <c r="P151" s="14" t="str">
        <f t="shared" si="4"/>
        <v/>
      </c>
      <c r="Q151" s="14" t="str">
        <f t="shared" si="5"/>
        <v/>
      </c>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row>
    <row r="152" spans="1:44" ht="48" customHeight="1" x14ac:dyDescent="0.35">
      <c r="A152" s="18"/>
      <c r="B152" s="15"/>
      <c r="C152" s="15"/>
      <c r="D152" s="18"/>
      <c r="E152" s="15"/>
      <c r="F152" s="15"/>
      <c r="G152" s="36"/>
      <c r="H152" s="15"/>
      <c r="I152" s="15"/>
      <c r="J152" s="18" t="str">
        <f>IF(A152="","",IFERROR(HYPERLINK("#'Supplier Jobs'!A"&amp;(MATCH(A152,'Supplier Jobs'!$N$9:$N$258,0)+8),"JOBS / QUOTES"),"No quotes"))</f>
        <v/>
      </c>
      <c r="K152" s="18" t="str">
        <f>IF(A152="","",COUNTIF(Quotes!$D$9:$D$258,D152))</f>
        <v/>
      </c>
      <c r="L152" s="19" t="str">
        <f>IF(A152="","",IF(O152=1,SUMIF(Quotes!$C$9:$C$258,A152,Quotes!$AI$9:$AI$258),0))</f>
        <v/>
      </c>
      <c r="M152" s="19" t="str">
        <f>IF(A152="","",IF(O152=1,SUMIF(Quotes!$C$9:$C$258,A152,Quotes!$AJ$9:$AJ$258),0))</f>
        <v/>
      </c>
      <c r="N152" s="18"/>
      <c r="O152" s="18" t="str">
        <f>IF(A152="","",IF(COUNTIF($A$9:A152,A152)=1,1,0))</f>
        <v/>
      </c>
      <c r="P152" s="18" t="str">
        <f t="shared" si="4"/>
        <v/>
      </c>
      <c r="Q152" s="18" t="str">
        <f t="shared" si="5"/>
        <v/>
      </c>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row>
    <row r="153" spans="1:44" ht="48" customHeight="1" x14ac:dyDescent="0.35">
      <c r="A153" s="14"/>
      <c r="B153" s="15"/>
      <c r="C153" s="15"/>
      <c r="D153" s="14"/>
      <c r="E153" s="15"/>
      <c r="F153" s="15"/>
      <c r="G153" s="36"/>
      <c r="H153" s="15"/>
      <c r="I153" s="15"/>
      <c r="J153" s="14" t="str">
        <f>IF(A153="","",IFERROR(HYPERLINK("#'Supplier Jobs'!A"&amp;(MATCH(A153,'Supplier Jobs'!$N$9:$N$258,0)+8),"JOBS / QUOTES"),"No quotes"))</f>
        <v/>
      </c>
      <c r="K153" s="14" t="str">
        <f>IF(A153="","",COUNTIF(Quotes!$D$9:$D$258,D153))</f>
        <v/>
      </c>
      <c r="L153" s="16" t="str">
        <f>IF(A153="","",IF(O153=1,SUMIF(Quotes!$C$9:$C$258,A153,Quotes!$AI$9:$AI$258),0))</f>
        <v/>
      </c>
      <c r="M153" s="16" t="str">
        <f>IF(A153="","",IF(O153=1,SUMIF(Quotes!$C$9:$C$258,A153,Quotes!$AJ$9:$AJ$258),0))</f>
        <v/>
      </c>
      <c r="N153" s="14"/>
      <c r="O153" s="14" t="str">
        <f>IF(A153="","",IF(COUNTIF($A$9:A153,A153)=1,1,0))</f>
        <v/>
      </c>
      <c r="P153" s="14" t="str">
        <f t="shared" si="4"/>
        <v/>
      </c>
      <c r="Q153" s="14" t="str">
        <f t="shared" si="5"/>
        <v/>
      </c>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row>
    <row r="154" spans="1:44" ht="48" customHeight="1" x14ac:dyDescent="0.35">
      <c r="A154" s="18"/>
      <c r="B154" s="15"/>
      <c r="C154" s="15"/>
      <c r="D154" s="18"/>
      <c r="E154" s="15"/>
      <c r="F154" s="15"/>
      <c r="G154" s="36"/>
      <c r="H154" s="15"/>
      <c r="I154" s="15"/>
      <c r="J154" s="18" t="str">
        <f>IF(A154="","",IFERROR(HYPERLINK("#'Supplier Jobs'!A"&amp;(MATCH(A154,'Supplier Jobs'!$N$9:$N$258,0)+8),"JOBS / QUOTES"),"No quotes"))</f>
        <v/>
      </c>
      <c r="K154" s="18" t="str">
        <f>IF(A154="","",COUNTIF(Quotes!$D$9:$D$258,D154))</f>
        <v/>
      </c>
      <c r="L154" s="19" t="str">
        <f>IF(A154="","",IF(O154=1,SUMIF(Quotes!$C$9:$C$258,A154,Quotes!$AI$9:$AI$258),0))</f>
        <v/>
      </c>
      <c r="M154" s="19" t="str">
        <f>IF(A154="","",IF(O154=1,SUMIF(Quotes!$C$9:$C$258,A154,Quotes!$AJ$9:$AJ$258),0))</f>
        <v/>
      </c>
      <c r="N154" s="18"/>
      <c r="O154" s="18" t="str">
        <f>IF(A154="","",IF(COUNTIF($A$9:A154,A154)=1,1,0))</f>
        <v/>
      </c>
      <c r="P154" s="18" t="str">
        <f t="shared" si="4"/>
        <v/>
      </c>
      <c r="Q154" s="18" t="str">
        <f t="shared" si="5"/>
        <v/>
      </c>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row>
    <row r="155" spans="1:44" ht="48" customHeight="1" x14ac:dyDescent="0.35">
      <c r="A155" s="14"/>
      <c r="B155" s="15"/>
      <c r="C155" s="15"/>
      <c r="D155" s="14"/>
      <c r="E155" s="15"/>
      <c r="F155" s="15"/>
      <c r="G155" s="36"/>
      <c r="H155" s="15"/>
      <c r="I155" s="15"/>
      <c r="J155" s="14" t="str">
        <f>IF(A155="","",IFERROR(HYPERLINK("#'Supplier Jobs'!A"&amp;(MATCH(A155,'Supplier Jobs'!$N$9:$N$258,0)+8),"JOBS / QUOTES"),"No quotes"))</f>
        <v/>
      </c>
      <c r="K155" s="14" t="str">
        <f>IF(A155="","",COUNTIF(Quotes!$D$9:$D$258,D155))</f>
        <v/>
      </c>
      <c r="L155" s="16" t="str">
        <f>IF(A155="","",IF(O155=1,SUMIF(Quotes!$C$9:$C$258,A155,Quotes!$AI$9:$AI$258),0))</f>
        <v/>
      </c>
      <c r="M155" s="16" t="str">
        <f>IF(A155="","",IF(O155=1,SUMIF(Quotes!$C$9:$C$258,A155,Quotes!$AJ$9:$AJ$258),0))</f>
        <v/>
      </c>
      <c r="N155" s="14"/>
      <c r="O155" s="14" t="str">
        <f>IF(A155="","",IF(COUNTIF($A$9:A155,A155)=1,1,0))</f>
        <v/>
      </c>
      <c r="P155" s="14" t="str">
        <f t="shared" si="4"/>
        <v/>
      </c>
      <c r="Q155" s="14" t="str">
        <f t="shared" si="5"/>
        <v/>
      </c>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row>
    <row r="156" spans="1:44" ht="48" customHeight="1" x14ac:dyDescent="0.35">
      <c r="A156" s="18"/>
      <c r="B156" s="15"/>
      <c r="C156" s="15"/>
      <c r="D156" s="18"/>
      <c r="E156" s="15"/>
      <c r="F156" s="15"/>
      <c r="G156" s="36"/>
      <c r="H156" s="15"/>
      <c r="I156" s="15"/>
      <c r="J156" s="18" t="str">
        <f>IF(A156="","",IFERROR(HYPERLINK("#'Supplier Jobs'!A"&amp;(MATCH(A156,'Supplier Jobs'!$N$9:$N$258,0)+8),"JOBS / QUOTES"),"No quotes"))</f>
        <v/>
      </c>
      <c r="K156" s="18" t="str">
        <f>IF(A156="","",COUNTIF(Quotes!$D$9:$D$258,D156))</f>
        <v/>
      </c>
      <c r="L156" s="19" t="str">
        <f>IF(A156="","",IF(O156=1,SUMIF(Quotes!$C$9:$C$258,A156,Quotes!$AI$9:$AI$258),0))</f>
        <v/>
      </c>
      <c r="M156" s="19" t="str">
        <f>IF(A156="","",IF(O156=1,SUMIF(Quotes!$C$9:$C$258,A156,Quotes!$AJ$9:$AJ$258),0))</f>
        <v/>
      </c>
      <c r="N156" s="18"/>
      <c r="O156" s="18" t="str">
        <f>IF(A156="","",IF(COUNTIF($A$9:A156,A156)=1,1,0))</f>
        <v/>
      </c>
      <c r="P156" s="18" t="str">
        <f t="shared" si="4"/>
        <v/>
      </c>
      <c r="Q156" s="18" t="str">
        <f t="shared" si="5"/>
        <v/>
      </c>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row>
    <row r="157" spans="1:44" ht="48" customHeight="1" x14ac:dyDescent="0.35">
      <c r="A157" s="14"/>
      <c r="B157" s="15"/>
      <c r="C157" s="15"/>
      <c r="D157" s="14"/>
      <c r="E157" s="15"/>
      <c r="F157" s="15"/>
      <c r="G157" s="36"/>
      <c r="H157" s="15"/>
      <c r="I157" s="15"/>
      <c r="J157" s="14" t="str">
        <f>IF(A157="","",IFERROR(HYPERLINK("#'Supplier Jobs'!A"&amp;(MATCH(A157,'Supplier Jobs'!$N$9:$N$258,0)+8),"JOBS / QUOTES"),"No quotes"))</f>
        <v/>
      </c>
      <c r="K157" s="14" t="str">
        <f>IF(A157="","",COUNTIF(Quotes!$D$9:$D$258,D157))</f>
        <v/>
      </c>
      <c r="L157" s="16" t="str">
        <f>IF(A157="","",IF(O157=1,SUMIF(Quotes!$C$9:$C$258,A157,Quotes!$AI$9:$AI$258),0))</f>
        <v/>
      </c>
      <c r="M157" s="16" t="str">
        <f>IF(A157="","",IF(O157=1,SUMIF(Quotes!$C$9:$C$258,A157,Quotes!$AJ$9:$AJ$258),0))</f>
        <v/>
      </c>
      <c r="N157" s="14"/>
      <c r="O157" s="14" t="str">
        <f>IF(A157="","",IF(COUNTIF($A$9:A157,A157)=1,1,0))</f>
        <v/>
      </c>
      <c r="P157" s="14" t="str">
        <f t="shared" si="4"/>
        <v/>
      </c>
      <c r="Q157" s="14" t="str">
        <f t="shared" si="5"/>
        <v/>
      </c>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row>
    <row r="158" spans="1:44" ht="48" customHeight="1" x14ac:dyDescent="0.35">
      <c r="A158" s="18"/>
      <c r="B158" s="15"/>
      <c r="C158" s="15"/>
      <c r="D158" s="18"/>
      <c r="E158" s="15"/>
      <c r="F158" s="15"/>
      <c r="G158" s="36"/>
      <c r="H158" s="15"/>
      <c r="I158" s="15"/>
      <c r="J158" s="18" t="str">
        <f>IF(A158="","",IFERROR(HYPERLINK("#'Supplier Jobs'!A"&amp;(MATCH(A158,'Supplier Jobs'!$N$9:$N$258,0)+8),"JOBS / QUOTES"),"No quotes"))</f>
        <v/>
      </c>
      <c r="K158" s="18" t="str">
        <f>IF(A158="","",COUNTIF(Quotes!$D$9:$D$258,D158))</f>
        <v/>
      </c>
      <c r="L158" s="19" t="str">
        <f>IF(A158="","",IF(O158=1,SUMIF(Quotes!$C$9:$C$258,A158,Quotes!$AI$9:$AI$258),0))</f>
        <v/>
      </c>
      <c r="M158" s="19" t="str">
        <f>IF(A158="","",IF(O158=1,SUMIF(Quotes!$C$9:$C$258,A158,Quotes!$AJ$9:$AJ$258),0))</f>
        <v/>
      </c>
      <c r="N158" s="18"/>
      <c r="O158" s="18" t="str">
        <f>IF(A158="","",IF(COUNTIF($A$9:A158,A158)=1,1,0))</f>
        <v/>
      </c>
      <c r="P158" s="18" t="str">
        <f t="shared" si="4"/>
        <v/>
      </c>
      <c r="Q158" s="18" t="str">
        <f t="shared" si="5"/>
        <v/>
      </c>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row>
    <row r="159" spans="1:44" ht="48" customHeight="1" x14ac:dyDescent="0.35">
      <c r="A159" s="14"/>
      <c r="B159" s="15"/>
      <c r="C159" s="15"/>
      <c r="D159" s="14"/>
      <c r="E159" s="15"/>
      <c r="F159" s="15"/>
      <c r="G159" s="36"/>
      <c r="H159" s="15"/>
      <c r="I159" s="15"/>
      <c r="J159" s="14" t="str">
        <f>IF(A159="","",IFERROR(HYPERLINK("#'Supplier Jobs'!A"&amp;(MATCH(A159,'Supplier Jobs'!$N$9:$N$258,0)+8),"JOBS / QUOTES"),"No quotes"))</f>
        <v/>
      </c>
      <c r="K159" s="14" t="str">
        <f>IF(A159="","",COUNTIF(Quotes!$D$9:$D$258,D159))</f>
        <v/>
      </c>
      <c r="L159" s="16" t="str">
        <f>IF(A159="","",IF(O159=1,SUMIF(Quotes!$C$9:$C$258,A159,Quotes!$AI$9:$AI$258),0))</f>
        <v/>
      </c>
      <c r="M159" s="16" t="str">
        <f>IF(A159="","",IF(O159=1,SUMIF(Quotes!$C$9:$C$258,A159,Quotes!$AJ$9:$AJ$258),0))</f>
        <v/>
      </c>
      <c r="N159" s="14"/>
      <c r="O159" s="14" t="str">
        <f>IF(A159="","",IF(COUNTIF($A$9:A159,A159)=1,1,0))</f>
        <v/>
      </c>
      <c r="P159" s="14" t="str">
        <f t="shared" si="4"/>
        <v/>
      </c>
      <c r="Q159" s="14" t="str">
        <f t="shared" si="5"/>
        <v/>
      </c>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row>
    <row r="160" spans="1:44" ht="48" customHeight="1" x14ac:dyDescent="0.35">
      <c r="A160" s="18"/>
      <c r="B160" s="15"/>
      <c r="C160" s="15"/>
      <c r="D160" s="18"/>
      <c r="E160" s="15"/>
      <c r="F160" s="15"/>
      <c r="G160" s="36"/>
      <c r="H160" s="15"/>
      <c r="I160" s="15"/>
      <c r="J160" s="18" t="str">
        <f>IF(A160="","",IFERROR(HYPERLINK("#'Supplier Jobs'!A"&amp;(MATCH(A160,'Supplier Jobs'!$N$9:$N$258,0)+8),"JOBS / QUOTES"),"No quotes"))</f>
        <v/>
      </c>
      <c r="K160" s="18" t="str">
        <f>IF(A160="","",COUNTIF(Quotes!$D$9:$D$258,D160))</f>
        <v/>
      </c>
      <c r="L160" s="19" t="str">
        <f>IF(A160="","",IF(O160=1,SUMIF(Quotes!$C$9:$C$258,A160,Quotes!$AI$9:$AI$258),0))</f>
        <v/>
      </c>
      <c r="M160" s="19" t="str">
        <f>IF(A160="","",IF(O160=1,SUMIF(Quotes!$C$9:$C$258,A160,Quotes!$AJ$9:$AJ$258),0))</f>
        <v/>
      </c>
      <c r="N160" s="18"/>
      <c r="O160" s="18" t="str">
        <f>IF(A160="","",IF(COUNTIF($A$9:A160,A160)=1,1,0))</f>
        <v/>
      </c>
      <c r="P160" s="18" t="str">
        <f t="shared" si="4"/>
        <v/>
      </c>
      <c r="Q160" s="18" t="str">
        <f t="shared" si="5"/>
        <v/>
      </c>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row>
    <row r="161" spans="1:44" ht="48" customHeight="1" x14ac:dyDescent="0.35">
      <c r="A161" s="14"/>
      <c r="B161" s="15"/>
      <c r="C161" s="15"/>
      <c r="D161" s="14"/>
      <c r="E161" s="15"/>
      <c r="F161" s="15"/>
      <c r="G161" s="36"/>
      <c r="H161" s="15"/>
      <c r="I161" s="15"/>
      <c r="J161" s="14" t="str">
        <f>IF(A161="","",IFERROR(HYPERLINK("#'Supplier Jobs'!A"&amp;(MATCH(A161,'Supplier Jobs'!$N$9:$N$258,0)+8),"JOBS / QUOTES"),"No quotes"))</f>
        <v/>
      </c>
      <c r="K161" s="14" t="str">
        <f>IF(A161="","",COUNTIF(Quotes!$D$9:$D$258,D161))</f>
        <v/>
      </c>
      <c r="L161" s="16" t="str">
        <f>IF(A161="","",IF(O161=1,SUMIF(Quotes!$C$9:$C$258,A161,Quotes!$AI$9:$AI$258),0))</f>
        <v/>
      </c>
      <c r="M161" s="16" t="str">
        <f>IF(A161="","",IF(O161=1,SUMIF(Quotes!$C$9:$C$258,A161,Quotes!$AJ$9:$AJ$258),0))</f>
        <v/>
      </c>
      <c r="N161" s="14"/>
      <c r="O161" s="14" t="str">
        <f>IF(A161="","",IF(COUNTIF($A$9:A161,A161)=1,1,0))</f>
        <v/>
      </c>
      <c r="P161" s="14" t="str">
        <f t="shared" si="4"/>
        <v/>
      </c>
      <c r="Q161" s="14" t="str">
        <f t="shared" si="5"/>
        <v/>
      </c>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row>
    <row r="162" spans="1:44" ht="48" customHeight="1" x14ac:dyDescent="0.35">
      <c r="A162" s="18"/>
      <c r="B162" s="15"/>
      <c r="C162" s="15"/>
      <c r="D162" s="18"/>
      <c r="E162" s="15"/>
      <c r="F162" s="15"/>
      <c r="G162" s="36"/>
      <c r="H162" s="15"/>
      <c r="I162" s="15"/>
      <c r="J162" s="18" t="str">
        <f>IF(A162="","",IFERROR(HYPERLINK("#'Supplier Jobs'!A"&amp;(MATCH(A162,'Supplier Jobs'!$N$9:$N$258,0)+8),"JOBS / QUOTES"),"No quotes"))</f>
        <v/>
      </c>
      <c r="K162" s="18" t="str">
        <f>IF(A162="","",COUNTIF(Quotes!$D$9:$D$258,D162))</f>
        <v/>
      </c>
      <c r="L162" s="19" t="str">
        <f>IF(A162="","",IF(O162=1,SUMIF(Quotes!$C$9:$C$258,A162,Quotes!$AI$9:$AI$258),0))</f>
        <v/>
      </c>
      <c r="M162" s="19" t="str">
        <f>IF(A162="","",IF(O162=1,SUMIF(Quotes!$C$9:$C$258,A162,Quotes!$AJ$9:$AJ$258),0))</f>
        <v/>
      </c>
      <c r="N162" s="18"/>
      <c r="O162" s="18" t="str">
        <f>IF(A162="","",IF(COUNTIF($A$9:A162,A162)=1,1,0))</f>
        <v/>
      </c>
      <c r="P162" s="18" t="str">
        <f t="shared" si="4"/>
        <v/>
      </c>
      <c r="Q162" s="18" t="str">
        <f t="shared" si="5"/>
        <v/>
      </c>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row>
    <row r="163" spans="1:44" ht="48" customHeight="1" x14ac:dyDescent="0.35">
      <c r="A163" s="14"/>
      <c r="B163" s="15"/>
      <c r="C163" s="15"/>
      <c r="D163" s="14"/>
      <c r="E163" s="15"/>
      <c r="F163" s="15"/>
      <c r="G163" s="36"/>
      <c r="H163" s="15"/>
      <c r="I163" s="15"/>
      <c r="J163" s="14" t="str">
        <f>IF(A163="","",IFERROR(HYPERLINK("#'Supplier Jobs'!A"&amp;(MATCH(A163,'Supplier Jobs'!$N$9:$N$258,0)+8),"JOBS / QUOTES"),"No quotes"))</f>
        <v/>
      </c>
      <c r="K163" s="14" t="str">
        <f>IF(A163="","",COUNTIF(Quotes!$D$9:$D$258,D163))</f>
        <v/>
      </c>
      <c r="L163" s="16" t="str">
        <f>IF(A163="","",IF(O163=1,SUMIF(Quotes!$C$9:$C$258,A163,Quotes!$AI$9:$AI$258),0))</f>
        <v/>
      </c>
      <c r="M163" s="16" t="str">
        <f>IF(A163="","",IF(O163=1,SUMIF(Quotes!$C$9:$C$258,A163,Quotes!$AJ$9:$AJ$258),0))</f>
        <v/>
      </c>
      <c r="N163" s="14"/>
      <c r="O163" s="14" t="str">
        <f>IF(A163="","",IF(COUNTIF($A$9:A163,A163)=1,1,0))</f>
        <v/>
      </c>
      <c r="P163" s="14" t="str">
        <f t="shared" si="4"/>
        <v/>
      </c>
      <c r="Q163" s="14" t="str">
        <f t="shared" si="5"/>
        <v/>
      </c>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row>
    <row r="164" spans="1:44" ht="48" customHeight="1" x14ac:dyDescent="0.35">
      <c r="A164" s="18"/>
      <c r="B164" s="15"/>
      <c r="C164" s="15"/>
      <c r="D164" s="18"/>
      <c r="E164" s="15"/>
      <c r="F164" s="15"/>
      <c r="G164" s="36"/>
      <c r="H164" s="15"/>
      <c r="I164" s="15"/>
      <c r="J164" s="18" t="str">
        <f>IF(A164="","",IFERROR(HYPERLINK("#'Supplier Jobs'!A"&amp;(MATCH(A164,'Supplier Jobs'!$N$9:$N$258,0)+8),"JOBS / QUOTES"),"No quotes"))</f>
        <v/>
      </c>
      <c r="K164" s="18" t="str">
        <f>IF(A164="","",COUNTIF(Quotes!$D$9:$D$258,D164))</f>
        <v/>
      </c>
      <c r="L164" s="19" t="str">
        <f>IF(A164="","",IF(O164=1,SUMIF(Quotes!$C$9:$C$258,A164,Quotes!$AI$9:$AI$258),0))</f>
        <v/>
      </c>
      <c r="M164" s="19" t="str">
        <f>IF(A164="","",IF(O164=1,SUMIF(Quotes!$C$9:$C$258,A164,Quotes!$AJ$9:$AJ$258),0))</f>
        <v/>
      </c>
      <c r="N164" s="18"/>
      <c r="O164" s="18" t="str">
        <f>IF(A164="","",IF(COUNTIF($A$9:A164,A164)=1,1,0))</f>
        <v/>
      </c>
      <c r="P164" s="18" t="str">
        <f t="shared" si="4"/>
        <v/>
      </c>
      <c r="Q164" s="18" t="str">
        <f t="shared" si="5"/>
        <v/>
      </c>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row>
    <row r="165" spans="1:44" ht="48" customHeight="1" x14ac:dyDescent="0.35">
      <c r="A165" s="14"/>
      <c r="B165" s="15"/>
      <c r="C165" s="15"/>
      <c r="D165" s="14"/>
      <c r="E165" s="15"/>
      <c r="F165" s="15"/>
      <c r="G165" s="36"/>
      <c r="H165" s="15"/>
      <c r="I165" s="15"/>
      <c r="J165" s="14" t="str">
        <f>IF(A165="","",IFERROR(HYPERLINK("#'Supplier Jobs'!A"&amp;(MATCH(A165,'Supplier Jobs'!$N$9:$N$258,0)+8),"JOBS / QUOTES"),"No quotes"))</f>
        <v/>
      </c>
      <c r="K165" s="14" t="str">
        <f>IF(A165="","",COUNTIF(Quotes!$D$9:$D$258,D165))</f>
        <v/>
      </c>
      <c r="L165" s="16" t="str">
        <f>IF(A165="","",IF(O165=1,SUMIF(Quotes!$C$9:$C$258,A165,Quotes!$AI$9:$AI$258),0))</f>
        <v/>
      </c>
      <c r="M165" s="16" t="str">
        <f>IF(A165="","",IF(O165=1,SUMIF(Quotes!$C$9:$C$258,A165,Quotes!$AJ$9:$AJ$258),0))</f>
        <v/>
      </c>
      <c r="N165" s="14"/>
      <c r="O165" s="14" t="str">
        <f>IF(A165="","",IF(COUNTIF($A$9:A165,A165)=1,1,0))</f>
        <v/>
      </c>
      <c r="P165" s="14" t="str">
        <f t="shared" si="4"/>
        <v/>
      </c>
      <c r="Q165" s="14" t="str">
        <f t="shared" si="5"/>
        <v/>
      </c>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row>
    <row r="166" spans="1:44" ht="48" customHeight="1" x14ac:dyDescent="0.35">
      <c r="A166" s="18"/>
      <c r="B166" s="15"/>
      <c r="C166" s="15"/>
      <c r="D166" s="18"/>
      <c r="E166" s="15"/>
      <c r="F166" s="15"/>
      <c r="G166" s="36"/>
      <c r="H166" s="15"/>
      <c r="I166" s="15"/>
      <c r="J166" s="18" t="str">
        <f>IF(A166="","",IFERROR(HYPERLINK("#'Supplier Jobs'!A"&amp;(MATCH(A166,'Supplier Jobs'!$N$9:$N$258,0)+8),"JOBS / QUOTES"),"No quotes"))</f>
        <v/>
      </c>
      <c r="K166" s="18" t="str">
        <f>IF(A166="","",COUNTIF(Quotes!$D$9:$D$258,D166))</f>
        <v/>
      </c>
      <c r="L166" s="19" t="str">
        <f>IF(A166="","",IF(O166=1,SUMIF(Quotes!$C$9:$C$258,A166,Quotes!$AI$9:$AI$258),0))</f>
        <v/>
      </c>
      <c r="M166" s="19" t="str">
        <f>IF(A166="","",IF(O166=1,SUMIF(Quotes!$C$9:$C$258,A166,Quotes!$AJ$9:$AJ$258),0))</f>
        <v/>
      </c>
      <c r="N166" s="18"/>
      <c r="O166" s="18" t="str">
        <f>IF(A166="","",IF(COUNTIF($A$9:A166,A166)=1,1,0))</f>
        <v/>
      </c>
      <c r="P166" s="18" t="str">
        <f t="shared" si="4"/>
        <v/>
      </c>
      <c r="Q166" s="18" t="str">
        <f t="shared" si="5"/>
        <v/>
      </c>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row>
    <row r="167" spans="1:44" ht="48" customHeight="1" x14ac:dyDescent="0.35">
      <c r="A167" s="14"/>
      <c r="B167" s="15"/>
      <c r="C167" s="15"/>
      <c r="D167" s="14"/>
      <c r="E167" s="15"/>
      <c r="F167" s="15"/>
      <c r="G167" s="36"/>
      <c r="H167" s="15"/>
      <c r="I167" s="15"/>
      <c r="J167" s="14" t="str">
        <f>IF(A167="","",IFERROR(HYPERLINK("#'Supplier Jobs'!A"&amp;(MATCH(A167,'Supplier Jobs'!$N$9:$N$258,0)+8),"JOBS / QUOTES"),"No quotes"))</f>
        <v/>
      </c>
      <c r="K167" s="14" t="str">
        <f>IF(A167="","",COUNTIF(Quotes!$D$9:$D$258,D167))</f>
        <v/>
      </c>
      <c r="L167" s="16" t="str">
        <f>IF(A167="","",IF(O167=1,SUMIF(Quotes!$C$9:$C$258,A167,Quotes!$AI$9:$AI$258),0))</f>
        <v/>
      </c>
      <c r="M167" s="16" t="str">
        <f>IF(A167="","",IF(O167=1,SUMIF(Quotes!$C$9:$C$258,A167,Quotes!$AJ$9:$AJ$258),0))</f>
        <v/>
      </c>
      <c r="N167" s="14"/>
      <c r="O167" s="14" t="str">
        <f>IF(A167="","",IF(COUNTIF($A$9:A167,A167)=1,1,0))</f>
        <v/>
      </c>
      <c r="P167" s="14" t="str">
        <f t="shared" si="4"/>
        <v/>
      </c>
      <c r="Q167" s="14" t="str">
        <f t="shared" si="5"/>
        <v/>
      </c>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row>
    <row r="168" spans="1:44" ht="48" customHeight="1" x14ac:dyDescent="0.35">
      <c r="A168" s="18"/>
      <c r="B168" s="15"/>
      <c r="C168" s="15"/>
      <c r="D168" s="18"/>
      <c r="E168" s="15"/>
      <c r="F168" s="15"/>
      <c r="G168" s="36"/>
      <c r="H168" s="15"/>
      <c r="I168" s="15"/>
      <c r="J168" s="18" t="str">
        <f>IF(A168="","",IFERROR(HYPERLINK("#'Supplier Jobs'!A"&amp;(MATCH(A168,'Supplier Jobs'!$N$9:$N$258,0)+8),"JOBS / QUOTES"),"No quotes"))</f>
        <v/>
      </c>
      <c r="K168" s="18" t="str">
        <f>IF(A168="","",COUNTIF(Quotes!$D$9:$D$258,D168))</f>
        <v/>
      </c>
      <c r="L168" s="19" t="str">
        <f>IF(A168="","",IF(O168=1,SUMIF(Quotes!$C$9:$C$258,A168,Quotes!$AI$9:$AI$258),0))</f>
        <v/>
      </c>
      <c r="M168" s="19" t="str">
        <f>IF(A168="","",IF(O168=1,SUMIF(Quotes!$C$9:$C$258,A168,Quotes!$AJ$9:$AJ$258),0))</f>
        <v/>
      </c>
      <c r="N168" s="18"/>
      <c r="O168" s="18" t="str">
        <f>IF(A168="","",IF(COUNTIF($A$9:A168,A168)=1,1,0))</f>
        <v/>
      </c>
      <c r="P168" s="18" t="str">
        <f t="shared" si="4"/>
        <v/>
      </c>
      <c r="Q168" s="18" t="str">
        <f t="shared" si="5"/>
        <v/>
      </c>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row>
    <row r="169" spans="1:44" ht="48" customHeight="1" x14ac:dyDescent="0.35">
      <c r="A169" s="14"/>
      <c r="B169" s="15"/>
      <c r="C169" s="15"/>
      <c r="D169" s="14"/>
      <c r="E169" s="15"/>
      <c r="F169" s="15"/>
      <c r="G169" s="36"/>
      <c r="H169" s="15"/>
      <c r="I169" s="15"/>
      <c r="J169" s="14" t="str">
        <f>IF(A169="","",IFERROR(HYPERLINK("#'Supplier Jobs'!A"&amp;(MATCH(A169,'Supplier Jobs'!$N$9:$N$258,0)+8),"JOBS / QUOTES"),"No quotes"))</f>
        <v/>
      </c>
      <c r="K169" s="14" t="str">
        <f>IF(A169="","",COUNTIF(Quotes!$D$9:$D$258,D169))</f>
        <v/>
      </c>
      <c r="L169" s="16" t="str">
        <f>IF(A169="","",IF(O169=1,SUMIF(Quotes!$C$9:$C$258,A169,Quotes!$AI$9:$AI$258),0))</f>
        <v/>
      </c>
      <c r="M169" s="16" t="str">
        <f>IF(A169="","",IF(O169=1,SUMIF(Quotes!$C$9:$C$258,A169,Quotes!$AJ$9:$AJ$258),0))</f>
        <v/>
      </c>
      <c r="N169" s="14"/>
      <c r="O169" s="14" t="str">
        <f>IF(A169="","",IF(COUNTIF($A$9:A169,A169)=1,1,0))</f>
        <v/>
      </c>
      <c r="P169" s="14" t="str">
        <f t="shared" si="4"/>
        <v/>
      </c>
      <c r="Q169" s="14" t="str">
        <f t="shared" si="5"/>
        <v/>
      </c>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row>
    <row r="170" spans="1:44" ht="48" customHeight="1" x14ac:dyDescent="0.35">
      <c r="A170" s="18"/>
      <c r="B170" s="15"/>
      <c r="C170" s="15"/>
      <c r="D170" s="18"/>
      <c r="E170" s="15"/>
      <c r="F170" s="15"/>
      <c r="G170" s="36"/>
      <c r="H170" s="15"/>
      <c r="I170" s="15"/>
      <c r="J170" s="18" t="str">
        <f>IF(A170="","",IFERROR(HYPERLINK("#'Supplier Jobs'!A"&amp;(MATCH(A170,'Supplier Jobs'!$N$9:$N$258,0)+8),"JOBS / QUOTES"),"No quotes"))</f>
        <v/>
      </c>
      <c r="K170" s="18" t="str">
        <f>IF(A170="","",COUNTIF(Quotes!$D$9:$D$258,D170))</f>
        <v/>
      </c>
      <c r="L170" s="19" t="str">
        <f>IF(A170="","",IF(O170=1,SUMIF(Quotes!$C$9:$C$258,A170,Quotes!$AI$9:$AI$258),0))</f>
        <v/>
      </c>
      <c r="M170" s="19" t="str">
        <f>IF(A170="","",IF(O170=1,SUMIF(Quotes!$C$9:$C$258,A170,Quotes!$AJ$9:$AJ$258),0))</f>
        <v/>
      </c>
      <c r="N170" s="18"/>
      <c r="O170" s="18" t="str">
        <f>IF(A170="","",IF(COUNTIF($A$9:A170,A170)=1,1,0))</f>
        <v/>
      </c>
      <c r="P170" s="18" t="str">
        <f t="shared" si="4"/>
        <v/>
      </c>
      <c r="Q170" s="18" t="str">
        <f t="shared" si="5"/>
        <v/>
      </c>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row>
    <row r="171" spans="1:44" ht="48" customHeight="1" x14ac:dyDescent="0.35">
      <c r="A171" s="14"/>
      <c r="B171" s="15"/>
      <c r="C171" s="15"/>
      <c r="D171" s="14"/>
      <c r="E171" s="15"/>
      <c r="F171" s="15"/>
      <c r="G171" s="36"/>
      <c r="H171" s="15"/>
      <c r="I171" s="15"/>
      <c r="J171" s="14" t="str">
        <f>IF(A171="","",IFERROR(HYPERLINK("#'Supplier Jobs'!A"&amp;(MATCH(A171,'Supplier Jobs'!$N$9:$N$258,0)+8),"JOBS / QUOTES"),"No quotes"))</f>
        <v/>
      </c>
      <c r="K171" s="14" t="str">
        <f>IF(A171="","",COUNTIF(Quotes!$D$9:$D$258,D171))</f>
        <v/>
      </c>
      <c r="L171" s="16" t="str">
        <f>IF(A171="","",IF(O171=1,SUMIF(Quotes!$C$9:$C$258,A171,Quotes!$AI$9:$AI$258),0))</f>
        <v/>
      </c>
      <c r="M171" s="16" t="str">
        <f>IF(A171="","",IF(O171=1,SUMIF(Quotes!$C$9:$C$258,A171,Quotes!$AJ$9:$AJ$258),0))</f>
        <v/>
      </c>
      <c r="N171" s="14"/>
      <c r="O171" s="14" t="str">
        <f>IF(A171="","",IF(COUNTIF($A$9:A171,A171)=1,1,0))</f>
        <v/>
      </c>
      <c r="P171" s="14" t="str">
        <f t="shared" si="4"/>
        <v/>
      </c>
      <c r="Q171" s="14" t="str">
        <f t="shared" si="5"/>
        <v/>
      </c>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row>
    <row r="172" spans="1:44" ht="48" customHeight="1" x14ac:dyDescent="0.35">
      <c r="A172" s="18"/>
      <c r="B172" s="15"/>
      <c r="C172" s="15"/>
      <c r="D172" s="18"/>
      <c r="E172" s="15"/>
      <c r="F172" s="15"/>
      <c r="G172" s="36"/>
      <c r="H172" s="15"/>
      <c r="I172" s="15"/>
      <c r="J172" s="18" t="str">
        <f>IF(A172="","",IFERROR(HYPERLINK("#'Supplier Jobs'!A"&amp;(MATCH(A172,'Supplier Jobs'!$N$9:$N$258,0)+8),"JOBS / QUOTES"),"No quotes"))</f>
        <v/>
      </c>
      <c r="K172" s="18" t="str">
        <f>IF(A172="","",COUNTIF(Quotes!$D$9:$D$258,D172))</f>
        <v/>
      </c>
      <c r="L172" s="19" t="str">
        <f>IF(A172="","",IF(O172=1,SUMIF(Quotes!$C$9:$C$258,A172,Quotes!$AI$9:$AI$258),0))</f>
        <v/>
      </c>
      <c r="M172" s="19" t="str">
        <f>IF(A172="","",IF(O172=1,SUMIF(Quotes!$C$9:$C$258,A172,Quotes!$AJ$9:$AJ$258),0))</f>
        <v/>
      </c>
      <c r="N172" s="18"/>
      <c r="O172" s="18" t="str">
        <f>IF(A172="","",IF(COUNTIF($A$9:A172,A172)=1,1,0))</f>
        <v/>
      </c>
      <c r="P172" s="18" t="str">
        <f t="shared" si="4"/>
        <v/>
      </c>
      <c r="Q172" s="18" t="str">
        <f t="shared" si="5"/>
        <v/>
      </c>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row>
    <row r="173" spans="1:44" ht="48" customHeight="1" x14ac:dyDescent="0.35">
      <c r="A173" s="14"/>
      <c r="B173" s="15"/>
      <c r="C173" s="15"/>
      <c r="D173" s="14"/>
      <c r="E173" s="15"/>
      <c r="F173" s="15"/>
      <c r="G173" s="36"/>
      <c r="H173" s="15"/>
      <c r="I173" s="15"/>
      <c r="J173" s="14" t="str">
        <f>IF(A173="","",IFERROR(HYPERLINK("#'Supplier Jobs'!A"&amp;(MATCH(A173,'Supplier Jobs'!$N$9:$N$258,0)+8),"JOBS / QUOTES"),"No quotes"))</f>
        <v/>
      </c>
      <c r="K173" s="14" t="str">
        <f>IF(A173="","",COUNTIF(Quotes!$D$9:$D$258,D173))</f>
        <v/>
      </c>
      <c r="L173" s="16" t="str">
        <f>IF(A173="","",IF(O173=1,SUMIF(Quotes!$C$9:$C$258,A173,Quotes!$AI$9:$AI$258),0))</f>
        <v/>
      </c>
      <c r="M173" s="16" t="str">
        <f>IF(A173="","",IF(O173=1,SUMIF(Quotes!$C$9:$C$258,A173,Quotes!$AJ$9:$AJ$258),0))</f>
        <v/>
      </c>
      <c r="N173" s="14"/>
      <c r="O173" s="14" t="str">
        <f>IF(A173="","",IF(COUNTIF($A$9:A173,A173)=1,1,0))</f>
        <v/>
      </c>
      <c r="P173" s="14" t="str">
        <f t="shared" si="4"/>
        <v/>
      </c>
      <c r="Q173" s="14" t="str">
        <f t="shared" si="5"/>
        <v/>
      </c>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row>
    <row r="174" spans="1:44" ht="48" customHeight="1" x14ac:dyDescent="0.35">
      <c r="A174" s="18"/>
      <c r="B174" s="15"/>
      <c r="C174" s="15"/>
      <c r="D174" s="18"/>
      <c r="E174" s="15"/>
      <c r="F174" s="15"/>
      <c r="G174" s="36"/>
      <c r="H174" s="15"/>
      <c r="I174" s="15"/>
      <c r="J174" s="18" t="str">
        <f>IF(A174="","",IFERROR(HYPERLINK("#'Supplier Jobs'!A"&amp;(MATCH(A174,'Supplier Jobs'!$N$9:$N$258,0)+8),"JOBS / QUOTES"),"No quotes"))</f>
        <v/>
      </c>
      <c r="K174" s="18" t="str">
        <f>IF(A174="","",COUNTIF(Quotes!$D$9:$D$258,D174))</f>
        <v/>
      </c>
      <c r="L174" s="19" t="str">
        <f>IF(A174="","",IF(O174=1,SUMIF(Quotes!$C$9:$C$258,A174,Quotes!$AI$9:$AI$258),0))</f>
        <v/>
      </c>
      <c r="M174" s="19" t="str">
        <f>IF(A174="","",IF(O174=1,SUMIF(Quotes!$C$9:$C$258,A174,Quotes!$AJ$9:$AJ$258),0))</f>
        <v/>
      </c>
      <c r="N174" s="18"/>
      <c r="O174" s="18" t="str">
        <f>IF(A174="","",IF(COUNTIF($A$9:A174,A174)=1,1,0))</f>
        <v/>
      </c>
      <c r="P174" s="18" t="str">
        <f t="shared" si="4"/>
        <v/>
      </c>
      <c r="Q174" s="18" t="str">
        <f t="shared" si="5"/>
        <v/>
      </c>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row>
    <row r="175" spans="1:44" ht="48" customHeight="1" x14ac:dyDescent="0.35">
      <c r="A175" s="14"/>
      <c r="B175" s="15"/>
      <c r="C175" s="15"/>
      <c r="D175" s="14"/>
      <c r="E175" s="15"/>
      <c r="F175" s="15"/>
      <c r="G175" s="36"/>
      <c r="H175" s="15"/>
      <c r="I175" s="15"/>
      <c r="J175" s="14" t="str">
        <f>IF(A175="","",IFERROR(HYPERLINK("#'Supplier Jobs'!A"&amp;(MATCH(A175,'Supplier Jobs'!$N$9:$N$258,0)+8),"JOBS / QUOTES"),"No quotes"))</f>
        <v/>
      </c>
      <c r="K175" s="14" t="str">
        <f>IF(A175="","",COUNTIF(Quotes!$D$9:$D$258,D175))</f>
        <v/>
      </c>
      <c r="L175" s="16" t="str">
        <f>IF(A175="","",IF(O175=1,SUMIF(Quotes!$C$9:$C$258,A175,Quotes!$AI$9:$AI$258),0))</f>
        <v/>
      </c>
      <c r="M175" s="16" t="str">
        <f>IF(A175="","",IF(O175=1,SUMIF(Quotes!$C$9:$C$258,A175,Quotes!$AJ$9:$AJ$258),0))</f>
        <v/>
      </c>
      <c r="N175" s="14"/>
      <c r="O175" s="14" t="str">
        <f>IF(A175="","",IF(COUNTIF($A$9:A175,A175)=1,1,0))</f>
        <v/>
      </c>
      <c r="P175" s="14" t="str">
        <f t="shared" si="4"/>
        <v/>
      </c>
      <c r="Q175" s="14" t="str">
        <f t="shared" si="5"/>
        <v/>
      </c>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row>
    <row r="176" spans="1:44" ht="48" customHeight="1" x14ac:dyDescent="0.35">
      <c r="A176" s="18"/>
      <c r="B176" s="15"/>
      <c r="C176" s="15"/>
      <c r="D176" s="18"/>
      <c r="E176" s="15"/>
      <c r="F176" s="15"/>
      <c r="G176" s="36"/>
      <c r="H176" s="15"/>
      <c r="I176" s="15"/>
      <c r="J176" s="18" t="str">
        <f>IF(A176="","",IFERROR(HYPERLINK("#'Supplier Jobs'!A"&amp;(MATCH(A176,'Supplier Jobs'!$N$9:$N$258,0)+8),"JOBS / QUOTES"),"No quotes"))</f>
        <v/>
      </c>
      <c r="K176" s="18" t="str">
        <f>IF(A176="","",COUNTIF(Quotes!$D$9:$D$258,D176))</f>
        <v/>
      </c>
      <c r="L176" s="19" t="str">
        <f>IF(A176="","",IF(O176=1,SUMIF(Quotes!$C$9:$C$258,A176,Quotes!$AI$9:$AI$258),0))</f>
        <v/>
      </c>
      <c r="M176" s="19" t="str">
        <f>IF(A176="","",IF(O176=1,SUMIF(Quotes!$C$9:$C$258,A176,Quotes!$AJ$9:$AJ$258),0))</f>
        <v/>
      </c>
      <c r="N176" s="18"/>
      <c r="O176" s="18" t="str">
        <f>IF(A176="","",IF(COUNTIF($A$9:A176,A176)=1,1,0))</f>
        <v/>
      </c>
      <c r="P176" s="18" t="str">
        <f t="shared" si="4"/>
        <v/>
      </c>
      <c r="Q176" s="18" t="str">
        <f t="shared" si="5"/>
        <v/>
      </c>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row>
    <row r="177" spans="1:44" ht="48" customHeight="1" x14ac:dyDescent="0.35">
      <c r="A177" s="14"/>
      <c r="B177" s="15"/>
      <c r="C177" s="15"/>
      <c r="D177" s="14"/>
      <c r="E177" s="15"/>
      <c r="F177" s="15"/>
      <c r="G177" s="36"/>
      <c r="H177" s="15"/>
      <c r="I177" s="15"/>
      <c r="J177" s="14" t="str">
        <f>IF(A177="","",IFERROR(HYPERLINK("#'Supplier Jobs'!A"&amp;(MATCH(A177,'Supplier Jobs'!$N$9:$N$258,0)+8),"JOBS / QUOTES"),"No quotes"))</f>
        <v/>
      </c>
      <c r="K177" s="14" t="str">
        <f>IF(A177="","",COUNTIF(Quotes!$D$9:$D$258,D177))</f>
        <v/>
      </c>
      <c r="L177" s="16" t="str">
        <f>IF(A177="","",IF(O177=1,SUMIF(Quotes!$C$9:$C$258,A177,Quotes!$AI$9:$AI$258),0))</f>
        <v/>
      </c>
      <c r="M177" s="16" t="str">
        <f>IF(A177="","",IF(O177=1,SUMIF(Quotes!$C$9:$C$258,A177,Quotes!$AJ$9:$AJ$258),0))</f>
        <v/>
      </c>
      <c r="N177" s="14"/>
      <c r="O177" s="14" t="str">
        <f>IF(A177="","",IF(COUNTIF($A$9:A177,A177)=1,1,0))</f>
        <v/>
      </c>
      <c r="P177" s="14" t="str">
        <f t="shared" si="4"/>
        <v/>
      </c>
      <c r="Q177" s="14" t="str">
        <f t="shared" si="5"/>
        <v/>
      </c>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row>
    <row r="178" spans="1:44" ht="48" customHeight="1" x14ac:dyDescent="0.35">
      <c r="A178" s="18"/>
      <c r="B178" s="15"/>
      <c r="C178" s="15"/>
      <c r="D178" s="18"/>
      <c r="E178" s="15"/>
      <c r="F178" s="15"/>
      <c r="G178" s="36"/>
      <c r="H178" s="15"/>
      <c r="I178" s="15"/>
      <c r="J178" s="18" t="str">
        <f>IF(A178="","",IFERROR(HYPERLINK("#'Supplier Jobs'!A"&amp;(MATCH(A178,'Supplier Jobs'!$N$9:$N$258,0)+8),"JOBS / QUOTES"),"No quotes"))</f>
        <v/>
      </c>
      <c r="K178" s="18" t="str">
        <f>IF(A178="","",COUNTIF(Quotes!$D$9:$D$258,D178))</f>
        <v/>
      </c>
      <c r="L178" s="19" t="str">
        <f>IF(A178="","",IF(O178=1,SUMIF(Quotes!$C$9:$C$258,A178,Quotes!$AI$9:$AI$258),0))</f>
        <v/>
      </c>
      <c r="M178" s="19" t="str">
        <f>IF(A178="","",IF(O178=1,SUMIF(Quotes!$C$9:$C$258,A178,Quotes!$AJ$9:$AJ$258),0))</f>
        <v/>
      </c>
      <c r="N178" s="18"/>
      <c r="O178" s="18" t="str">
        <f>IF(A178="","",IF(COUNTIF($A$9:A178,A178)=1,1,0))</f>
        <v/>
      </c>
      <c r="P178" s="18" t="str">
        <f t="shared" si="4"/>
        <v/>
      </c>
      <c r="Q178" s="18" t="str">
        <f t="shared" si="5"/>
        <v/>
      </c>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row>
    <row r="179" spans="1:44" ht="48" customHeight="1" x14ac:dyDescent="0.35">
      <c r="A179" s="14"/>
      <c r="B179" s="15"/>
      <c r="C179" s="15"/>
      <c r="D179" s="14"/>
      <c r="E179" s="15"/>
      <c r="F179" s="15"/>
      <c r="G179" s="36"/>
      <c r="H179" s="15"/>
      <c r="I179" s="15"/>
      <c r="J179" s="14" t="str">
        <f>IF(A179="","",IFERROR(HYPERLINK("#'Supplier Jobs'!A"&amp;(MATCH(A179,'Supplier Jobs'!$N$9:$N$258,0)+8),"JOBS / QUOTES"),"No quotes"))</f>
        <v/>
      </c>
      <c r="K179" s="14" t="str">
        <f>IF(A179="","",COUNTIF(Quotes!$D$9:$D$258,D179))</f>
        <v/>
      </c>
      <c r="L179" s="16" t="str">
        <f>IF(A179="","",IF(O179=1,SUMIF(Quotes!$C$9:$C$258,A179,Quotes!$AI$9:$AI$258),0))</f>
        <v/>
      </c>
      <c r="M179" s="16" t="str">
        <f>IF(A179="","",IF(O179=1,SUMIF(Quotes!$C$9:$C$258,A179,Quotes!$AJ$9:$AJ$258),0))</f>
        <v/>
      </c>
      <c r="N179" s="14"/>
      <c r="O179" s="14" t="str">
        <f>IF(A179="","",IF(COUNTIF($A$9:A179,A179)=1,1,0))</f>
        <v/>
      </c>
      <c r="P179" s="14" t="str">
        <f t="shared" si="4"/>
        <v/>
      </c>
      <c r="Q179" s="14" t="str">
        <f t="shared" si="5"/>
        <v/>
      </c>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row>
    <row r="180" spans="1:44" ht="48" customHeight="1" x14ac:dyDescent="0.35">
      <c r="A180" s="18"/>
      <c r="B180" s="15"/>
      <c r="C180" s="15"/>
      <c r="D180" s="18"/>
      <c r="E180" s="15"/>
      <c r="F180" s="15"/>
      <c r="G180" s="36"/>
      <c r="H180" s="15"/>
      <c r="I180" s="15"/>
      <c r="J180" s="18" t="str">
        <f>IF(A180="","",IFERROR(HYPERLINK("#'Supplier Jobs'!A"&amp;(MATCH(A180,'Supplier Jobs'!$N$9:$N$258,0)+8),"JOBS / QUOTES"),"No quotes"))</f>
        <v/>
      </c>
      <c r="K180" s="18" t="str">
        <f>IF(A180="","",COUNTIF(Quotes!$D$9:$D$258,D180))</f>
        <v/>
      </c>
      <c r="L180" s="19" t="str">
        <f>IF(A180="","",IF(O180=1,SUMIF(Quotes!$C$9:$C$258,A180,Quotes!$AI$9:$AI$258),0))</f>
        <v/>
      </c>
      <c r="M180" s="19" t="str">
        <f>IF(A180="","",IF(O180=1,SUMIF(Quotes!$C$9:$C$258,A180,Quotes!$AJ$9:$AJ$258),0))</f>
        <v/>
      </c>
      <c r="N180" s="18"/>
      <c r="O180" s="18" t="str">
        <f>IF(A180="","",IF(COUNTIF($A$9:A180,A180)=1,1,0))</f>
        <v/>
      </c>
      <c r="P180" s="18" t="str">
        <f t="shared" si="4"/>
        <v/>
      </c>
      <c r="Q180" s="18" t="str">
        <f t="shared" si="5"/>
        <v/>
      </c>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row>
    <row r="181" spans="1:44" ht="48" customHeight="1" x14ac:dyDescent="0.35">
      <c r="A181" s="14"/>
      <c r="B181" s="15"/>
      <c r="C181" s="15"/>
      <c r="D181" s="14"/>
      <c r="E181" s="15"/>
      <c r="F181" s="15"/>
      <c r="G181" s="36"/>
      <c r="H181" s="15"/>
      <c r="I181" s="15"/>
      <c r="J181" s="14" t="str">
        <f>IF(A181="","",IFERROR(HYPERLINK("#'Supplier Jobs'!A"&amp;(MATCH(A181,'Supplier Jobs'!$N$9:$N$258,0)+8),"JOBS / QUOTES"),"No quotes"))</f>
        <v/>
      </c>
      <c r="K181" s="14" t="str">
        <f>IF(A181="","",COUNTIF(Quotes!$D$9:$D$258,D181))</f>
        <v/>
      </c>
      <c r="L181" s="16" t="str">
        <f>IF(A181="","",IF(O181=1,SUMIF(Quotes!$C$9:$C$258,A181,Quotes!$AI$9:$AI$258),0))</f>
        <v/>
      </c>
      <c r="M181" s="16" t="str">
        <f>IF(A181="","",IF(O181=1,SUMIF(Quotes!$C$9:$C$258,A181,Quotes!$AJ$9:$AJ$258),0))</f>
        <v/>
      </c>
      <c r="N181" s="14"/>
      <c r="O181" s="14" t="str">
        <f>IF(A181="","",IF(COUNTIF($A$9:A181,A181)=1,1,0))</f>
        <v/>
      </c>
      <c r="P181" s="14" t="str">
        <f t="shared" si="4"/>
        <v/>
      </c>
      <c r="Q181" s="14" t="str">
        <f t="shared" si="5"/>
        <v/>
      </c>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row>
    <row r="182" spans="1:44" ht="48" customHeight="1" x14ac:dyDescent="0.35">
      <c r="A182" s="18"/>
      <c r="B182" s="15"/>
      <c r="C182" s="15"/>
      <c r="D182" s="18"/>
      <c r="E182" s="15"/>
      <c r="F182" s="15"/>
      <c r="G182" s="36"/>
      <c r="H182" s="15"/>
      <c r="I182" s="15"/>
      <c r="J182" s="18" t="str">
        <f>IF(A182="","",IFERROR(HYPERLINK("#'Supplier Jobs'!A"&amp;(MATCH(A182,'Supplier Jobs'!$N$9:$N$258,0)+8),"JOBS / QUOTES"),"No quotes"))</f>
        <v/>
      </c>
      <c r="K182" s="18" t="str">
        <f>IF(A182="","",COUNTIF(Quotes!$D$9:$D$258,D182))</f>
        <v/>
      </c>
      <c r="L182" s="19" t="str">
        <f>IF(A182="","",IF(O182=1,SUMIF(Quotes!$C$9:$C$258,A182,Quotes!$AI$9:$AI$258),0))</f>
        <v/>
      </c>
      <c r="M182" s="19" t="str">
        <f>IF(A182="","",IF(O182=1,SUMIF(Quotes!$C$9:$C$258,A182,Quotes!$AJ$9:$AJ$258),0))</f>
        <v/>
      </c>
      <c r="N182" s="18"/>
      <c r="O182" s="18" t="str">
        <f>IF(A182="","",IF(COUNTIF($A$9:A182,A182)=1,1,0))</f>
        <v/>
      </c>
      <c r="P182" s="18" t="str">
        <f t="shared" si="4"/>
        <v/>
      </c>
      <c r="Q182" s="18" t="str">
        <f t="shared" si="5"/>
        <v/>
      </c>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row>
    <row r="183" spans="1:44" ht="48" customHeight="1" x14ac:dyDescent="0.35">
      <c r="A183" s="14"/>
      <c r="B183" s="15"/>
      <c r="C183" s="15"/>
      <c r="D183" s="14"/>
      <c r="E183" s="15"/>
      <c r="F183" s="15"/>
      <c r="G183" s="36"/>
      <c r="H183" s="15"/>
      <c r="I183" s="15"/>
      <c r="J183" s="14" t="str">
        <f>IF(A183="","",IFERROR(HYPERLINK("#'Supplier Jobs'!A"&amp;(MATCH(A183,'Supplier Jobs'!$N$9:$N$258,0)+8),"JOBS / QUOTES"),"No quotes"))</f>
        <v/>
      </c>
      <c r="K183" s="14" t="str">
        <f>IF(A183="","",COUNTIF(Quotes!$D$9:$D$258,D183))</f>
        <v/>
      </c>
      <c r="L183" s="16" t="str">
        <f>IF(A183="","",IF(O183=1,SUMIF(Quotes!$C$9:$C$258,A183,Quotes!$AI$9:$AI$258),0))</f>
        <v/>
      </c>
      <c r="M183" s="16" t="str">
        <f>IF(A183="","",IF(O183=1,SUMIF(Quotes!$C$9:$C$258,A183,Quotes!$AJ$9:$AJ$258),0))</f>
        <v/>
      </c>
      <c r="N183" s="14"/>
      <c r="O183" s="14" t="str">
        <f>IF(A183="","",IF(COUNTIF($A$9:A183,A183)=1,1,0))</f>
        <v/>
      </c>
      <c r="P183" s="14" t="str">
        <f t="shared" si="4"/>
        <v/>
      </c>
      <c r="Q183" s="14" t="str">
        <f t="shared" si="5"/>
        <v/>
      </c>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row>
    <row r="184" spans="1:44" ht="48" customHeight="1" x14ac:dyDescent="0.35">
      <c r="A184" s="18"/>
      <c r="B184" s="15"/>
      <c r="C184" s="15"/>
      <c r="D184" s="18"/>
      <c r="E184" s="15"/>
      <c r="F184" s="15"/>
      <c r="G184" s="36"/>
      <c r="H184" s="15"/>
      <c r="I184" s="15"/>
      <c r="J184" s="18" t="str">
        <f>IF(A184="","",IFERROR(HYPERLINK("#'Supplier Jobs'!A"&amp;(MATCH(A184,'Supplier Jobs'!$N$9:$N$258,0)+8),"JOBS / QUOTES"),"No quotes"))</f>
        <v/>
      </c>
      <c r="K184" s="18" t="str">
        <f>IF(A184="","",COUNTIF(Quotes!$D$9:$D$258,D184))</f>
        <v/>
      </c>
      <c r="L184" s="19" t="str">
        <f>IF(A184="","",IF(O184=1,SUMIF(Quotes!$C$9:$C$258,A184,Quotes!$AI$9:$AI$258),0))</f>
        <v/>
      </c>
      <c r="M184" s="19" t="str">
        <f>IF(A184="","",IF(O184=1,SUMIF(Quotes!$C$9:$C$258,A184,Quotes!$AJ$9:$AJ$258),0))</f>
        <v/>
      </c>
      <c r="N184" s="18"/>
      <c r="O184" s="18" t="str">
        <f>IF(A184="","",IF(COUNTIF($A$9:A184,A184)=1,1,0))</f>
        <v/>
      </c>
      <c r="P184" s="18" t="str">
        <f t="shared" si="4"/>
        <v/>
      </c>
      <c r="Q184" s="18" t="str">
        <f t="shared" si="5"/>
        <v/>
      </c>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row>
    <row r="185" spans="1:44" ht="48" customHeight="1" x14ac:dyDescent="0.35">
      <c r="A185" s="14"/>
      <c r="B185" s="15"/>
      <c r="C185" s="15"/>
      <c r="D185" s="14"/>
      <c r="E185" s="15"/>
      <c r="F185" s="15"/>
      <c r="G185" s="36"/>
      <c r="H185" s="15"/>
      <c r="I185" s="15"/>
      <c r="J185" s="14" t="str">
        <f>IF(A185="","",IFERROR(HYPERLINK("#'Supplier Jobs'!A"&amp;(MATCH(A185,'Supplier Jobs'!$N$9:$N$258,0)+8),"JOBS / QUOTES"),"No quotes"))</f>
        <v/>
      </c>
      <c r="K185" s="14" t="str">
        <f>IF(A185="","",COUNTIF(Quotes!$D$9:$D$258,D185))</f>
        <v/>
      </c>
      <c r="L185" s="16" t="str">
        <f>IF(A185="","",IF(O185=1,SUMIF(Quotes!$C$9:$C$258,A185,Quotes!$AI$9:$AI$258),0))</f>
        <v/>
      </c>
      <c r="M185" s="16" t="str">
        <f>IF(A185="","",IF(O185=1,SUMIF(Quotes!$C$9:$C$258,A185,Quotes!$AJ$9:$AJ$258),0))</f>
        <v/>
      </c>
      <c r="N185" s="14"/>
      <c r="O185" s="14" t="str">
        <f>IF(A185="","",IF(COUNTIF($A$9:A185,A185)=1,1,0))</f>
        <v/>
      </c>
      <c r="P185" s="14" t="str">
        <f t="shared" si="4"/>
        <v/>
      </c>
      <c r="Q185" s="14" t="str">
        <f t="shared" si="5"/>
        <v/>
      </c>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row>
    <row r="186" spans="1:44" ht="48" customHeight="1" x14ac:dyDescent="0.35">
      <c r="A186" s="18"/>
      <c r="B186" s="15"/>
      <c r="C186" s="15"/>
      <c r="D186" s="18"/>
      <c r="E186" s="15"/>
      <c r="F186" s="15"/>
      <c r="G186" s="36"/>
      <c r="H186" s="15"/>
      <c r="I186" s="15"/>
      <c r="J186" s="18" t="str">
        <f>IF(A186="","",IFERROR(HYPERLINK("#'Supplier Jobs'!A"&amp;(MATCH(A186,'Supplier Jobs'!$N$9:$N$258,0)+8),"JOBS / QUOTES"),"No quotes"))</f>
        <v/>
      </c>
      <c r="K186" s="18" t="str">
        <f>IF(A186="","",COUNTIF(Quotes!$D$9:$D$258,D186))</f>
        <v/>
      </c>
      <c r="L186" s="19" t="str">
        <f>IF(A186="","",IF(O186=1,SUMIF(Quotes!$C$9:$C$258,A186,Quotes!$AI$9:$AI$258),0))</f>
        <v/>
      </c>
      <c r="M186" s="19" t="str">
        <f>IF(A186="","",IF(O186=1,SUMIF(Quotes!$C$9:$C$258,A186,Quotes!$AJ$9:$AJ$258),0))</f>
        <v/>
      </c>
      <c r="N186" s="18"/>
      <c r="O186" s="18" t="str">
        <f>IF(A186="","",IF(COUNTIF($A$9:A186,A186)=1,1,0))</f>
        <v/>
      </c>
      <c r="P186" s="18" t="str">
        <f t="shared" si="4"/>
        <v/>
      </c>
      <c r="Q186" s="18" t="str">
        <f t="shared" si="5"/>
        <v/>
      </c>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row>
    <row r="187" spans="1:44" ht="48" customHeight="1" x14ac:dyDescent="0.35">
      <c r="A187" s="14"/>
      <c r="B187" s="15"/>
      <c r="C187" s="15"/>
      <c r="D187" s="14"/>
      <c r="E187" s="15"/>
      <c r="F187" s="15"/>
      <c r="G187" s="36"/>
      <c r="H187" s="15"/>
      <c r="I187" s="15"/>
      <c r="J187" s="14" t="str">
        <f>IF(A187="","",IFERROR(HYPERLINK("#'Supplier Jobs'!A"&amp;(MATCH(A187,'Supplier Jobs'!$N$9:$N$258,0)+8),"JOBS / QUOTES"),"No quotes"))</f>
        <v/>
      </c>
      <c r="K187" s="14" t="str">
        <f>IF(A187="","",COUNTIF(Quotes!$D$9:$D$258,D187))</f>
        <v/>
      </c>
      <c r="L187" s="16" t="str">
        <f>IF(A187="","",IF(O187=1,SUMIF(Quotes!$C$9:$C$258,A187,Quotes!$AI$9:$AI$258),0))</f>
        <v/>
      </c>
      <c r="M187" s="16" t="str">
        <f>IF(A187="","",IF(O187=1,SUMIF(Quotes!$C$9:$C$258,A187,Quotes!$AJ$9:$AJ$258),0))</f>
        <v/>
      </c>
      <c r="N187" s="14"/>
      <c r="O187" s="14" t="str">
        <f>IF(A187="","",IF(COUNTIF($A$9:A187,A187)=1,1,0))</f>
        <v/>
      </c>
      <c r="P187" s="14" t="str">
        <f t="shared" si="4"/>
        <v/>
      </c>
      <c r="Q187" s="14" t="str">
        <f t="shared" si="5"/>
        <v/>
      </c>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row>
    <row r="188" spans="1:44" ht="48" customHeight="1" x14ac:dyDescent="0.35">
      <c r="A188" s="18"/>
      <c r="B188" s="15"/>
      <c r="C188" s="15"/>
      <c r="D188" s="18"/>
      <c r="E188" s="15"/>
      <c r="F188" s="15"/>
      <c r="G188" s="36"/>
      <c r="H188" s="15"/>
      <c r="I188" s="15"/>
      <c r="J188" s="18" t="str">
        <f>IF(A188="","",IFERROR(HYPERLINK("#'Supplier Jobs'!A"&amp;(MATCH(A188,'Supplier Jobs'!$N$9:$N$258,0)+8),"JOBS / QUOTES"),"No quotes"))</f>
        <v/>
      </c>
      <c r="K188" s="18" t="str">
        <f>IF(A188="","",COUNTIF(Quotes!$D$9:$D$258,D188))</f>
        <v/>
      </c>
      <c r="L188" s="19" t="str">
        <f>IF(A188="","",IF(O188=1,SUMIF(Quotes!$C$9:$C$258,A188,Quotes!$AI$9:$AI$258),0))</f>
        <v/>
      </c>
      <c r="M188" s="19" t="str">
        <f>IF(A188="","",IF(O188=1,SUMIF(Quotes!$C$9:$C$258,A188,Quotes!$AJ$9:$AJ$258),0))</f>
        <v/>
      </c>
      <c r="N188" s="18"/>
      <c r="O188" s="18" t="str">
        <f>IF(A188="","",IF(COUNTIF($A$9:A188,A188)=1,1,0))</f>
        <v/>
      </c>
      <c r="P188" s="18" t="str">
        <f t="shared" si="4"/>
        <v/>
      </c>
      <c r="Q188" s="18" t="str">
        <f t="shared" si="5"/>
        <v/>
      </c>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row>
    <row r="189" spans="1:44" ht="48" customHeight="1" x14ac:dyDescent="0.35">
      <c r="A189" s="14"/>
      <c r="B189" s="15"/>
      <c r="C189" s="15"/>
      <c r="D189" s="14"/>
      <c r="E189" s="15"/>
      <c r="F189" s="15"/>
      <c r="G189" s="36"/>
      <c r="H189" s="15"/>
      <c r="I189" s="15"/>
      <c r="J189" s="14" t="str">
        <f>IF(A189="","",IFERROR(HYPERLINK("#'Supplier Jobs'!A"&amp;(MATCH(A189,'Supplier Jobs'!$N$9:$N$258,0)+8),"JOBS / QUOTES"),"No quotes"))</f>
        <v/>
      </c>
      <c r="K189" s="14" t="str">
        <f>IF(A189="","",COUNTIF(Quotes!$D$9:$D$258,D189))</f>
        <v/>
      </c>
      <c r="L189" s="16" t="str">
        <f>IF(A189="","",IF(O189=1,SUMIF(Quotes!$C$9:$C$258,A189,Quotes!$AI$9:$AI$258),0))</f>
        <v/>
      </c>
      <c r="M189" s="16" t="str">
        <f>IF(A189="","",IF(O189=1,SUMIF(Quotes!$C$9:$C$258,A189,Quotes!$AJ$9:$AJ$258),0))</f>
        <v/>
      </c>
      <c r="N189" s="14"/>
      <c r="O189" s="14" t="str">
        <f>IF(A189="","",IF(COUNTIF($A$9:A189,A189)=1,1,0))</f>
        <v/>
      </c>
      <c r="P189" s="14" t="str">
        <f t="shared" si="4"/>
        <v/>
      </c>
      <c r="Q189" s="14" t="str">
        <f t="shared" si="5"/>
        <v/>
      </c>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row>
    <row r="190" spans="1:44" ht="48" customHeight="1" x14ac:dyDescent="0.35">
      <c r="A190" s="18"/>
      <c r="B190" s="15"/>
      <c r="C190" s="15"/>
      <c r="D190" s="18"/>
      <c r="E190" s="15"/>
      <c r="F190" s="15"/>
      <c r="G190" s="36"/>
      <c r="H190" s="15"/>
      <c r="I190" s="15"/>
      <c r="J190" s="18" t="str">
        <f>IF(A190="","",IFERROR(HYPERLINK("#'Supplier Jobs'!A"&amp;(MATCH(A190,'Supplier Jobs'!$N$9:$N$258,0)+8),"JOBS / QUOTES"),"No quotes"))</f>
        <v/>
      </c>
      <c r="K190" s="18" t="str">
        <f>IF(A190="","",COUNTIF(Quotes!$D$9:$D$258,D190))</f>
        <v/>
      </c>
      <c r="L190" s="19" t="str">
        <f>IF(A190="","",IF(O190=1,SUMIF(Quotes!$C$9:$C$258,A190,Quotes!$AI$9:$AI$258),0))</f>
        <v/>
      </c>
      <c r="M190" s="19" t="str">
        <f>IF(A190="","",IF(O190=1,SUMIF(Quotes!$C$9:$C$258,A190,Quotes!$AJ$9:$AJ$258),0))</f>
        <v/>
      </c>
      <c r="N190" s="18"/>
      <c r="O190" s="18" t="str">
        <f>IF(A190="","",IF(COUNTIF($A$9:A190,A190)=1,1,0))</f>
        <v/>
      </c>
      <c r="P190" s="18" t="str">
        <f t="shared" si="4"/>
        <v/>
      </c>
      <c r="Q190" s="18" t="str">
        <f t="shared" si="5"/>
        <v/>
      </c>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row>
    <row r="191" spans="1:44" ht="48" customHeight="1" x14ac:dyDescent="0.35">
      <c r="A191" s="14"/>
      <c r="B191" s="15"/>
      <c r="C191" s="15"/>
      <c r="D191" s="14"/>
      <c r="E191" s="15"/>
      <c r="F191" s="15"/>
      <c r="G191" s="36"/>
      <c r="H191" s="15"/>
      <c r="I191" s="15"/>
      <c r="J191" s="14" t="str">
        <f>IF(A191="","",IFERROR(HYPERLINK("#'Supplier Jobs'!A"&amp;(MATCH(A191,'Supplier Jobs'!$N$9:$N$258,0)+8),"JOBS / QUOTES"),"No quotes"))</f>
        <v/>
      </c>
      <c r="K191" s="14" t="str">
        <f>IF(A191="","",COUNTIF(Quotes!$D$9:$D$258,D191))</f>
        <v/>
      </c>
      <c r="L191" s="16" t="str">
        <f>IF(A191="","",IF(O191=1,SUMIF(Quotes!$C$9:$C$258,A191,Quotes!$AI$9:$AI$258),0))</f>
        <v/>
      </c>
      <c r="M191" s="16" t="str">
        <f>IF(A191="","",IF(O191=1,SUMIF(Quotes!$C$9:$C$258,A191,Quotes!$AJ$9:$AJ$258),0))</f>
        <v/>
      </c>
      <c r="N191" s="14"/>
      <c r="O191" s="14" t="str">
        <f>IF(A191="","",IF(COUNTIF($A$9:A191,A191)=1,1,0))</f>
        <v/>
      </c>
      <c r="P191" s="14" t="str">
        <f t="shared" si="4"/>
        <v/>
      </c>
      <c r="Q191" s="14" t="str">
        <f t="shared" si="5"/>
        <v/>
      </c>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row>
    <row r="192" spans="1:44" ht="48" customHeight="1" x14ac:dyDescent="0.35">
      <c r="A192" s="18"/>
      <c r="B192" s="15"/>
      <c r="C192" s="15"/>
      <c r="D192" s="18"/>
      <c r="E192" s="15"/>
      <c r="F192" s="15"/>
      <c r="G192" s="36"/>
      <c r="H192" s="15"/>
      <c r="I192" s="15"/>
      <c r="J192" s="18" t="str">
        <f>IF(A192="","",IFERROR(HYPERLINK("#'Supplier Jobs'!A"&amp;(MATCH(A192,'Supplier Jobs'!$N$9:$N$258,0)+8),"JOBS / QUOTES"),"No quotes"))</f>
        <v/>
      </c>
      <c r="K192" s="18" t="str">
        <f>IF(A192="","",COUNTIF(Quotes!$D$9:$D$258,D192))</f>
        <v/>
      </c>
      <c r="L192" s="19" t="str">
        <f>IF(A192="","",IF(O192=1,SUMIF(Quotes!$C$9:$C$258,A192,Quotes!$AI$9:$AI$258),0))</f>
        <v/>
      </c>
      <c r="M192" s="19" t="str">
        <f>IF(A192="","",IF(O192=1,SUMIF(Quotes!$C$9:$C$258,A192,Quotes!$AJ$9:$AJ$258),0))</f>
        <v/>
      </c>
      <c r="N192" s="18"/>
      <c r="O192" s="18" t="str">
        <f>IF(A192="","",IF(COUNTIF($A$9:A192,A192)=1,1,0))</f>
        <v/>
      </c>
      <c r="P192" s="18" t="str">
        <f t="shared" si="4"/>
        <v/>
      </c>
      <c r="Q192" s="18" t="str">
        <f t="shared" si="5"/>
        <v/>
      </c>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row>
    <row r="193" spans="1:44" ht="48" customHeight="1" x14ac:dyDescent="0.35">
      <c r="A193" s="14"/>
      <c r="B193" s="15"/>
      <c r="C193" s="15"/>
      <c r="D193" s="14"/>
      <c r="E193" s="15"/>
      <c r="F193" s="15"/>
      <c r="G193" s="36"/>
      <c r="H193" s="15"/>
      <c r="I193" s="15"/>
      <c r="J193" s="14" t="str">
        <f>IF(A193="","",IFERROR(HYPERLINK("#'Supplier Jobs'!A"&amp;(MATCH(A193,'Supplier Jobs'!$N$9:$N$258,0)+8),"JOBS / QUOTES"),"No quotes"))</f>
        <v/>
      </c>
      <c r="K193" s="14" t="str">
        <f>IF(A193="","",COUNTIF(Quotes!$D$9:$D$258,D193))</f>
        <v/>
      </c>
      <c r="L193" s="16" t="str">
        <f>IF(A193="","",IF(O193=1,SUMIF(Quotes!$C$9:$C$258,A193,Quotes!$AI$9:$AI$258),0))</f>
        <v/>
      </c>
      <c r="M193" s="16" t="str">
        <f>IF(A193="","",IF(O193=1,SUMIF(Quotes!$C$9:$C$258,A193,Quotes!$AJ$9:$AJ$258),0))</f>
        <v/>
      </c>
      <c r="N193" s="14"/>
      <c r="O193" s="14" t="str">
        <f>IF(A193="","",IF(COUNTIF($A$9:A193,A193)=1,1,0))</f>
        <v/>
      </c>
      <c r="P193" s="14" t="str">
        <f t="shared" si="4"/>
        <v/>
      </c>
      <c r="Q193" s="14" t="str">
        <f t="shared" si="5"/>
        <v/>
      </c>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row>
    <row r="194" spans="1:44" ht="48" customHeight="1" x14ac:dyDescent="0.35">
      <c r="A194" s="18"/>
      <c r="B194" s="15"/>
      <c r="C194" s="15"/>
      <c r="D194" s="18"/>
      <c r="E194" s="15"/>
      <c r="F194" s="15"/>
      <c r="G194" s="36"/>
      <c r="H194" s="15"/>
      <c r="I194" s="15"/>
      <c r="J194" s="18" t="str">
        <f>IF(A194="","",IFERROR(HYPERLINK("#'Supplier Jobs'!A"&amp;(MATCH(A194,'Supplier Jobs'!$N$9:$N$258,0)+8),"JOBS / QUOTES"),"No quotes"))</f>
        <v/>
      </c>
      <c r="K194" s="18" t="str">
        <f>IF(A194="","",COUNTIF(Quotes!$D$9:$D$258,D194))</f>
        <v/>
      </c>
      <c r="L194" s="19" t="str">
        <f>IF(A194="","",IF(O194=1,SUMIF(Quotes!$C$9:$C$258,A194,Quotes!$AI$9:$AI$258),0))</f>
        <v/>
      </c>
      <c r="M194" s="19" t="str">
        <f>IF(A194="","",IF(O194=1,SUMIF(Quotes!$C$9:$C$258,A194,Quotes!$AJ$9:$AJ$258),0))</f>
        <v/>
      </c>
      <c r="N194" s="18"/>
      <c r="O194" s="18" t="str">
        <f>IF(A194="","",IF(COUNTIF($A$9:A194,A194)=1,1,0))</f>
        <v/>
      </c>
      <c r="P194" s="18" t="str">
        <f t="shared" si="4"/>
        <v/>
      </c>
      <c r="Q194" s="18" t="str">
        <f t="shared" si="5"/>
        <v/>
      </c>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row>
    <row r="195" spans="1:44" ht="48" customHeight="1" x14ac:dyDescent="0.35">
      <c r="A195" s="14"/>
      <c r="B195" s="15"/>
      <c r="C195" s="15"/>
      <c r="D195" s="14"/>
      <c r="E195" s="15"/>
      <c r="F195" s="15"/>
      <c r="G195" s="36"/>
      <c r="H195" s="15"/>
      <c r="I195" s="15"/>
      <c r="J195" s="14" t="str">
        <f>IF(A195="","",IFERROR(HYPERLINK("#'Supplier Jobs'!A"&amp;(MATCH(A195,'Supplier Jobs'!$N$9:$N$258,0)+8),"JOBS / QUOTES"),"No quotes"))</f>
        <v/>
      </c>
      <c r="K195" s="14" t="str">
        <f>IF(A195="","",COUNTIF(Quotes!$D$9:$D$258,D195))</f>
        <v/>
      </c>
      <c r="L195" s="16" t="str">
        <f>IF(A195="","",IF(O195=1,SUMIF(Quotes!$C$9:$C$258,A195,Quotes!$AI$9:$AI$258),0))</f>
        <v/>
      </c>
      <c r="M195" s="16" t="str">
        <f>IF(A195="","",IF(O195=1,SUMIF(Quotes!$C$9:$C$258,A195,Quotes!$AJ$9:$AJ$258),0))</f>
        <v/>
      </c>
      <c r="N195" s="14"/>
      <c r="O195" s="14" t="str">
        <f>IF(A195="","",IF(COUNTIF($A$9:A195,A195)=1,1,0))</f>
        <v/>
      </c>
      <c r="P195" s="14" t="str">
        <f t="shared" si="4"/>
        <v/>
      </c>
      <c r="Q195" s="14" t="str">
        <f t="shared" si="5"/>
        <v/>
      </c>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row>
    <row r="196" spans="1:44" ht="48" customHeight="1" x14ac:dyDescent="0.35">
      <c r="A196" s="18"/>
      <c r="B196" s="15"/>
      <c r="C196" s="15"/>
      <c r="D196" s="18"/>
      <c r="E196" s="15"/>
      <c r="F196" s="15"/>
      <c r="G196" s="36"/>
      <c r="H196" s="15"/>
      <c r="I196" s="15"/>
      <c r="J196" s="18" t="str">
        <f>IF(A196="","",IFERROR(HYPERLINK("#'Supplier Jobs'!A"&amp;(MATCH(A196,'Supplier Jobs'!$N$9:$N$258,0)+8),"JOBS / QUOTES"),"No quotes"))</f>
        <v/>
      </c>
      <c r="K196" s="18" t="str">
        <f>IF(A196="","",COUNTIF(Quotes!$D$9:$D$258,D196))</f>
        <v/>
      </c>
      <c r="L196" s="19" t="str">
        <f>IF(A196="","",IF(O196=1,SUMIF(Quotes!$C$9:$C$258,A196,Quotes!$AI$9:$AI$258),0))</f>
        <v/>
      </c>
      <c r="M196" s="19" t="str">
        <f>IF(A196="","",IF(O196=1,SUMIF(Quotes!$C$9:$C$258,A196,Quotes!$AJ$9:$AJ$258),0))</f>
        <v/>
      </c>
      <c r="N196" s="18"/>
      <c r="O196" s="18" t="str">
        <f>IF(A196="","",IF(COUNTIF($A$9:A196,A196)=1,1,0))</f>
        <v/>
      </c>
      <c r="P196" s="18" t="str">
        <f t="shared" si="4"/>
        <v/>
      </c>
      <c r="Q196" s="18" t="str">
        <f t="shared" si="5"/>
        <v/>
      </c>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row>
    <row r="197" spans="1:44" ht="48" customHeight="1" x14ac:dyDescent="0.35">
      <c r="A197" s="14"/>
      <c r="B197" s="15"/>
      <c r="C197" s="15"/>
      <c r="D197" s="14"/>
      <c r="E197" s="15"/>
      <c r="F197" s="15"/>
      <c r="G197" s="36"/>
      <c r="H197" s="15"/>
      <c r="I197" s="15"/>
      <c r="J197" s="14" t="str">
        <f>IF(A197="","",IFERROR(HYPERLINK("#'Supplier Jobs'!A"&amp;(MATCH(A197,'Supplier Jobs'!$N$9:$N$258,0)+8),"JOBS / QUOTES"),"No quotes"))</f>
        <v/>
      </c>
      <c r="K197" s="14" t="str">
        <f>IF(A197="","",COUNTIF(Quotes!$D$9:$D$258,D197))</f>
        <v/>
      </c>
      <c r="L197" s="16" t="str">
        <f>IF(A197="","",IF(O197=1,SUMIF(Quotes!$C$9:$C$258,A197,Quotes!$AI$9:$AI$258),0))</f>
        <v/>
      </c>
      <c r="M197" s="16" t="str">
        <f>IF(A197="","",IF(O197=1,SUMIF(Quotes!$C$9:$C$258,A197,Quotes!$AJ$9:$AJ$258),0))</f>
        <v/>
      </c>
      <c r="N197" s="14"/>
      <c r="O197" s="14" t="str">
        <f>IF(A197="","",IF(COUNTIF($A$9:A197,A197)=1,1,0))</f>
        <v/>
      </c>
      <c r="P197" s="14" t="str">
        <f t="shared" si="4"/>
        <v/>
      </c>
      <c r="Q197" s="14" t="str">
        <f t="shared" si="5"/>
        <v/>
      </c>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row>
    <row r="198" spans="1:44" ht="48" customHeight="1" x14ac:dyDescent="0.35">
      <c r="A198" s="18"/>
      <c r="B198" s="15"/>
      <c r="C198" s="15"/>
      <c r="D198" s="18"/>
      <c r="E198" s="15"/>
      <c r="F198" s="15"/>
      <c r="G198" s="36"/>
      <c r="H198" s="15"/>
      <c r="I198" s="15"/>
      <c r="J198" s="18" t="str">
        <f>IF(A198="","",IFERROR(HYPERLINK("#'Supplier Jobs'!A"&amp;(MATCH(A198,'Supplier Jobs'!$N$9:$N$258,0)+8),"JOBS / QUOTES"),"No quotes"))</f>
        <v/>
      </c>
      <c r="K198" s="18" t="str">
        <f>IF(A198="","",COUNTIF(Quotes!$D$9:$D$258,D198))</f>
        <v/>
      </c>
      <c r="L198" s="19" t="str">
        <f>IF(A198="","",IF(O198=1,SUMIF(Quotes!$C$9:$C$258,A198,Quotes!$AI$9:$AI$258),0))</f>
        <v/>
      </c>
      <c r="M198" s="19" t="str">
        <f>IF(A198="","",IF(O198=1,SUMIF(Quotes!$C$9:$C$258,A198,Quotes!$AJ$9:$AJ$258),0))</f>
        <v/>
      </c>
      <c r="N198" s="18"/>
      <c r="O198" s="18" t="str">
        <f>IF(A198="","",IF(COUNTIF($A$9:A198,A198)=1,1,0))</f>
        <v/>
      </c>
      <c r="P198" s="18" t="str">
        <f t="shared" si="4"/>
        <v/>
      </c>
      <c r="Q198" s="18" t="str">
        <f t="shared" si="5"/>
        <v/>
      </c>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row>
    <row r="199" spans="1:44" ht="48" customHeight="1" x14ac:dyDescent="0.35">
      <c r="A199" s="14"/>
      <c r="B199" s="15"/>
      <c r="C199" s="15"/>
      <c r="D199" s="14"/>
      <c r="E199" s="15"/>
      <c r="F199" s="15"/>
      <c r="G199" s="36"/>
      <c r="H199" s="15"/>
      <c r="I199" s="15"/>
      <c r="J199" s="14" t="str">
        <f>IF(A199="","",IFERROR(HYPERLINK("#'Supplier Jobs'!A"&amp;(MATCH(A199,'Supplier Jobs'!$N$9:$N$258,0)+8),"JOBS / QUOTES"),"No quotes"))</f>
        <v/>
      </c>
      <c r="K199" s="14" t="str">
        <f>IF(A199="","",COUNTIF(Quotes!$D$9:$D$258,D199))</f>
        <v/>
      </c>
      <c r="L199" s="16" t="str">
        <f>IF(A199="","",IF(O199=1,SUMIF(Quotes!$C$9:$C$258,A199,Quotes!$AI$9:$AI$258),0))</f>
        <v/>
      </c>
      <c r="M199" s="16" t="str">
        <f>IF(A199="","",IF(O199=1,SUMIF(Quotes!$C$9:$C$258,A199,Quotes!$AJ$9:$AJ$258),0))</f>
        <v/>
      </c>
      <c r="N199" s="14"/>
      <c r="O199" s="14" t="str">
        <f>IF(A199="","",IF(COUNTIF($A$9:A199,A199)=1,1,0))</f>
        <v/>
      </c>
      <c r="P199" s="14" t="str">
        <f t="shared" si="4"/>
        <v/>
      </c>
      <c r="Q199" s="14" t="str">
        <f t="shared" si="5"/>
        <v/>
      </c>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row>
    <row r="200" spans="1:44" ht="48" customHeight="1" x14ac:dyDescent="0.35">
      <c r="A200" s="18"/>
      <c r="B200" s="15"/>
      <c r="C200" s="15"/>
      <c r="D200" s="18"/>
      <c r="E200" s="15"/>
      <c r="F200" s="15"/>
      <c r="G200" s="36"/>
      <c r="H200" s="15"/>
      <c r="I200" s="15"/>
      <c r="J200" s="18" t="str">
        <f>IF(A200="","",IFERROR(HYPERLINK("#'Supplier Jobs'!A"&amp;(MATCH(A200,'Supplier Jobs'!$N$9:$N$258,0)+8),"JOBS / QUOTES"),"No quotes"))</f>
        <v/>
      </c>
      <c r="K200" s="18" t="str">
        <f>IF(A200="","",COUNTIF(Quotes!$D$9:$D$258,D200))</f>
        <v/>
      </c>
      <c r="L200" s="19" t="str">
        <f>IF(A200="","",IF(O200=1,SUMIF(Quotes!$C$9:$C$258,A200,Quotes!$AI$9:$AI$258),0))</f>
        <v/>
      </c>
      <c r="M200" s="19" t="str">
        <f>IF(A200="","",IF(O200=1,SUMIF(Quotes!$C$9:$C$258,A200,Quotes!$AJ$9:$AJ$258),0))</f>
        <v/>
      </c>
      <c r="N200" s="18"/>
      <c r="O200" s="18" t="str">
        <f>IF(A200="","",IF(COUNTIF($A$9:A200,A200)=1,1,0))</f>
        <v/>
      </c>
      <c r="P200" s="18" t="str">
        <f t="shared" si="4"/>
        <v/>
      </c>
      <c r="Q200" s="18" t="str">
        <f t="shared" si="5"/>
        <v/>
      </c>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row>
    <row r="201" spans="1:44" ht="48" customHeight="1" x14ac:dyDescent="0.35">
      <c r="A201" s="14"/>
      <c r="B201" s="15"/>
      <c r="C201" s="15"/>
      <c r="D201" s="14"/>
      <c r="E201" s="15"/>
      <c r="F201" s="15"/>
      <c r="G201" s="36"/>
      <c r="H201" s="15"/>
      <c r="I201" s="15"/>
      <c r="J201" s="14" t="str">
        <f>IF(A201="","",IFERROR(HYPERLINK("#'Supplier Jobs'!A"&amp;(MATCH(A201,'Supplier Jobs'!$N$9:$N$258,0)+8),"JOBS / QUOTES"),"No quotes"))</f>
        <v/>
      </c>
      <c r="K201" s="14" t="str">
        <f>IF(A201="","",COUNTIF(Quotes!$D$9:$D$258,D201))</f>
        <v/>
      </c>
      <c r="L201" s="16" t="str">
        <f>IF(A201="","",IF(O201=1,SUMIF(Quotes!$C$9:$C$258,A201,Quotes!$AI$9:$AI$258),0))</f>
        <v/>
      </c>
      <c r="M201" s="16" t="str">
        <f>IF(A201="","",IF(O201=1,SUMIF(Quotes!$C$9:$C$258,A201,Quotes!$AJ$9:$AJ$258),0))</f>
        <v/>
      </c>
      <c r="N201" s="14"/>
      <c r="O201" s="14" t="str">
        <f>IF(A201="","",IF(COUNTIF($A$9:A201,A201)=1,1,0))</f>
        <v/>
      </c>
      <c r="P201" s="14" t="str">
        <f t="shared" ref="P201:P264" si="6">IF(A201="","",D201&amp;" | "&amp;B201&amp;" | "&amp;E201)</f>
        <v/>
      </c>
      <c r="Q201" s="14" t="str">
        <f t="shared" ref="Q201:Q264" si="7">IF(A201="","",A201&amp;" | "&amp;B201)</f>
        <v/>
      </c>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row>
    <row r="202" spans="1:44" ht="48" customHeight="1" x14ac:dyDescent="0.35">
      <c r="A202" s="18"/>
      <c r="B202" s="15"/>
      <c r="C202" s="15"/>
      <c r="D202" s="18"/>
      <c r="E202" s="15"/>
      <c r="F202" s="15"/>
      <c r="G202" s="36"/>
      <c r="H202" s="15"/>
      <c r="I202" s="15"/>
      <c r="J202" s="18" t="str">
        <f>IF(A202="","",IFERROR(HYPERLINK("#'Supplier Jobs'!A"&amp;(MATCH(A202,'Supplier Jobs'!$N$9:$N$258,0)+8),"JOBS / QUOTES"),"No quotes"))</f>
        <v/>
      </c>
      <c r="K202" s="18" t="str">
        <f>IF(A202="","",COUNTIF(Quotes!$D$9:$D$258,D202))</f>
        <v/>
      </c>
      <c r="L202" s="19" t="str">
        <f>IF(A202="","",IF(O202=1,SUMIF(Quotes!$C$9:$C$258,A202,Quotes!$AI$9:$AI$258),0))</f>
        <v/>
      </c>
      <c r="M202" s="19" t="str">
        <f>IF(A202="","",IF(O202=1,SUMIF(Quotes!$C$9:$C$258,A202,Quotes!$AJ$9:$AJ$258),0))</f>
        <v/>
      </c>
      <c r="N202" s="18"/>
      <c r="O202" s="18" t="str">
        <f>IF(A202="","",IF(COUNTIF($A$9:A202,A202)=1,1,0))</f>
        <v/>
      </c>
      <c r="P202" s="18" t="str">
        <f t="shared" si="6"/>
        <v/>
      </c>
      <c r="Q202" s="18" t="str">
        <f t="shared" si="7"/>
        <v/>
      </c>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row>
    <row r="203" spans="1:44" ht="48" customHeight="1" x14ac:dyDescent="0.35">
      <c r="A203" s="14"/>
      <c r="B203" s="15"/>
      <c r="C203" s="15"/>
      <c r="D203" s="14"/>
      <c r="E203" s="15"/>
      <c r="F203" s="15"/>
      <c r="G203" s="36"/>
      <c r="H203" s="15"/>
      <c r="I203" s="15"/>
      <c r="J203" s="14" t="str">
        <f>IF(A203="","",IFERROR(HYPERLINK("#'Supplier Jobs'!A"&amp;(MATCH(A203,'Supplier Jobs'!$N$9:$N$258,0)+8),"JOBS / QUOTES"),"No quotes"))</f>
        <v/>
      </c>
      <c r="K203" s="14" t="str">
        <f>IF(A203="","",COUNTIF(Quotes!$D$9:$D$258,D203))</f>
        <v/>
      </c>
      <c r="L203" s="16" t="str">
        <f>IF(A203="","",IF(O203=1,SUMIF(Quotes!$C$9:$C$258,A203,Quotes!$AI$9:$AI$258),0))</f>
        <v/>
      </c>
      <c r="M203" s="16" t="str">
        <f>IF(A203="","",IF(O203=1,SUMIF(Quotes!$C$9:$C$258,A203,Quotes!$AJ$9:$AJ$258),0))</f>
        <v/>
      </c>
      <c r="N203" s="14"/>
      <c r="O203" s="14" t="str">
        <f>IF(A203="","",IF(COUNTIF($A$9:A203,A203)=1,1,0))</f>
        <v/>
      </c>
      <c r="P203" s="14" t="str">
        <f t="shared" si="6"/>
        <v/>
      </c>
      <c r="Q203" s="14" t="str">
        <f t="shared" si="7"/>
        <v/>
      </c>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row>
    <row r="204" spans="1:44" ht="48" customHeight="1" x14ac:dyDescent="0.35">
      <c r="A204" s="18"/>
      <c r="B204" s="15"/>
      <c r="C204" s="15"/>
      <c r="D204" s="18"/>
      <c r="E204" s="15"/>
      <c r="F204" s="15"/>
      <c r="G204" s="36"/>
      <c r="H204" s="15"/>
      <c r="I204" s="15"/>
      <c r="J204" s="18" t="str">
        <f>IF(A204="","",IFERROR(HYPERLINK("#'Supplier Jobs'!A"&amp;(MATCH(A204,'Supplier Jobs'!$N$9:$N$258,0)+8),"JOBS / QUOTES"),"No quotes"))</f>
        <v/>
      </c>
      <c r="K204" s="18" t="str">
        <f>IF(A204="","",COUNTIF(Quotes!$D$9:$D$258,D204))</f>
        <v/>
      </c>
      <c r="L204" s="19" t="str">
        <f>IF(A204="","",IF(O204=1,SUMIF(Quotes!$C$9:$C$258,A204,Quotes!$AI$9:$AI$258),0))</f>
        <v/>
      </c>
      <c r="M204" s="19" t="str">
        <f>IF(A204="","",IF(O204=1,SUMIF(Quotes!$C$9:$C$258,A204,Quotes!$AJ$9:$AJ$258),0))</f>
        <v/>
      </c>
      <c r="N204" s="18"/>
      <c r="O204" s="18" t="str">
        <f>IF(A204="","",IF(COUNTIF($A$9:A204,A204)=1,1,0))</f>
        <v/>
      </c>
      <c r="P204" s="18" t="str">
        <f t="shared" si="6"/>
        <v/>
      </c>
      <c r="Q204" s="18" t="str">
        <f t="shared" si="7"/>
        <v/>
      </c>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row>
    <row r="205" spans="1:44" ht="48" customHeight="1" x14ac:dyDescent="0.35">
      <c r="A205" s="14"/>
      <c r="B205" s="15"/>
      <c r="C205" s="15"/>
      <c r="D205" s="14"/>
      <c r="E205" s="15"/>
      <c r="F205" s="15"/>
      <c r="G205" s="36"/>
      <c r="H205" s="15"/>
      <c r="I205" s="15"/>
      <c r="J205" s="14" t="str">
        <f>IF(A205="","",IFERROR(HYPERLINK("#'Supplier Jobs'!A"&amp;(MATCH(A205,'Supplier Jobs'!$N$9:$N$258,0)+8),"JOBS / QUOTES"),"No quotes"))</f>
        <v/>
      </c>
      <c r="K205" s="14" t="str">
        <f>IF(A205="","",COUNTIF(Quotes!$D$9:$D$258,D205))</f>
        <v/>
      </c>
      <c r="L205" s="16" t="str">
        <f>IF(A205="","",IF(O205=1,SUMIF(Quotes!$C$9:$C$258,A205,Quotes!$AI$9:$AI$258),0))</f>
        <v/>
      </c>
      <c r="M205" s="16" t="str">
        <f>IF(A205="","",IF(O205=1,SUMIF(Quotes!$C$9:$C$258,A205,Quotes!$AJ$9:$AJ$258),0))</f>
        <v/>
      </c>
      <c r="N205" s="14"/>
      <c r="O205" s="14" t="str">
        <f>IF(A205="","",IF(COUNTIF($A$9:A205,A205)=1,1,0))</f>
        <v/>
      </c>
      <c r="P205" s="14" t="str">
        <f t="shared" si="6"/>
        <v/>
      </c>
      <c r="Q205" s="14" t="str">
        <f t="shared" si="7"/>
        <v/>
      </c>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row>
    <row r="206" spans="1:44" ht="48" customHeight="1" x14ac:dyDescent="0.35">
      <c r="A206" s="18"/>
      <c r="B206" s="15"/>
      <c r="C206" s="15"/>
      <c r="D206" s="18"/>
      <c r="E206" s="15"/>
      <c r="F206" s="15"/>
      <c r="G206" s="36"/>
      <c r="H206" s="15"/>
      <c r="I206" s="15"/>
      <c r="J206" s="18" t="str">
        <f>IF(A206="","",IFERROR(HYPERLINK("#'Supplier Jobs'!A"&amp;(MATCH(A206,'Supplier Jobs'!$N$9:$N$258,0)+8),"JOBS / QUOTES"),"No quotes"))</f>
        <v/>
      </c>
      <c r="K206" s="18" t="str">
        <f>IF(A206="","",COUNTIF(Quotes!$D$9:$D$258,D206))</f>
        <v/>
      </c>
      <c r="L206" s="19" t="str">
        <f>IF(A206="","",IF(O206=1,SUMIF(Quotes!$C$9:$C$258,A206,Quotes!$AI$9:$AI$258),0))</f>
        <v/>
      </c>
      <c r="M206" s="19" t="str">
        <f>IF(A206="","",IF(O206=1,SUMIF(Quotes!$C$9:$C$258,A206,Quotes!$AJ$9:$AJ$258),0))</f>
        <v/>
      </c>
      <c r="N206" s="18"/>
      <c r="O206" s="18" t="str">
        <f>IF(A206="","",IF(COUNTIF($A$9:A206,A206)=1,1,0))</f>
        <v/>
      </c>
      <c r="P206" s="18" t="str">
        <f t="shared" si="6"/>
        <v/>
      </c>
      <c r="Q206" s="18" t="str">
        <f t="shared" si="7"/>
        <v/>
      </c>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row>
    <row r="207" spans="1:44" ht="48" customHeight="1" x14ac:dyDescent="0.35">
      <c r="A207" s="14"/>
      <c r="B207" s="15"/>
      <c r="C207" s="15"/>
      <c r="D207" s="14"/>
      <c r="E207" s="15"/>
      <c r="F207" s="15"/>
      <c r="G207" s="36"/>
      <c r="H207" s="15"/>
      <c r="I207" s="15"/>
      <c r="J207" s="14" t="str">
        <f>IF(A207="","",IFERROR(HYPERLINK("#'Supplier Jobs'!A"&amp;(MATCH(A207,'Supplier Jobs'!$N$9:$N$258,0)+8),"JOBS / QUOTES"),"No quotes"))</f>
        <v/>
      </c>
      <c r="K207" s="14" t="str">
        <f>IF(A207="","",COUNTIF(Quotes!$D$9:$D$258,D207))</f>
        <v/>
      </c>
      <c r="L207" s="16" t="str">
        <f>IF(A207="","",IF(O207=1,SUMIF(Quotes!$C$9:$C$258,A207,Quotes!$AI$9:$AI$258),0))</f>
        <v/>
      </c>
      <c r="M207" s="16" t="str">
        <f>IF(A207="","",IF(O207=1,SUMIF(Quotes!$C$9:$C$258,A207,Quotes!$AJ$9:$AJ$258),0))</f>
        <v/>
      </c>
      <c r="N207" s="14"/>
      <c r="O207" s="14" t="str">
        <f>IF(A207="","",IF(COUNTIF($A$9:A207,A207)=1,1,0))</f>
        <v/>
      </c>
      <c r="P207" s="14" t="str">
        <f t="shared" si="6"/>
        <v/>
      </c>
      <c r="Q207" s="14" t="str">
        <f t="shared" si="7"/>
        <v/>
      </c>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row>
    <row r="208" spans="1:44" ht="48" customHeight="1" x14ac:dyDescent="0.35">
      <c r="A208" s="18"/>
      <c r="B208" s="15"/>
      <c r="C208" s="15"/>
      <c r="D208" s="18"/>
      <c r="E208" s="15"/>
      <c r="F208" s="15"/>
      <c r="G208" s="36"/>
      <c r="H208" s="15"/>
      <c r="I208" s="15"/>
      <c r="J208" s="18" t="str">
        <f>IF(A208="","",IFERROR(HYPERLINK("#'Supplier Jobs'!A"&amp;(MATCH(A208,'Supplier Jobs'!$N$9:$N$258,0)+8),"JOBS / QUOTES"),"No quotes"))</f>
        <v/>
      </c>
      <c r="K208" s="18" t="str">
        <f>IF(A208="","",COUNTIF(Quotes!$D$9:$D$258,D208))</f>
        <v/>
      </c>
      <c r="L208" s="19" t="str">
        <f>IF(A208="","",IF(O208=1,SUMIF(Quotes!$C$9:$C$258,A208,Quotes!$AI$9:$AI$258),0))</f>
        <v/>
      </c>
      <c r="M208" s="19" t="str">
        <f>IF(A208="","",IF(O208=1,SUMIF(Quotes!$C$9:$C$258,A208,Quotes!$AJ$9:$AJ$258),0))</f>
        <v/>
      </c>
      <c r="N208" s="18"/>
      <c r="O208" s="18" t="str">
        <f>IF(A208="","",IF(COUNTIF($A$9:A208,A208)=1,1,0))</f>
        <v/>
      </c>
      <c r="P208" s="18" t="str">
        <f t="shared" si="6"/>
        <v/>
      </c>
      <c r="Q208" s="18" t="str">
        <f t="shared" si="7"/>
        <v/>
      </c>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row>
    <row r="209" spans="1:44" ht="48" customHeight="1" x14ac:dyDescent="0.35">
      <c r="A209" s="14"/>
      <c r="B209" s="15"/>
      <c r="C209" s="15"/>
      <c r="D209" s="14"/>
      <c r="E209" s="15"/>
      <c r="F209" s="15"/>
      <c r="G209" s="36"/>
      <c r="H209" s="15"/>
      <c r="I209" s="15"/>
      <c r="J209" s="14" t="str">
        <f>IF(A209="","",IFERROR(HYPERLINK("#'Supplier Jobs'!A"&amp;(MATCH(A209,'Supplier Jobs'!$N$9:$N$258,0)+8),"JOBS / QUOTES"),"No quotes"))</f>
        <v/>
      </c>
      <c r="K209" s="14" t="str">
        <f>IF(A209="","",COUNTIF(Quotes!$D$9:$D$258,D209))</f>
        <v/>
      </c>
      <c r="L209" s="16" t="str">
        <f>IF(A209="","",IF(O209=1,SUMIF(Quotes!$C$9:$C$258,A209,Quotes!$AI$9:$AI$258),0))</f>
        <v/>
      </c>
      <c r="M209" s="16" t="str">
        <f>IF(A209="","",IF(O209=1,SUMIF(Quotes!$C$9:$C$258,A209,Quotes!$AJ$9:$AJ$258),0))</f>
        <v/>
      </c>
      <c r="N209" s="14"/>
      <c r="O209" s="14" t="str">
        <f>IF(A209="","",IF(COUNTIF($A$9:A209,A209)=1,1,0))</f>
        <v/>
      </c>
      <c r="P209" s="14" t="str">
        <f t="shared" si="6"/>
        <v/>
      </c>
      <c r="Q209" s="14" t="str">
        <f t="shared" si="7"/>
        <v/>
      </c>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row>
    <row r="210" spans="1:44" ht="48" customHeight="1" x14ac:dyDescent="0.35">
      <c r="A210" s="18"/>
      <c r="B210" s="15"/>
      <c r="C210" s="15"/>
      <c r="D210" s="18"/>
      <c r="E210" s="15"/>
      <c r="F210" s="15"/>
      <c r="G210" s="36"/>
      <c r="H210" s="15"/>
      <c r="I210" s="15"/>
      <c r="J210" s="18" t="str">
        <f>IF(A210="","",IFERROR(HYPERLINK("#'Supplier Jobs'!A"&amp;(MATCH(A210,'Supplier Jobs'!$N$9:$N$258,0)+8),"JOBS / QUOTES"),"No quotes"))</f>
        <v/>
      </c>
      <c r="K210" s="18" t="str">
        <f>IF(A210="","",COUNTIF(Quotes!$D$9:$D$258,D210))</f>
        <v/>
      </c>
      <c r="L210" s="19" t="str">
        <f>IF(A210="","",IF(O210=1,SUMIF(Quotes!$C$9:$C$258,A210,Quotes!$AI$9:$AI$258),0))</f>
        <v/>
      </c>
      <c r="M210" s="19" t="str">
        <f>IF(A210="","",IF(O210=1,SUMIF(Quotes!$C$9:$C$258,A210,Quotes!$AJ$9:$AJ$258),0))</f>
        <v/>
      </c>
      <c r="N210" s="18"/>
      <c r="O210" s="18" t="str">
        <f>IF(A210="","",IF(COUNTIF($A$9:A210,A210)=1,1,0))</f>
        <v/>
      </c>
      <c r="P210" s="18" t="str">
        <f t="shared" si="6"/>
        <v/>
      </c>
      <c r="Q210" s="18" t="str">
        <f t="shared" si="7"/>
        <v/>
      </c>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row>
    <row r="211" spans="1:44" ht="48" customHeight="1" x14ac:dyDescent="0.35">
      <c r="A211" s="14"/>
      <c r="B211" s="15"/>
      <c r="C211" s="15"/>
      <c r="D211" s="14"/>
      <c r="E211" s="15"/>
      <c r="F211" s="15"/>
      <c r="G211" s="36"/>
      <c r="H211" s="15"/>
      <c r="I211" s="15"/>
      <c r="J211" s="14" t="str">
        <f>IF(A211="","",IFERROR(HYPERLINK("#'Supplier Jobs'!A"&amp;(MATCH(A211,'Supplier Jobs'!$N$9:$N$258,0)+8),"JOBS / QUOTES"),"No quotes"))</f>
        <v/>
      </c>
      <c r="K211" s="14" t="str">
        <f>IF(A211="","",COUNTIF(Quotes!$D$9:$D$258,D211))</f>
        <v/>
      </c>
      <c r="L211" s="16" t="str">
        <f>IF(A211="","",IF(O211=1,SUMIF(Quotes!$C$9:$C$258,A211,Quotes!$AI$9:$AI$258),0))</f>
        <v/>
      </c>
      <c r="M211" s="16" t="str">
        <f>IF(A211="","",IF(O211=1,SUMIF(Quotes!$C$9:$C$258,A211,Quotes!$AJ$9:$AJ$258),0))</f>
        <v/>
      </c>
      <c r="N211" s="14"/>
      <c r="O211" s="14" t="str">
        <f>IF(A211="","",IF(COUNTIF($A$9:A211,A211)=1,1,0))</f>
        <v/>
      </c>
      <c r="P211" s="14" t="str">
        <f t="shared" si="6"/>
        <v/>
      </c>
      <c r="Q211" s="14" t="str">
        <f t="shared" si="7"/>
        <v/>
      </c>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row>
    <row r="212" spans="1:44" ht="48" customHeight="1" x14ac:dyDescent="0.35">
      <c r="A212" s="18"/>
      <c r="B212" s="15"/>
      <c r="C212" s="15"/>
      <c r="D212" s="18"/>
      <c r="E212" s="15"/>
      <c r="F212" s="15"/>
      <c r="G212" s="36"/>
      <c r="H212" s="15"/>
      <c r="I212" s="15"/>
      <c r="J212" s="18" t="str">
        <f>IF(A212="","",IFERROR(HYPERLINK("#'Supplier Jobs'!A"&amp;(MATCH(A212,'Supplier Jobs'!$N$9:$N$258,0)+8),"JOBS / QUOTES"),"No quotes"))</f>
        <v/>
      </c>
      <c r="K212" s="18" t="str">
        <f>IF(A212="","",COUNTIF(Quotes!$D$9:$D$258,D212))</f>
        <v/>
      </c>
      <c r="L212" s="19" t="str">
        <f>IF(A212="","",IF(O212=1,SUMIF(Quotes!$C$9:$C$258,A212,Quotes!$AI$9:$AI$258),0))</f>
        <v/>
      </c>
      <c r="M212" s="19" t="str">
        <f>IF(A212="","",IF(O212=1,SUMIF(Quotes!$C$9:$C$258,A212,Quotes!$AJ$9:$AJ$258),0))</f>
        <v/>
      </c>
      <c r="N212" s="18"/>
      <c r="O212" s="18" t="str">
        <f>IF(A212="","",IF(COUNTIF($A$9:A212,A212)=1,1,0))</f>
        <v/>
      </c>
      <c r="P212" s="18" t="str">
        <f t="shared" si="6"/>
        <v/>
      </c>
      <c r="Q212" s="18" t="str">
        <f t="shared" si="7"/>
        <v/>
      </c>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row>
    <row r="213" spans="1:44" ht="48" customHeight="1" x14ac:dyDescent="0.35">
      <c r="A213" s="14"/>
      <c r="B213" s="15"/>
      <c r="C213" s="15"/>
      <c r="D213" s="14"/>
      <c r="E213" s="15"/>
      <c r="F213" s="15"/>
      <c r="G213" s="36"/>
      <c r="H213" s="15"/>
      <c r="I213" s="15"/>
      <c r="J213" s="14" t="str">
        <f>IF(A213="","",IFERROR(HYPERLINK("#'Supplier Jobs'!A"&amp;(MATCH(A213,'Supplier Jobs'!$N$9:$N$258,0)+8),"JOBS / QUOTES"),"No quotes"))</f>
        <v/>
      </c>
      <c r="K213" s="14" t="str">
        <f>IF(A213="","",COUNTIF(Quotes!$D$9:$D$258,D213))</f>
        <v/>
      </c>
      <c r="L213" s="16" t="str">
        <f>IF(A213="","",IF(O213=1,SUMIF(Quotes!$C$9:$C$258,A213,Quotes!$AI$9:$AI$258),0))</f>
        <v/>
      </c>
      <c r="M213" s="16" t="str">
        <f>IF(A213="","",IF(O213=1,SUMIF(Quotes!$C$9:$C$258,A213,Quotes!$AJ$9:$AJ$258),0))</f>
        <v/>
      </c>
      <c r="N213" s="14"/>
      <c r="O213" s="14" t="str">
        <f>IF(A213="","",IF(COUNTIF($A$9:A213,A213)=1,1,0))</f>
        <v/>
      </c>
      <c r="P213" s="14" t="str">
        <f t="shared" si="6"/>
        <v/>
      </c>
      <c r="Q213" s="14" t="str">
        <f t="shared" si="7"/>
        <v/>
      </c>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row>
    <row r="214" spans="1:44" ht="48" customHeight="1" x14ac:dyDescent="0.35">
      <c r="A214" s="18"/>
      <c r="B214" s="15"/>
      <c r="C214" s="15"/>
      <c r="D214" s="18"/>
      <c r="E214" s="15"/>
      <c r="F214" s="15"/>
      <c r="G214" s="36"/>
      <c r="H214" s="15"/>
      <c r="I214" s="15"/>
      <c r="J214" s="18" t="str">
        <f>IF(A214="","",IFERROR(HYPERLINK("#'Supplier Jobs'!A"&amp;(MATCH(A214,'Supplier Jobs'!$N$9:$N$258,0)+8),"JOBS / QUOTES"),"No quotes"))</f>
        <v/>
      </c>
      <c r="K214" s="18" t="str">
        <f>IF(A214="","",COUNTIF(Quotes!$D$9:$D$258,D214))</f>
        <v/>
      </c>
      <c r="L214" s="19" t="str">
        <f>IF(A214="","",IF(O214=1,SUMIF(Quotes!$C$9:$C$258,A214,Quotes!$AI$9:$AI$258),0))</f>
        <v/>
      </c>
      <c r="M214" s="19" t="str">
        <f>IF(A214="","",IF(O214=1,SUMIF(Quotes!$C$9:$C$258,A214,Quotes!$AJ$9:$AJ$258),0))</f>
        <v/>
      </c>
      <c r="N214" s="18"/>
      <c r="O214" s="18" t="str">
        <f>IF(A214="","",IF(COUNTIF($A$9:A214,A214)=1,1,0))</f>
        <v/>
      </c>
      <c r="P214" s="18" t="str">
        <f t="shared" si="6"/>
        <v/>
      </c>
      <c r="Q214" s="18" t="str">
        <f t="shared" si="7"/>
        <v/>
      </c>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row>
    <row r="215" spans="1:44" ht="48" customHeight="1" x14ac:dyDescent="0.35">
      <c r="A215" s="14"/>
      <c r="B215" s="15"/>
      <c r="C215" s="15"/>
      <c r="D215" s="14"/>
      <c r="E215" s="15"/>
      <c r="F215" s="15"/>
      <c r="G215" s="36"/>
      <c r="H215" s="15"/>
      <c r="I215" s="15"/>
      <c r="J215" s="14" t="str">
        <f>IF(A215="","",IFERROR(HYPERLINK("#'Supplier Jobs'!A"&amp;(MATCH(A215,'Supplier Jobs'!$N$9:$N$258,0)+8),"JOBS / QUOTES"),"No quotes"))</f>
        <v/>
      </c>
      <c r="K215" s="14" t="str">
        <f>IF(A215="","",COUNTIF(Quotes!$D$9:$D$258,D215))</f>
        <v/>
      </c>
      <c r="L215" s="16" t="str">
        <f>IF(A215="","",IF(O215=1,SUMIF(Quotes!$C$9:$C$258,A215,Quotes!$AI$9:$AI$258),0))</f>
        <v/>
      </c>
      <c r="M215" s="16" t="str">
        <f>IF(A215="","",IF(O215=1,SUMIF(Quotes!$C$9:$C$258,A215,Quotes!$AJ$9:$AJ$258),0))</f>
        <v/>
      </c>
      <c r="N215" s="14"/>
      <c r="O215" s="14" t="str">
        <f>IF(A215="","",IF(COUNTIF($A$9:A215,A215)=1,1,0))</f>
        <v/>
      </c>
      <c r="P215" s="14" t="str">
        <f t="shared" si="6"/>
        <v/>
      </c>
      <c r="Q215" s="14" t="str">
        <f t="shared" si="7"/>
        <v/>
      </c>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row>
    <row r="216" spans="1:44" ht="48" customHeight="1" x14ac:dyDescent="0.35">
      <c r="A216" s="18"/>
      <c r="B216" s="15"/>
      <c r="C216" s="15"/>
      <c r="D216" s="18"/>
      <c r="E216" s="15"/>
      <c r="F216" s="15"/>
      <c r="G216" s="36"/>
      <c r="H216" s="15"/>
      <c r="I216" s="15"/>
      <c r="J216" s="18" t="str">
        <f>IF(A216="","",IFERROR(HYPERLINK("#'Supplier Jobs'!A"&amp;(MATCH(A216,'Supplier Jobs'!$N$9:$N$258,0)+8),"JOBS / QUOTES"),"No quotes"))</f>
        <v/>
      </c>
      <c r="K216" s="18" t="str">
        <f>IF(A216="","",COUNTIF(Quotes!$D$9:$D$258,D216))</f>
        <v/>
      </c>
      <c r="L216" s="19" t="str">
        <f>IF(A216="","",IF(O216=1,SUMIF(Quotes!$C$9:$C$258,A216,Quotes!$AI$9:$AI$258),0))</f>
        <v/>
      </c>
      <c r="M216" s="19" t="str">
        <f>IF(A216="","",IF(O216=1,SUMIF(Quotes!$C$9:$C$258,A216,Quotes!$AJ$9:$AJ$258),0))</f>
        <v/>
      </c>
      <c r="N216" s="18"/>
      <c r="O216" s="18" t="str">
        <f>IF(A216="","",IF(COUNTIF($A$9:A216,A216)=1,1,0))</f>
        <v/>
      </c>
      <c r="P216" s="18" t="str">
        <f t="shared" si="6"/>
        <v/>
      </c>
      <c r="Q216" s="18" t="str">
        <f t="shared" si="7"/>
        <v/>
      </c>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row>
    <row r="217" spans="1:44" ht="48" customHeight="1" x14ac:dyDescent="0.35">
      <c r="A217" s="14"/>
      <c r="B217" s="15"/>
      <c r="C217" s="15"/>
      <c r="D217" s="14"/>
      <c r="E217" s="15"/>
      <c r="F217" s="15"/>
      <c r="G217" s="36"/>
      <c r="H217" s="15"/>
      <c r="I217" s="15"/>
      <c r="J217" s="14" t="str">
        <f>IF(A217="","",IFERROR(HYPERLINK("#'Supplier Jobs'!A"&amp;(MATCH(A217,'Supplier Jobs'!$N$9:$N$258,0)+8),"JOBS / QUOTES"),"No quotes"))</f>
        <v/>
      </c>
      <c r="K217" s="14" t="str">
        <f>IF(A217="","",COUNTIF(Quotes!$D$9:$D$258,D217))</f>
        <v/>
      </c>
      <c r="L217" s="16" t="str">
        <f>IF(A217="","",IF(O217=1,SUMIF(Quotes!$C$9:$C$258,A217,Quotes!$AI$9:$AI$258),0))</f>
        <v/>
      </c>
      <c r="M217" s="16" t="str">
        <f>IF(A217="","",IF(O217=1,SUMIF(Quotes!$C$9:$C$258,A217,Quotes!$AJ$9:$AJ$258),0))</f>
        <v/>
      </c>
      <c r="N217" s="14"/>
      <c r="O217" s="14" t="str">
        <f>IF(A217="","",IF(COUNTIF($A$9:A217,A217)=1,1,0))</f>
        <v/>
      </c>
      <c r="P217" s="14" t="str">
        <f t="shared" si="6"/>
        <v/>
      </c>
      <c r="Q217" s="14" t="str">
        <f t="shared" si="7"/>
        <v/>
      </c>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row>
    <row r="218" spans="1:44" ht="48" customHeight="1" x14ac:dyDescent="0.35">
      <c r="A218" s="18"/>
      <c r="B218" s="15"/>
      <c r="C218" s="15"/>
      <c r="D218" s="18"/>
      <c r="E218" s="15"/>
      <c r="F218" s="15"/>
      <c r="G218" s="36"/>
      <c r="H218" s="15"/>
      <c r="I218" s="15"/>
      <c r="J218" s="18" t="str">
        <f>IF(A218="","",IFERROR(HYPERLINK("#'Supplier Jobs'!A"&amp;(MATCH(A218,'Supplier Jobs'!$N$9:$N$258,0)+8),"JOBS / QUOTES"),"No quotes"))</f>
        <v/>
      </c>
      <c r="K218" s="18" t="str">
        <f>IF(A218="","",COUNTIF(Quotes!$D$9:$D$258,D218))</f>
        <v/>
      </c>
      <c r="L218" s="19" t="str">
        <f>IF(A218="","",IF(O218=1,SUMIF(Quotes!$C$9:$C$258,A218,Quotes!$AI$9:$AI$258),0))</f>
        <v/>
      </c>
      <c r="M218" s="19" t="str">
        <f>IF(A218="","",IF(O218=1,SUMIF(Quotes!$C$9:$C$258,A218,Quotes!$AJ$9:$AJ$258),0))</f>
        <v/>
      </c>
      <c r="N218" s="18"/>
      <c r="O218" s="18" t="str">
        <f>IF(A218="","",IF(COUNTIF($A$9:A218,A218)=1,1,0))</f>
        <v/>
      </c>
      <c r="P218" s="18" t="str">
        <f t="shared" si="6"/>
        <v/>
      </c>
      <c r="Q218" s="18" t="str">
        <f t="shared" si="7"/>
        <v/>
      </c>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row>
    <row r="219" spans="1:44" ht="48" customHeight="1" x14ac:dyDescent="0.35">
      <c r="A219" s="14"/>
      <c r="B219" s="15"/>
      <c r="C219" s="15"/>
      <c r="D219" s="14"/>
      <c r="E219" s="15"/>
      <c r="F219" s="15"/>
      <c r="G219" s="36"/>
      <c r="H219" s="15"/>
      <c r="I219" s="15"/>
      <c r="J219" s="14" t="str">
        <f>IF(A219="","",IFERROR(HYPERLINK("#'Supplier Jobs'!A"&amp;(MATCH(A219,'Supplier Jobs'!$N$9:$N$258,0)+8),"JOBS / QUOTES"),"No quotes"))</f>
        <v/>
      </c>
      <c r="K219" s="14" t="str">
        <f>IF(A219="","",COUNTIF(Quotes!$D$9:$D$258,D219))</f>
        <v/>
      </c>
      <c r="L219" s="16" t="str">
        <f>IF(A219="","",IF(O219=1,SUMIF(Quotes!$C$9:$C$258,A219,Quotes!$AI$9:$AI$258),0))</f>
        <v/>
      </c>
      <c r="M219" s="16" t="str">
        <f>IF(A219="","",IF(O219=1,SUMIF(Quotes!$C$9:$C$258,A219,Quotes!$AJ$9:$AJ$258),0))</f>
        <v/>
      </c>
      <c r="N219" s="14"/>
      <c r="O219" s="14" t="str">
        <f>IF(A219="","",IF(COUNTIF($A$9:A219,A219)=1,1,0))</f>
        <v/>
      </c>
      <c r="P219" s="14" t="str">
        <f t="shared" si="6"/>
        <v/>
      </c>
      <c r="Q219" s="14" t="str">
        <f t="shared" si="7"/>
        <v/>
      </c>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row>
    <row r="220" spans="1:44" ht="48" customHeight="1" x14ac:dyDescent="0.35">
      <c r="A220" s="18"/>
      <c r="B220" s="15"/>
      <c r="C220" s="15"/>
      <c r="D220" s="18"/>
      <c r="E220" s="15"/>
      <c r="F220" s="15"/>
      <c r="G220" s="36"/>
      <c r="H220" s="15"/>
      <c r="I220" s="15"/>
      <c r="J220" s="18" t="str">
        <f>IF(A220="","",IFERROR(HYPERLINK("#'Supplier Jobs'!A"&amp;(MATCH(A220,'Supplier Jobs'!$N$9:$N$258,0)+8),"JOBS / QUOTES"),"No quotes"))</f>
        <v/>
      </c>
      <c r="K220" s="18" t="str">
        <f>IF(A220="","",COUNTIF(Quotes!$D$9:$D$258,D220))</f>
        <v/>
      </c>
      <c r="L220" s="19" t="str">
        <f>IF(A220="","",IF(O220=1,SUMIF(Quotes!$C$9:$C$258,A220,Quotes!$AI$9:$AI$258),0))</f>
        <v/>
      </c>
      <c r="M220" s="19" t="str">
        <f>IF(A220="","",IF(O220=1,SUMIF(Quotes!$C$9:$C$258,A220,Quotes!$AJ$9:$AJ$258),0))</f>
        <v/>
      </c>
      <c r="N220" s="18"/>
      <c r="O220" s="18" t="str">
        <f>IF(A220="","",IF(COUNTIF($A$9:A220,A220)=1,1,0))</f>
        <v/>
      </c>
      <c r="P220" s="18" t="str">
        <f t="shared" si="6"/>
        <v/>
      </c>
      <c r="Q220" s="18" t="str">
        <f t="shared" si="7"/>
        <v/>
      </c>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row>
    <row r="221" spans="1:44" ht="48" customHeight="1" x14ac:dyDescent="0.35">
      <c r="A221" s="14"/>
      <c r="B221" s="15"/>
      <c r="C221" s="15"/>
      <c r="D221" s="14"/>
      <c r="E221" s="15"/>
      <c r="F221" s="15"/>
      <c r="G221" s="36"/>
      <c r="H221" s="15"/>
      <c r="I221" s="15"/>
      <c r="J221" s="14" t="str">
        <f>IF(A221="","",IFERROR(HYPERLINK("#'Supplier Jobs'!A"&amp;(MATCH(A221,'Supplier Jobs'!$N$9:$N$258,0)+8),"JOBS / QUOTES"),"No quotes"))</f>
        <v/>
      </c>
      <c r="K221" s="14" t="str">
        <f>IF(A221="","",COUNTIF(Quotes!$D$9:$D$258,D221))</f>
        <v/>
      </c>
      <c r="L221" s="16" t="str">
        <f>IF(A221="","",IF(O221=1,SUMIF(Quotes!$C$9:$C$258,A221,Quotes!$AI$9:$AI$258),0))</f>
        <v/>
      </c>
      <c r="M221" s="16" t="str">
        <f>IF(A221="","",IF(O221=1,SUMIF(Quotes!$C$9:$C$258,A221,Quotes!$AJ$9:$AJ$258),0))</f>
        <v/>
      </c>
      <c r="N221" s="14"/>
      <c r="O221" s="14" t="str">
        <f>IF(A221="","",IF(COUNTIF($A$9:A221,A221)=1,1,0))</f>
        <v/>
      </c>
      <c r="P221" s="14" t="str">
        <f t="shared" si="6"/>
        <v/>
      </c>
      <c r="Q221" s="14" t="str">
        <f t="shared" si="7"/>
        <v/>
      </c>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row>
    <row r="222" spans="1:44" ht="48" customHeight="1" x14ac:dyDescent="0.35">
      <c r="A222" s="18"/>
      <c r="B222" s="15"/>
      <c r="C222" s="15"/>
      <c r="D222" s="18"/>
      <c r="E222" s="15"/>
      <c r="F222" s="15"/>
      <c r="G222" s="36"/>
      <c r="H222" s="15"/>
      <c r="I222" s="15"/>
      <c r="J222" s="18" t="str">
        <f>IF(A222="","",IFERROR(HYPERLINK("#'Supplier Jobs'!A"&amp;(MATCH(A222,'Supplier Jobs'!$N$9:$N$258,0)+8),"JOBS / QUOTES"),"No quotes"))</f>
        <v/>
      </c>
      <c r="K222" s="18" t="str">
        <f>IF(A222="","",COUNTIF(Quotes!$D$9:$D$258,D222))</f>
        <v/>
      </c>
      <c r="L222" s="19" t="str">
        <f>IF(A222="","",IF(O222=1,SUMIF(Quotes!$C$9:$C$258,A222,Quotes!$AI$9:$AI$258),0))</f>
        <v/>
      </c>
      <c r="M222" s="19" t="str">
        <f>IF(A222="","",IF(O222=1,SUMIF(Quotes!$C$9:$C$258,A222,Quotes!$AJ$9:$AJ$258),0))</f>
        <v/>
      </c>
      <c r="N222" s="18"/>
      <c r="O222" s="18" t="str">
        <f>IF(A222="","",IF(COUNTIF($A$9:A222,A222)=1,1,0))</f>
        <v/>
      </c>
      <c r="P222" s="18" t="str">
        <f t="shared" si="6"/>
        <v/>
      </c>
      <c r="Q222" s="18" t="str">
        <f t="shared" si="7"/>
        <v/>
      </c>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row>
    <row r="223" spans="1:44" ht="48" customHeight="1" x14ac:dyDescent="0.35">
      <c r="A223" s="14"/>
      <c r="B223" s="15"/>
      <c r="C223" s="15"/>
      <c r="D223" s="14"/>
      <c r="E223" s="15"/>
      <c r="F223" s="15"/>
      <c r="G223" s="36"/>
      <c r="H223" s="15"/>
      <c r="I223" s="15"/>
      <c r="J223" s="14" t="str">
        <f>IF(A223="","",IFERROR(HYPERLINK("#'Supplier Jobs'!A"&amp;(MATCH(A223,'Supplier Jobs'!$N$9:$N$258,0)+8),"JOBS / QUOTES"),"No quotes"))</f>
        <v/>
      </c>
      <c r="K223" s="14" t="str">
        <f>IF(A223="","",COUNTIF(Quotes!$D$9:$D$258,D223))</f>
        <v/>
      </c>
      <c r="L223" s="16" t="str">
        <f>IF(A223="","",IF(O223=1,SUMIF(Quotes!$C$9:$C$258,A223,Quotes!$AI$9:$AI$258),0))</f>
        <v/>
      </c>
      <c r="M223" s="16" t="str">
        <f>IF(A223="","",IF(O223=1,SUMIF(Quotes!$C$9:$C$258,A223,Quotes!$AJ$9:$AJ$258),0))</f>
        <v/>
      </c>
      <c r="N223" s="14"/>
      <c r="O223" s="14" t="str">
        <f>IF(A223="","",IF(COUNTIF($A$9:A223,A223)=1,1,0))</f>
        <v/>
      </c>
      <c r="P223" s="14" t="str">
        <f t="shared" si="6"/>
        <v/>
      </c>
      <c r="Q223" s="14" t="str">
        <f t="shared" si="7"/>
        <v/>
      </c>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row>
    <row r="224" spans="1:44" ht="48" customHeight="1" x14ac:dyDescent="0.35">
      <c r="A224" s="18"/>
      <c r="B224" s="15"/>
      <c r="C224" s="15"/>
      <c r="D224" s="18"/>
      <c r="E224" s="15"/>
      <c r="F224" s="15"/>
      <c r="G224" s="36"/>
      <c r="H224" s="15"/>
      <c r="I224" s="15"/>
      <c r="J224" s="18" t="str">
        <f>IF(A224="","",IFERROR(HYPERLINK("#'Supplier Jobs'!A"&amp;(MATCH(A224,'Supplier Jobs'!$N$9:$N$258,0)+8),"JOBS / QUOTES"),"No quotes"))</f>
        <v/>
      </c>
      <c r="K224" s="18" t="str">
        <f>IF(A224="","",COUNTIF(Quotes!$D$9:$D$258,D224))</f>
        <v/>
      </c>
      <c r="L224" s="19" t="str">
        <f>IF(A224="","",IF(O224=1,SUMIF(Quotes!$C$9:$C$258,A224,Quotes!$AI$9:$AI$258),0))</f>
        <v/>
      </c>
      <c r="M224" s="19" t="str">
        <f>IF(A224="","",IF(O224=1,SUMIF(Quotes!$C$9:$C$258,A224,Quotes!$AJ$9:$AJ$258),0))</f>
        <v/>
      </c>
      <c r="N224" s="18"/>
      <c r="O224" s="18" t="str">
        <f>IF(A224="","",IF(COUNTIF($A$9:A224,A224)=1,1,0))</f>
        <v/>
      </c>
      <c r="P224" s="18" t="str">
        <f t="shared" si="6"/>
        <v/>
      </c>
      <c r="Q224" s="18" t="str">
        <f t="shared" si="7"/>
        <v/>
      </c>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row>
    <row r="225" spans="1:44" ht="48" customHeight="1" x14ac:dyDescent="0.35">
      <c r="A225" s="14"/>
      <c r="B225" s="15"/>
      <c r="C225" s="15"/>
      <c r="D225" s="14"/>
      <c r="E225" s="15"/>
      <c r="F225" s="15"/>
      <c r="G225" s="36"/>
      <c r="H225" s="15"/>
      <c r="I225" s="15"/>
      <c r="J225" s="14" t="str">
        <f>IF(A225="","",IFERROR(HYPERLINK("#'Supplier Jobs'!A"&amp;(MATCH(A225,'Supplier Jobs'!$N$9:$N$258,0)+8),"JOBS / QUOTES"),"No quotes"))</f>
        <v/>
      </c>
      <c r="K225" s="14" t="str">
        <f>IF(A225="","",COUNTIF(Quotes!$D$9:$D$258,D225))</f>
        <v/>
      </c>
      <c r="L225" s="16" t="str">
        <f>IF(A225="","",IF(O225=1,SUMIF(Quotes!$C$9:$C$258,A225,Quotes!$AI$9:$AI$258),0))</f>
        <v/>
      </c>
      <c r="M225" s="16" t="str">
        <f>IF(A225="","",IF(O225=1,SUMIF(Quotes!$C$9:$C$258,A225,Quotes!$AJ$9:$AJ$258),0))</f>
        <v/>
      </c>
      <c r="N225" s="14"/>
      <c r="O225" s="14" t="str">
        <f>IF(A225="","",IF(COUNTIF($A$9:A225,A225)=1,1,0))</f>
        <v/>
      </c>
      <c r="P225" s="14" t="str">
        <f t="shared" si="6"/>
        <v/>
      </c>
      <c r="Q225" s="14" t="str">
        <f t="shared" si="7"/>
        <v/>
      </c>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row>
    <row r="226" spans="1:44" ht="48" customHeight="1" x14ac:dyDescent="0.35">
      <c r="A226" s="18"/>
      <c r="B226" s="15"/>
      <c r="C226" s="15"/>
      <c r="D226" s="18"/>
      <c r="E226" s="15"/>
      <c r="F226" s="15"/>
      <c r="G226" s="36"/>
      <c r="H226" s="15"/>
      <c r="I226" s="15"/>
      <c r="J226" s="18" t="str">
        <f>IF(A226="","",IFERROR(HYPERLINK("#'Supplier Jobs'!A"&amp;(MATCH(A226,'Supplier Jobs'!$N$9:$N$258,0)+8),"JOBS / QUOTES"),"No quotes"))</f>
        <v/>
      </c>
      <c r="K226" s="18" t="str">
        <f>IF(A226="","",COUNTIF(Quotes!$D$9:$D$258,D226))</f>
        <v/>
      </c>
      <c r="L226" s="19" t="str">
        <f>IF(A226="","",IF(O226=1,SUMIF(Quotes!$C$9:$C$258,A226,Quotes!$AI$9:$AI$258),0))</f>
        <v/>
      </c>
      <c r="M226" s="19" t="str">
        <f>IF(A226="","",IF(O226=1,SUMIF(Quotes!$C$9:$C$258,A226,Quotes!$AJ$9:$AJ$258),0))</f>
        <v/>
      </c>
      <c r="N226" s="18"/>
      <c r="O226" s="18" t="str">
        <f>IF(A226="","",IF(COUNTIF($A$9:A226,A226)=1,1,0))</f>
        <v/>
      </c>
      <c r="P226" s="18" t="str">
        <f t="shared" si="6"/>
        <v/>
      </c>
      <c r="Q226" s="18" t="str">
        <f t="shared" si="7"/>
        <v/>
      </c>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row>
    <row r="227" spans="1:44" ht="48" customHeight="1" x14ac:dyDescent="0.35">
      <c r="A227" s="14"/>
      <c r="B227" s="15"/>
      <c r="C227" s="15"/>
      <c r="D227" s="14"/>
      <c r="E227" s="15"/>
      <c r="F227" s="15"/>
      <c r="G227" s="36"/>
      <c r="H227" s="15"/>
      <c r="I227" s="15"/>
      <c r="J227" s="14" t="str">
        <f>IF(A227="","",IFERROR(HYPERLINK("#'Supplier Jobs'!A"&amp;(MATCH(A227,'Supplier Jobs'!$N$9:$N$258,0)+8),"JOBS / QUOTES"),"No quotes"))</f>
        <v/>
      </c>
      <c r="K227" s="14" t="str">
        <f>IF(A227="","",COUNTIF(Quotes!$D$9:$D$258,D227))</f>
        <v/>
      </c>
      <c r="L227" s="16" t="str">
        <f>IF(A227="","",IF(O227=1,SUMIF(Quotes!$C$9:$C$258,A227,Quotes!$AI$9:$AI$258),0))</f>
        <v/>
      </c>
      <c r="M227" s="16" t="str">
        <f>IF(A227="","",IF(O227=1,SUMIF(Quotes!$C$9:$C$258,A227,Quotes!$AJ$9:$AJ$258),0))</f>
        <v/>
      </c>
      <c r="N227" s="14"/>
      <c r="O227" s="14" t="str">
        <f>IF(A227="","",IF(COUNTIF($A$9:A227,A227)=1,1,0))</f>
        <v/>
      </c>
      <c r="P227" s="14" t="str">
        <f t="shared" si="6"/>
        <v/>
      </c>
      <c r="Q227" s="14" t="str">
        <f t="shared" si="7"/>
        <v/>
      </c>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row>
    <row r="228" spans="1:44" ht="48" customHeight="1" x14ac:dyDescent="0.35">
      <c r="A228" s="18"/>
      <c r="B228" s="15"/>
      <c r="C228" s="15"/>
      <c r="D228" s="18"/>
      <c r="E228" s="15"/>
      <c r="F228" s="15"/>
      <c r="G228" s="36"/>
      <c r="H228" s="15"/>
      <c r="I228" s="15"/>
      <c r="J228" s="18" t="str">
        <f>IF(A228="","",IFERROR(HYPERLINK("#'Supplier Jobs'!A"&amp;(MATCH(A228,'Supplier Jobs'!$N$9:$N$258,0)+8),"JOBS / QUOTES"),"No quotes"))</f>
        <v/>
      </c>
      <c r="K228" s="18" t="str">
        <f>IF(A228="","",COUNTIF(Quotes!$D$9:$D$258,D228))</f>
        <v/>
      </c>
      <c r="L228" s="19" t="str">
        <f>IF(A228="","",IF(O228=1,SUMIF(Quotes!$C$9:$C$258,A228,Quotes!$AI$9:$AI$258),0))</f>
        <v/>
      </c>
      <c r="M228" s="19" t="str">
        <f>IF(A228="","",IF(O228=1,SUMIF(Quotes!$C$9:$C$258,A228,Quotes!$AJ$9:$AJ$258),0))</f>
        <v/>
      </c>
      <c r="N228" s="18"/>
      <c r="O228" s="18" t="str">
        <f>IF(A228="","",IF(COUNTIF($A$9:A228,A228)=1,1,0))</f>
        <v/>
      </c>
      <c r="P228" s="18" t="str">
        <f t="shared" si="6"/>
        <v/>
      </c>
      <c r="Q228" s="18" t="str">
        <f t="shared" si="7"/>
        <v/>
      </c>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row>
    <row r="229" spans="1:44" ht="48" customHeight="1" x14ac:dyDescent="0.35">
      <c r="A229" s="14"/>
      <c r="B229" s="15"/>
      <c r="C229" s="15"/>
      <c r="D229" s="14"/>
      <c r="E229" s="15"/>
      <c r="F229" s="15"/>
      <c r="G229" s="36"/>
      <c r="H229" s="15"/>
      <c r="I229" s="15"/>
      <c r="J229" s="14" t="str">
        <f>IF(A229="","",IFERROR(HYPERLINK("#'Supplier Jobs'!A"&amp;(MATCH(A229,'Supplier Jobs'!$N$9:$N$258,0)+8),"JOBS / QUOTES"),"No quotes"))</f>
        <v/>
      </c>
      <c r="K229" s="14" t="str">
        <f>IF(A229="","",COUNTIF(Quotes!$D$9:$D$258,D229))</f>
        <v/>
      </c>
      <c r="L229" s="16" t="str">
        <f>IF(A229="","",IF(O229=1,SUMIF(Quotes!$C$9:$C$258,A229,Quotes!$AI$9:$AI$258),0))</f>
        <v/>
      </c>
      <c r="M229" s="16" t="str">
        <f>IF(A229="","",IF(O229=1,SUMIF(Quotes!$C$9:$C$258,A229,Quotes!$AJ$9:$AJ$258),0))</f>
        <v/>
      </c>
      <c r="N229" s="14"/>
      <c r="O229" s="14" t="str">
        <f>IF(A229="","",IF(COUNTIF($A$9:A229,A229)=1,1,0))</f>
        <v/>
      </c>
      <c r="P229" s="14" t="str">
        <f t="shared" si="6"/>
        <v/>
      </c>
      <c r="Q229" s="14" t="str">
        <f t="shared" si="7"/>
        <v/>
      </c>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row>
    <row r="230" spans="1:44" ht="48" customHeight="1" x14ac:dyDescent="0.35">
      <c r="A230" s="18"/>
      <c r="B230" s="15"/>
      <c r="C230" s="15"/>
      <c r="D230" s="18"/>
      <c r="E230" s="15"/>
      <c r="F230" s="15"/>
      <c r="G230" s="36"/>
      <c r="H230" s="15"/>
      <c r="I230" s="15"/>
      <c r="J230" s="18" t="str">
        <f>IF(A230="","",IFERROR(HYPERLINK("#'Supplier Jobs'!A"&amp;(MATCH(A230,'Supplier Jobs'!$N$9:$N$258,0)+8),"JOBS / QUOTES"),"No quotes"))</f>
        <v/>
      </c>
      <c r="K230" s="18" t="str">
        <f>IF(A230="","",COUNTIF(Quotes!$D$9:$D$258,D230))</f>
        <v/>
      </c>
      <c r="L230" s="19" t="str">
        <f>IF(A230="","",IF(O230=1,SUMIF(Quotes!$C$9:$C$258,A230,Quotes!$AI$9:$AI$258),0))</f>
        <v/>
      </c>
      <c r="M230" s="19" t="str">
        <f>IF(A230="","",IF(O230=1,SUMIF(Quotes!$C$9:$C$258,A230,Quotes!$AJ$9:$AJ$258),0))</f>
        <v/>
      </c>
      <c r="N230" s="18"/>
      <c r="O230" s="18" t="str">
        <f>IF(A230="","",IF(COUNTIF($A$9:A230,A230)=1,1,0))</f>
        <v/>
      </c>
      <c r="P230" s="18" t="str">
        <f t="shared" si="6"/>
        <v/>
      </c>
      <c r="Q230" s="18" t="str">
        <f t="shared" si="7"/>
        <v/>
      </c>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row>
    <row r="231" spans="1:44" ht="48" customHeight="1" x14ac:dyDescent="0.35">
      <c r="A231" s="14"/>
      <c r="B231" s="15"/>
      <c r="C231" s="15"/>
      <c r="D231" s="14"/>
      <c r="E231" s="15"/>
      <c r="F231" s="15"/>
      <c r="G231" s="36"/>
      <c r="H231" s="15"/>
      <c r="I231" s="15"/>
      <c r="J231" s="14" t="str">
        <f>IF(A231="","",IFERROR(HYPERLINK("#'Supplier Jobs'!A"&amp;(MATCH(A231,'Supplier Jobs'!$N$9:$N$258,0)+8),"JOBS / QUOTES"),"No quotes"))</f>
        <v/>
      </c>
      <c r="K231" s="14" t="str">
        <f>IF(A231="","",COUNTIF(Quotes!$D$9:$D$258,D231))</f>
        <v/>
      </c>
      <c r="L231" s="16" t="str">
        <f>IF(A231="","",IF(O231=1,SUMIF(Quotes!$C$9:$C$258,A231,Quotes!$AI$9:$AI$258),0))</f>
        <v/>
      </c>
      <c r="M231" s="16" t="str">
        <f>IF(A231="","",IF(O231=1,SUMIF(Quotes!$C$9:$C$258,A231,Quotes!$AJ$9:$AJ$258),0))</f>
        <v/>
      </c>
      <c r="N231" s="14"/>
      <c r="O231" s="14" t="str">
        <f>IF(A231="","",IF(COUNTIF($A$9:A231,A231)=1,1,0))</f>
        <v/>
      </c>
      <c r="P231" s="14" t="str">
        <f t="shared" si="6"/>
        <v/>
      </c>
      <c r="Q231" s="14" t="str">
        <f t="shared" si="7"/>
        <v/>
      </c>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row>
    <row r="232" spans="1:44" ht="48" customHeight="1" x14ac:dyDescent="0.35">
      <c r="A232" s="18"/>
      <c r="B232" s="15"/>
      <c r="C232" s="15"/>
      <c r="D232" s="18"/>
      <c r="E232" s="15"/>
      <c r="F232" s="15"/>
      <c r="G232" s="36"/>
      <c r="H232" s="15"/>
      <c r="I232" s="15"/>
      <c r="J232" s="18" t="str">
        <f>IF(A232="","",IFERROR(HYPERLINK("#'Supplier Jobs'!A"&amp;(MATCH(A232,'Supplier Jobs'!$N$9:$N$258,0)+8),"JOBS / QUOTES"),"No quotes"))</f>
        <v/>
      </c>
      <c r="K232" s="18" t="str">
        <f>IF(A232="","",COUNTIF(Quotes!$D$9:$D$258,D232))</f>
        <v/>
      </c>
      <c r="L232" s="19" t="str">
        <f>IF(A232="","",IF(O232=1,SUMIF(Quotes!$C$9:$C$258,A232,Quotes!$AI$9:$AI$258),0))</f>
        <v/>
      </c>
      <c r="M232" s="19" t="str">
        <f>IF(A232="","",IF(O232=1,SUMIF(Quotes!$C$9:$C$258,A232,Quotes!$AJ$9:$AJ$258),0))</f>
        <v/>
      </c>
      <c r="N232" s="18"/>
      <c r="O232" s="18" t="str">
        <f>IF(A232="","",IF(COUNTIF($A$9:A232,A232)=1,1,0))</f>
        <v/>
      </c>
      <c r="P232" s="18" t="str">
        <f t="shared" si="6"/>
        <v/>
      </c>
      <c r="Q232" s="18" t="str">
        <f t="shared" si="7"/>
        <v/>
      </c>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row>
    <row r="233" spans="1:44" ht="48" customHeight="1" x14ac:dyDescent="0.35">
      <c r="A233" s="14"/>
      <c r="B233" s="15"/>
      <c r="C233" s="15"/>
      <c r="D233" s="14"/>
      <c r="E233" s="15"/>
      <c r="F233" s="15"/>
      <c r="G233" s="36"/>
      <c r="H233" s="15"/>
      <c r="I233" s="15"/>
      <c r="J233" s="14" t="str">
        <f>IF(A233="","",IFERROR(HYPERLINK("#'Supplier Jobs'!A"&amp;(MATCH(A233,'Supplier Jobs'!$N$9:$N$258,0)+8),"JOBS / QUOTES"),"No quotes"))</f>
        <v/>
      </c>
      <c r="K233" s="14" t="str">
        <f>IF(A233="","",COUNTIF(Quotes!$D$9:$D$258,D233))</f>
        <v/>
      </c>
      <c r="L233" s="16" t="str">
        <f>IF(A233="","",IF(O233=1,SUMIF(Quotes!$C$9:$C$258,A233,Quotes!$AI$9:$AI$258),0))</f>
        <v/>
      </c>
      <c r="M233" s="16" t="str">
        <f>IF(A233="","",IF(O233=1,SUMIF(Quotes!$C$9:$C$258,A233,Quotes!$AJ$9:$AJ$258),0))</f>
        <v/>
      </c>
      <c r="N233" s="14"/>
      <c r="O233" s="14" t="str">
        <f>IF(A233="","",IF(COUNTIF($A$9:A233,A233)=1,1,0))</f>
        <v/>
      </c>
      <c r="P233" s="14" t="str">
        <f t="shared" si="6"/>
        <v/>
      </c>
      <c r="Q233" s="14" t="str">
        <f t="shared" si="7"/>
        <v/>
      </c>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row>
    <row r="234" spans="1:44" ht="48" customHeight="1" x14ac:dyDescent="0.35">
      <c r="A234" s="18"/>
      <c r="B234" s="15"/>
      <c r="C234" s="15"/>
      <c r="D234" s="18"/>
      <c r="E234" s="15"/>
      <c r="F234" s="15"/>
      <c r="G234" s="36"/>
      <c r="H234" s="15"/>
      <c r="I234" s="15"/>
      <c r="J234" s="18" t="str">
        <f>IF(A234="","",IFERROR(HYPERLINK("#'Supplier Jobs'!A"&amp;(MATCH(A234,'Supplier Jobs'!$N$9:$N$258,0)+8),"JOBS / QUOTES"),"No quotes"))</f>
        <v/>
      </c>
      <c r="K234" s="18" t="str">
        <f>IF(A234="","",COUNTIF(Quotes!$D$9:$D$258,D234))</f>
        <v/>
      </c>
      <c r="L234" s="19" t="str">
        <f>IF(A234="","",IF(O234=1,SUMIF(Quotes!$C$9:$C$258,A234,Quotes!$AI$9:$AI$258),0))</f>
        <v/>
      </c>
      <c r="M234" s="19" t="str">
        <f>IF(A234="","",IF(O234=1,SUMIF(Quotes!$C$9:$C$258,A234,Quotes!$AJ$9:$AJ$258),0))</f>
        <v/>
      </c>
      <c r="N234" s="18"/>
      <c r="O234" s="18" t="str">
        <f>IF(A234="","",IF(COUNTIF($A$9:A234,A234)=1,1,0))</f>
        <v/>
      </c>
      <c r="P234" s="18" t="str">
        <f t="shared" si="6"/>
        <v/>
      </c>
      <c r="Q234" s="18" t="str">
        <f t="shared" si="7"/>
        <v/>
      </c>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row>
    <row r="235" spans="1:44" ht="48" customHeight="1" x14ac:dyDescent="0.35">
      <c r="A235" s="14"/>
      <c r="B235" s="15"/>
      <c r="C235" s="15"/>
      <c r="D235" s="14"/>
      <c r="E235" s="15"/>
      <c r="F235" s="15"/>
      <c r="G235" s="36"/>
      <c r="H235" s="15"/>
      <c r="I235" s="15"/>
      <c r="J235" s="14" t="str">
        <f>IF(A235="","",IFERROR(HYPERLINK("#'Supplier Jobs'!A"&amp;(MATCH(A235,'Supplier Jobs'!$N$9:$N$258,0)+8),"JOBS / QUOTES"),"No quotes"))</f>
        <v/>
      </c>
      <c r="K235" s="14" t="str">
        <f>IF(A235="","",COUNTIF(Quotes!$D$9:$D$258,D235))</f>
        <v/>
      </c>
      <c r="L235" s="16" t="str">
        <f>IF(A235="","",IF(O235=1,SUMIF(Quotes!$C$9:$C$258,A235,Quotes!$AI$9:$AI$258),0))</f>
        <v/>
      </c>
      <c r="M235" s="16" t="str">
        <f>IF(A235="","",IF(O235=1,SUMIF(Quotes!$C$9:$C$258,A235,Quotes!$AJ$9:$AJ$258),0))</f>
        <v/>
      </c>
      <c r="N235" s="14"/>
      <c r="O235" s="14" t="str">
        <f>IF(A235="","",IF(COUNTIF($A$9:A235,A235)=1,1,0))</f>
        <v/>
      </c>
      <c r="P235" s="14" t="str">
        <f t="shared" si="6"/>
        <v/>
      </c>
      <c r="Q235" s="14" t="str">
        <f t="shared" si="7"/>
        <v/>
      </c>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row>
    <row r="236" spans="1:44" ht="48" customHeight="1" x14ac:dyDescent="0.35">
      <c r="A236" s="18"/>
      <c r="B236" s="15"/>
      <c r="C236" s="15"/>
      <c r="D236" s="18"/>
      <c r="E236" s="15"/>
      <c r="F236" s="15"/>
      <c r="G236" s="36"/>
      <c r="H236" s="15"/>
      <c r="I236" s="15"/>
      <c r="J236" s="18" t="str">
        <f>IF(A236="","",IFERROR(HYPERLINK("#'Supplier Jobs'!A"&amp;(MATCH(A236,'Supplier Jobs'!$N$9:$N$258,0)+8),"JOBS / QUOTES"),"No quotes"))</f>
        <v/>
      </c>
      <c r="K236" s="18" t="str">
        <f>IF(A236="","",COUNTIF(Quotes!$D$9:$D$258,D236))</f>
        <v/>
      </c>
      <c r="L236" s="19" t="str">
        <f>IF(A236="","",IF(O236=1,SUMIF(Quotes!$C$9:$C$258,A236,Quotes!$AI$9:$AI$258),0))</f>
        <v/>
      </c>
      <c r="M236" s="19" t="str">
        <f>IF(A236="","",IF(O236=1,SUMIF(Quotes!$C$9:$C$258,A236,Quotes!$AJ$9:$AJ$258),0))</f>
        <v/>
      </c>
      <c r="N236" s="18"/>
      <c r="O236" s="18" t="str">
        <f>IF(A236="","",IF(COUNTIF($A$9:A236,A236)=1,1,0))</f>
        <v/>
      </c>
      <c r="P236" s="18" t="str">
        <f t="shared" si="6"/>
        <v/>
      </c>
      <c r="Q236" s="18" t="str">
        <f t="shared" si="7"/>
        <v/>
      </c>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row>
    <row r="237" spans="1:44" ht="48" customHeight="1" x14ac:dyDescent="0.35">
      <c r="A237" s="14"/>
      <c r="B237" s="15"/>
      <c r="C237" s="15"/>
      <c r="D237" s="14"/>
      <c r="E237" s="15"/>
      <c r="F237" s="15"/>
      <c r="G237" s="36"/>
      <c r="H237" s="15"/>
      <c r="I237" s="15"/>
      <c r="J237" s="14" t="str">
        <f>IF(A237="","",IFERROR(HYPERLINK("#'Supplier Jobs'!A"&amp;(MATCH(A237,'Supplier Jobs'!$N$9:$N$258,0)+8),"JOBS / QUOTES"),"No quotes"))</f>
        <v/>
      </c>
      <c r="K237" s="14" t="str">
        <f>IF(A237="","",COUNTIF(Quotes!$D$9:$D$258,D237))</f>
        <v/>
      </c>
      <c r="L237" s="16" t="str">
        <f>IF(A237="","",IF(O237=1,SUMIF(Quotes!$C$9:$C$258,A237,Quotes!$AI$9:$AI$258),0))</f>
        <v/>
      </c>
      <c r="M237" s="16" t="str">
        <f>IF(A237="","",IF(O237=1,SUMIF(Quotes!$C$9:$C$258,A237,Quotes!$AJ$9:$AJ$258),0))</f>
        <v/>
      </c>
      <c r="N237" s="14"/>
      <c r="O237" s="14" t="str">
        <f>IF(A237="","",IF(COUNTIF($A$9:A237,A237)=1,1,0))</f>
        <v/>
      </c>
      <c r="P237" s="14" t="str">
        <f t="shared" si="6"/>
        <v/>
      </c>
      <c r="Q237" s="14" t="str">
        <f t="shared" si="7"/>
        <v/>
      </c>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row>
    <row r="238" spans="1:44" ht="48" customHeight="1" x14ac:dyDescent="0.35">
      <c r="A238" s="18"/>
      <c r="B238" s="15"/>
      <c r="C238" s="15"/>
      <c r="D238" s="18"/>
      <c r="E238" s="15"/>
      <c r="F238" s="15"/>
      <c r="G238" s="36"/>
      <c r="H238" s="15"/>
      <c r="I238" s="15"/>
      <c r="J238" s="18" t="str">
        <f>IF(A238="","",IFERROR(HYPERLINK("#'Supplier Jobs'!A"&amp;(MATCH(A238,'Supplier Jobs'!$N$9:$N$258,0)+8),"JOBS / QUOTES"),"No quotes"))</f>
        <v/>
      </c>
      <c r="K238" s="18" t="str">
        <f>IF(A238="","",COUNTIF(Quotes!$D$9:$D$258,D238))</f>
        <v/>
      </c>
      <c r="L238" s="19" t="str">
        <f>IF(A238="","",IF(O238=1,SUMIF(Quotes!$C$9:$C$258,A238,Quotes!$AI$9:$AI$258),0))</f>
        <v/>
      </c>
      <c r="M238" s="19" t="str">
        <f>IF(A238="","",IF(O238=1,SUMIF(Quotes!$C$9:$C$258,A238,Quotes!$AJ$9:$AJ$258),0))</f>
        <v/>
      </c>
      <c r="N238" s="18"/>
      <c r="O238" s="18" t="str">
        <f>IF(A238="","",IF(COUNTIF($A$9:A238,A238)=1,1,0))</f>
        <v/>
      </c>
      <c r="P238" s="18" t="str">
        <f t="shared" si="6"/>
        <v/>
      </c>
      <c r="Q238" s="18" t="str">
        <f t="shared" si="7"/>
        <v/>
      </c>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row>
    <row r="239" spans="1:44" ht="48" customHeight="1" x14ac:dyDescent="0.35">
      <c r="A239" s="14"/>
      <c r="B239" s="15"/>
      <c r="C239" s="15"/>
      <c r="D239" s="14"/>
      <c r="E239" s="15"/>
      <c r="F239" s="15"/>
      <c r="G239" s="36"/>
      <c r="H239" s="15"/>
      <c r="I239" s="15"/>
      <c r="J239" s="14" t="str">
        <f>IF(A239="","",IFERROR(HYPERLINK("#'Supplier Jobs'!A"&amp;(MATCH(A239,'Supplier Jobs'!$N$9:$N$258,0)+8),"JOBS / QUOTES"),"No quotes"))</f>
        <v/>
      </c>
      <c r="K239" s="14" t="str">
        <f>IF(A239="","",COUNTIF(Quotes!$D$9:$D$258,D239))</f>
        <v/>
      </c>
      <c r="L239" s="16" t="str">
        <f>IF(A239="","",IF(O239=1,SUMIF(Quotes!$C$9:$C$258,A239,Quotes!$AI$9:$AI$258),0))</f>
        <v/>
      </c>
      <c r="M239" s="16" t="str">
        <f>IF(A239="","",IF(O239=1,SUMIF(Quotes!$C$9:$C$258,A239,Quotes!$AJ$9:$AJ$258),0))</f>
        <v/>
      </c>
      <c r="N239" s="14"/>
      <c r="O239" s="14" t="str">
        <f>IF(A239="","",IF(COUNTIF($A$9:A239,A239)=1,1,0))</f>
        <v/>
      </c>
      <c r="P239" s="14" t="str">
        <f t="shared" si="6"/>
        <v/>
      </c>
      <c r="Q239" s="14" t="str">
        <f t="shared" si="7"/>
        <v/>
      </c>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row>
    <row r="240" spans="1:44" ht="48" customHeight="1" x14ac:dyDescent="0.35">
      <c r="A240" s="18"/>
      <c r="B240" s="15"/>
      <c r="C240" s="15"/>
      <c r="D240" s="18"/>
      <c r="E240" s="15"/>
      <c r="F240" s="15"/>
      <c r="G240" s="36"/>
      <c r="H240" s="15"/>
      <c r="I240" s="15"/>
      <c r="J240" s="18" t="str">
        <f>IF(A240="","",IFERROR(HYPERLINK("#'Supplier Jobs'!A"&amp;(MATCH(A240,'Supplier Jobs'!$N$9:$N$258,0)+8),"JOBS / QUOTES"),"No quotes"))</f>
        <v/>
      </c>
      <c r="K240" s="18" t="str">
        <f>IF(A240="","",COUNTIF(Quotes!$D$9:$D$258,D240))</f>
        <v/>
      </c>
      <c r="L240" s="19" t="str">
        <f>IF(A240="","",IF(O240=1,SUMIF(Quotes!$C$9:$C$258,A240,Quotes!$AI$9:$AI$258),0))</f>
        <v/>
      </c>
      <c r="M240" s="19" t="str">
        <f>IF(A240="","",IF(O240=1,SUMIF(Quotes!$C$9:$C$258,A240,Quotes!$AJ$9:$AJ$258),0))</f>
        <v/>
      </c>
      <c r="N240" s="18"/>
      <c r="O240" s="18" t="str">
        <f>IF(A240="","",IF(COUNTIF($A$9:A240,A240)=1,1,0))</f>
        <v/>
      </c>
      <c r="P240" s="18" t="str">
        <f t="shared" si="6"/>
        <v/>
      </c>
      <c r="Q240" s="18" t="str">
        <f t="shared" si="7"/>
        <v/>
      </c>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row>
    <row r="241" spans="1:44" ht="48" customHeight="1" x14ac:dyDescent="0.35">
      <c r="A241" s="14"/>
      <c r="B241" s="15"/>
      <c r="C241" s="15"/>
      <c r="D241" s="14"/>
      <c r="E241" s="15"/>
      <c r="F241" s="15"/>
      <c r="G241" s="36"/>
      <c r="H241" s="15"/>
      <c r="I241" s="15"/>
      <c r="J241" s="14" t="str">
        <f>IF(A241="","",IFERROR(HYPERLINK("#'Supplier Jobs'!A"&amp;(MATCH(A241,'Supplier Jobs'!$N$9:$N$258,0)+8),"JOBS / QUOTES"),"No quotes"))</f>
        <v/>
      </c>
      <c r="K241" s="14" t="str">
        <f>IF(A241="","",COUNTIF(Quotes!$D$9:$D$258,D241))</f>
        <v/>
      </c>
      <c r="L241" s="16" t="str">
        <f>IF(A241="","",IF(O241=1,SUMIF(Quotes!$C$9:$C$258,A241,Quotes!$AI$9:$AI$258),0))</f>
        <v/>
      </c>
      <c r="M241" s="16" t="str">
        <f>IF(A241="","",IF(O241=1,SUMIF(Quotes!$C$9:$C$258,A241,Quotes!$AJ$9:$AJ$258),0))</f>
        <v/>
      </c>
      <c r="N241" s="14"/>
      <c r="O241" s="14" t="str">
        <f>IF(A241="","",IF(COUNTIF($A$9:A241,A241)=1,1,0))</f>
        <v/>
      </c>
      <c r="P241" s="14" t="str">
        <f t="shared" si="6"/>
        <v/>
      </c>
      <c r="Q241" s="14" t="str">
        <f t="shared" si="7"/>
        <v/>
      </c>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row>
    <row r="242" spans="1:44" ht="48" customHeight="1" x14ac:dyDescent="0.35">
      <c r="A242" s="18"/>
      <c r="B242" s="15"/>
      <c r="C242" s="15"/>
      <c r="D242" s="18"/>
      <c r="E242" s="15"/>
      <c r="F242" s="15"/>
      <c r="G242" s="36"/>
      <c r="H242" s="15"/>
      <c r="I242" s="15"/>
      <c r="J242" s="18" t="str">
        <f>IF(A242="","",IFERROR(HYPERLINK("#'Supplier Jobs'!A"&amp;(MATCH(A242,'Supplier Jobs'!$N$9:$N$258,0)+8),"JOBS / QUOTES"),"No quotes"))</f>
        <v/>
      </c>
      <c r="K242" s="18" t="str">
        <f>IF(A242="","",COUNTIF(Quotes!$D$9:$D$258,D242))</f>
        <v/>
      </c>
      <c r="L242" s="19" t="str">
        <f>IF(A242="","",IF(O242=1,SUMIF(Quotes!$C$9:$C$258,A242,Quotes!$AI$9:$AI$258),0))</f>
        <v/>
      </c>
      <c r="M242" s="19" t="str">
        <f>IF(A242="","",IF(O242=1,SUMIF(Quotes!$C$9:$C$258,A242,Quotes!$AJ$9:$AJ$258),0))</f>
        <v/>
      </c>
      <c r="N242" s="18"/>
      <c r="O242" s="18" t="str">
        <f>IF(A242="","",IF(COUNTIF($A$9:A242,A242)=1,1,0))</f>
        <v/>
      </c>
      <c r="P242" s="18" t="str">
        <f t="shared" si="6"/>
        <v/>
      </c>
      <c r="Q242" s="18" t="str">
        <f t="shared" si="7"/>
        <v/>
      </c>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row>
    <row r="243" spans="1:44" ht="48" customHeight="1" x14ac:dyDescent="0.35">
      <c r="A243" s="14"/>
      <c r="B243" s="15"/>
      <c r="C243" s="15"/>
      <c r="D243" s="14"/>
      <c r="E243" s="15"/>
      <c r="F243" s="15"/>
      <c r="G243" s="36"/>
      <c r="H243" s="15"/>
      <c r="I243" s="15"/>
      <c r="J243" s="14" t="str">
        <f>IF(A243="","",IFERROR(HYPERLINK("#'Supplier Jobs'!A"&amp;(MATCH(A243,'Supplier Jobs'!$N$9:$N$258,0)+8),"JOBS / QUOTES"),"No quotes"))</f>
        <v/>
      </c>
      <c r="K243" s="14" t="str">
        <f>IF(A243="","",COUNTIF(Quotes!$D$9:$D$258,D243))</f>
        <v/>
      </c>
      <c r="L243" s="16" t="str">
        <f>IF(A243="","",IF(O243=1,SUMIF(Quotes!$C$9:$C$258,A243,Quotes!$AI$9:$AI$258),0))</f>
        <v/>
      </c>
      <c r="M243" s="16" t="str">
        <f>IF(A243="","",IF(O243=1,SUMIF(Quotes!$C$9:$C$258,A243,Quotes!$AJ$9:$AJ$258),0))</f>
        <v/>
      </c>
      <c r="N243" s="14"/>
      <c r="O243" s="14" t="str">
        <f>IF(A243="","",IF(COUNTIF($A$9:A243,A243)=1,1,0))</f>
        <v/>
      </c>
      <c r="P243" s="14" t="str">
        <f t="shared" si="6"/>
        <v/>
      </c>
      <c r="Q243" s="14" t="str">
        <f t="shared" si="7"/>
        <v/>
      </c>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row>
    <row r="244" spans="1:44" ht="48" customHeight="1" x14ac:dyDescent="0.35">
      <c r="A244" s="18"/>
      <c r="B244" s="15"/>
      <c r="C244" s="15"/>
      <c r="D244" s="18"/>
      <c r="E244" s="15"/>
      <c r="F244" s="15"/>
      <c r="G244" s="36"/>
      <c r="H244" s="15"/>
      <c r="I244" s="15"/>
      <c r="J244" s="18" t="str">
        <f>IF(A244="","",IFERROR(HYPERLINK("#'Supplier Jobs'!A"&amp;(MATCH(A244,'Supplier Jobs'!$N$9:$N$258,0)+8),"JOBS / QUOTES"),"No quotes"))</f>
        <v/>
      </c>
      <c r="K244" s="18" t="str">
        <f>IF(A244="","",COUNTIF(Quotes!$D$9:$D$258,D244))</f>
        <v/>
      </c>
      <c r="L244" s="19" t="str">
        <f>IF(A244="","",IF(O244=1,SUMIF(Quotes!$C$9:$C$258,A244,Quotes!$AI$9:$AI$258),0))</f>
        <v/>
      </c>
      <c r="M244" s="19" t="str">
        <f>IF(A244="","",IF(O244=1,SUMIF(Quotes!$C$9:$C$258,A244,Quotes!$AJ$9:$AJ$258),0))</f>
        <v/>
      </c>
      <c r="N244" s="18"/>
      <c r="O244" s="18" t="str">
        <f>IF(A244="","",IF(COUNTIF($A$9:A244,A244)=1,1,0))</f>
        <v/>
      </c>
      <c r="P244" s="18" t="str">
        <f t="shared" si="6"/>
        <v/>
      </c>
      <c r="Q244" s="18" t="str">
        <f t="shared" si="7"/>
        <v/>
      </c>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row>
    <row r="245" spans="1:44" ht="48" customHeight="1" x14ac:dyDescent="0.35">
      <c r="A245" s="14"/>
      <c r="B245" s="15"/>
      <c r="C245" s="15"/>
      <c r="D245" s="14"/>
      <c r="E245" s="15"/>
      <c r="F245" s="15"/>
      <c r="G245" s="36"/>
      <c r="H245" s="15"/>
      <c r="I245" s="15"/>
      <c r="J245" s="14" t="str">
        <f>IF(A245="","",IFERROR(HYPERLINK("#'Supplier Jobs'!A"&amp;(MATCH(A245,'Supplier Jobs'!$N$9:$N$258,0)+8),"JOBS / QUOTES"),"No quotes"))</f>
        <v/>
      </c>
      <c r="K245" s="14" t="str">
        <f>IF(A245="","",COUNTIF(Quotes!$D$9:$D$258,D245))</f>
        <v/>
      </c>
      <c r="L245" s="16" t="str">
        <f>IF(A245="","",IF(O245=1,SUMIF(Quotes!$C$9:$C$258,A245,Quotes!$AI$9:$AI$258),0))</f>
        <v/>
      </c>
      <c r="M245" s="16" t="str">
        <f>IF(A245="","",IF(O245=1,SUMIF(Quotes!$C$9:$C$258,A245,Quotes!$AJ$9:$AJ$258),0))</f>
        <v/>
      </c>
      <c r="N245" s="14"/>
      <c r="O245" s="14" t="str">
        <f>IF(A245="","",IF(COUNTIF($A$9:A245,A245)=1,1,0))</f>
        <v/>
      </c>
      <c r="P245" s="14" t="str">
        <f t="shared" si="6"/>
        <v/>
      </c>
      <c r="Q245" s="14" t="str">
        <f t="shared" si="7"/>
        <v/>
      </c>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row>
    <row r="246" spans="1:44" ht="48" customHeight="1" x14ac:dyDescent="0.35">
      <c r="A246" s="18"/>
      <c r="B246" s="15"/>
      <c r="C246" s="15"/>
      <c r="D246" s="18"/>
      <c r="E246" s="15"/>
      <c r="F246" s="15"/>
      <c r="G246" s="36"/>
      <c r="H246" s="15"/>
      <c r="I246" s="15"/>
      <c r="J246" s="18" t="str">
        <f>IF(A246="","",IFERROR(HYPERLINK("#'Supplier Jobs'!A"&amp;(MATCH(A246,'Supplier Jobs'!$N$9:$N$258,0)+8),"JOBS / QUOTES"),"No quotes"))</f>
        <v/>
      </c>
      <c r="K246" s="18" t="str">
        <f>IF(A246="","",COUNTIF(Quotes!$D$9:$D$258,D246))</f>
        <v/>
      </c>
      <c r="L246" s="19" t="str">
        <f>IF(A246="","",IF(O246=1,SUMIF(Quotes!$C$9:$C$258,A246,Quotes!$AI$9:$AI$258),0))</f>
        <v/>
      </c>
      <c r="M246" s="19" t="str">
        <f>IF(A246="","",IF(O246=1,SUMIF(Quotes!$C$9:$C$258,A246,Quotes!$AJ$9:$AJ$258),0))</f>
        <v/>
      </c>
      <c r="N246" s="18"/>
      <c r="O246" s="18" t="str">
        <f>IF(A246="","",IF(COUNTIF($A$9:A246,A246)=1,1,0))</f>
        <v/>
      </c>
      <c r="P246" s="18" t="str">
        <f t="shared" si="6"/>
        <v/>
      </c>
      <c r="Q246" s="18" t="str">
        <f t="shared" si="7"/>
        <v/>
      </c>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row>
    <row r="247" spans="1:44" ht="48" customHeight="1" x14ac:dyDescent="0.35">
      <c r="A247" s="14"/>
      <c r="B247" s="15"/>
      <c r="C247" s="15"/>
      <c r="D247" s="14"/>
      <c r="E247" s="15"/>
      <c r="F247" s="15"/>
      <c r="G247" s="36"/>
      <c r="H247" s="15"/>
      <c r="I247" s="15"/>
      <c r="J247" s="14" t="str">
        <f>IF(A247="","",IFERROR(HYPERLINK("#'Supplier Jobs'!A"&amp;(MATCH(A247,'Supplier Jobs'!$N$9:$N$258,0)+8),"JOBS / QUOTES"),"No quotes"))</f>
        <v/>
      </c>
      <c r="K247" s="14" t="str">
        <f>IF(A247="","",COUNTIF(Quotes!$D$9:$D$258,D247))</f>
        <v/>
      </c>
      <c r="L247" s="16" t="str">
        <f>IF(A247="","",IF(O247=1,SUMIF(Quotes!$C$9:$C$258,A247,Quotes!$AI$9:$AI$258),0))</f>
        <v/>
      </c>
      <c r="M247" s="16" t="str">
        <f>IF(A247="","",IF(O247=1,SUMIF(Quotes!$C$9:$C$258,A247,Quotes!$AJ$9:$AJ$258),0))</f>
        <v/>
      </c>
      <c r="N247" s="14"/>
      <c r="O247" s="14" t="str">
        <f>IF(A247="","",IF(COUNTIF($A$9:A247,A247)=1,1,0))</f>
        <v/>
      </c>
      <c r="P247" s="14" t="str">
        <f t="shared" si="6"/>
        <v/>
      </c>
      <c r="Q247" s="14" t="str">
        <f t="shared" si="7"/>
        <v/>
      </c>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row>
    <row r="248" spans="1:44" ht="48" customHeight="1" x14ac:dyDescent="0.35">
      <c r="A248" s="18"/>
      <c r="B248" s="15"/>
      <c r="C248" s="15"/>
      <c r="D248" s="18"/>
      <c r="E248" s="15"/>
      <c r="F248" s="15"/>
      <c r="G248" s="36"/>
      <c r="H248" s="15"/>
      <c r="I248" s="15"/>
      <c r="J248" s="18" t="str">
        <f>IF(A248="","",IFERROR(HYPERLINK("#'Supplier Jobs'!A"&amp;(MATCH(A248,'Supplier Jobs'!$N$9:$N$258,0)+8),"JOBS / QUOTES"),"No quotes"))</f>
        <v/>
      </c>
      <c r="K248" s="18" t="str">
        <f>IF(A248="","",COUNTIF(Quotes!$D$9:$D$258,D248))</f>
        <v/>
      </c>
      <c r="L248" s="19" t="str">
        <f>IF(A248="","",IF(O248=1,SUMIF(Quotes!$C$9:$C$258,A248,Quotes!$AI$9:$AI$258),0))</f>
        <v/>
      </c>
      <c r="M248" s="19" t="str">
        <f>IF(A248="","",IF(O248=1,SUMIF(Quotes!$C$9:$C$258,A248,Quotes!$AJ$9:$AJ$258),0))</f>
        <v/>
      </c>
      <c r="N248" s="18"/>
      <c r="O248" s="18" t="str">
        <f>IF(A248="","",IF(COUNTIF($A$9:A248,A248)=1,1,0))</f>
        <v/>
      </c>
      <c r="P248" s="18" t="str">
        <f t="shared" si="6"/>
        <v/>
      </c>
      <c r="Q248" s="18" t="str">
        <f t="shared" si="7"/>
        <v/>
      </c>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row>
    <row r="249" spans="1:44" ht="48" customHeight="1" x14ac:dyDescent="0.35">
      <c r="A249" s="14"/>
      <c r="B249" s="15"/>
      <c r="C249" s="15"/>
      <c r="D249" s="14"/>
      <c r="E249" s="15"/>
      <c r="F249" s="15"/>
      <c r="G249" s="36"/>
      <c r="H249" s="15"/>
      <c r="I249" s="15"/>
      <c r="J249" s="14" t="str">
        <f>IF(A249="","",IFERROR(HYPERLINK("#'Supplier Jobs'!A"&amp;(MATCH(A249,'Supplier Jobs'!$N$9:$N$258,0)+8),"JOBS / QUOTES"),"No quotes"))</f>
        <v/>
      </c>
      <c r="K249" s="14" t="str">
        <f>IF(A249="","",COUNTIF(Quotes!$D$9:$D$258,D249))</f>
        <v/>
      </c>
      <c r="L249" s="16" t="str">
        <f>IF(A249="","",IF(O249=1,SUMIF(Quotes!$C$9:$C$258,A249,Quotes!$AI$9:$AI$258),0))</f>
        <v/>
      </c>
      <c r="M249" s="16" t="str">
        <f>IF(A249="","",IF(O249=1,SUMIF(Quotes!$C$9:$C$258,A249,Quotes!$AJ$9:$AJ$258),0))</f>
        <v/>
      </c>
      <c r="N249" s="14"/>
      <c r="O249" s="14" t="str">
        <f>IF(A249="","",IF(COUNTIF($A$9:A249,A249)=1,1,0))</f>
        <v/>
      </c>
      <c r="P249" s="14" t="str">
        <f t="shared" si="6"/>
        <v/>
      </c>
      <c r="Q249" s="14" t="str">
        <f t="shared" si="7"/>
        <v/>
      </c>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row>
    <row r="250" spans="1:44" ht="48" customHeight="1" x14ac:dyDescent="0.35">
      <c r="A250" s="18"/>
      <c r="B250" s="15"/>
      <c r="C250" s="15"/>
      <c r="D250" s="18"/>
      <c r="E250" s="15"/>
      <c r="F250" s="15"/>
      <c r="G250" s="36"/>
      <c r="H250" s="15"/>
      <c r="I250" s="15"/>
      <c r="J250" s="18" t="str">
        <f>IF(A250="","",IFERROR(HYPERLINK("#'Supplier Jobs'!A"&amp;(MATCH(A250,'Supplier Jobs'!$N$9:$N$258,0)+8),"JOBS / QUOTES"),"No quotes"))</f>
        <v/>
      </c>
      <c r="K250" s="18" t="str">
        <f>IF(A250="","",COUNTIF(Quotes!$D$9:$D$258,D250))</f>
        <v/>
      </c>
      <c r="L250" s="19" t="str">
        <f>IF(A250="","",IF(O250=1,SUMIF(Quotes!$C$9:$C$258,A250,Quotes!$AI$9:$AI$258),0))</f>
        <v/>
      </c>
      <c r="M250" s="19" t="str">
        <f>IF(A250="","",IF(O250=1,SUMIF(Quotes!$C$9:$C$258,A250,Quotes!$AJ$9:$AJ$258),0))</f>
        <v/>
      </c>
      <c r="N250" s="18"/>
      <c r="O250" s="18" t="str">
        <f>IF(A250="","",IF(COUNTIF($A$9:A250,A250)=1,1,0))</f>
        <v/>
      </c>
      <c r="P250" s="18" t="str">
        <f t="shared" si="6"/>
        <v/>
      </c>
      <c r="Q250" s="18" t="str">
        <f t="shared" si="7"/>
        <v/>
      </c>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row>
    <row r="251" spans="1:44" ht="48" customHeight="1" x14ac:dyDescent="0.35">
      <c r="A251" s="14"/>
      <c r="B251" s="15"/>
      <c r="C251" s="15"/>
      <c r="D251" s="14"/>
      <c r="E251" s="15"/>
      <c r="F251" s="15"/>
      <c r="G251" s="36"/>
      <c r="H251" s="15"/>
      <c r="I251" s="15"/>
      <c r="J251" s="14" t="str">
        <f>IF(A251="","",IFERROR(HYPERLINK("#'Supplier Jobs'!A"&amp;(MATCH(A251,'Supplier Jobs'!$N$9:$N$258,0)+8),"JOBS / QUOTES"),"No quotes"))</f>
        <v/>
      </c>
      <c r="K251" s="14" t="str">
        <f>IF(A251="","",COUNTIF(Quotes!$D$9:$D$258,D251))</f>
        <v/>
      </c>
      <c r="L251" s="16" t="str">
        <f>IF(A251="","",IF(O251=1,SUMIF(Quotes!$C$9:$C$258,A251,Quotes!$AI$9:$AI$258),0))</f>
        <v/>
      </c>
      <c r="M251" s="16" t="str">
        <f>IF(A251="","",IF(O251=1,SUMIF(Quotes!$C$9:$C$258,A251,Quotes!$AJ$9:$AJ$258),0))</f>
        <v/>
      </c>
      <c r="N251" s="14"/>
      <c r="O251" s="14" t="str">
        <f>IF(A251="","",IF(COUNTIF($A$9:A251,A251)=1,1,0))</f>
        <v/>
      </c>
      <c r="P251" s="14" t="str">
        <f t="shared" si="6"/>
        <v/>
      </c>
      <c r="Q251" s="14" t="str">
        <f t="shared" si="7"/>
        <v/>
      </c>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row>
    <row r="252" spans="1:44" ht="48" customHeight="1" x14ac:dyDescent="0.35">
      <c r="A252" s="18"/>
      <c r="B252" s="15"/>
      <c r="C252" s="15"/>
      <c r="D252" s="18"/>
      <c r="E252" s="15"/>
      <c r="F252" s="15"/>
      <c r="G252" s="36"/>
      <c r="H252" s="15"/>
      <c r="I252" s="15"/>
      <c r="J252" s="18" t="str">
        <f>IF(A252="","",IFERROR(HYPERLINK("#'Supplier Jobs'!A"&amp;(MATCH(A252,'Supplier Jobs'!$N$9:$N$258,0)+8),"JOBS / QUOTES"),"No quotes"))</f>
        <v/>
      </c>
      <c r="K252" s="18" t="str">
        <f>IF(A252="","",COUNTIF(Quotes!$D$9:$D$258,D252))</f>
        <v/>
      </c>
      <c r="L252" s="19" t="str">
        <f>IF(A252="","",IF(O252=1,SUMIF(Quotes!$C$9:$C$258,A252,Quotes!$AI$9:$AI$258),0))</f>
        <v/>
      </c>
      <c r="M252" s="19" t="str">
        <f>IF(A252="","",IF(O252=1,SUMIF(Quotes!$C$9:$C$258,A252,Quotes!$AJ$9:$AJ$258),0))</f>
        <v/>
      </c>
      <c r="N252" s="18"/>
      <c r="O252" s="18" t="str">
        <f>IF(A252="","",IF(COUNTIF($A$9:A252,A252)=1,1,0))</f>
        <v/>
      </c>
      <c r="P252" s="18" t="str">
        <f t="shared" si="6"/>
        <v/>
      </c>
      <c r="Q252" s="18" t="str">
        <f t="shared" si="7"/>
        <v/>
      </c>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row>
    <row r="253" spans="1:44" ht="48" customHeight="1" x14ac:dyDescent="0.35">
      <c r="A253" s="14"/>
      <c r="B253" s="15"/>
      <c r="C253" s="15"/>
      <c r="D253" s="14"/>
      <c r="E253" s="15"/>
      <c r="F253" s="15"/>
      <c r="G253" s="36"/>
      <c r="H253" s="15"/>
      <c r="I253" s="15"/>
      <c r="J253" s="14" t="str">
        <f>IF(A253="","",IFERROR(HYPERLINK("#'Supplier Jobs'!A"&amp;(MATCH(A253,'Supplier Jobs'!$N$9:$N$258,0)+8),"JOBS / QUOTES"),"No quotes"))</f>
        <v/>
      </c>
      <c r="K253" s="14" t="str">
        <f>IF(A253="","",COUNTIF(Quotes!$D$9:$D$258,D253))</f>
        <v/>
      </c>
      <c r="L253" s="16" t="str">
        <f>IF(A253="","",IF(O253=1,SUMIF(Quotes!$C$9:$C$258,A253,Quotes!$AI$9:$AI$258),0))</f>
        <v/>
      </c>
      <c r="M253" s="16" t="str">
        <f>IF(A253="","",IF(O253=1,SUMIF(Quotes!$C$9:$C$258,A253,Quotes!$AJ$9:$AJ$258),0))</f>
        <v/>
      </c>
      <c r="N253" s="14"/>
      <c r="O253" s="14" t="str">
        <f>IF(A253="","",IF(COUNTIF($A$9:A253,A253)=1,1,0))</f>
        <v/>
      </c>
      <c r="P253" s="14" t="str">
        <f t="shared" si="6"/>
        <v/>
      </c>
      <c r="Q253" s="14" t="str">
        <f t="shared" si="7"/>
        <v/>
      </c>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row>
    <row r="254" spans="1:44" ht="48" customHeight="1" x14ac:dyDescent="0.35">
      <c r="A254" s="18"/>
      <c r="B254" s="15"/>
      <c r="C254" s="15"/>
      <c r="D254" s="18"/>
      <c r="E254" s="15"/>
      <c r="F254" s="15"/>
      <c r="G254" s="36"/>
      <c r="H254" s="15"/>
      <c r="I254" s="15"/>
      <c r="J254" s="18" t="str">
        <f>IF(A254="","",IFERROR(HYPERLINK("#'Supplier Jobs'!A"&amp;(MATCH(A254,'Supplier Jobs'!$N$9:$N$258,0)+8),"JOBS / QUOTES"),"No quotes"))</f>
        <v/>
      </c>
      <c r="K254" s="18" t="str">
        <f>IF(A254="","",COUNTIF(Quotes!$D$9:$D$258,D254))</f>
        <v/>
      </c>
      <c r="L254" s="19" t="str">
        <f>IF(A254="","",IF(O254=1,SUMIF(Quotes!$C$9:$C$258,A254,Quotes!$AI$9:$AI$258),0))</f>
        <v/>
      </c>
      <c r="M254" s="19" t="str">
        <f>IF(A254="","",IF(O254=1,SUMIF(Quotes!$C$9:$C$258,A254,Quotes!$AJ$9:$AJ$258),0))</f>
        <v/>
      </c>
      <c r="N254" s="18"/>
      <c r="O254" s="18" t="str">
        <f>IF(A254="","",IF(COUNTIF($A$9:A254,A254)=1,1,0))</f>
        <v/>
      </c>
      <c r="P254" s="18" t="str">
        <f t="shared" si="6"/>
        <v/>
      </c>
      <c r="Q254" s="18" t="str">
        <f t="shared" si="7"/>
        <v/>
      </c>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row>
    <row r="255" spans="1:44" ht="48" customHeight="1" x14ac:dyDescent="0.35">
      <c r="A255" s="14"/>
      <c r="B255" s="15"/>
      <c r="C255" s="15"/>
      <c r="D255" s="14"/>
      <c r="E255" s="15"/>
      <c r="F255" s="15"/>
      <c r="G255" s="36"/>
      <c r="H255" s="15"/>
      <c r="I255" s="15"/>
      <c r="J255" s="14" t="str">
        <f>IF(A255="","",IFERROR(HYPERLINK("#'Supplier Jobs'!A"&amp;(MATCH(A255,'Supplier Jobs'!$N$9:$N$258,0)+8),"JOBS / QUOTES"),"No quotes"))</f>
        <v/>
      </c>
      <c r="K255" s="14" t="str">
        <f>IF(A255="","",COUNTIF(Quotes!$D$9:$D$258,D255))</f>
        <v/>
      </c>
      <c r="L255" s="16" t="str">
        <f>IF(A255="","",IF(O255=1,SUMIF(Quotes!$C$9:$C$258,A255,Quotes!$AI$9:$AI$258),0))</f>
        <v/>
      </c>
      <c r="M255" s="16" t="str">
        <f>IF(A255="","",IF(O255=1,SUMIF(Quotes!$C$9:$C$258,A255,Quotes!$AJ$9:$AJ$258),0))</f>
        <v/>
      </c>
      <c r="N255" s="14"/>
      <c r="O255" s="14" t="str">
        <f>IF(A255="","",IF(COUNTIF($A$9:A255,A255)=1,1,0))</f>
        <v/>
      </c>
      <c r="P255" s="14" t="str">
        <f t="shared" si="6"/>
        <v/>
      </c>
      <c r="Q255" s="14" t="str">
        <f t="shared" si="7"/>
        <v/>
      </c>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row>
    <row r="256" spans="1:44" ht="48" customHeight="1" x14ac:dyDescent="0.35">
      <c r="A256" s="18"/>
      <c r="B256" s="15"/>
      <c r="C256" s="15"/>
      <c r="D256" s="18"/>
      <c r="E256" s="15"/>
      <c r="F256" s="15"/>
      <c r="G256" s="36"/>
      <c r="H256" s="15"/>
      <c r="I256" s="15"/>
      <c r="J256" s="18" t="str">
        <f>IF(A256="","",IFERROR(HYPERLINK("#'Supplier Jobs'!A"&amp;(MATCH(A256,'Supplier Jobs'!$N$9:$N$258,0)+8),"JOBS / QUOTES"),"No quotes"))</f>
        <v/>
      </c>
      <c r="K256" s="18" t="str">
        <f>IF(A256="","",COUNTIF(Quotes!$D$9:$D$258,D256))</f>
        <v/>
      </c>
      <c r="L256" s="19" t="str">
        <f>IF(A256="","",IF(O256=1,SUMIF(Quotes!$C$9:$C$258,A256,Quotes!$AI$9:$AI$258),0))</f>
        <v/>
      </c>
      <c r="M256" s="19" t="str">
        <f>IF(A256="","",IF(O256=1,SUMIF(Quotes!$C$9:$C$258,A256,Quotes!$AJ$9:$AJ$258),0))</f>
        <v/>
      </c>
      <c r="N256" s="18"/>
      <c r="O256" s="18" t="str">
        <f>IF(A256="","",IF(COUNTIF($A$9:A256,A256)=1,1,0))</f>
        <v/>
      </c>
      <c r="P256" s="18" t="str">
        <f t="shared" si="6"/>
        <v/>
      </c>
      <c r="Q256" s="18" t="str">
        <f t="shared" si="7"/>
        <v/>
      </c>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row>
    <row r="257" spans="1:44" ht="48" customHeight="1" x14ac:dyDescent="0.35">
      <c r="A257" s="14"/>
      <c r="B257" s="15"/>
      <c r="C257" s="15"/>
      <c r="D257" s="14"/>
      <c r="E257" s="15"/>
      <c r="F257" s="15"/>
      <c r="G257" s="36"/>
      <c r="H257" s="15"/>
      <c r="I257" s="15"/>
      <c r="J257" s="14" t="str">
        <f>IF(A257="","",IFERROR(HYPERLINK("#'Supplier Jobs'!A"&amp;(MATCH(A257,'Supplier Jobs'!$N$9:$N$258,0)+8),"JOBS / QUOTES"),"No quotes"))</f>
        <v/>
      </c>
      <c r="K257" s="14" t="str">
        <f>IF(A257="","",COUNTIF(Quotes!$D$9:$D$258,D257))</f>
        <v/>
      </c>
      <c r="L257" s="16" t="str">
        <f>IF(A257="","",IF(O257=1,SUMIF(Quotes!$C$9:$C$258,A257,Quotes!$AI$9:$AI$258),0))</f>
        <v/>
      </c>
      <c r="M257" s="16" t="str">
        <f>IF(A257="","",IF(O257=1,SUMIF(Quotes!$C$9:$C$258,A257,Quotes!$AJ$9:$AJ$258),0))</f>
        <v/>
      </c>
      <c r="N257" s="14"/>
      <c r="O257" s="14" t="str">
        <f>IF(A257="","",IF(COUNTIF($A$9:A257,A257)=1,1,0))</f>
        <v/>
      </c>
      <c r="P257" s="14" t="str">
        <f t="shared" si="6"/>
        <v/>
      </c>
      <c r="Q257" s="14" t="str">
        <f t="shared" si="7"/>
        <v/>
      </c>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row>
    <row r="258" spans="1:44" ht="48" customHeight="1" x14ac:dyDescent="0.35">
      <c r="A258" s="18"/>
      <c r="B258" s="15"/>
      <c r="C258" s="15"/>
      <c r="D258" s="18"/>
      <c r="E258" s="15"/>
      <c r="F258" s="15"/>
      <c r="G258" s="36"/>
      <c r="H258" s="15"/>
      <c r="I258" s="15"/>
      <c r="J258" s="18" t="str">
        <f>IF(A258="","",IFERROR(HYPERLINK("#'Supplier Jobs'!A"&amp;(MATCH(A258,'Supplier Jobs'!$N$9:$N$258,0)+8),"JOBS / QUOTES"),"No quotes"))</f>
        <v/>
      </c>
      <c r="K258" s="18" t="str">
        <f>IF(A258="","",COUNTIF(Quotes!$D$9:$D$258,D258))</f>
        <v/>
      </c>
      <c r="L258" s="19" t="str">
        <f>IF(A258="","",IF(O258=1,SUMIF(Quotes!$C$9:$C$258,A258,Quotes!$AI$9:$AI$258),0))</f>
        <v/>
      </c>
      <c r="M258" s="19" t="str">
        <f>IF(A258="","",IF(O258=1,SUMIF(Quotes!$C$9:$C$258,A258,Quotes!$AJ$9:$AJ$258),0))</f>
        <v/>
      </c>
      <c r="N258" s="18"/>
      <c r="O258" s="18" t="str">
        <f>IF(A258="","",IF(COUNTIF($A$9:A258,A258)=1,1,0))</f>
        <v/>
      </c>
      <c r="P258" s="18" t="str">
        <f t="shared" si="6"/>
        <v/>
      </c>
      <c r="Q258" s="18" t="str">
        <f t="shared" si="7"/>
        <v/>
      </c>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row>
    <row r="259" spans="1:44" ht="48" customHeight="1" x14ac:dyDescent="0.35">
      <c r="A259" s="14"/>
      <c r="B259" s="15"/>
      <c r="C259" s="15"/>
      <c r="D259" s="14"/>
      <c r="E259" s="15"/>
      <c r="F259" s="15"/>
      <c r="G259" s="36"/>
      <c r="H259" s="15"/>
      <c r="I259" s="15"/>
      <c r="J259" s="14" t="str">
        <f>IF(A259="","",IFERROR(HYPERLINK("#'Supplier Jobs'!A"&amp;(MATCH(A259,'Supplier Jobs'!$N$9:$N$258,0)+8),"JOBS / QUOTES"),"No quotes"))</f>
        <v/>
      </c>
      <c r="K259" s="14" t="str">
        <f>IF(A259="","",COUNTIF(Quotes!$D$9:$D$258,D259))</f>
        <v/>
      </c>
      <c r="L259" s="16" t="str">
        <f>IF(A259="","",IF(O259=1,SUMIF(Quotes!$C$9:$C$258,A259,Quotes!$AI$9:$AI$258),0))</f>
        <v/>
      </c>
      <c r="M259" s="16" t="str">
        <f>IF(A259="","",IF(O259=1,SUMIF(Quotes!$C$9:$C$258,A259,Quotes!$AJ$9:$AJ$258),0))</f>
        <v/>
      </c>
      <c r="N259" s="14"/>
      <c r="O259" s="14" t="str">
        <f>IF(A259="","",IF(COUNTIF($A$9:A259,A259)=1,1,0))</f>
        <v/>
      </c>
      <c r="P259" s="14" t="str">
        <f t="shared" si="6"/>
        <v/>
      </c>
      <c r="Q259" s="14" t="str">
        <f t="shared" si="7"/>
        <v/>
      </c>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row>
    <row r="260" spans="1:44" ht="48" customHeight="1" x14ac:dyDescent="0.35">
      <c r="A260" s="18"/>
      <c r="B260" s="15"/>
      <c r="C260" s="15"/>
      <c r="D260" s="18"/>
      <c r="E260" s="15"/>
      <c r="F260" s="15"/>
      <c r="G260" s="36"/>
      <c r="H260" s="15"/>
      <c r="I260" s="15"/>
      <c r="J260" s="18" t="str">
        <f>IF(A260="","",IFERROR(HYPERLINK("#'Supplier Jobs'!A"&amp;(MATCH(A260,'Supplier Jobs'!$N$9:$N$258,0)+8),"JOBS / QUOTES"),"No quotes"))</f>
        <v/>
      </c>
      <c r="K260" s="18" t="str">
        <f>IF(A260="","",COUNTIF(Quotes!$D$9:$D$258,D260))</f>
        <v/>
      </c>
      <c r="L260" s="19" t="str">
        <f>IF(A260="","",IF(O260=1,SUMIF(Quotes!$C$9:$C$258,A260,Quotes!$AI$9:$AI$258),0))</f>
        <v/>
      </c>
      <c r="M260" s="19" t="str">
        <f>IF(A260="","",IF(O260=1,SUMIF(Quotes!$C$9:$C$258,A260,Quotes!$AJ$9:$AJ$258),0))</f>
        <v/>
      </c>
      <c r="N260" s="18"/>
      <c r="O260" s="18" t="str">
        <f>IF(A260="","",IF(COUNTIF($A$9:A260,A260)=1,1,0))</f>
        <v/>
      </c>
      <c r="P260" s="18" t="str">
        <f t="shared" si="6"/>
        <v/>
      </c>
      <c r="Q260" s="18" t="str">
        <f t="shared" si="7"/>
        <v/>
      </c>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row>
    <row r="261" spans="1:44" ht="48" customHeight="1" x14ac:dyDescent="0.35">
      <c r="A261" s="14"/>
      <c r="B261" s="15"/>
      <c r="C261" s="15"/>
      <c r="D261" s="14"/>
      <c r="E261" s="15"/>
      <c r="F261" s="15"/>
      <c r="G261" s="36"/>
      <c r="H261" s="15"/>
      <c r="I261" s="15"/>
      <c r="J261" s="14" t="str">
        <f>IF(A261="","",IFERROR(HYPERLINK("#'Supplier Jobs'!A"&amp;(MATCH(A261,'Supplier Jobs'!$N$9:$N$258,0)+8),"JOBS / QUOTES"),"No quotes"))</f>
        <v/>
      </c>
      <c r="K261" s="14" t="str">
        <f>IF(A261="","",COUNTIF(Quotes!$D$9:$D$258,D261))</f>
        <v/>
      </c>
      <c r="L261" s="16" t="str">
        <f>IF(A261="","",IF(O261=1,SUMIF(Quotes!$C$9:$C$258,A261,Quotes!$AI$9:$AI$258),0))</f>
        <v/>
      </c>
      <c r="M261" s="16" t="str">
        <f>IF(A261="","",IF(O261=1,SUMIF(Quotes!$C$9:$C$258,A261,Quotes!$AJ$9:$AJ$258),0))</f>
        <v/>
      </c>
      <c r="N261" s="14"/>
      <c r="O261" s="14" t="str">
        <f>IF(A261="","",IF(COUNTIF($A$9:A261,A261)=1,1,0))</f>
        <v/>
      </c>
      <c r="P261" s="14" t="str">
        <f t="shared" si="6"/>
        <v/>
      </c>
      <c r="Q261" s="14" t="str">
        <f t="shared" si="7"/>
        <v/>
      </c>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row>
    <row r="262" spans="1:44" ht="48" customHeight="1" x14ac:dyDescent="0.35">
      <c r="A262" s="18"/>
      <c r="B262" s="15"/>
      <c r="C262" s="15"/>
      <c r="D262" s="18"/>
      <c r="E262" s="15"/>
      <c r="F262" s="15"/>
      <c r="G262" s="36"/>
      <c r="H262" s="15"/>
      <c r="I262" s="15"/>
      <c r="J262" s="18" t="str">
        <f>IF(A262="","",IFERROR(HYPERLINK("#'Supplier Jobs'!A"&amp;(MATCH(A262,'Supplier Jobs'!$N$9:$N$258,0)+8),"JOBS / QUOTES"),"No quotes"))</f>
        <v/>
      </c>
      <c r="K262" s="18" t="str">
        <f>IF(A262="","",COUNTIF(Quotes!$D$9:$D$258,D262))</f>
        <v/>
      </c>
      <c r="L262" s="19" t="str">
        <f>IF(A262="","",IF(O262=1,SUMIF(Quotes!$C$9:$C$258,A262,Quotes!$AI$9:$AI$258),0))</f>
        <v/>
      </c>
      <c r="M262" s="19" t="str">
        <f>IF(A262="","",IF(O262=1,SUMIF(Quotes!$C$9:$C$258,A262,Quotes!$AJ$9:$AJ$258),0))</f>
        <v/>
      </c>
      <c r="N262" s="18"/>
      <c r="O262" s="18" t="str">
        <f>IF(A262="","",IF(COUNTIF($A$9:A262,A262)=1,1,0))</f>
        <v/>
      </c>
      <c r="P262" s="18" t="str">
        <f t="shared" si="6"/>
        <v/>
      </c>
      <c r="Q262" s="18" t="str">
        <f t="shared" si="7"/>
        <v/>
      </c>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row>
    <row r="263" spans="1:44" ht="48" customHeight="1" x14ac:dyDescent="0.35">
      <c r="A263" s="14"/>
      <c r="B263" s="15"/>
      <c r="C263" s="15"/>
      <c r="D263" s="14"/>
      <c r="E263" s="15"/>
      <c r="F263" s="15"/>
      <c r="G263" s="36"/>
      <c r="H263" s="15"/>
      <c r="I263" s="15"/>
      <c r="J263" s="14" t="str">
        <f>IF(A263="","",IFERROR(HYPERLINK("#'Supplier Jobs'!A"&amp;(MATCH(A263,'Supplier Jobs'!$N$9:$N$258,0)+8),"JOBS / QUOTES"),"No quotes"))</f>
        <v/>
      </c>
      <c r="K263" s="14" t="str">
        <f>IF(A263="","",COUNTIF(Quotes!$D$9:$D$258,D263))</f>
        <v/>
      </c>
      <c r="L263" s="16" t="str">
        <f>IF(A263="","",IF(O263=1,SUMIF(Quotes!$C$9:$C$258,A263,Quotes!$AI$9:$AI$258),0))</f>
        <v/>
      </c>
      <c r="M263" s="16" t="str">
        <f>IF(A263="","",IF(O263=1,SUMIF(Quotes!$C$9:$C$258,A263,Quotes!$AJ$9:$AJ$258),0))</f>
        <v/>
      </c>
      <c r="N263" s="14"/>
      <c r="O263" s="14" t="str">
        <f>IF(A263="","",IF(COUNTIF($A$9:A263,A263)=1,1,0))</f>
        <v/>
      </c>
      <c r="P263" s="14" t="str">
        <f t="shared" si="6"/>
        <v/>
      </c>
      <c r="Q263" s="14" t="str">
        <f t="shared" si="7"/>
        <v/>
      </c>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row>
    <row r="264" spans="1:44" ht="48" customHeight="1" x14ac:dyDescent="0.35">
      <c r="A264" s="18"/>
      <c r="B264" s="15"/>
      <c r="C264" s="15"/>
      <c r="D264" s="18"/>
      <c r="E264" s="15"/>
      <c r="F264" s="15"/>
      <c r="G264" s="36"/>
      <c r="H264" s="15"/>
      <c r="I264" s="15"/>
      <c r="J264" s="18" t="str">
        <f>IF(A264="","",IFERROR(HYPERLINK("#'Supplier Jobs'!A"&amp;(MATCH(A264,'Supplier Jobs'!$N$9:$N$258,0)+8),"JOBS / QUOTES"),"No quotes"))</f>
        <v/>
      </c>
      <c r="K264" s="18" t="str">
        <f>IF(A264="","",COUNTIF(Quotes!$D$9:$D$258,D264))</f>
        <v/>
      </c>
      <c r="L264" s="19" t="str">
        <f>IF(A264="","",IF(O264=1,SUMIF(Quotes!$C$9:$C$258,A264,Quotes!$AI$9:$AI$258),0))</f>
        <v/>
      </c>
      <c r="M264" s="19" t="str">
        <f>IF(A264="","",IF(O264=1,SUMIF(Quotes!$C$9:$C$258,A264,Quotes!$AJ$9:$AJ$258),0))</f>
        <v/>
      </c>
      <c r="N264" s="18"/>
      <c r="O264" s="18" t="str">
        <f>IF(A264="","",IF(COUNTIF($A$9:A264,A264)=1,1,0))</f>
        <v/>
      </c>
      <c r="P264" s="18" t="str">
        <f t="shared" si="6"/>
        <v/>
      </c>
      <c r="Q264" s="18" t="str">
        <f t="shared" si="7"/>
        <v/>
      </c>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row>
    <row r="265" spans="1:44" ht="48" customHeight="1" x14ac:dyDescent="0.35">
      <c r="A265" s="14"/>
      <c r="B265" s="15"/>
      <c r="C265" s="15"/>
      <c r="D265" s="14"/>
      <c r="E265" s="15"/>
      <c r="F265" s="15"/>
      <c r="G265" s="36"/>
      <c r="H265" s="15"/>
      <c r="I265" s="15"/>
      <c r="J265" s="14" t="str">
        <f>IF(A265="","",IFERROR(HYPERLINK("#'Supplier Jobs'!A"&amp;(MATCH(A265,'Supplier Jobs'!$N$9:$N$258,0)+8),"JOBS / QUOTES"),"No quotes"))</f>
        <v/>
      </c>
      <c r="K265" s="14" t="str">
        <f>IF(A265="","",COUNTIF(Quotes!$D$9:$D$258,D265))</f>
        <v/>
      </c>
      <c r="L265" s="16" t="str">
        <f>IF(A265="","",IF(O265=1,SUMIF(Quotes!$C$9:$C$258,A265,Quotes!$AI$9:$AI$258),0))</f>
        <v/>
      </c>
      <c r="M265" s="16" t="str">
        <f>IF(A265="","",IF(O265=1,SUMIF(Quotes!$C$9:$C$258,A265,Quotes!$AJ$9:$AJ$258),0))</f>
        <v/>
      </c>
      <c r="N265" s="14"/>
      <c r="O265" s="14" t="str">
        <f>IF(A265="","",IF(COUNTIF($A$9:A265,A265)=1,1,0))</f>
        <v/>
      </c>
      <c r="P265" s="14" t="str">
        <f t="shared" ref="P265:P328" si="8">IF(A265="","",D265&amp;" | "&amp;B265&amp;" | "&amp;E265)</f>
        <v/>
      </c>
      <c r="Q265" s="14" t="str">
        <f t="shared" ref="Q265:Q328" si="9">IF(A265="","",A265&amp;" | "&amp;B265)</f>
        <v/>
      </c>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row>
    <row r="266" spans="1:44" ht="48" customHeight="1" x14ac:dyDescent="0.35">
      <c r="A266" s="18"/>
      <c r="B266" s="15"/>
      <c r="C266" s="15"/>
      <c r="D266" s="18"/>
      <c r="E266" s="15"/>
      <c r="F266" s="15"/>
      <c r="G266" s="36"/>
      <c r="H266" s="15"/>
      <c r="I266" s="15"/>
      <c r="J266" s="18" t="str">
        <f>IF(A266="","",IFERROR(HYPERLINK("#'Supplier Jobs'!A"&amp;(MATCH(A266,'Supplier Jobs'!$N$9:$N$258,0)+8),"JOBS / QUOTES"),"No quotes"))</f>
        <v/>
      </c>
      <c r="K266" s="18" t="str">
        <f>IF(A266="","",COUNTIF(Quotes!$D$9:$D$258,D266))</f>
        <v/>
      </c>
      <c r="L266" s="19" t="str">
        <f>IF(A266="","",IF(O266=1,SUMIF(Quotes!$C$9:$C$258,A266,Quotes!$AI$9:$AI$258),0))</f>
        <v/>
      </c>
      <c r="M266" s="19" t="str">
        <f>IF(A266="","",IF(O266=1,SUMIF(Quotes!$C$9:$C$258,A266,Quotes!$AJ$9:$AJ$258),0))</f>
        <v/>
      </c>
      <c r="N266" s="18"/>
      <c r="O266" s="18" t="str">
        <f>IF(A266="","",IF(COUNTIF($A$9:A266,A266)=1,1,0))</f>
        <v/>
      </c>
      <c r="P266" s="18" t="str">
        <f t="shared" si="8"/>
        <v/>
      </c>
      <c r="Q266" s="18" t="str">
        <f t="shared" si="9"/>
        <v/>
      </c>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row>
    <row r="267" spans="1:44" ht="48" customHeight="1" x14ac:dyDescent="0.35">
      <c r="A267" s="14"/>
      <c r="B267" s="15"/>
      <c r="C267" s="15"/>
      <c r="D267" s="14"/>
      <c r="E267" s="15"/>
      <c r="F267" s="15"/>
      <c r="G267" s="36"/>
      <c r="H267" s="15"/>
      <c r="I267" s="15"/>
      <c r="J267" s="14" t="str">
        <f>IF(A267="","",IFERROR(HYPERLINK("#'Supplier Jobs'!A"&amp;(MATCH(A267,'Supplier Jobs'!$N$9:$N$258,0)+8),"JOBS / QUOTES"),"No quotes"))</f>
        <v/>
      </c>
      <c r="K267" s="14" t="str">
        <f>IF(A267="","",COUNTIF(Quotes!$D$9:$D$258,D267))</f>
        <v/>
      </c>
      <c r="L267" s="16" t="str">
        <f>IF(A267="","",IF(O267=1,SUMIF(Quotes!$C$9:$C$258,A267,Quotes!$AI$9:$AI$258),0))</f>
        <v/>
      </c>
      <c r="M267" s="16" t="str">
        <f>IF(A267="","",IF(O267=1,SUMIF(Quotes!$C$9:$C$258,A267,Quotes!$AJ$9:$AJ$258),0))</f>
        <v/>
      </c>
      <c r="N267" s="14"/>
      <c r="O267" s="14" t="str">
        <f>IF(A267="","",IF(COUNTIF($A$9:A267,A267)=1,1,0))</f>
        <v/>
      </c>
      <c r="P267" s="14" t="str">
        <f t="shared" si="8"/>
        <v/>
      </c>
      <c r="Q267" s="14" t="str">
        <f t="shared" si="9"/>
        <v/>
      </c>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row>
    <row r="268" spans="1:44" ht="48" customHeight="1" x14ac:dyDescent="0.35">
      <c r="A268" s="18"/>
      <c r="B268" s="15"/>
      <c r="C268" s="15"/>
      <c r="D268" s="18"/>
      <c r="E268" s="15"/>
      <c r="F268" s="15"/>
      <c r="G268" s="36"/>
      <c r="H268" s="15"/>
      <c r="I268" s="15"/>
      <c r="J268" s="18" t="str">
        <f>IF(A268="","",IFERROR(HYPERLINK("#'Supplier Jobs'!A"&amp;(MATCH(A268,'Supplier Jobs'!$N$9:$N$258,0)+8),"JOBS / QUOTES"),"No quotes"))</f>
        <v/>
      </c>
      <c r="K268" s="18" t="str">
        <f>IF(A268="","",COUNTIF(Quotes!$D$9:$D$258,D268))</f>
        <v/>
      </c>
      <c r="L268" s="19" t="str">
        <f>IF(A268="","",IF(O268=1,SUMIF(Quotes!$C$9:$C$258,A268,Quotes!$AI$9:$AI$258),0))</f>
        <v/>
      </c>
      <c r="M268" s="19" t="str">
        <f>IF(A268="","",IF(O268=1,SUMIF(Quotes!$C$9:$C$258,A268,Quotes!$AJ$9:$AJ$258),0))</f>
        <v/>
      </c>
      <c r="N268" s="18"/>
      <c r="O268" s="18" t="str">
        <f>IF(A268="","",IF(COUNTIF($A$9:A268,A268)=1,1,0))</f>
        <v/>
      </c>
      <c r="P268" s="18" t="str">
        <f t="shared" si="8"/>
        <v/>
      </c>
      <c r="Q268" s="18" t="str">
        <f t="shared" si="9"/>
        <v/>
      </c>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row>
    <row r="269" spans="1:44" ht="48" customHeight="1" x14ac:dyDescent="0.35">
      <c r="A269" s="14"/>
      <c r="B269" s="15"/>
      <c r="C269" s="15"/>
      <c r="D269" s="14"/>
      <c r="E269" s="15"/>
      <c r="F269" s="15"/>
      <c r="G269" s="36"/>
      <c r="H269" s="15"/>
      <c r="I269" s="15"/>
      <c r="J269" s="14" t="str">
        <f>IF(A269="","",IFERROR(HYPERLINK("#'Supplier Jobs'!A"&amp;(MATCH(A269,'Supplier Jobs'!$N$9:$N$258,0)+8),"JOBS / QUOTES"),"No quotes"))</f>
        <v/>
      </c>
      <c r="K269" s="14" t="str">
        <f>IF(A269="","",COUNTIF(Quotes!$D$9:$D$258,D269))</f>
        <v/>
      </c>
      <c r="L269" s="16" t="str">
        <f>IF(A269="","",IF(O269=1,SUMIF(Quotes!$C$9:$C$258,A269,Quotes!$AI$9:$AI$258),0))</f>
        <v/>
      </c>
      <c r="M269" s="16" t="str">
        <f>IF(A269="","",IF(O269=1,SUMIF(Quotes!$C$9:$C$258,A269,Quotes!$AJ$9:$AJ$258),0))</f>
        <v/>
      </c>
      <c r="N269" s="14"/>
      <c r="O269" s="14" t="str">
        <f>IF(A269="","",IF(COUNTIF($A$9:A269,A269)=1,1,0))</f>
        <v/>
      </c>
      <c r="P269" s="14" t="str">
        <f t="shared" si="8"/>
        <v/>
      </c>
      <c r="Q269" s="14" t="str">
        <f t="shared" si="9"/>
        <v/>
      </c>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row>
    <row r="270" spans="1:44" ht="48" customHeight="1" x14ac:dyDescent="0.35">
      <c r="A270" s="18"/>
      <c r="B270" s="15"/>
      <c r="C270" s="15"/>
      <c r="D270" s="18"/>
      <c r="E270" s="15"/>
      <c r="F270" s="15"/>
      <c r="G270" s="36"/>
      <c r="H270" s="15"/>
      <c r="I270" s="15"/>
      <c r="J270" s="18" t="str">
        <f>IF(A270="","",IFERROR(HYPERLINK("#'Supplier Jobs'!A"&amp;(MATCH(A270,'Supplier Jobs'!$N$9:$N$258,0)+8),"JOBS / QUOTES"),"No quotes"))</f>
        <v/>
      </c>
      <c r="K270" s="18" t="str">
        <f>IF(A270="","",COUNTIF(Quotes!$D$9:$D$258,D270))</f>
        <v/>
      </c>
      <c r="L270" s="19" t="str">
        <f>IF(A270="","",IF(O270=1,SUMIF(Quotes!$C$9:$C$258,A270,Quotes!$AI$9:$AI$258),0))</f>
        <v/>
      </c>
      <c r="M270" s="19" t="str">
        <f>IF(A270="","",IF(O270=1,SUMIF(Quotes!$C$9:$C$258,A270,Quotes!$AJ$9:$AJ$258),0))</f>
        <v/>
      </c>
      <c r="N270" s="18"/>
      <c r="O270" s="18" t="str">
        <f>IF(A270="","",IF(COUNTIF($A$9:A270,A270)=1,1,0))</f>
        <v/>
      </c>
      <c r="P270" s="18" t="str">
        <f t="shared" si="8"/>
        <v/>
      </c>
      <c r="Q270" s="18" t="str">
        <f t="shared" si="9"/>
        <v/>
      </c>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row>
    <row r="271" spans="1:44" ht="48" customHeight="1" x14ac:dyDescent="0.35">
      <c r="A271" s="14"/>
      <c r="B271" s="15"/>
      <c r="C271" s="15"/>
      <c r="D271" s="14"/>
      <c r="E271" s="15"/>
      <c r="F271" s="15"/>
      <c r="G271" s="36"/>
      <c r="H271" s="15"/>
      <c r="I271" s="15"/>
      <c r="J271" s="14" t="str">
        <f>IF(A271="","",IFERROR(HYPERLINK("#'Supplier Jobs'!A"&amp;(MATCH(A271,'Supplier Jobs'!$N$9:$N$258,0)+8),"JOBS / QUOTES"),"No quotes"))</f>
        <v/>
      </c>
      <c r="K271" s="14" t="str">
        <f>IF(A271="","",COUNTIF(Quotes!$D$9:$D$258,D271))</f>
        <v/>
      </c>
      <c r="L271" s="16" t="str">
        <f>IF(A271="","",IF(O271=1,SUMIF(Quotes!$C$9:$C$258,A271,Quotes!$AI$9:$AI$258),0))</f>
        <v/>
      </c>
      <c r="M271" s="16" t="str">
        <f>IF(A271="","",IF(O271=1,SUMIF(Quotes!$C$9:$C$258,A271,Quotes!$AJ$9:$AJ$258),0))</f>
        <v/>
      </c>
      <c r="N271" s="14"/>
      <c r="O271" s="14" t="str">
        <f>IF(A271="","",IF(COUNTIF($A$9:A271,A271)=1,1,0))</f>
        <v/>
      </c>
      <c r="P271" s="14" t="str">
        <f t="shared" si="8"/>
        <v/>
      </c>
      <c r="Q271" s="14" t="str">
        <f t="shared" si="9"/>
        <v/>
      </c>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row>
    <row r="272" spans="1:44" ht="48" customHeight="1" x14ac:dyDescent="0.35">
      <c r="A272" s="18"/>
      <c r="B272" s="15"/>
      <c r="C272" s="15"/>
      <c r="D272" s="18"/>
      <c r="E272" s="15"/>
      <c r="F272" s="15"/>
      <c r="G272" s="36"/>
      <c r="H272" s="15"/>
      <c r="I272" s="15"/>
      <c r="J272" s="18" t="str">
        <f>IF(A272="","",IFERROR(HYPERLINK("#'Supplier Jobs'!A"&amp;(MATCH(A272,'Supplier Jobs'!$N$9:$N$258,0)+8),"JOBS / QUOTES"),"No quotes"))</f>
        <v/>
      </c>
      <c r="K272" s="18" t="str">
        <f>IF(A272="","",COUNTIF(Quotes!$D$9:$D$258,D272))</f>
        <v/>
      </c>
      <c r="L272" s="19" t="str">
        <f>IF(A272="","",IF(O272=1,SUMIF(Quotes!$C$9:$C$258,A272,Quotes!$AI$9:$AI$258),0))</f>
        <v/>
      </c>
      <c r="M272" s="19" t="str">
        <f>IF(A272="","",IF(O272=1,SUMIF(Quotes!$C$9:$C$258,A272,Quotes!$AJ$9:$AJ$258),0))</f>
        <v/>
      </c>
      <c r="N272" s="18"/>
      <c r="O272" s="18" t="str">
        <f>IF(A272="","",IF(COUNTIF($A$9:A272,A272)=1,1,0))</f>
        <v/>
      </c>
      <c r="P272" s="18" t="str">
        <f t="shared" si="8"/>
        <v/>
      </c>
      <c r="Q272" s="18" t="str">
        <f t="shared" si="9"/>
        <v/>
      </c>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row>
    <row r="273" spans="1:44" ht="48" customHeight="1" x14ac:dyDescent="0.35">
      <c r="A273" s="14"/>
      <c r="B273" s="15"/>
      <c r="C273" s="15"/>
      <c r="D273" s="14"/>
      <c r="E273" s="15"/>
      <c r="F273" s="15"/>
      <c r="G273" s="36"/>
      <c r="H273" s="15"/>
      <c r="I273" s="15"/>
      <c r="J273" s="14" t="str">
        <f>IF(A273="","",IFERROR(HYPERLINK("#'Supplier Jobs'!A"&amp;(MATCH(A273,'Supplier Jobs'!$N$9:$N$258,0)+8),"JOBS / QUOTES"),"No quotes"))</f>
        <v/>
      </c>
      <c r="K273" s="14" t="str">
        <f>IF(A273="","",COUNTIF(Quotes!$D$9:$D$258,D273))</f>
        <v/>
      </c>
      <c r="L273" s="16" t="str">
        <f>IF(A273="","",IF(O273=1,SUMIF(Quotes!$C$9:$C$258,A273,Quotes!$AI$9:$AI$258),0))</f>
        <v/>
      </c>
      <c r="M273" s="16" t="str">
        <f>IF(A273="","",IF(O273=1,SUMIF(Quotes!$C$9:$C$258,A273,Quotes!$AJ$9:$AJ$258),0))</f>
        <v/>
      </c>
      <c r="N273" s="14"/>
      <c r="O273" s="14" t="str">
        <f>IF(A273="","",IF(COUNTIF($A$9:A273,A273)=1,1,0))</f>
        <v/>
      </c>
      <c r="P273" s="14" t="str">
        <f t="shared" si="8"/>
        <v/>
      </c>
      <c r="Q273" s="14" t="str">
        <f t="shared" si="9"/>
        <v/>
      </c>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row>
    <row r="274" spans="1:44" ht="48" customHeight="1" x14ac:dyDescent="0.35">
      <c r="A274" s="18"/>
      <c r="B274" s="15"/>
      <c r="C274" s="15"/>
      <c r="D274" s="18"/>
      <c r="E274" s="15"/>
      <c r="F274" s="15"/>
      <c r="G274" s="36"/>
      <c r="H274" s="15"/>
      <c r="I274" s="15"/>
      <c r="J274" s="18" t="str">
        <f>IF(A274="","",IFERROR(HYPERLINK("#'Supplier Jobs'!A"&amp;(MATCH(A274,'Supplier Jobs'!$N$9:$N$258,0)+8),"JOBS / QUOTES"),"No quotes"))</f>
        <v/>
      </c>
      <c r="K274" s="18" t="str">
        <f>IF(A274="","",COUNTIF(Quotes!$D$9:$D$258,D274))</f>
        <v/>
      </c>
      <c r="L274" s="19" t="str">
        <f>IF(A274="","",IF(O274=1,SUMIF(Quotes!$C$9:$C$258,A274,Quotes!$AI$9:$AI$258),0))</f>
        <v/>
      </c>
      <c r="M274" s="19" t="str">
        <f>IF(A274="","",IF(O274=1,SUMIF(Quotes!$C$9:$C$258,A274,Quotes!$AJ$9:$AJ$258),0))</f>
        <v/>
      </c>
      <c r="N274" s="18"/>
      <c r="O274" s="18" t="str">
        <f>IF(A274="","",IF(COUNTIF($A$9:A274,A274)=1,1,0))</f>
        <v/>
      </c>
      <c r="P274" s="18" t="str">
        <f t="shared" si="8"/>
        <v/>
      </c>
      <c r="Q274" s="18" t="str">
        <f t="shared" si="9"/>
        <v/>
      </c>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row>
    <row r="275" spans="1:44" ht="48" customHeight="1" x14ac:dyDescent="0.35">
      <c r="A275" s="14"/>
      <c r="B275" s="15"/>
      <c r="C275" s="15"/>
      <c r="D275" s="14"/>
      <c r="E275" s="15"/>
      <c r="F275" s="15"/>
      <c r="G275" s="36"/>
      <c r="H275" s="15"/>
      <c r="I275" s="15"/>
      <c r="J275" s="14" t="str">
        <f>IF(A275="","",IFERROR(HYPERLINK("#'Supplier Jobs'!A"&amp;(MATCH(A275,'Supplier Jobs'!$N$9:$N$258,0)+8),"JOBS / QUOTES"),"No quotes"))</f>
        <v/>
      </c>
      <c r="K275" s="14" t="str">
        <f>IF(A275="","",COUNTIF(Quotes!$D$9:$D$258,D275))</f>
        <v/>
      </c>
      <c r="L275" s="16" t="str">
        <f>IF(A275="","",IF(O275=1,SUMIF(Quotes!$C$9:$C$258,A275,Quotes!$AI$9:$AI$258),0))</f>
        <v/>
      </c>
      <c r="M275" s="16" t="str">
        <f>IF(A275="","",IF(O275=1,SUMIF(Quotes!$C$9:$C$258,A275,Quotes!$AJ$9:$AJ$258),0))</f>
        <v/>
      </c>
      <c r="N275" s="14"/>
      <c r="O275" s="14" t="str">
        <f>IF(A275="","",IF(COUNTIF($A$9:A275,A275)=1,1,0))</f>
        <v/>
      </c>
      <c r="P275" s="14" t="str">
        <f t="shared" si="8"/>
        <v/>
      </c>
      <c r="Q275" s="14" t="str">
        <f t="shared" si="9"/>
        <v/>
      </c>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row>
    <row r="276" spans="1:44" ht="48" customHeight="1" x14ac:dyDescent="0.35">
      <c r="A276" s="18"/>
      <c r="B276" s="15"/>
      <c r="C276" s="15"/>
      <c r="D276" s="18"/>
      <c r="E276" s="15"/>
      <c r="F276" s="15"/>
      <c r="G276" s="36"/>
      <c r="H276" s="15"/>
      <c r="I276" s="15"/>
      <c r="J276" s="18" t="str">
        <f>IF(A276="","",IFERROR(HYPERLINK("#'Supplier Jobs'!A"&amp;(MATCH(A276,'Supplier Jobs'!$N$9:$N$258,0)+8),"JOBS / QUOTES"),"No quotes"))</f>
        <v/>
      </c>
      <c r="K276" s="18" t="str">
        <f>IF(A276="","",COUNTIF(Quotes!$D$9:$D$258,D276))</f>
        <v/>
      </c>
      <c r="L276" s="19" t="str">
        <f>IF(A276="","",IF(O276=1,SUMIF(Quotes!$C$9:$C$258,A276,Quotes!$AI$9:$AI$258),0))</f>
        <v/>
      </c>
      <c r="M276" s="19" t="str">
        <f>IF(A276="","",IF(O276=1,SUMIF(Quotes!$C$9:$C$258,A276,Quotes!$AJ$9:$AJ$258),0))</f>
        <v/>
      </c>
      <c r="N276" s="18"/>
      <c r="O276" s="18" t="str">
        <f>IF(A276="","",IF(COUNTIF($A$9:A276,A276)=1,1,0))</f>
        <v/>
      </c>
      <c r="P276" s="18" t="str">
        <f t="shared" si="8"/>
        <v/>
      </c>
      <c r="Q276" s="18" t="str">
        <f t="shared" si="9"/>
        <v/>
      </c>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row>
    <row r="277" spans="1:44" ht="48" customHeight="1" x14ac:dyDescent="0.35">
      <c r="A277" s="14"/>
      <c r="B277" s="15"/>
      <c r="C277" s="15"/>
      <c r="D277" s="14"/>
      <c r="E277" s="15"/>
      <c r="F277" s="15"/>
      <c r="G277" s="36"/>
      <c r="H277" s="15"/>
      <c r="I277" s="15"/>
      <c r="J277" s="14" t="str">
        <f>IF(A277="","",IFERROR(HYPERLINK("#'Supplier Jobs'!A"&amp;(MATCH(A277,'Supplier Jobs'!$N$9:$N$258,0)+8),"JOBS / QUOTES"),"No quotes"))</f>
        <v/>
      </c>
      <c r="K277" s="14" t="str">
        <f>IF(A277="","",COUNTIF(Quotes!$D$9:$D$258,D277))</f>
        <v/>
      </c>
      <c r="L277" s="16" t="str">
        <f>IF(A277="","",IF(O277=1,SUMIF(Quotes!$C$9:$C$258,A277,Quotes!$AI$9:$AI$258),0))</f>
        <v/>
      </c>
      <c r="M277" s="16" t="str">
        <f>IF(A277="","",IF(O277=1,SUMIF(Quotes!$C$9:$C$258,A277,Quotes!$AJ$9:$AJ$258),0))</f>
        <v/>
      </c>
      <c r="N277" s="14"/>
      <c r="O277" s="14" t="str">
        <f>IF(A277="","",IF(COUNTIF($A$9:A277,A277)=1,1,0))</f>
        <v/>
      </c>
      <c r="P277" s="14" t="str">
        <f t="shared" si="8"/>
        <v/>
      </c>
      <c r="Q277" s="14" t="str">
        <f t="shared" si="9"/>
        <v/>
      </c>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row>
    <row r="278" spans="1:44" ht="48" customHeight="1" x14ac:dyDescent="0.35">
      <c r="A278" s="18"/>
      <c r="B278" s="15"/>
      <c r="C278" s="15"/>
      <c r="D278" s="18"/>
      <c r="E278" s="15"/>
      <c r="F278" s="15"/>
      <c r="G278" s="36"/>
      <c r="H278" s="15"/>
      <c r="I278" s="15"/>
      <c r="J278" s="18" t="str">
        <f>IF(A278="","",IFERROR(HYPERLINK("#'Supplier Jobs'!A"&amp;(MATCH(A278,'Supplier Jobs'!$N$9:$N$258,0)+8),"JOBS / QUOTES"),"No quotes"))</f>
        <v/>
      </c>
      <c r="K278" s="18" t="str">
        <f>IF(A278="","",COUNTIF(Quotes!$D$9:$D$258,D278))</f>
        <v/>
      </c>
      <c r="L278" s="19" t="str">
        <f>IF(A278="","",IF(O278=1,SUMIF(Quotes!$C$9:$C$258,A278,Quotes!$AI$9:$AI$258),0))</f>
        <v/>
      </c>
      <c r="M278" s="19" t="str">
        <f>IF(A278="","",IF(O278=1,SUMIF(Quotes!$C$9:$C$258,A278,Quotes!$AJ$9:$AJ$258),0))</f>
        <v/>
      </c>
      <c r="N278" s="18"/>
      <c r="O278" s="18" t="str">
        <f>IF(A278="","",IF(COUNTIF($A$9:A278,A278)=1,1,0))</f>
        <v/>
      </c>
      <c r="P278" s="18" t="str">
        <f t="shared" si="8"/>
        <v/>
      </c>
      <c r="Q278" s="18" t="str">
        <f t="shared" si="9"/>
        <v/>
      </c>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row>
    <row r="279" spans="1:44" ht="48" customHeight="1" x14ac:dyDescent="0.35">
      <c r="A279" s="14"/>
      <c r="B279" s="15"/>
      <c r="C279" s="15"/>
      <c r="D279" s="14"/>
      <c r="E279" s="15"/>
      <c r="F279" s="15"/>
      <c r="G279" s="36"/>
      <c r="H279" s="15"/>
      <c r="I279" s="15"/>
      <c r="J279" s="14" t="str">
        <f>IF(A279="","",IFERROR(HYPERLINK("#'Supplier Jobs'!A"&amp;(MATCH(A279,'Supplier Jobs'!$N$9:$N$258,0)+8),"JOBS / QUOTES"),"No quotes"))</f>
        <v/>
      </c>
      <c r="K279" s="14" t="str">
        <f>IF(A279="","",COUNTIF(Quotes!$D$9:$D$258,D279))</f>
        <v/>
      </c>
      <c r="L279" s="16" t="str">
        <f>IF(A279="","",IF(O279=1,SUMIF(Quotes!$C$9:$C$258,A279,Quotes!$AI$9:$AI$258),0))</f>
        <v/>
      </c>
      <c r="M279" s="16" t="str">
        <f>IF(A279="","",IF(O279=1,SUMIF(Quotes!$C$9:$C$258,A279,Quotes!$AJ$9:$AJ$258),0))</f>
        <v/>
      </c>
      <c r="N279" s="14"/>
      <c r="O279" s="14" t="str">
        <f>IF(A279="","",IF(COUNTIF($A$9:A279,A279)=1,1,0))</f>
        <v/>
      </c>
      <c r="P279" s="14" t="str">
        <f t="shared" si="8"/>
        <v/>
      </c>
      <c r="Q279" s="14" t="str">
        <f t="shared" si="9"/>
        <v/>
      </c>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row>
    <row r="280" spans="1:44" ht="48" customHeight="1" x14ac:dyDescent="0.35">
      <c r="A280" s="18"/>
      <c r="B280" s="15"/>
      <c r="C280" s="15"/>
      <c r="D280" s="18"/>
      <c r="E280" s="15"/>
      <c r="F280" s="15"/>
      <c r="G280" s="36"/>
      <c r="H280" s="15"/>
      <c r="I280" s="15"/>
      <c r="J280" s="18" t="str">
        <f>IF(A280="","",IFERROR(HYPERLINK("#'Supplier Jobs'!A"&amp;(MATCH(A280,'Supplier Jobs'!$N$9:$N$258,0)+8),"JOBS / QUOTES"),"No quotes"))</f>
        <v/>
      </c>
      <c r="K280" s="18" t="str">
        <f>IF(A280="","",COUNTIF(Quotes!$D$9:$D$258,D280))</f>
        <v/>
      </c>
      <c r="L280" s="19" t="str">
        <f>IF(A280="","",IF(O280=1,SUMIF(Quotes!$C$9:$C$258,A280,Quotes!$AI$9:$AI$258),0))</f>
        <v/>
      </c>
      <c r="M280" s="19" t="str">
        <f>IF(A280="","",IF(O280=1,SUMIF(Quotes!$C$9:$C$258,A280,Quotes!$AJ$9:$AJ$258),0))</f>
        <v/>
      </c>
      <c r="N280" s="18"/>
      <c r="O280" s="18" t="str">
        <f>IF(A280="","",IF(COUNTIF($A$9:A280,A280)=1,1,0))</f>
        <v/>
      </c>
      <c r="P280" s="18" t="str">
        <f t="shared" si="8"/>
        <v/>
      </c>
      <c r="Q280" s="18" t="str">
        <f t="shared" si="9"/>
        <v/>
      </c>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row>
    <row r="281" spans="1:44" ht="48" customHeight="1" x14ac:dyDescent="0.35">
      <c r="A281" s="14"/>
      <c r="B281" s="15"/>
      <c r="C281" s="15"/>
      <c r="D281" s="14"/>
      <c r="E281" s="15"/>
      <c r="F281" s="15"/>
      <c r="G281" s="36"/>
      <c r="H281" s="15"/>
      <c r="I281" s="15"/>
      <c r="J281" s="14" t="str">
        <f>IF(A281="","",IFERROR(HYPERLINK("#'Supplier Jobs'!A"&amp;(MATCH(A281,'Supplier Jobs'!$N$9:$N$258,0)+8),"JOBS / QUOTES"),"No quotes"))</f>
        <v/>
      </c>
      <c r="K281" s="14" t="str">
        <f>IF(A281="","",COUNTIF(Quotes!$D$9:$D$258,D281))</f>
        <v/>
      </c>
      <c r="L281" s="16" t="str">
        <f>IF(A281="","",IF(O281=1,SUMIF(Quotes!$C$9:$C$258,A281,Quotes!$AI$9:$AI$258),0))</f>
        <v/>
      </c>
      <c r="M281" s="16" t="str">
        <f>IF(A281="","",IF(O281=1,SUMIF(Quotes!$C$9:$C$258,A281,Quotes!$AJ$9:$AJ$258),0))</f>
        <v/>
      </c>
      <c r="N281" s="14"/>
      <c r="O281" s="14" t="str">
        <f>IF(A281="","",IF(COUNTIF($A$9:A281,A281)=1,1,0))</f>
        <v/>
      </c>
      <c r="P281" s="14" t="str">
        <f t="shared" si="8"/>
        <v/>
      </c>
      <c r="Q281" s="14" t="str">
        <f t="shared" si="9"/>
        <v/>
      </c>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row>
    <row r="282" spans="1:44" ht="48" customHeight="1" x14ac:dyDescent="0.35">
      <c r="A282" s="18"/>
      <c r="B282" s="15"/>
      <c r="C282" s="15"/>
      <c r="D282" s="18"/>
      <c r="E282" s="15"/>
      <c r="F282" s="15"/>
      <c r="G282" s="36"/>
      <c r="H282" s="15"/>
      <c r="I282" s="15"/>
      <c r="J282" s="18" t="str">
        <f>IF(A282="","",IFERROR(HYPERLINK("#'Supplier Jobs'!A"&amp;(MATCH(A282,'Supplier Jobs'!$N$9:$N$258,0)+8),"JOBS / QUOTES"),"No quotes"))</f>
        <v/>
      </c>
      <c r="K282" s="18" t="str">
        <f>IF(A282="","",COUNTIF(Quotes!$D$9:$D$258,D282))</f>
        <v/>
      </c>
      <c r="L282" s="19" t="str">
        <f>IF(A282="","",IF(O282=1,SUMIF(Quotes!$C$9:$C$258,A282,Quotes!$AI$9:$AI$258),0))</f>
        <v/>
      </c>
      <c r="M282" s="19" t="str">
        <f>IF(A282="","",IF(O282=1,SUMIF(Quotes!$C$9:$C$258,A282,Quotes!$AJ$9:$AJ$258),0))</f>
        <v/>
      </c>
      <c r="N282" s="18"/>
      <c r="O282" s="18" t="str">
        <f>IF(A282="","",IF(COUNTIF($A$9:A282,A282)=1,1,0))</f>
        <v/>
      </c>
      <c r="P282" s="18" t="str">
        <f t="shared" si="8"/>
        <v/>
      </c>
      <c r="Q282" s="18" t="str">
        <f t="shared" si="9"/>
        <v/>
      </c>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row>
    <row r="283" spans="1:44" ht="48" customHeight="1" x14ac:dyDescent="0.35">
      <c r="A283" s="14"/>
      <c r="B283" s="15"/>
      <c r="C283" s="15"/>
      <c r="D283" s="14"/>
      <c r="E283" s="15"/>
      <c r="F283" s="15"/>
      <c r="G283" s="36"/>
      <c r="H283" s="15"/>
      <c r="I283" s="15"/>
      <c r="J283" s="14" t="str">
        <f>IF(A283="","",IFERROR(HYPERLINK("#'Supplier Jobs'!A"&amp;(MATCH(A283,'Supplier Jobs'!$N$9:$N$258,0)+8),"JOBS / QUOTES"),"No quotes"))</f>
        <v/>
      </c>
      <c r="K283" s="14" t="str">
        <f>IF(A283="","",COUNTIF(Quotes!$D$9:$D$258,D283))</f>
        <v/>
      </c>
      <c r="L283" s="16" t="str">
        <f>IF(A283="","",IF(O283=1,SUMIF(Quotes!$C$9:$C$258,A283,Quotes!$AI$9:$AI$258),0))</f>
        <v/>
      </c>
      <c r="M283" s="16" t="str">
        <f>IF(A283="","",IF(O283=1,SUMIF(Quotes!$C$9:$C$258,A283,Quotes!$AJ$9:$AJ$258),0))</f>
        <v/>
      </c>
      <c r="N283" s="14"/>
      <c r="O283" s="14" t="str">
        <f>IF(A283="","",IF(COUNTIF($A$9:A283,A283)=1,1,0))</f>
        <v/>
      </c>
      <c r="P283" s="14" t="str">
        <f t="shared" si="8"/>
        <v/>
      </c>
      <c r="Q283" s="14" t="str">
        <f t="shared" si="9"/>
        <v/>
      </c>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row>
    <row r="284" spans="1:44" ht="48" customHeight="1" x14ac:dyDescent="0.35">
      <c r="A284" s="18"/>
      <c r="B284" s="15"/>
      <c r="C284" s="15"/>
      <c r="D284" s="18"/>
      <c r="E284" s="15"/>
      <c r="F284" s="15"/>
      <c r="G284" s="36"/>
      <c r="H284" s="15"/>
      <c r="I284" s="15"/>
      <c r="J284" s="18" t="str">
        <f>IF(A284="","",IFERROR(HYPERLINK("#'Supplier Jobs'!A"&amp;(MATCH(A284,'Supplier Jobs'!$N$9:$N$258,0)+8),"JOBS / QUOTES"),"No quotes"))</f>
        <v/>
      </c>
      <c r="K284" s="18" t="str">
        <f>IF(A284="","",COUNTIF(Quotes!$D$9:$D$258,D284))</f>
        <v/>
      </c>
      <c r="L284" s="19" t="str">
        <f>IF(A284="","",IF(O284=1,SUMIF(Quotes!$C$9:$C$258,A284,Quotes!$AI$9:$AI$258),0))</f>
        <v/>
      </c>
      <c r="M284" s="19" t="str">
        <f>IF(A284="","",IF(O284=1,SUMIF(Quotes!$C$9:$C$258,A284,Quotes!$AJ$9:$AJ$258),0))</f>
        <v/>
      </c>
      <c r="N284" s="18"/>
      <c r="O284" s="18" t="str">
        <f>IF(A284="","",IF(COUNTIF($A$9:A284,A284)=1,1,0))</f>
        <v/>
      </c>
      <c r="P284" s="18" t="str">
        <f t="shared" si="8"/>
        <v/>
      </c>
      <c r="Q284" s="18" t="str">
        <f t="shared" si="9"/>
        <v/>
      </c>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row>
    <row r="285" spans="1:44" ht="48" customHeight="1" x14ac:dyDescent="0.35">
      <c r="A285" s="14"/>
      <c r="B285" s="15"/>
      <c r="C285" s="15"/>
      <c r="D285" s="14"/>
      <c r="E285" s="15"/>
      <c r="F285" s="15"/>
      <c r="G285" s="36"/>
      <c r="H285" s="15"/>
      <c r="I285" s="15"/>
      <c r="J285" s="14" t="str">
        <f>IF(A285="","",IFERROR(HYPERLINK("#'Supplier Jobs'!A"&amp;(MATCH(A285,'Supplier Jobs'!$N$9:$N$258,0)+8),"JOBS / QUOTES"),"No quotes"))</f>
        <v/>
      </c>
      <c r="K285" s="14" t="str">
        <f>IF(A285="","",COUNTIF(Quotes!$D$9:$D$258,D285))</f>
        <v/>
      </c>
      <c r="L285" s="16" t="str">
        <f>IF(A285="","",IF(O285=1,SUMIF(Quotes!$C$9:$C$258,A285,Quotes!$AI$9:$AI$258),0))</f>
        <v/>
      </c>
      <c r="M285" s="16" t="str">
        <f>IF(A285="","",IF(O285=1,SUMIF(Quotes!$C$9:$C$258,A285,Quotes!$AJ$9:$AJ$258),0))</f>
        <v/>
      </c>
      <c r="N285" s="14"/>
      <c r="O285" s="14" t="str">
        <f>IF(A285="","",IF(COUNTIF($A$9:A285,A285)=1,1,0))</f>
        <v/>
      </c>
      <c r="P285" s="14" t="str">
        <f t="shared" si="8"/>
        <v/>
      </c>
      <c r="Q285" s="14" t="str">
        <f t="shared" si="9"/>
        <v/>
      </c>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row>
    <row r="286" spans="1:44" ht="48" customHeight="1" x14ac:dyDescent="0.35">
      <c r="A286" s="18"/>
      <c r="B286" s="15"/>
      <c r="C286" s="15"/>
      <c r="D286" s="18"/>
      <c r="E286" s="15"/>
      <c r="F286" s="15"/>
      <c r="G286" s="36"/>
      <c r="H286" s="15"/>
      <c r="I286" s="15"/>
      <c r="J286" s="18" t="str">
        <f>IF(A286="","",IFERROR(HYPERLINK("#'Supplier Jobs'!A"&amp;(MATCH(A286,'Supplier Jobs'!$N$9:$N$258,0)+8),"JOBS / QUOTES"),"No quotes"))</f>
        <v/>
      </c>
      <c r="K286" s="18" t="str">
        <f>IF(A286="","",COUNTIF(Quotes!$D$9:$D$258,D286))</f>
        <v/>
      </c>
      <c r="L286" s="19" t="str">
        <f>IF(A286="","",IF(O286=1,SUMIF(Quotes!$C$9:$C$258,A286,Quotes!$AI$9:$AI$258),0))</f>
        <v/>
      </c>
      <c r="M286" s="19" t="str">
        <f>IF(A286="","",IF(O286=1,SUMIF(Quotes!$C$9:$C$258,A286,Quotes!$AJ$9:$AJ$258),0))</f>
        <v/>
      </c>
      <c r="N286" s="18"/>
      <c r="O286" s="18" t="str">
        <f>IF(A286="","",IF(COUNTIF($A$9:A286,A286)=1,1,0))</f>
        <v/>
      </c>
      <c r="P286" s="18" t="str">
        <f t="shared" si="8"/>
        <v/>
      </c>
      <c r="Q286" s="18" t="str">
        <f t="shared" si="9"/>
        <v/>
      </c>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row>
    <row r="287" spans="1:44" ht="48" customHeight="1" x14ac:dyDescent="0.35">
      <c r="A287" s="14"/>
      <c r="B287" s="15"/>
      <c r="C287" s="15"/>
      <c r="D287" s="14"/>
      <c r="E287" s="15"/>
      <c r="F287" s="15"/>
      <c r="G287" s="36"/>
      <c r="H287" s="15"/>
      <c r="I287" s="15"/>
      <c r="J287" s="14" t="str">
        <f>IF(A287="","",IFERROR(HYPERLINK("#'Supplier Jobs'!A"&amp;(MATCH(A287,'Supplier Jobs'!$N$9:$N$258,0)+8),"JOBS / QUOTES"),"No quotes"))</f>
        <v/>
      </c>
      <c r="K287" s="14" t="str">
        <f>IF(A287="","",COUNTIF(Quotes!$D$9:$D$258,D287))</f>
        <v/>
      </c>
      <c r="L287" s="16" t="str">
        <f>IF(A287="","",IF(O287=1,SUMIF(Quotes!$C$9:$C$258,A287,Quotes!$AI$9:$AI$258),0))</f>
        <v/>
      </c>
      <c r="M287" s="16" t="str">
        <f>IF(A287="","",IF(O287=1,SUMIF(Quotes!$C$9:$C$258,A287,Quotes!$AJ$9:$AJ$258),0))</f>
        <v/>
      </c>
      <c r="N287" s="14"/>
      <c r="O287" s="14" t="str">
        <f>IF(A287="","",IF(COUNTIF($A$9:A287,A287)=1,1,0))</f>
        <v/>
      </c>
      <c r="P287" s="14" t="str">
        <f t="shared" si="8"/>
        <v/>
      </c>
      <c r="Q287" s="14" t="str">
        <f t="shared" si="9"/>
        <v/>
      </c>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row>
    <row r="288" spans="1:44" ht="48" customHeight="1" x14ac:dyDescent="0.35">
      <c r="A288" s="18"/>
      <c r="B288" s="15"/>
      <c r="C288" s="15"/>
      <c r="D288" s="18"/>
      <c r="E288" s="15"/>
      <c r="F288" s="15"/>
      <c r="G288" s="36"/>
      <c r="H288" s="15"/>
      <c r="I288" s="15"/>
      <c r="J288" s="18" t="str">
        <f>IF(A288="","",IFERROR(HYPERLINK("#'Supplier Jobs'!A"&amp;(MATCH(A288,'Supplier Jobs'!$N$9:$N$258,0)+8),"JOBS / QUOTES"),"No quotes"))</f>
        <v/>
      </c>
      <c r="K288" s="18" t="str">
        <f>IF(A288="","",COUNTIF(Quotes!$D$9:$D$258,D288))</f>
        <v/>
      </c>
      <c r="L288" s="19" t="str">
        <f>IF(A288="","",IF(O288=1,SUMIF(Quotes!$C$9:$C$258,A288,Quotes!$AI$9:$AI$258),0))</f>
        <v/>
      </c>
      <c r="M288" s="19" t="str">
        <f>IF(A288="","",IF(O288=1,SUMIF(Quotes!$C$9:$C$258,A288,Quotes!$AJ$9:$AJ$258),0))</f>
        <v/>
      </c>
      <c r="N288" s="18"/>
      <c r="O288" s="18" t="str">
        <f>IF(A288="","",IF(COUNTIF($A$9:A288,A288)=1,1,0))</f>
        <v/>
      </c>
      <c r="P288" s="18" t="str">
        <f t="shared" si="8"/>
        <v/>
      </c>
      <c r="Q288" s="18" t="str">
        <f t="shared" si="9"/>
        <v/>
      </c>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row>
    <row r="289" spans="1:44" ht="48" customHeight="1" x14ac:dyDescent="0.35">
      <c r="A289" s="14"/>
      <c r="B289" s="15"/>
      <c r="C289" s="15"/>
      <c r="D289" s="14"/>
      <c r="E289" s="15"/>
      <c r="F289" s="15"/>
      <c r="G289" s="36"/>
      <c r="H289" s="15"/>
      <c r="I289" s="15"/>
      <c r="J289" s="14" t="str">
        <f>IF(A289="","",IFERROR(HYPERLINK("#'Supplier Jobs'!A"&amp;(MATCH(A289,'Supplier Jobs'!$N$9:$N$258,0)+8),"JOBS / QUOTES"),"No quotes"))</f>
        <v/>
      </c>
      <c r="K289" s="14" t="str">
        <f>IF(A289="","",COUNTIF(Quotes!$D$9:$D$258,D289))</f>
        <v/>
      </c>
      <c r="L289" s="16" t="str">
        <f>IF(A289="","",IF(O289=1,SUMIF(Quotes!$C$9:$C$258,A289,Quotes!$AI$9:$AI$258),0))</f>
        <v/>
      </c>
      <c r="M289" s="16" t="str">
        <f>IF(A289="","",IF(O289=1,SUMIF(Quotes!$C$9:$C$258,A289,Quotes!$AJ$9:$AJ$258),0))</f>
        <v/>
      </c>
      <c r="N289" s="14"/>
      <c r="O289" s="14" t="str">
        <f>IF(A289="","",IF(COUNTIF($A$9:A289,A289)=1,1,0))</f>
        <v/>
      </c>
      <c r="P289" s="14" t="str">
        <f t="shared" si="8"/>
        <v/>
      </c>
      <c r="Q289" s="14" t="str">
        <f t="shared" si="9"/>
        <v/>
      </c>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row>
    <row r="290" spans="1:44" ht="48" customHeight="1" x14ac:dyDescent="0.35">
      <c r="A290" s="18"/>
      <c r="B290" s="15"/>
      <c r="C290" s="15"/>
      <c r="D290" s="18"/>
      <c r="E290" s="15"/>
      <c r="F290" s="15"/>
      <c r="G290" s="36"/>
      <c r="H290" s="15"/>
      <c r="I290" s="15"/>
      <c r="J290" s="18" t="str">
        <f>IF(A290="","",IFERROR(HYPERLINK("#'Supplier Jobs'!A"&amp;(MATCH(A290,'Supplier Jobs'!$N$9:$N$258,0)+8),"JOBS / QUOTES"),"No quotes"))</f>
        <v/>
      </c>
      <c r="K290" s="18" t="str">
        <f>IF(A290="","",COUNTIF(Quotes!$D$9:$D$258,D290))</f>
        <v/>
      </c>
      <c r="L290" s="19" t="str">
        <f>IF(A290="","",IF(O290=1,SUMIF(Quotes!$C$9:$C$258,A290,Quotes!$AI$9:$AI$258),0))</f>
        <v/>
      </c>
      <c r="M290" s="19" t="str">
        <f>IF(A290="","",IF(O290=1,SUMIF(Quotes!$C$9:$C$258,A290,Quotes!$AJ$9:$AJ$258),0))</f>
        <v/>
      </c>
      <c r="N290" s="18"/>
      <c r="O290" s="18" t="str">
        <f>IF(A290="","",IF(COUNTIF($A$9:A290,A290)=1,1,0))</f>
        <v/>
      </c>
      <c r="P290" s="18" t="str">
        <f t="shared" si="8"/>
        <v/>
      </c>
      <c r="Q290" s="18" t="str">
        <f t="shared" si="9"/>
        <v/>
      </c>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row>
    <row r="291" spans="1:44" ht="48" customHeight="1" x14ac:dyDescent="0.35">
      <c r="A291" s="14"/>
      <c r="B291" s="15"/>
      <c r="C291" s="15"/>
      <c r="D291" s="14"/>
      <c r="E291" s="15"/>
      <c r="F291" s="15"/>
      <c r="G291" s="36"/>
      <c r="H291" s="15"/>
      <c r="I291" s="15"/>
      <c r="J291" s="14" t="str">
        <f>IF(A291="","",IFERROR(HYPERLINK("#'Supplier Jobs'!A"&amp;(MATCH(A291,'Supplier Jobs'!$N$9:$N$258,0)+8),"JOBS / QUOTES"),"No quotes"))</f>
        <v/>
      </c>
      <c r="K291" s="14" t="str">
        <f>IF(A291="","",COUNTIF(Quotes!$D$9:$D$258,D291))</f>
        <v/>
      </c>
      <c r="L291" s="16" t="str">
        <f>IF(A291="","",IF(O291=1,SUMIF(Quotes!$C$9:$C$258,A291,Quotes!$AI$9:$AI$258),0))</f>
        <v/>
      </c>
      <c r="M291" s="16" t="str">
        <f>IF(A291="","",IF(O291=1,SUMIF(Quotes!$C$9:$C$258,A291,Quotes!$AJ$9:$AJ$258),0))</f>
        <v/>
      </c>
      <c r="N291" s="14"/>
      <c r="O291" s="14" t="str">
        <f>IF(A291="","",IF(COUNTIF($A$9:A291,A291)=1,1,0))</f>
        <v/>
      </c>
      <c r="P291" s="14" t="str">
        <f t="shared" si="8"/>
        <v/>
      </c>
      <c r="Q291" s="14" t="str">
        <f t="shared" si="9"/>
        <v/>
      </c>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row>
    <row r="292" spans="1:44" ht="48" customHeight="1" x14ac:dyDescent="0.35">
      <c r="A292" s="18"/>
      <c r="B292" s="15"/>
      <c r="C292" s="15"/>
      <c r="D292" s="18"/>
      <c r="E292" s="15"/>
      <c r="F292" s="15"/>
      <c r="G292" s="36"/>
      <c r="H292" s="15"/>
      <c r="I292" s="15"/>
      <c r="J292" s="18" t="str">
        <f>IF(A292="","",IFERROR(HYPERLINK("#'Supplier Jobs'!A"&amp;(MATCH(A292,'Supplier Jobs'!$N$9:$N$258,0)+8),"JOBS / QUOTES"),"No quotes"))</f>
        <v/>
      </c>
      <c r="K292" s="18" t="str">
        <f>IF(A292="","",COUNTIF(Quotes!$D$9:$D$258,D292))</f>
        <v/>
      </c>
      <c r="L292" s="19" t="str">
        <f>IF(A292="","",IF(O292=1,SUMIF(Quotes!$C$9:$C$258,A292,Quotes!$AI$9:$AI$258),0))</f>
        <v/>
      </c>
      <c r="M292" s="19" t="str">
        <f>IF(A292="","",IF(O292=1,SUMIF(Quotes!$C$9:$C$258,A292,Quotes!$AJ$9:$AJ$258),0))</f>
        <v/>
      </c>
      <c r="N292" s="18"/>
      <c r="O292" s="18" t="str">
        <f>IF(A292="","",IF(COUNTIF($A$9:A292,A292)=1,1,0))</f>
        <v/>
      </c>
      <c r="P292" s="18" t="str">
        <f t="shared" si="8"/>
        <v/>
      </c>
      <c r="Q292" s="18" t="str">
        <f t="shared" si="9"/>
        <v/>
      </c>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row>
    <row r="293" spans="1:44" ht="48" customHeight="1" x14ac:dyDescent="0.35">
      <c r="A293" s="14"/>
      <c r="B293" s="15"/>
      <c r="C293" s="15"/>
      <c r="D293" s="14"/>
      <c r="E293" s="15"/>
      <c r="F293" s="15"/>
      <c r="G293" s="36"/>
      <c r="H293" s="15"/>
      <c r="I293" s="15"/>
      <c r="J293" s="14" t="str">
        <f>IF(A293="","",IFERROR(HYPERLINK("#'Supplier Jobs'!A"&amp;(MATCH(A293,'Supplier Jobs'!$N$9:$N$258,0)+8),"JOBS / QUOTES"),"No quotes"))</f>
        <v/>
      </c>
      <c r="K293" s="14" t="str">
        <f>IF(A293="","",COUNTIF(Quotes!$D$9:$D$258,D293))</f>
        <v/>
      </c>
      <c r="L293" s="16" t="str">
        <f>IF(A293="","",IF(O293=1,SUMIF(Quotes!$C$9:$C$258,A293,Quotes!$AI$9:$AI$258),0))</f>
        <v/>
      </c>
      <c r="M293" s="16" t="str">
        <f>IF(A293="","",IF(O293=1,SUMIF(Quotes!$C$9:$C$258,A293,Quotes!$AJ$9:$AJ$258),0))</f>
        <v/>
      </c>
      <c r="N293" s="14"/>
      <c r="O293" s="14" t="str">
        <f>IF(A293="","",IF(COUNTIF($A$9:A293,A293)=1,1,0))</f>
        <v/>
      </c>
      <c r="P293" s="14" t="str">
        <f t="shared" si="8"/>
        <v/>
      </c>
      <c r="Q293" s="14" t="str">
        <f t="shared" si="9"/>
        <v/>
      </c>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row>
    <row r="294" spans="1:44" ht="48" customHeight="1" x14ac:dyDescent="0.35">
      <c r="A294" s="18"/>
      <c r="B294" s="15"/>
      <c r="C294" s="15"/>
      <c r="D294" s="18"/>
      <c r="E294" s="15"/>
      <c r="F294" s="15"/>
      <c r="G294" s="36"/>
      <c r="H294" s="15"/>
      <c r="I294" s="15"/>
      <c r="J294" s="18" t="str">
        <f>IF(A294="","",IFERROR(HYPERLINK("#'Supplier Jobs'!A"&amp;(MATCH(A294,'Supplier Jobs'!$N$9:$N$258,0)+8),"JOBS / QUOTES"),"No quotes"))</f>
        <v/>
      </c>
      <c r="K294" s="18" t="str">
        <f>IF(A294="","",COUNTIF(Quotes!$D$9:$D$258,D294))</f>
        <v/>
      </c>
      <c r="L294" s="19" t="str">
        <f>IF(A294="","",IF(O294=1,SUMIF(Quotes!$C$9:$C$258,A294,Quotes!$AI$9:$AI$258),0))</f>
        <v/>
      </c>
      <c r="M294" s="19" t="str">
        <f>IF(A294="","",IF(O294=1,SUMIF(Quotes!$C$9:$C$258,A294,Quotes!$AJ$9:$AJ$258),0))</f>
        <v/>
      </c>
      <c r="N294" s="18"/>
      <c r="O294" s="18" t="str">
        <f>IF(A294="","",IF(COUNTIF($A$9:A294,A294)=1,1,0))</f>
        <v/>
      </c>
      <c r="P294" s="18" t="str">
        <f t="shared" si="8"/>
        <v/>
      </c>
      <c r="Q294" s="18" t="str">
        <f t="shared" si="9"/>
        <v/>
      </c>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row>
    <row r="295" spans="1:44" ht="48" customHeight="1" x14ac:dyDescent="0.35">
      <c r="A295" s="14"/>
      <c r="B295" s="15"/>
      <c r="C295" s="15"/>
      <c r="D295" s="14"/>
      <c r="E295" s="15"/>
      <c r="F295" s="15"/>
      <c r="G295" s="36"/>
      <c r="H295" s="15"/>
      <c r="I295" s="15"/>
      <c r="J295" s="14" t="str">
        <f>IF(A295="","",IFERROR(HYPERLINK("#'Supplier Jobs'!A"&amp;(MATCH(A295,'Supplier Jobs'!$N$9:$N$258,0)+8),"JOBS / QUOTES"),"No quotes"))</f>
        <v/>
      </c>
      <c r="K295" s="14" t="str">
        <f>IF(A295="","",COUNTIF(Quotes!$D$9:$D$258,D295))</f>
        <v/>
      </c>
      <c r="L295" s="16" t="str">
        <f>IF(A295="","",IF(O295=1,SUMIF(Quotes!$C$9:$C$258,A295,Quotes!$AI$9:$AI$258),0))</f>
        <v/>
      </c>
      <c r="M295" s="16" t="str">
        <f>IF(A295="","",IF(O295=1,SUMIF(Quotes!$C$9:$C$258,A295,Quotes!$AJ$9:$AJ$258),0))</f>
        <v/>
      </c>
      <c r="N295" s="14"/>
      <c r="O295" s="14" t="str">
        <f>IF(A295="","",IF(COUNTIF($A$9:A295,A295)=1,1,0))</f>
        <v/>
      </c>
      <c r="P295" s="14" t="str">
        <f t="shared" si="8"/>
        <v/>
      </c>
      <c r="Q295" s="14" t="str">
        <f t="shared" si="9"/>
        <v/>
      </c>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row>
    <row r="296" spans="1:44" ht="48" customHeight="1" x14ac:dyDescent="0.35">
      <c r="A296" s="18"/>
      <c r="B296" s="15"/>
      <c r="C296" s="15"/>
      <c r="D296" s="18"/>
      <c r="E296" s="15"/>
      <c r="F296" s="15"/>
      <c r="G296" s="36"/>
      <c r="H296" s="15"/>
      <c r="I296" s="15"/>
      <c r="J296" s="18" t="str">
        <f>IF(A296="","",IFERROR(HYPERLINK("#'Supplier Jobs'!A"&amp;(MATCH(A296,'Supplier Jobs'!$N$9:$N$258,0)+8),"JOBS / QUOTES"),"No quotes"))</f>
        <v/>
      </c>
      <c r="K296" s="18" t="str">
        <f>IF(A296="","",COUNTIF(Quotes!$D$9:$D$258,D296))</f>
        <v/>
      </c>
      <c r="L296" s="19" t="str">
        <f>IF(A296="","",IF(O296=1,SUMIF(Quotes!$C$9:$C$258,A296,Quotes!$AI$9:$AI$258),0))</f>
        <v/>
      </c>
      <c r="M296" s="19" t="str">
        <f>IF(A296="","",IF(O296=1,SUMIF(Quotes!$C$9:$C$258,A296,Quotes!$AJ$9:$AJ$258),0))</f>
        <v/>
      </c>
      <c r="N296" s="18"/>
      <c r="O296" s="18" t="str">
        <f>IF(A296="","",IF(COUNTIF($A$9:A296,A296)=1,1,0))</f>
        <v/>
      </c>
      <c r="P296" s="18" t="str">
        <f t="shared" si="8"/>
        <v/>
      </c>
      <c r="Q296" s="18" t="str">
        <f t="shared" si="9"/>
        <v/>
      </c>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row>
    <row r="297" spans="1:44" ht="48" customHeight="1" x14ac:dyDescent="0.35">
      <c r="A297" s="14"/>
      <c r="B297" s="15"/>
      <c r="C297" s="15"/>
      <c r="D297" s="14"/>
      <c r="E297" s="15"/>
      <c r="F297" s="15"/>
      <c r="G297" s="36"/>
      <c r="H297" s="15"/>
      <c r="I297" s="15"/>
      <c r="J297" s="14" t="str">
        <f>IF(A297="","",IFERROR(HYPERLINK("#'Supplier Jobs'!A"&amp;(MATCH(A297,'Supplier Jobs'!$N$9:$N$258,0)+8),"JOBS / QUOTES"),"No quotes"))</f>
        <v/>
      </c>
      <c r="K297" s="14" t="str">
        <f>IF(A297="","",COUNTIF(Quotes!$D$9:$D$258,D297))</f>
        <v/>
      </c>
      <c r="L297" s="16" t="str">
        <f>IF(A297="","",IF(O297=1,SUMIF(Quotes!$C$9:$C$258,A297,Quotes!$AI$9:$AI$258),0))</f>
        <v/>
      </c>
      <c r="M297" s="16" t="str">
        <f>IF(A297="","",IF(O297=1,SUMIF(Quotes!$C$9:$C$258,A297,Quotes!$AJ$9:$AJ$258),0))</f>
        <v/>
      </c>
      <c r="N297" s="14"/>
      <c r="O297" s="14" t="str">
        <f>IF(A297="","",IF(COUNTIF($A$9:A297,A297)=1,1,0))</f>
        <v/>
      </c>
      <c r="P297" s="14" t="str">
        <f t="shared" si="8"/>
        <v/>
      </c>
      <c r="Q297" s="14" t="str">
        <f t="shared" si="9"/>
        <v/>
      </c>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row>
    <row r="298" spans="1:44" ht="48" customHeight="1" x14ac:dyDescent="0.35">
      <c r="A298" s="18"/>
      <c r="B298" s="15"/>
      <c r="C298" s="15"/>
      <c r="D298" s="18"/>
      <c r="E298" s="15"/>
      <c r="F298" s="15"/>
      <c r="G298" s="36"/>
      <c r="H298" s="15"/>
      <c r="I298" s="15"/>
      <c r="J298" s="18" t="str">
        <f>IF(A298="","",IFERROR(HYPERLINK("#'Supplier Jobs'!A"&amp;(MATCH(A298,'Supplier Jobs'!$N$9:$N$258,0)+8),"JOBS / QUOTES"),"No quotes"))</f>
        <v/>
      </c>
      <c r="K298" s="18" t="str">
        <f>IF(A298="","",COUNTIF(Quotes!$D$9:$D$258,D298))</f>
        <v/>
      </c>
      <c r="L298" s="19" t="str">
        <f>IF(A298="","",IF(O298=1,SUMIF(Quotes!$C$9:$C$258,A298,Quotes!$AI$9:$AI$258),0))</f>
        <v/>
      </c>
      <c r="M298" s="19" t="str">
        <f>IF(A298="","",IF(O298=1,SUMIF(Quotes!$C$9:$C$258,A298,Quotes!$AJ$9:$AJ$258),0))</f>
        <v/>
      </c>
      <c r="N298" s="18"/>
      <c r="O298" s="18" t="str">
        <f>IF(A298="","",IF(COUNTIF($A$9:A298,A298)=1,1,0))</f>
        <v/>
      </c>
      <c r="P298" s="18" t="str">
        <f t="shared" si="8"/>
        <v/>
      </c>
      <c r="Q298" s="18" t="str">
        <f t="shared" si="9"/>
        <v/>
      </c>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row>
    <row r="299" spans="1:44" ht="48" customHeight="1" x14ac:dyDescent="0.35">
      <c r="A299" s="14"/>
      <c r="B299" s="15"/>
      <c r="C299" s="15"/>
      <c r="D299" s="14"/>
      <c r="E299" s="15"/>
      <c r="F299" s="15"/>
      <c r="G299" s="36"/>
      <c r="H299" s="15"/>
      <c r="I299" s="15"/>
      <c r="J299" s="14" t="str">
        <f>IF(A299="","",IFERROR(HYPERLINK("#'Supplier Jobs'!A"&amp;(MATCH(A299,'Supplier Jobs'!$N$9:$N$258,0)+8),"JOBS / QUOTES"),"No quotes"))</f>
        <v/>
      </c>
      <c r="K299" s="14" t="str">
        <f>IF(A299="","",COUNTIF(Quotes!$D$9:$D$258,D299))</f>
        <v/>
      </c>
      <c r="L299" s="16" t="str">
        <f>IF(A299="","",IF(O299=1,SUMIF(Quotes!$C$9:$C$258,A299,Quotes!$AI$9:$AI$258),0))</f>
        <v/>
      </c>
      <c r="M299" s="16" t="str">
        <f>IF(A299="","",IF(O299=1,SUMIF(Quotes!$C$9:$C$258,A299,Quotes!$AJ$9:$AJ$258),0))</f>
        <v/>
      </c>
      <c r="N299" s="14"/>
      <c r="O299" s="14" t="str">
        <f>IF(A299="","",IF(COUNTIF($A$9:A299,A299)=1,1,0))</f>
        <v/>
      </c>
      <c r="P299" s="14" t="str">
        <f t="shared" si="8"/>
        <v/>
      </c>
      <c r="Q299" s="14" t="str">
        <f t="shared" si="9"/>
        <v/>
      </c>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row>
    <row r="300" spans="1:44" ht="48" customHeight="1" x14ac:dyDescent="0.35">
      <c r="A300" s="18"/>
      <c r="B300" s="15"/>
      <c r="C300" s="15"/>
      <c r="D300" s="18"/>
      <c r="E300" s="15"/>
      <c r="F300" s="15"/>
      <c r="G300" s="36"/>
      <c r="H300" s="15"/>
      <c r="I300" s="15"/>
      <c r="J300" s="18" t="str">
        <f>IF(A300="","",IFERROR(HYPERLINK("#'Supplier Jobs'!A"&amp;(MATCH(A300,'Supplier Jobs'!$N$9:$N$258,0)+8),"JOBS / QUOTES"),"No quotes"))</f>
        <v/>
      </c>
      <c r="K300" s="18" t="str">
        <f>IF(A300="","",COUNTIF(Quotes!$D$9:$D$258,D300))</f>
        <v/>
      </c>
      <c r="L300" s="19" t="str">
        <f>IF(A300="","",IF(O300=1,SUMIF(Quotes!$C$9:$C$258,A300,Quotes!$AI$9:$AI$258),0))</f>
        <v/>
      </c>
      <c r="M300" s="19" t="str">
        <f>IF(A300="","",IF(O300=1,SUMIF(Quotes!$C$9:$C$258,A300,Quotes!$AJ$9:$AJ$258),0))</f>
        <v/>
      </c>
      <c r="N300" s="18"/>
      <c r="O300" s="18" t="str">
        <f>IF(A300="","",IF(COUNTIF($A$9:A300,A300)=1,1,0))</f>
        <v/>
      </c>
      <c r="P300" s="18" t="str">
        <f t="shared" si="8"/>
        <v/>
      </c>
      <c r="Q300" s="18" t="str">
        <f t="shared" si="9"/>
        <v/>
      </c>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row>
    <row r="301" spans="1:44" ht="48" customHeight="1" x14ac:dyDescent="0.35">
      <c r="A301" s="14"/>
      <c r="B301" s="15"/>
      <c r="C301" s="15"/>
      <c r="D301" s="14"/>
      <c r="E301" s="15"/>
      <c r="F301" s="15"/>
      <c r="G301" s="36"/>
      <c r="H301" s="15"/>
      <c r="I301" s="15"/>
      <c r="J301" s="14" t="str">
        <f>IF(A301="","",IFERROR(HYPERLINK("#'Supplier Jobs'!A"&amp;(MATCH(A301,'Supplier Jobs'!$N$9:$N$258,0)+8),"JOBS / QUOTES"),"No quotes"))</f>
        <v/>
      </c>
      <c r="K301" s="14" t="str">
        <f>IF(A301="","",COUNTIF(Quotes!$D$9:$D$258,D301))</f>
        <v/>
      </c>
      <c r="L301" s="16" t="str">
        <f>IF(A301="","",IF(O301=1,SUMIF(Quotes!$C$9:$C$258,A301,Quotes!$AI$9:$AI$258),0))</f>
        <v/>
      </c>
      <c r="M301" s="16" t="str">
        <f>IF(A301="","",IF(O301=1,SUMIF(Quotes!$C$9:$C$258,A301,Quotes!$AJ$9:$AJ$258),0))</f>
        <v/>
      </c>
      <c r="N301" s="14"/>
      <c r="O301" s="14" t="str">
        <f>IF(A301="","",IF(COUNTIF($A$9:A301,A301)=1,1,0))</f>
        <v/>
      </c>
      <c r="P301" s="14" t="str">
        <f t="shared" si="8"/>
        <v/>
      </c>
      <c r="Q301" s="14" t="str">
        <f t="shared" si="9"/>
        <v/>
      </c>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row>
    <row r="302" spans="1:44" ht="48" customHeight="1" x14ac:dyDescent="0.35">
      <c r="A302" s="18"/>
      <c r="B302" s="15"/>
      <c r="C302" s="15"/>
      <c r="D302" s="18"/>
      <c r="E302" s="15"/>
      <c r="F302" s="15"/>
      <c r="G302" s="36"/>
      <c r="H302" s="15"/>
      <c r="I302" s="15"/>
      <c r="J302" s="18" t="str">
        <f>IF(A302="","",IFERROR(HYPERLINK("#'Supplier Jobs'!A"&amp;(MATCH(A302,'Supplier Jobs'!$N$9:$N$258,0)+8),"JOBS / QUOTES"),"No quotes"))</f>
        <v/>
      </c>
      <c r="K302" s="18" t="str">
        <f>IF(A302="","",COUNTIF(Quotes!$D$9:$D$258,D302))</f>
        <v/>
      </c>
      <c r="L302" s="19" t="str">
        <f>IF(A302="","",IF(O302=1,SUMIF(Quotes!$C$9:$C$258,A302,Quotes!$AI$9:$AI$258),0))</f>
        <v/>
      </c>
      <c r="M302" s="19" t="str">
        <f>IF(A302="","",IF(O302=1,SUMIF(Quotes!$C$9:$C$258,A302,Quotes!$AJ$9:$AJ$258),0))</f>
        <v/>
      </c>
      <c r="N302" s="18"/>
      <c r="O302" s="18" t="str">
        <f>IF(A302="","",IF(COUNTIF($A$9:A302,A302)=1,1,0))</f>
        <v/>
      </c>
      <c r="P302" s="18" t="str">
        <f t="shared" si="8"/>
        <v/>
      </c>
      <c r="Q302" s="18" t="str">
        <f t="shared" si="9"/>
        <v/>
      </c>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row>
    <row r="303" spans="1:44" ht="48" customHeight="1" x14ac:dyDescent="0.35">
      <c r="A303" s="14"/>
      <c r="B303" s="15"/>
      <c r="C303" s="15"/>
      <c r="D303" s="14"/>
      <c r="E303" s="15"/>
      <c r="F303" s="15"/>
      <c r="G303" s="36"/>
      <c r="H303" s="15"/>
      <c r="I303" s="15"/>
      <c r="J303" s="14" t="str">
        <f>IF(A303="","",IFERROR(HYPERLINK("#'Supplier Jobs'!A"&amp;(MATCH(A303,'Supplier Jobs'!$N$9:$N$258,0)+8),"JOBS / QUOTES"),"No quotes"))</f>
        <v/>
      </c>
      <c r="K303" s="14" t="str">
        <f>IF(A303="","",COUNTIF(Quotes!$D$9:$D$258,D303))</f>
        <v/>
      </c>
      <c r="L303" s="16" t="str">
        <f>IF(A303="","",IF(O303=1,SUMIF(Quotes!$C$9:$C$258,A303,Quotes!$AI$9:$AI$258),0))</f>
        <v/>
      </c>
      <c r="M303" s="16" t="str">
        <f>IF(A303="","",IF(O303=1,SUMIF(Quotes!$C$9:$C$258,A303,Quotes!$AJ$9:$AJ$258),0))</f>
        <v/>
      </c>
      <c r="N303" s="14"/>
      <c r="O303" s="14" t="str">
        <f>IF(A303="","",IF(COUNTIF($A$9:A303,A303)=1,1,0))</f>
        <v/>
      </c>
      <c r="P303" s="14" t="str">
        <f t="shared" si="8"/>
        <v/>
      </c>
      <c r="Q303" s="14" t="str">
        <f t="shared" si="9"/>
        <v/>
      </c>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row>
    <row r="304" spans="1:44" ht="48" customHeight="1" x14ac:dyDescent="0.35">
      <c r="A304" s="18"/>
      <c r="B304" s="15"/>
      <c r="C304" s="15"/>
      <c r="D304" s="18"/>
      <c r="E304" s="15"/>
      <c r="F304" s="15"/>
      <c r="G304" s="36"/>
      <c r="H304" s="15"/>
      <c r="I304" s="15"/>
      <c r="J304" s="18" t="str">
        <f>IF(A304="","",IFERROR(HYPERLINK("#'Supplier Jobs'!A"&amp;(MATCH(A304,'Supplier Jobs'!$N$9:$N$258,0)+8),"JOBS / QUOTES"),"No quotes"))</f>
        <v/>
      </c>
      <c r="K304" s="18" t="str">
        <f>IF(A304="","",COUNTIF(Quotes!$D$9:$D$258,D304))</f>
        <v/>
      </c>
      <c r="L304" s="19" t="str">
        <f>IF(A304="","",IF(O304=1,SUMIF(Quotes!$C$9:$C$258,A304,Quotes!$AI$9:$AI$258),0))</f>
        <v/>
      </c>
      <c r="M304" s="19" t="str">
        <f>IF(A304="","",IF(O304=1,SUMIF(Quotes!$C$9:$C$258,A304,Quotes!$AJ$9:$AJ$258),0))</f>
        <v/>
      </c>
      <c r="N304" s="18"/>
      <c r="O304" s="18" t="str">
        <f>IF(A304="","",IF(COUNTIF($A$9:A304,A304)=1,1,0))</f>
        <v/>
      </c>
      <c r="P304" s="18" t="str">
        <f t="shared" si="8"/>
        <v/>
      </c>
      <c r="Q304" s="18" t="str">
        <f t="shared" si="9"/>
        <v/>
      </c>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row>
    <row r="305" spans="1:44" ht="48" customHeight="1" x14ac:dyDescent="0.35">
      <c r="A305" s="14"/>
      <c r="B305" s="15"/>
      <c r="C305" s="15"/>
      <c r="D305" s="14"/>
      <c r="E305" s="15"/>
      <c r="F305" s="15"/>
      <c r="G305" s="36"/>
      <c r="H305" s="15"/>
      <c r="I305" s="15"/>
      <c r="J305" s="14" t="str">
        <f>IF(A305="","",IFERROR(HYPERLINK("#'Supplier Jobs'!A"&amp;(MATCH(A305,'Supplier Jobs'!$N$9:$N$258,0)+8),"JOBS / QUOTES"),"No quotes"))</f>
        <v/>
      </c>
      <c r="K305" s="14" t="str">
        <f>IF(A305="","",COUNTIF(Quotes!$D$9:$D$258,D305))</f>
        <v/>
      </c>
      <c r="L305" s="16" t="str">
        <f>IF(A305="","",IF(O305=1,SUMIF(Quotes!$C$9:$C$258,A305,Quotes!$AI$9:$AI$258),0))</f>
        <v/>
      </c>
      <c r="M305" s="16" t="str">
        <f>IF(A305="","",IF(O305=1,SUMIF(Quotes!$C$9:$C$258,A305,Quotes!$AJ$9:$AJ$258),0))</f>
        <v/>
      </c>
      <c r="N305" s="14"/>
      <c r="O305" s="14" t="str">
        <f>IF(A305="","",IF(COUNTIF($A$9:A305,A305)=1,1,0))</f>
        <v/>
      </c>
      <c r="P305" s="14" t="str">
        <f t="shared" si="8"/>
        <v/>
      </c>
      <c r="Q305" s="14" t="str">
        <f t="shared" si="9"/>
        <v/>
      </c>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row>
    <row r="306" spans="1:44" ht="48" customHeight="1" x14ac:dyDescent="0.35">
      <c r="A306" s="18"/>
      <c r="B306" s="15"/>
      <c r="C306" s="15"/>
      <c r="D306" s="18"/>
      <c r="E306" s="15"/>
      <c r="F306" s="15"/>
      <c r="G306" s="36"/>
      <c r="H306" s="15"/>
      <c r="I306" s="15"/>
      <c r="J306" s="18" t="str">
        <f>IF(A306="","",IFERROR(HYPERLINK("#'Supplier Jobs'!A"&amp;(MATCH(A306,'Supplier Jobs'!$N$9:$N$258,0)+8),"JOBS / QUOTES"),"No quotes"))</f>
        <v/>
      </c>
      <c r="K306" s="18" t="str">
        <f>IF(A306="","",COUNTIF(Quotes!$D$9:$D$258,D306))</f>
        <v/>
      </c>
      <c r="L306" s="19" t="str">
        <f>IF(A306="","",IF(O306=1,SUMIF(Quotes!$C$9:$C$258,A306,Quotes!$AI$9:$AI$258),0))</f>
        <v/>
      </c>
      <c r="M306" s="19" t="str">
        <f>IF(A306="","",IF(O306=1,SUMIF(Quotes!$C$9:$C$258,A306,Quotes!$AJ$9:$AJ$258),0))</f>
        <v/>
      </c>
      <c r="N306" s="18"/>
      <c r="O306" s="18" t="str">
        <f>IF(A306="","",IF(COUNTIF($A$9:A306,A306)=1,1,0))</f>
        <v/>
      </c>
      <c r="P306" s="18" t="str">
        <f t="shared" si="8"/>
        <v/>
      </c>
      <c r="Q306" s="18" t="str">
        <f t="shared" si="9"/>
        <v/>
      </c>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row>
    <row r="307" spans="1:44" ht="48" customHeight="1" x14ac:dyDescent="0.35">
      <c r="A307" s="14"/>
      <c r="B307" s="15"/>
      <c r="C307" s="15"/>
      <c r="D307" s="14"/>
      <c r="E307" s="15"/>
      <c r="F307" s="15"/>
      <c r="G307" s="36"/>
      <c r="H307" s="15"/>
      <c r="I307" s="15"/>
      <c r="J307" s="14" t="str">
        <f>IF(A307="","",IFERROR(HYPERLINK("#'Supplier Jobs'!A"&amp;(MATCH(A307,'Supplier Jobs'!$N$9:$N$258,0)+8),"JOBS / QUOTES"),"No quotes"))</f>
        <v/>
      </c>
      <c r="K307" s="14" t="str">
        <f>IF(A307="","",COUNTIF(Quotes!$D$9:$D$258,D307))</f>
        <v/>
      </c>
      <c r="L307" s="16" t="str">
        <f>IF(A307="","",IF(O307=1,SUMIF(Quotes!$C$9:$C$258,A307,Quotes!$AI$9:$AI$258),0))</f>
        <v/>
      </c>
      <c r="M307" s="16" t="str">
        <f>IF(A307="","",IF(O307=1,SUMIF(Quotes!$C$9:$C$258,A307,Quotes!$AJ$9:$AJ$258),0))</f>
        <v/>
      </c>
      <c r="N307" s="14"/>
      <c r="O307" s="14" t="str">
        <f>IF(A307="","",IF(COUNTIF($A$9:A307,A307)=1,1,0))</f>
        <v/>
      </c>
      <c r="P307" s="14" t="str">
        <f t="shared" si="8"/>
        <v/>
      </c>
      <c r="Q307" s="14" t="str">
        <f t="shared" si="9"/>
        <v/>
      </c>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row>
    <row r="308" spans="1:44" ht="48" customHeight="1" x14ac:dyDescent="0.35">
      <c r="A308" s="18"/>
      <c r="B308" s="15"/>
      <c r="C308" s="15"/>
      <c r="D308" s="18"/>
      <c r="E308" s="15"/>
      <c r="F308" s="15"/>
      <c r="G308" s="36"/>
      <c r="H308" s="15"/>
      <c r="I308" s="15"/>
      <c r="J308" s="18" t="str">
        <f>IF(A308="","",IFERROR(HYPERLINK("#'Supplier Jobs'!A"&amp;(MATCH(A308,'Supplier Jobs'!$N$9:$N$258,0)+8),"JOBS / QUOTES"),"No quotes"))</f>
        <v/>
      </c>
      <c r="K308" s="18" t="str">
        <f>IF(A308="","",COUNTIF(Quotes!$D$9:$D$258,D308))</f>
        <v/>
      </c>
      <c r="L308" s="19" t="str">
        <f>IF(A308="","",IF(O308=1,SUMIF(Quotes!$C$9:$C$258,A308,Quotes!$AI$9:$AI$258),0))</f>
        <v/>
      </c>
      <c r="M308" s="19" t="str">
        <f>IF(A308="","",IF(O308=1,SUMIF(Quotes!$C$9:$C$258,A308,Quotes!$AJ$9:$AJ$258),0))</f>
        <v/>
      </c>
      <c r="N308" s="18"/>
      <c r="O308" s="18" t="str">
        <f>IF(A308="","",IF(COUNTIF($A$9:A308,A308)=1,1,0))</f>
        <v/>
      </c>
      <c r="P308" s="18" t="str">
        <f t="shared" si="8"/>
        <v/>
      </c>
      <c r="Q308" s="18" t="str">
        <f t="shared" si="9"/>
        <v/>
      </c>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row>
    <row r="309" spans="1:44" ht="48" customHeight="1" x14ac:dyDescent="0.35">
      <c r="A309" s="14"/>
      <c r="B309" s="15"/>
      <c r="C309" s="15"/>
      <c r="D309" s="14"/>
      <c r="E309" s="15"/>
      <c r="F309" s="15"/>
      <c r="G309" s="36"/>
      <c r="H309" s="15"/>
      <c r="I309" s="15"/>
      <c r="J309" s="14" t="str">
        <f>IF(A309="","",IFERROR(HYPERLINK("#'Supplier Jobs'!A"&amp;(MATCH(A309,'Supplier Jobs'!$N$9:$N$258,0)+8),"JOBS / QUOTES"),"No quotes"))</f>
        <v/>
      </c>
      <c r="K309" s="14" t="str">
        <f>IF(A309="","",COUNTIF(Quotes!$D$9:$D$258,D309))</f>
        <v/>
      </c>
      <c r="L309" s="16" t="str">
        <f>IF(A309="","",IF(O309=1,SUMIF(Quotes!$C$9:$C$258,A309,Quotes!$AI$9:$AI$258),0))</f>
        <v/>
      </c>
      <c r="M309" s="16" t="str">
        <f>IF(A309="","",IF(O309=1,SUMIF(Quotes!$C$9:$C$258,A309,Quotes!$AJ$9:$AJ$258),0))</f>
        <v/>
      </c>
      <c r="N309" s="14"/>
      <c r="O309" s="14" t="str">
        <f>IF(A309="","",IF(COUNTIF($A$9:A309,A309)=1,1,0))</f>
        <v/>
      </c>
      <c r="P309" s="14" t="str">
        <f t="shared" si="8"/>
        <v/>
      </c>
      <c r="Q309" s="14" t="str">
        <f t="shared" si="9"/>
        <v/>
      </c>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row>
    <row r="310" spans="1:44" ht="48" customHeight="1" x14ac:dyDescent="0.35">
      <c r="A310" s="18"/>
      <c r="B310" s="15"/>
      <c r="C310" s="15"/>
      <c r="D310" s="18"/>
      <c r="E310" s="15"/>
      <c r="F310" s="15"/>
      <c r="G310" s="36"/>
      <c r="H310" s="15"/>
      <c r="I310" s="15"/>
      <c r="J310" s="18" t="str">
        <f>IF(A310="","",IFERROR(HYPERLINK("#'Supplier Jobs'!A"&amp;(MATCH(A310,'Supplier Jobs'!$N$9:$N$258,0)+8),"JOBS / QUOTES"),"No quotes"))</f>
        <v/>
      </c>
      <c r="K310" s="18" t="str">
        <f>IF(A310="","",COUNTIF(Quotes!$D$9:$D$258,D310))</f>
        <v/>
      </c>
      <c r="L310" s="19" t="str">
        <f>IF(A310="","",IF(O310=1,SUMIF(Quotes!$C$9:$C$258,A310,Quotes!$AI$9:$AI$258),0))</f>
        <v/>
      </c>
      <c r="M310" s="19" t="str">
        <f>IF(A310="","",IF(O310=1,SUMIF(Quotes!$C$9:$C$258,A310,Quotes!$AJ$9:$AJ$258),0))</f>
        <v/>
      </c>
      <c r="N310" s="18"/>
      <c r="O310" s="18" t="str">
        <f>IF(A310="","",IF(COUNTIF($A$9:A310,A310)=1,1,0))</f>
        <v/>
      </c>
      <c r="P310" s="18" t="str">
        <f t="shared" si="8"/>
        <v/>
      </c>
      <c r="Q310" s="18" t="str">
        <f t="shared" si="9"/>
        <v/>
      </c>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row>
    <row r="311" spans="1:44" ht="48" customHeight="1" x14ac:dyDescent="0.35">
      <c r="A311" s="14"/>
      <c r="B311" s="15"/>
      <c r="C311" s="15"/>
      <c r="D311" s="14"/>
      <c r="E311" s="15"/>
      <c r="F311" s="15"/>
      <c r="G311" s="36"/>
      <c r="H311" s="15"/>
      <c r="I311" s="15"/>
      <c r="J311" s="14" t="str">
        <f>IF(A311="","",IFERROR(HYPERLINK("#'Supplier Jobs'!A"&amp;(MATCH(A311,'Supplier Jobs'!$N$9:$N$258,0)+8),"JOBS / QUOTES"),"No quotes"))</f>
        <v/>
      </c>
      <c r="K311" s="14" t="str">
        <f>IF(A311="","",COUNTIF(Quotes!$D$9:$D$258,D311))</f>
        <v/>
      </c>
      <c r="L311" s="16" t="str">
        <f>IF(A311="","",IF(O311=1,SUMIF(Quotes!$C$9:$C$258,A311,Quotes!$AI$9:$AI$258),0))</f>
        <v/>
      </c>
      <c r="M311" s="16" t="str">
        <f>IF(A311="","",IF(O311=1,SUMIF(Quotes!$C$9:$C$258,A311,Quotes!$AJ$9:$AJ$258),0))</f>
        <v/>
      </c>
      <c r="N311" s="14"/>
      <c r="O311" s="14" t="str">
        <f>IF(A311="","",IF(COUNTIF($A$9:A311,A311)=1,1,0))</f>
        <v/>
      </c>
      <c r="P311" s="14" t="str">
        <f t="shared" si="8"/>
        <v/>
      </c>
      <c r="Q311" s="14" t="str">
        <f t="shared" si="9"/>
        <v/>
      </c>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row>
    <row r="312" spans="1:44" ht="48" customHeight="1" x14ac:dyDescent="0.35">
      <c r="A312" s="18"/>
      <c r="B312" s="15"/>
      <c r="C312" s="15"/>
      <c r="D312" s="18"/>
      <c r="E312" s="15"/>
      <c r="F312" s="15"/>
      <c r="G312" s="36"/>
      <c r="H312" s="15"/>
      <c r="I312" s="15"/>
      <c r="J312" s="18" t="str">
        <f>IF(A312="","",IFERROR(HYPERLINK("#'Supplier Jobs'!A"&amp;(MATCH(A312,'Supplier Jobs'!$N$9:$N$258,0)+8),"JOBS / QUOTES"),"No quotes"))</f>
        <v/>
      </c>
      <c r="K312" s="18" t="str">
        <f>IF(A312="","",COUNTIF(Quotes!$D$9:$D$258,D312))</f>
        <v/>
      </c>
      <c r="L312" s="19" t="str">
        <f>IF(A312="","",IF(O312=1,SUMIF(Quotes!$C$9:$C$258,A312,Quotes!$AI$9:$AI$258),0))</f>
        <v/>
      </c>
      <c r="M312" s="19" t="str">
        <f>IF(A312="","",IF(O312=1,SUMIF(Quotes!$C$9:$C$258,A312,Quotes!$AJ$9:$AJ$258),0))</f>
        <v/>
      </c>
      <c r="N312" s="18"/>
      <c r="O312" s="18" t="str">
        <f>IF(A312="","",IF(COUNTIF($A$9:A312,A312)=1,1,0))</f>
        <v/>
      </c>
      <c r="P312" s="18" t="str">
        <f t="shared" si="8"/>
        <v/>
      </c>
      <c r="Q312" s="18" t="str">
        <f t="shared" si="9"/>
        <v/>
      </c>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row>
    <row r="313" spans="1:44" ht="48" customHeight="1" x14ac:dyDescent="0.35">
      <c r="A313" s="14"/>
      <c r="B313" s="15"/>
      <c r="C313" s="15"/>
      <c r="D313" s="14"/>
      <c r="E313" s="15"/>
      <c r="F313" s="15"/>
      <c r="G313" s="36"/>
      <c r="H313" s="15"/>
      <c r="I313" s="15"/>
      <c r="J313" s="14" t="str">
        <f>IF(A313="","",IFERROR(HYPERLINK("#'Supplier Jobs'!A"&amp;(MATCH(A313,'Supplier Jobs'!$N$9:$N$258,0)+8),"JOBS / QUOTES"),"No quotes"))</f>
        <v/>
      </c>
      <c r="K313" s="14" t="str">
        <f>IF(A313="","",COUNTIF(Quotes!$D$9:$D$258,D313))</f>
        <v/>
      </c>
      <c r="L313" s="16" t="str">
        <f>IF(A313="","",IF(O313=1,SUMIF(Quotes!$C$9:$C$258,A313,Quotes!$AI$9:$AI$258),0))</f>
        <v/>
      </c>
      <c r="M313" s="16" t="str">
        <f>IF(A313="","",IF(O313=1,SUMIF(Quotes!$C$9:$C$258,A313,Quotes!$AJ$9:$AJ$258),0))</f>
        <v/>
      </c>
      <c r="N313" s="14"/>
      <c r="O313" s="14" t="str">
        <f>IF(A313="","",IF(COUNTIF($A$9:A313,A313)=1,1,0))</f>
        <v/>
      </c>
      <c r="P313" s="14" t="str">
        <f t="shared" si="8"/>
        <v/>
      </c>
      <c r="Q313" s="14" t="str">
        <f t="shared" si="9"/>
        <v/>
      </c>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row>
    <row r="314" spans="1:44" ht="48" customHeight="1" x14ac:dyDescent="0.35">
      <c r="A314" s="18"/>
      <c r="B314" s="15"/>
      <c r="C314" s="15"/>
      <c r="D314" s="18"/>
      <c r="E314" s="15"/>
      <c r="F314" s="15"/>
      <c r="G314" s="36"/>
      <c r="H314" s="15"/>
      <c r="I314" s="15"/>
      <c r="J314" s="18" t="str">
        <f>IF(A314="","",IFERROR(HYPERLINK("#'Supplier Jobs'!A"&amp;(MATCH(A314,'Supplier Jobs'!$N$9:$N$258,0)+8),"JOBS / QUOTES"),"No quotes"))</f>
        <v/>
      </c>
      <c r="K314" s="18" t="str">
        <f>IF(A314="","",COUNTIF(Quotes!$D$9:$D$258,D314))</f>
        <v/>
      </c>
      <c r="L314" s="19" t="str">
        <f>IF(A314="","",IF(O314=1,SUMIF(Quotes!$C$9:$C$258,A314,Quotes!$AI$9:$AI$258),0))</f>
        <v/>
      </c>
      <c r="M314" s="19" t="str">
        <f>IF(A314="","",IF(O314=1,SUMIF(Quotes!$C$9:$C$258,A314,Quotes!$AJ$9:$AJ$258),0))</f>
        <v/>
      </c>
      <c r="N314" s="18"/>
      <c r="O314" s="18" t="str">
        <f>IF(A314="","",IF(COUNTIF($A$9:A314,A314)=1,1,0))</f>
        <v/>
      </c>
      <c r="P314" s="18" t="str">
        <f t="shared" si="8"/>
        <v/>
      </c>
      <c r="Q314" s="18" t="str">
        <f t="shared" si="9"/>
        <v/>
      </c>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row>
    <row r="315" spans="1:44" ht="48" customHeight="1" x14ac:dyDescent="0.35">
      <c r="A315" s="14"/>
      <c r="B315" s="15"/>
      <c r="C315" s="15"/>
      <c r="D315" s="14"/>
      <c r="E315" s="15"/>
      <c r="F315" s="15"/>
      <c r="G315" s="36"/>
      <c r="H315" s="15"/>
      <c r="I315" s="15"/>
      <c r="J315" s="14" t="str">
        <f>IF(A315="","",IFERROR(HYPERLINK("#'Supplier Jobs'!A"&amp;(MATCH(A315,'Supplier Jobs'!$N$9:$N$258,0)+8),"JOBS / QUOTES"),"No quotes"))</f>
        <v/>
      </c>
      <c r="K315" s="14" t="str">
        <f>IF(A315="","",COUNTIF(Quotes!$D$9:$D$258,D315))</f>
        <v/>
      </c>
      <c r="L315" s="16" t="str">
        <f>IF(A315="","",IF(O315=1,SUMIF(Quotes!$C$9:$C$258,A315,Quotes!$AI$9:$AI$258),0))</f>
        <v/>
      </c>
      <c r="M315" s="16" t="str">
        <f>IF(A315="","",IF(O315=1,SUMIF(Quotes!$C$9:$C$258,A315,Quotes!$AJ$9:$AJ$258),0))</f>
        <v/>
      </c>
      <c r="N315" s="14"/>
      <c r="O315" s="14" t="str">
        <f>IF(A315="","",IF(COUNTIF($A$9:A315,A315)=1,1,0))</f>
        <v/>
      </c>
      <c r="P315" s="14" t="str">
        <f t="shared" si="8"/>
        <v/>
      </c>
      <c r="Q315" s="14" t="str">
        <f t="shared" si="9"/>
        <v/>
      </c>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row>
    <row r="316" spans="1:44" ht="48" customHeight="1" x14ac:dyDescent="0.35">
      <c r="A316" s="18"/>
      <c r="B316" s="15"/>
      <c r="C316" s="15"/>
      <c r="D316" s="18"/>
      <c r="E316" s="15"/>
      <c r="F316" s="15"/>
      <c r="G316" s="36"/>
      <c r="H316" s="15"/>
      <c r="I316" s="15"/>
      <c r="J316" s="18" t="str">
        <f>IF(A316="","",IFERROR(HYPERLINK("#'Supplier Jobs'!A"&amp;(MATCH(A316,'Supplier Jobs'!$N$9:$N$258,0)+8),"JOBS / QUOTES"),"No quotes"))</f>
        <v/>
      </c>
      <c r="K316" s="18" t="str">
        <f>IF(A316="","",COUNTIF(Quotes!$D$9:$D$258,D316))</f>
        <v/>
      </c>
      <c r="L316" s="19" t="str">
        <f>IF(A316="","",IF(O316=1,SUMIF(Quotes!$C$9:$C$258,A316,Quotes!$AI$9:$AI$258),0))</f>
        <v/>
      </c>
      <c r="M316" s="19" t="str">
        <f>IF(A316="","",IF(O316=1,SUMIF(Quotes!$C$9:$C$258,A316,Quotes!$AJ$9:$AJ$258),0))</f>
        <v/>
      </c>
      <c r="N316" s="18"/>
      <c r="O316" s="18" t="str">
        <f>IF(A316="","",IF(COUNTIF($A$9:A316,A316)=1,1,0))</f>
        <v/>
      </c>
      <c r="P316" s="18" t="str">
        <f t="shared" si="8"/>
        <v/>
      </c>
      <c r="Q316" s="18" t="str">
        <f t="shared" si="9"/>
        <v/>
      </c>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row>
    <row r="317" spans="1:44" ht="48" customHeight="1" x14ac:dyDescent="0.35">
      <c r="A317" s="14"/>
      <c r="B317" s="15"/>
      <c r="C317" s="15"/>
      <c r="D317" s="14"/>
      <c r="E317" s="15"/>
      <c r="F317" s="15"/>
      <c r="G317" s="36"/>
      <c r="H317" s="15"/>
      <c r="I317" s="15"/>
      <c r="J317" s="14" t="str">
        <f>IF(A317="","",IFERROR(HYPERLINK("#'Supplier Jobs'!A"&amp;(MATCH(A317,'Supplier Jobs'!$N$9:$N$258,0)+8),"JOBS / QUOTES"),"No quotes"))</f>
        <v/>
      </c>
      <c r="K317" s="14" t="str">
        <f>IF(A317="","",COUNTIF(Quotes!$D$9:$D$258,D317))</f>
        <v/>
      </c>
      <c r="L317" s="16" t="str">
        <f>IF(A317="","",IF(O317=1,SUMIF(Quotes!$C$9:$C$258,A317,Quotes!$AI$9:$AI$258),0))</f>
        <v/>
      </c>
      <c r="M317" s="16" t="str">
        <f>IF(A317="","",IF(O317=1,SUMIF(Quotes!$C$9:$C$258,A317,Quotes!$AJ$9:$AJ$258),0))</f>
        <v/>
      </c>
      <c r="N317" s="14"/>
      <c r="O317" s="14" t="str">
        <f>IF(A317="","",IF(COUNTIF($A$9:A317,A317)=1,1,0))</f>
        <v/>
      </c>
      <c r="P317" s="14" t="str">
        <f t="shared" si="8"/>
        <v/>
      </c>
      <c r="Q317" s="14" t="str">
        <f t="shared" si="9"/>
        <v/>
      </c>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row>
    <row r="318" spans="1:44" ht="48" customHeight="1" x14ac:dyDescent="0.35">
      <c r="A318" s="18"/>
      <c r="B318" s="15"/>
      <c r="C318" s="15"/>
      <c r="D318" s="18"/>
      <c r="E318" s="15"/>
      <c r="F318" s="15"/>
      <c r="G318" s="36"/>
      <c r="H318" s="15"/>
      <c r="I318" s="15"/>
      <c r="J318" s="18" t="str">
        <f>IF(A318="","",IFERROR(HYPERLINK("#'Supplier Jobs'!A"&amp;(MATCH(A318,'Supplier Jobs'!$N$9:$N$258,0)+8),"JOBS / QUOTES"),"No quotes"))</f>
        <v/>
      </c>
      <c r="K318" s="18" t="str">
        <f>IF(A318="","",COUNTIF(Quotes!$D$9:$D$258,D318))</f>
        <v/>
      </c>
      <c r="L318" s="19" t="str">
        <f>IF(A318="","",IF(O318=1,SUMIF(Quotes!$C$9:$C$258,A318,Quotes!$AI$9:$AI$258),0))</f>
        <v/>
      </c>
      <c r="M318" s="19" t="str">
        <f>IF(A318="","",IF(O318=1,SUMIF(Quotes!$C$9:$C$258,A318,Quotes!$AJ$9:$AJ$258),0))</f>
        <v/>
      </c>
      <c r="N318" s="18"/>
      <c r="O318" s="18" t="str">
        <f>IF(A318="","",IF(COUNTIF($A$9:A318,A318)=1,1,0))</f>
        <v/>
      </c>
      <c r="P318" s="18" t="str">
        <f t="shared" si="8"/>
        <v/>
      </c>
      <c r="Q318" s="18" t="str">
        <f t="shared" si="9"/>
        <v/>
      </c>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row>
    <row r="319" spans="1:44" ht="48" customHeight="1" x14ac:dyDescent="0.35">
      <c r="A319" s="14"/>
      <c r="B319" s="15"/>
      <c r="C319" s="15"/>
      <c r="D319" s="14"/>
      <c r="E319" s="15"/>
      <c r="F319" s="15"/>
      <c r="G319" s="36"/>
      <c r="H319" s="15"/>
      <c r="I319" s="15"/>
      <c r="J319" s="14" t="str">
        <f>IF(A319="","",IFERROR(HYPERLINK("#'Supplier Jobs'!A"&amp;(MATCH(A319,'Supplier Jobs'!$N$9:$N$258,0)+8),"JOBS / QUOTES"),"No quotes"))</f>
        <v/>
      </c>
      <c r="K319" s="14" t="str">
        <f>IF(A319="","",COUNTIF(Quotes!$D$9:$D$258,D319))</f>
        <v/>
      </c>
      <c r="L319" s="16" t="str">
        <f>IF(A319="","",IF(O319=1,SUMIF(Quotes!$C$9:$C$258,A319,Quotes!$AI$9:$AI$258),0))</f>
        <v/>
      </c>
      <c r="M319" s="16" t="str">
        <f>IF(A319="","",IF(O319=1,SUMIF(Quotes!$C$9:$C$258,A319,Quotes!$AJ$9:$AJ$258),0))</f>
        <v/>
      </c>
      <c r="N319" s="14"/>
      <c r="O319" s="14" t="str">
        <f>IF(A319="","",IF(COUNTIF($A$9:A319,A319)=1,1,0))</f>
        <v/>
      </c>
      <c r="P319" s="14" t="str">
        <f t="shared" si="8"/>
        <v/>
      </c>
      <c r="Q319" s="14" t="str">
        <f t="shared" si="9"/>
        <v/>
      </c>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row>
    <row r="320" spans="1:44" ht="48" customHeight="1" x14ac:dyDescent="0.35">
      <c r="A320" s="18"/>
      <c r="B320" s="15"/>
      <c r="C320" s="15"/>
      <c r="D320" s="18"/>
      <c r="E320" s="15"/>
      <c r="F320" s="15"/>
      <c r="G320" s="36"/>
      <c r="H320" s="15"/>
      <c r="I320" s="15"/>
      <c r="J320" s="18" t="str">
        <f>IF(A320="","",IFERROR(HYPERLINK("#'Supplier Jobs'!A"&amp;(MATCH(A320,'Supplier Jobs'!$N$9:$N$258,0)+8),"JOBS / QUOTES"),"No quotes"))</f>
        <v/>
      </c>
      <c r="K320" s="18" t="str">
        <f>IF(A320="","",COUNTIF(Quotes!$D$9:$D$258,D320))</f>
        <v/>
      </c>
      <c r="L320" s="19" t="str">
        <f>IF(A320="","",IF(O320=1,SUMIF(Quotes!$C$9:$C$258,A320,Quotes!$AI$9:$AI$258),0))</f>
        <v/>
      </c>
      <c r="M320" s="19" t="str">
        <f>IF(A320="","",IF(O320=1,SUMIF(Quotes!$C$9:$C$258,A320,Quotes!$AJ$9:$AJ$258),0))</f>
        <v/>
      </c>
      <c r="N320" s="18"/>
      <c r="O320" s="18" t="str">
        <f>IF(A320="","",IF(COUNTIF($A$9:A320,A320)=1,1,0))</f>
        <v/>
      </c>
      <c r="P320" s="18" t="str">
        <f t="shared" si="8"/>
        <v/>
      </c>
      <c r="Q320" s="18" t="str">
        <f t="shared" si="9"/>
        <v/>
      </c>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row>
    <row r="321" spans="1:44" ht="48" customHeight="1" x14ac:dyDescent="0.35">
      <c r="A321" s="14"/>
      <c r="B321" s="15"/>
      <c r="C321" s="15"/>
      <c r="D321" s="14"/>
      <c r="E321" s="15"/>
      <c r="F321" s="15"/>
      <c r="G321" s="36"/>
      <c r="H321" s="15"/>
      <c r="I321" s="15"/>
      <c r="J321" s="14" t="str">
        <f>IF(A321="","",IFERROR(HYPERLINK("#'Supplier Jobs'!A"&amp;(MATCH(A321,'Supplier Jobs'!$N$9:$N$258,0)+8),"JOBS / QUOTES"),"No quotes"))</f>
        <v/>
      </c>
      <c r="K321" s="14" t="str">
        <f>IF(A321="","",COUNTIF(Quotes!$D$9:$D$258,D321))</f>
        <v/>
      </c>
      <c r="L321" s="16" t="str">
        <f>IF(A321="","",IF(O321=1,SUMIF(Quotes!$C$9:$C$258,A321,Quotes!$AI$9:$AI$258),0))</f>
        <v/>
      </c>
      <c r="M321" s="16" t="str">
        <f>IF(A321="","",IF(O321=1,SUMIF(Quotes!$C$9:$C$258,A321,Quotes!$AJ$9:$AJ$258),0))</f>
        <v/>
      </c>
      <c r="N321" s="14"/>
      <c r="O321" s="14" t="str">
        <f>IF(A321="","",IF(COUNTIF($A$9:A321,A321)=1,1,0))</f>
        <v/>
      </c>
      <c r="P321" s="14" t="str">
        <f t="shared" si="8"/>
        <v/>
      </c>
      <c r="Q321" s="14" t="str">
        <f t="shared" si="9"/>
        <v/>
      </c>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row>
    <row r="322" spans="1:44" ht="48" customHeight="1" x14ac:dyDescent="0.35">
      <c r="A322" s="18"/>
      <c r="B322" s="15"/>
      <c r="C322" s="15"/>
      <c r="D322" s="18"/>
      <c r="E322" s="15"/>
      <c r="F322" s="15"/>
      <c r="G322" s="36"/>
      <c r="H322" s="15"/>
      <c r="I322" s="15"/>
      <c r="J322" s="18" t="str">
        <f>IF(A322="","",IFERROR(HYPERLINK("#'Supplier Jobs'!A"&amp;(MATCH(A322,'Supplier Jobs'!$N$9:$N$258,0)+8),"JOBS / QUOTES"),"No quotes"))</f>
        <v/>
      </c>
      <c r="K322" s="18" t="str">
        <f>IF(A322="","",COUNTIF(Quotes!$D$9:$D$258,D322))</f>
        <v/>
      </c>
      <c r="L322" s="19" t="str">
        <f>IF(A322="","",IF(O322=1,SUMIF(Quotes!$C$9:$C$258,A322,Quotes!$AI$9:$AI$258),0))</f>
        <v/>
      </c>
      <c r="M322" s="19" t="str">
        <f>IF(A322="","",IF(O322=1,SUMIF(Quotes!$C$9:$C$258,A322,Quotes!$AJ$9:$AJ$258),0))</f>
        <v/>
      </c>
      <c r="N322" s="18"/>
      <c r="O322" s="18" t="str">
        <f>IF(A322="","",IF(COUNTIF($A$9:A322,A322)=1,1,0))</f>
        <v/>
      </c>
      <c r="P322" s="18" t="str">
        <f t="shared" si="8"/>
        <v/>
      </c>
      <c r="Q322" s="18" t="str">
        <f t="shared" si="9"/>
        <v/>
      </c>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row>
    <row r="323" spans="1:44" ht="48" customHeight="1" x14ac:dyDescent="0.35">
      <c r="A323" s="14"/>
      <c r="B323" s="15"/>
      <c r="C323" s="15"/>
      <c r="D323" s="14"/>
      <c r="E323" s="15"/>
      <c r="F323" s="15"/>
      <c r="G323" s="36"/>
      <c r="H323" s="15"/>
      <c r="I323" s="15"/>
      <c r="J323" s="14" t="str">
        <f>IF(A323="","",IFERROR(HYPERLINK("#'Supplier Jobs'!A"&amp;(MATCH(A323,'Supplier Jobs'!$N$9:$N$258,0)+8),"JOBS / QUOTES"),"No quotes"))</f>
        <v/>
      </c>
      <c r="K323" s="14" t="str">
        <f>IF(A323="","",COUNTIF(Quotes!$D$9:$D$258,D323))</f>
        <v/>
      </c>
      <c r="L323" s="16" t="str">
        <f>IF(A323="","",IF(O323=1,SUMIF(Quotes!$C$9:$C$258,A323,Quotes!$AI$9:$AI$258),0))</f>
        <v/>
      </c>
      <c r="M323" s="16" t="str">
        <f>IF(A323="","",IF(O323=1,SUMIF(Quotes!$C$9:$C$258,A323,Quotes!$AJ$9:$AJ$258),0))</f>
        <v/>
      </c>
      <c r="N323" s="14"/>
      <c r="O323" s="14" t="str">
        <f>IF(A323="","",IF(COUNTIF($A$9:A323,A323)=1,1,0))</f>
        <v/>
      </c>
      <c r="P323" s="14" t="str">
        <f t="shared" si="8"/>
        <v/>
      </c>
      <c r="Q323" s="14" t="str">
        <f t="shared" si="9"/>
        <v/>
      </c>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row>
    <row r="324" spans="1:44" ht="48" customHeight="1" x14ac:dyDescent="0.35">
      <c r="A324" s="18"/>
      <c r="B324" s="15"/>
      <c r="C324" s="15"/>
      <c r="D324" s="18"/>
      <c r="E324" s="15"/>
      <c r="F324" s="15"/>
      <c r="G324" s="36"/>
      <c r="H324" s="15"/>
      <c r="I324" s="15"/>
      <c r="J324" s="18" t="str">
        <f>IF(A324="","",IFERROR(HYPERLINK("#'Supplier Jobs'!A"&amp;(MATCH(A324,'Supplier Jobs'!$N$9:$N$258,0)+8),"JOBS / QUOTES"),"No quotes"))</f>
        <v/>
      </c>
      <c r="K324" s="18" t="str">
        <f>IF(A324="","",COUNTIF(Quotes!$D$9:$D$258,D324))</f>
        <v/>
      </c>
      <c r="L324" s="19" t="str">
        <f>IF(A324="","",IF(O324=1,SUMIF(Quotes!$C$9:$C$258,A324,Quotes!$AI$9:$AI$258),0))</f>
        <v/>
      </c>
      <c r="M324" s="19" t="str">
        <f>IF(A324="","",IF(O324=1,SUMIF(Quotes!$C$9:$C$258,A324,Quotes!$AJ$9:$AJ$258),0))</f>
        <v/>
      </c>
      <c r="N324" s="18"/>
      <c r="O324" s="18" t="str">
        <f>IF(A324="","",IF(COUNTIF($A$9:A324,A324)=1,1,0))</f>
        <v/>
      </c>
      <c r="P324" s="18" t="str">
        <f t="shared" si="8"/>
        <v/>
      </c>
      <c r="Q324" s="18" t="str">
        <f t="shared" si="9"/>
        <v/>
      </c>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row>
    <row r="325" spans="1:44" ht="48" customHeight="1" x14ac:dyDescent="0.35">
      <c r="A325" s="14"/>
      <c r="B325" s="15"/>
      <c r="C325" s="15"/>
      <c r="D325" s="14"/>
      <c r="E325" s="15"/>
      <c r="F325" s="15"/>
      <c r="G325" s="36"/>
      <c r="H325" s="15"/>
      <c r="I325" s="15"/>
      <c r="J325" s="14" t="str">
        <f>IF(A325="","",IFERROR(HYPERLINK("#'Supplier Jobs'!A"&amp;(MATCH(A325,'Supplier Jobs'!$N$9:$N$258,0)+8),"JOBS / QUOTES"),"No quotes"))</f>
        <v/>
      </c>
      <c r="K325" s="14" t="str">
        <f>IF(A325="","",COUNTIF(Quotes!$D$9:$D$258,D325))</f>
        <v/>
      </c>
      <c r="L325" s="16" t="str">
        <f>IF(A325="","",IF(O325=1,SUMIF(Quotes!$C$9:$C$258,A325,Quotes!$AI$9:$AI$258),0))</f>
        <v/>
      </c>
      <c r="M325" s="16" t="str">
        <f>IF(A325="","",IF(O325=1,SUMIF(Quotes!$C$9:$C$258,A325,Quotes!$AJ$9:$AJ$258),0))</f>
        <v/>
      </c>
      <c r="N325" s="14"/>
      <c r="O325" s="14" t="str">
        <f>IF(A325="","",IF(COUNTIF($A$9:A325,A325)=1,1,0))</f>
        <v/>
      </c>
      <c r="P325" s="14" t="str">
        <f t="shared" si="8"/>
        <v/>
      </c>
      <c r="Q325" s="14" t="str">
        <f t="shared" si="9"/>
        <v/>
      </c>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row>
    <row r="326" spans="1:44" ht="48" customHeight="1" x14ac:dyDescent="0.35">
      <c r="A326" s="18"/>
      <c r="B326" s="15"/>
      <c r="C326" s="15"/>
      <c r="D326" s="18"/>
      <c r="E326" s="15"/>
      <c r="F326" s="15"/>
      <c r="G326" s="36"/>
      <c r="H326" s="15"/>
      <c r="I326" s="15"/>
      <c r="J326" s="18" t="str">
        <f>IF(A326="","",IFERROR(HYPERLINK("#'Supplier Jobs'!A"&amp;(MATCH(A326,'Supplier Jobs'!$N$9:$N$258,0)+8),"JOBS / QUOTES"),"No quotes"))</f>
        <v/>
      </c>
      <c r="K326" s="18" t="str">
        <f>IF(A326="","",COUNTIF(Quotes!$D$9:$D$258,D326))</f>
        <v/>
      </c>
      <c r="L326" s="19" t="str">
        <f>IF(A326="","",IF(O326=1,SUMIF(Quotes!$C$9:$C$258,A326,Quotes!$AI$9:$AI$258),0))</f>
        <v/>
      </c>
      <c r="M326" s="19" t="str">
        <f>IF(A326="","",IF(O326=1,SUMIF(Quotes!$C$9:$C$258,A326,Quotes!$AJ$9:$AJ$258),0))</f>
        <v/>
      </c>
      <c r="N326" s="18"/>
      <c r="O326" s="18" t="str">
        <f>IF(A326="","",IF(COUNTIF($A$9:A326,A326)=1,1,0))</f>
        <v/>
      </c>
      <c r="P326" s="18" t="str">
        <f t="shared" si="8"/>
        <v/>
      </c>
      <c r="Q326" s="18" t="str">
        <f t="shared" si="9"/>
        <v/>
      </c>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row>
    <row r="327" spans="1:44" ht="48" customHeight="1" x14ac:dyDescent="0.35">
      <c r="A327" s="14"/>
      <c r="B327" s="15"/>
      <c r="C327" s="15"/>
      <c r="D327" s="14"/>
      <c r="E327" s="15"/>
      <c r="F327" s="15"/>
      <c r="G327" s="36"/>
      <c r="H327" s="15"/>
      <c r="I327" s="15"/>
      <c r="J327" s="14" t="str">
        <f>IF(A327="","",IFERROR(HYPERLINK("#'Supplier Jobs'!A"&amp;(MATCH(A327,'Supplier Jobs'!$N$9:$N$258,0)+8),"JOBS / QUOTES"),"No quotes"))</f>
        <v/>
      </c>
      <c r="K327" s="14" t="str">
        <f>IF(A327="","",COUNTIF(Quotes!$D$9:$D$258,D327))</f>
        <v/>
      </c>
      <c r="L327" s="16" t="str">
        <f>IF(A327="","",IF(O327=1,SUMIF(Quotes!$C$9:$C$258,A327,Quotes!$AI$9:$AI$258),0))</f>
        <v/>
      </c>
      <c r="M327" s="16" t="str">
        <f>IF(A327="","",IF(O327=1,SUMIF(Quotes!$C$9:$C$258,A327,Quotes!$AJ$9:$AJ$258),0))</f>
        <v/>
      </c>
      <c r="N327" s="14"/>
      <c r="O327" s="14" t="str">
        <f>IF(A327="","",IF(COUNTIF($A$9:A327,A327)=1,1,0))</f>
        <v/>
      </c>
      <c r="P327" s="14" t="str">
        <f t="shared" si="8"/>
        <v/>
      </c>
      <c r="Q327" s="14" t="str">
        <f t="shared" si="9"/>
        <v/>
      </c>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row>
    <row r="328" spans="1:44" ht="48" customHeight="1" x14ac:dyDescent="0.35">
      <c r="A328" s="18"/>
      <c r="B328" s="15"/>
      <c r="C328" s="15"/>
      <c r="D328" s="18"/>
      <c r="E328" s="15"/>
      <c r="F328" s="15"/>
      <c r="G328" s="36"/>
      <c r="H328" s="15"/>
      <c r="I328" s="15"/>
      <c r="J328" s="18" t="str">
        <f>IF(A328="","",IFERROR(HYPERLINK("#'Supplier Jobs'!A"&amp;(MATCH(A328,'Supplier Jobs'!$N$9:$N$258,0)+8),"JOBS / QUOTES"),"No quotes"))</f>
        <v/>
      </c>
      <c r="K328" s="18" t="str">
        <f>IF(A328="","",COUNTIF(Quotes!$D$9:$D$258,D328))</f>
        <v/>
      </c>
      <c r="L328" s="19" t="str">
        <f>IF(A328="","",IF(O328=1,SUMIF(Quotes!$C$9:$C$258,A328,Quotes!$AI$9:$AI$258),0))</f>
        <v/>
      </c>
      <c r="M328" s="19" t="str">
        <f>IF(A328="","",IF(O328=1,SUMIF(Quotes!$C$9:$C$258,A328,Quotes!$AJ$9:$AJ$258),0))</f>
        <v/>
      </c>
      <c r="N328" s="18"/>
      <c r="O328" s="18" t="str">
        <f>IF(A328="","",IF(COUNTIF($A$9:A328,A328)=1,1,0))</f>
        <v/>
      </c>
      <c r="P328" s="18" t="str">
        <f t="shared" si="8"/>
        <v/>
      </c>
      <c r="Q328" s="18" t="str">
        <f t="shared" si="9"/>
        <v/>
      </c>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row>
    <row r="329" spans="1:44" ht="48" customHeight="1" x14ac:dyDescent="0.35">
      <c r="A329" s="14"/>
      <c r="B329" s="15"/>
      <c r="C329" s="15"/>
      <c r="D329" s="14"/>
      <c r="E329" s="15"/>
      <c r="F329" s="15"/>
      <c r="G329" s="36"/>
      <c r="H329" s="15"/>
      <c r="I329" s="15"/>
      <c r="J329" s="14" t="str">
        <f>IF(A329="","",IFERROR(HYPERLINK("#'Supplier Jobs'!A"&amp;(MATCH(A329,'Supplier Jobs'!$N$9:$N$258,0)+8),"JOBS / QUOTES"),"No quotes"))</f>
        <v/>
      </c>
      <c r="K329" s="14" t="str">
        <f>IF(A329="","",COUNTIF(Quotes!$D$9:$D$258,D329))</f>
        <v/>
      </c>
      <c r="L329" s="16" t="str">
        <f>IF(A329="","",IF(O329=1,SUMIF(Quotes!$C$9:$C$258,A329,Quotes!$AI$9:$AI$258),0))</f>
        <v/>
      </c>
      <c r="M329" s="16" t="str">
        <f>IF(A329="","",IF(O329=1,SUMIF(Quotes!$C$9:$C$258,A329,Quotes!$AJ$9:$AJ$258),0))</f>
        <v/>
      </c>
      <c r="N329" s="14"/>
      <c r="O329" s="14" t="str">
        <f>IF(A329="","",IF(COUNTIF($A$9:A329,A329)=1,1,0))</f>
        <v/>
      </c>
      <c r="P329" s="14" t="str">
        <f t="shared" ref="P329:P392" si="10">IF(A329="","",D329&amp;" | "&amp;B329&amp;" | "&amp;E329)</f>
        <v/>
      </c>
      <c r="Q329" s="14" t="str">
        <f t="shared" ref="Q329:Q392" si="11">IF(A329="","",A329&amp;" | "&amp;B329)</f>
        <v/>
      </c>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row>
    <row r="330" spans="1:44" ht="48" customHeight="1" x14ac:dyDescent="0.35">
      <c r="A330" s="18"/>
      <c r="B330" s="15"/>
      <c r="C330" s="15"/>
      <c r="D330" s="18"/>
      <c r="E330" s="15"/>
      <c r="F330" s="15"/>
      <c r="G330" s="36"/>
      <c r="H330" s="15"/>
      <c r="I330" s="15"/>
      <c r="J330" s="18" t="str">
        <f>IF(A330="","",IFERROR(HYPERLINK("#'Supplier Jobs'!A"&amp;(MATCH(A330,'Supplier Jobs'!$N$9:$N$258,0)+8),"JOBS / QUOTES"),"No quotes"))</f>
        <v/>
      </c>
      <c r="K330" s="18" t="str">
        <f>IF(A330="","",COUNTIF(Quotes!$D$9:$D$258,D330))</f>
        <v/>
      </c>
      <c r="L330" s="19" t="str">
        <f>IF(A330="","",IF(O330=1,SUMIF(Quotes!$C$9:$C$258,A330,Quotes!$AI$9:$AI$258),0))</f>
        <v/>
      </c>
      <c r="M330" s="19" t="str">
        <f>IF(A330="","",IF(O330=1,SUMIF(Quotes!$C$9:$C$258,A330,Quotes!$AJ$9:$AJ$258),0))</f>
        <v/>
      </c>
      <c r="N330" s="18"/>
      <c r="O330" s="18" t="str">
        <f>IF(A330="","",IF(COUNTIF($A$9:A330,A330)=1,1,0))</f>
        <v/>
      </c>
      <c r="P330" s="18" t="str">
        <f t="shared" si="10"/>
        <v/>
      </c>
      <c r="Q330" s="18" t="str">
        <f t="shared" si="11"/>
        <v/>
      </c>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row>
    <row r="331" spans="1:44" ht="48" customHeight="1" x14ac:dyDescent="0.35">
      <c r="A331" s="14"/>
      <c r="B331" s="15"/>
      <c r="C331" s="15"/>
      <c r="D331" s="14"/>
      <c r="E331" s="15"/>
      <c r="F331" s="15"/>
      <c r="G331" s="36"/>
      <c r="H331" s="15"/>
      <c r="I331" s="15"/>
      <c r="J331" s="14" t="str">
        <f>IF(A331="","",IFERROR(HYPERLINK("#'Supplier Jobs'!A"&amp;(MATCH(A331,'Supplier Jobs'!$N$9:$N$258,0)+8),"JOBS / QUOTES"),"No quotes"))</f>
        <v/>
      </c>
      <c r="K331" s="14" t="str">
        <f>IF(A331="","",COUNTIF(Quotes!$D$9:$D$258,D331))</f>
        <v/>
      </c>
      <c r="L331" s="16" t="str">
        <f>IF(A331="","",IF(O331=1,SUMIF(Quotes!$C$9:$C$258,A331,Quotes!$AI$9:$AI$258),0))</f>
        <v/>
      </c>
      <c r="M331" s="16" t="str">
        <f>IF(A331="","",IF(O331=1,SUMIF(Quotes!$C$9:$C$258,A331,Quotes!$AJ$9:$AJ$258),0))</f>
        <v/>
      </c>
      <c r="N331" s="14"/>
      <c r="O331" s="14" t="str">
        <f>IF(A331="","",IF(COUNTIF($A$9:A331,A331)=1,1,0))</f>
        <v/>
      </c>
      <c r="P331" s="14" t="str">
        <f t="shared" si="10"/>
        <v/>
      </c>
      <c r="Q331" s="14" t="str">
        <f t="shared" si="11"/>
        <v/>
      </c>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row>
    <row r="332" spans="1:44" ht="48" customHeight="1" x14ac:dyDescent="0.35">
      <c r="A332" s="18"/>
      <c r="B332" s="15"/>
      <c r="C332" s="15"/>
      <c r="D332" s="18"/>
      <c r="E332" s="15"/>
      <c r="F332" s="15"/>
      <c r="G332" s="36"/>
      <c r="H332" s="15"/>
      <c r="I332" s="15"/>
      <c r="J332" s="18" t="str">
        <f>IF(A332="","",IFERROR(HYPERLINK("#'Supplier Jobs'!A"&amp;(MATCH(A332,'Supplier Jobs'!$N$9:$N$258,0)+8),"JOBS / QUOTES"),"No quotes"))</f>
        <v/>
      </c>
      <c r="K332" s="18" t="str">
        <f>IF(A332="","",COUNTIF(Quotes!$D$9:$D$258,D332))</f>
        <v/>
      </c>
      <c r="L332" s="19" t="str">
        <f>IF(A332="","",IF(O332=1,SUMIF(Quotes!$C$9:$C$258,A332,Quotes!$AI$9:$AI$258),0))</f>
        <v/>
      </c>
      <c r="M332" s="19" t="str">
        <f>IF(A332="","",IF(O332=1,SUMIF(Quotes!$C$9:$C$258,A332,Quotes!$AJ$9:$AJ$258),0))</f>
        <v/>
      </c>
      <c r="N332" s="18"/>
      <c r="O332" s="18" t="str">
        <f>IF(A332="","",IF(COUNTIF($A$9:A332,A332)=1,1,0))</f>
        <v/>
      </c>
      <c r="P332" s="18" t="str">
        <f t="shared" si="10"/>
        <v/>
      </c>
      <c r="Q332" s="18" t="str">
        <f t="shared" si="11"/>
        <v/>
      </c>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row>
    <row r="333" spans="1:44" ht="48" customHeight="1" x14ac:dyDescent="0.35">
      <c r="A333" s="14"/>
      <c r="B333" s="15"/>
      <c r="C333" s="15"/>
      <c r="D333" s="14"/>
      <c r="E333" s="15"/>
      <c r="F333" s="15"/>
      <c r="G333" s="36"/>
      <c r="H333" s="15"/>
      <c r="I333" s="15"/>
      <c r="J333" s="14" t="str">
        <f>IF(A333="","",IFERROR(HYPERLINK("#'Supplier Jobs'!A"&amp;(MATCH(A333,'Supplier Jobs'!$N$9:$N$258,0)+8),"JOBS / QUOTES"),"No quotes"))</f>
        <v/>
      </c>
      <c r="K333" s="14" t="str">
        <f>IF(A333="","",COUNTIF(Quotes!$D$9:$D$258,D333))</f>
        <v/>
      </c>
      <c r="L333" s="16" t="str">
        <f>IF(A333="","",IF(O333=1,SUMIF(Quotes!$C$9:$C$258,A333,Quotes!$AI$9:$AI$258),0))</f>
        <v/>
      </c>
      <c r="M333" s="16" t="str">
        <f>IF(A333="","",IF(O333=1,SUMIF(Quotes!$C$9:$C$258,A333,Quotes!$AJ$9:$AJ$258),0))</f>
        <v/>
      </c>
      <c r="N333" s="14"/>
      <c r="O333" s="14" t="str">
        <f>IF(A333="","",IF(COUNTIF($A$9:A333,A333)=1,1,0))</f>
        <v/>
      </c>
      <c r="P333" s="14" t="str">
        <f t="shared" si="10"/>
        <v/>
      </c>
      <c r="Q333" s="14" t="str">
        <f t="shared" si="11"/>
        <v/>
      </c>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row>
    <row r="334" spans="1:44" ht="48" customHeight="1" x14ac:dyDescent="0.35">
      <c r="A334" s="18"/>
      <c r="B334" s="15"/>
      <c r="C334" s="15"/>
      <c r="D334" s="18"/>
      <c r="E334" s="15"/>
      <c r="F334" s="15"/>
      <c r="G334" s="36"/>
      <c r="H334" s="15"/>
      <c r="I334" s="15"/>
      <c r="J334" s="18" t="str">
        <f>IF(A334="","",IFERROR(HYPERLINK("#'Supplier Jobs'!A"&amp;(MATCH(A334,'Supplier Jobs'!$N$9:$N$258,0)+8),"JOBS / QUOTES"),"No quotes"))</f>
        <v/>
      </c>
      <c r="K334" s="18" t="str">
        <f>IF(A334="","",COUNTIF(Quotes!$D$9:$D$258,D334))</f>
        <v/>
      </c>
      <c r="L334" s="19" t="str">
        <f>IF(A334="","",IF(O334=1,SUMIF(Quotes!$C$9:$C$258,A334,Quotes!$AI$9:$AI$258),0))</f>
        <v/>
      </c>
      <c r="M334" s="19" t="str">
        <f>IF(A334="","",IF(O334=1,SUMIF(Quotes!$C$9:$C$258,A334,Quotes!$AJ$9:$AJ$258),0))</f>
        <v/>
      </c>
      <c r="N334" s="18"/>
      <c r="O334" s="18" t="str">
        <f>IF(A334="","",IF(COUNTIF($A$9:A334,A334)=1,1,0))</f>
        <v/>
      </c>
      <c r="P334" s="18" t="str">
        <f t="shared" si="10"/>
        <v/>
      </c>
      <c r="Q334" s="18" t="str">
        <f t="shared" si="11"/>
        <v/>
      </c>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row>
    <row r="335" spans="1:44" ht="48" customHeight="1" x14ac:dyDescent="0.35">
      <c r="A335" s="14"/>
      <c r="B335" s="15"/>
      <c r="C335" s="15"/>
      <c r="D335" s="14"/>
      <c r="E335" s="15"/>
      <c r="F335" s="15"/>
      <c r="G335" s="36"/>
      <c r="H335" s="15"/>
      <c r="I335" s="15"/>
      <c r="J335" s="14" t="str">
        <f>IF(A335="","",IFERROR(HYPERLINK("#'Supplier Jobs'!A"&amp;(MATCH(A335,'Supplier Jobs'!$N$9:$N$258,0)+8),"JOBS / QUOTES"),"No quotes"))</f>
        <v/>
      </c>
      <c r="K335" s="14" t="str">
        <f>IF(A335="","",COUNTIF(Quotes!$D$9:$D$258,D335))</f>
        <v/>
      </c>
      <c r="L335" s="16" t="str">
        <f>IF(A335="","",IF(O335=1,SUMIF(Quotes!$C$9:$C$258,A335,Quotes!$AI$9:$AI$258),0))</f>
        <v/>
      </c>
      <c r="M335" s="16" t="str">
        <f>IF(A335="","",IF(O335=1,SUMIF(Quotes!$C$9:$C$258,A335,Quotes!$AJ$9:$AJ$258),0))</f>
        <v/>
      </c>
      <c r="N335" s="14"/>
      <c r="O335" s="14" t="str">
        <f>IF(A335="","",IF(COUNTIF($A$9:A335,A335)=1,1,0))</f>
        <v/>
      </c>
      <c r="P335" s="14" t="str">
        <f t="shared" si="10"/>
        <v/>
      </c>
      <c r="Q335" s="14" t="str">
        <f t="shared" si="11"/>
        <v/>
      </c>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row>
    <row r="336" spans="1:44" ht="48" customHeight="1" x14ac:dyDescent="0.35">
      <c r="A336" s="18"/>
      <c r="B336" s="15"/>
      <c r="C336" s="15"/>
      <c r="D336" s="18"/>
      <c r="E336" s="15"/>
      <c r="F336" s="15"/>
      <c r="G336" s="36"/>
      <c r="H336" s="15"/>
      <c r="I336" s="15"/>
      <c r="J336" s="18" t="str">
        <f>IF(A336="","",IFERROR(HYPERLINK("#'Supplier Jobs'!A"&amp;(MATCH(A336,'Supplier Jobs'!$N$9:$N$258,0)+8),"JOBS / QUOTES"),"No quotes"))</f>
        <v/>
      </c>
      <c r="K336" s="18" t="str">
        <f>IF(A336="","",COUNTIF(Quotes!$D$9:$D$258,D336))</f>
        <v/>
      </c>
      <c r="L336" s="19" t="str">
        <f>IF(A336="","",IF(O336=1,SUMIF(Quotes!$C$9:$C$258,A336,Quotes!$AI$9:$AI$258),0))</f>
        <v/>
      </c>
      <c r="M336" s="19" t="str">
        <f>IF(A336="","",IF(O336=1,SUMIF(Quotes!$C$9:$C$258,A336,Quotes!$AJ$9:$AJ$258),0))</f>
        <v/>
      </c>
      <c r="N336" s="18"/>
      <c r="O336" s="18" t="str">
        <f>IF(A336="","",IF(COUNTIF($A$9:A336,A336)=1,1,0))</f>
        <v/>
      </c>
      <c r="P336" s="18" t="str">
        <f t="shared" si="10"/>
        <v/>
      </c>
      <c r="Q336" s="18" t="str">
        <f t="shared" si="11"/>
        <v/>
      </c>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row>
    <row r="337" spans="1:44" ht="48" customHeight="1" x14ac:dyDescent="0.35">
      <c r="A337" s="14"/>
      <c r="B337" s="15"/>
      <c r="C337" s="15"/>
      <c r="D337" s="14"/>
      <c r="E337" s="15"/>
      <c r="F337" s="15"/>
      <c r="G337" s="36"/>
      <c r="H337" s="15"/>
      <c r="I337" s="15"/>
      <c r="J337" s="14" t="str">
        <f>IF(A337="","",IFERROR(HYPERLINK("#'Supplier Jobs'!A"&amp;(MATCH(A337,'Supplier Jobs'!$N$9:$N$258,0)+8),"JOBS / QUOTES"),"No quotes"))</f>
        <v/>
      </c>
      <c r="K337" s="14" t="str">
        <f>IF(A337="","",COUNTIF(Quotes!$D$9:$D$258,D337))</f>
        <v/>
      </c>
      <c r="L337" s="16" t="str">
        <f>IF(A337="","",IF(O337=1,SUMIF(Quotes!$C$9:$C$258,A337,Quotes!$AI$9:$AI$258),0))</f>
        <v/>
      </c>
      <c r="M337" s="16" t="str">
        <f>IF(A337="","",IF(O337=1,SUMIF(Quotes!$C$9:$C$258,A337,Quotes!$AJ$9:$AJ$258),0))</f>
        <v/>
      </c>
      <c r="N337" s="14"/>
      <c r="O337" s="14" t="str">
        <f>IF(A337="","",IF(COUNTIF($A$9:A337,A337)=1,1,0))</f>
        <v/>
      </c>
      <c r="P337" s="14" t="str">
        <f t="shared" si="10"/>
        <v/>
      </c>
      <c r="Q337" s="14" t="str">
        <f t="shared" si="11"/>
        <v/>
      </c>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row>
    <row r="338" spans="1:44" ht="48" customHeight="1" x14ac:dyDescent="0.35">
      <c r="A338" s="18"/>
      <c r="B338" s="15"/>
      <c r="C338" s="15"/>
      <c r="D338" s="18"/>
      <c r="E338" s="15"/>
      <c r="F338" s="15"/>
      <c r="G338" s="36"/>
      <c r="H338" s="15"/>
      <c r="I338" s="15"/>
      <c r="J338" s="18" t="str">
        <f>IF(A338="","",IFERROR(HYPERLINK("#'Supplier Jobs'!A"&amp;(MATCH(A338,'Supplier Jobs'!$N$9:$N$258,0)+8),"JOBS / QUOTES"),"No quotes"))</f>
        <v/>
      </c>
      <c r="K338" s="18" t="str">
        <f>IF(A338="","",COUNTIF(Quotes!$D$9:$D$258,D338))</f>
        <v/>
      </c>
      <c r="L338" s="19" t="str">
        <f>IF(A338="","",IF(O338=1,SUMIF(Quotes!$C$9:$C$258,A338,Quotes!$AI$9:$AI$258),0))</f>
        <v/>
      </c>
      <c r="M338" s="19" t="str">
        <f>IF(A338="","",IF(O338=1,SUMIF(Quotes!$C$9:$C$258,A338,Quotes!$AJ$9:$AJ$258),0))</f>
        <v/>
      </c>
      <c r="N338" s="18"/>
      <c r="O338" s="18" t="str">
        <f>IF(A338="","",IF(COUNTIF($A$9:A338,A338)=1,1,0))</f>
        <v/>
      </c>
      <c r="P338" s="18" t="str">
        <f t="shared" si="10"/>
        <v/>
      </c>
      <c r="Q338" s="18" t="str">
        <f t="shared" si="11"/>
        <v/>
      </c>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row>
    <row r="339" spans="1:44" ht="48" customHeight="1" x14ac:dyDescent="0.35">
      <c r="A339" s="14"/>
      <c r="B339" s="15"/>
      <c r="C339" s="15"/>
      <c r="D339" s="14"/>
      <c r="E339" s="15"/>
      <c r="F339" s="15"/>
      <c r="G339" s="36"/>
      <c r="H339" s="15"/>
      <c r="I339" s="15"/>
      <c r="J339" s="14" t="str">
        <f>IF(A339="","",IFERROR(HYPERLINK("#'Supplier Jobs'!A"&amp;(MATCH(A339,'Supplier Jobs'!$N$9:$N$258,0)+8),"JOBS / QUOTES"),"No quotes"))</f>
        <v/>
      </c>
      <c r="K339" s="14" t="str">
        <f>IF(A339="","",COUNTIF(Quotes!$D$9:$D$258,D339))</f>
        <v/>
      </c>
      <c r="L339" s="16" t="str">
        <f>IF(A339="","",IF(O339=1,SUMIF(Quotes!$C$9:$C$258,A339,Quotes!$AI$9:$AI$258),0))</f>
        <v/>
      </c>
      <c r="M339" s="16" t="str">
        <f>IF(A339="","",IF(O339=1,SUMIF(Quotes!$C$9:$C$258,A339,Quotes!$AJ$9:$AJ$258),0))</f>
        <v/>
      </c>
      <c r="N339" s="14"/>
      <c r="O339" s="14" t="str">
        <f>IF(A339="","",IF(COUNTIF($A$9:A339,A339)=1,1,0))</f>
        <v/>
      </c>
      <c r="P339" s="14" t="str">
        <f t="shared" si="10"/>
        <v/>
      </c>
      <c r="Q339" s="14" t="str">
        <f t="shared" si="11"/>
        <v/>
      </c>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row>
    <row r="340" spans="1:44" ht="48" customHeight="1" x14ac:dyDescent="0.35">
      <c r="A340" s="18"/>
      <c r="B340" s="15"/>
      <c r="C340" s="15"/>
      <c r="D340" s="18"/>
      <c r="E340" s="15"/>
      <c r="F340" s="15"/>
      <c r="G340" s="36"/>
      <c r="H340" s="15"/>
      <c r="I340" s="15"/>
      <c r="J340" s="18" t="str">
        <f>IF(A340="","",IFERROR(HYPERLINK("#'Supplier Jobs'!A"&amp;(MATCH(A340,'Supplier Jobs'!$N$9:$N$258,0)+8),"JOBS / QUOTES"),"No quotes"))</f>
        <v/>
      </c>
      <c r="K340" s="18" t="str">
        <f>IF(A340="","",COUNTIF(Quotes!$D$9:$D$258,D340))</f>
        <v/>
      </c>
      <c r="L340" s="19" t="str">
        <f>IF(A340="","",IF(O340=1,SUMIF(Quotes!$C$9:$C$258,A340,Quotes!$AI$9:$AI$258),0))</f>
        <v/>
      </c>
      <c r="M340" s="19" t="str">
        <f>IF(A340="","",IF(O340=1,SUMIF(Quotes!$C$9:$C$258,A340,Quotes!$AJ$9:$AJ$258),0))</f>
        <v/>
      </c>
      <c r="N340" s="18"/>
      <c r="O340" s="18" t="str">
        <f>IF(A340="","",IF(COUNTIF($A$9:A340,A340)=1,1,0))</f>
        <v/>
      </c>
      <c r="P340" s="18" t="str">
        <f t="shared" si="10"/>
        <v/>
      </c>
      <c r="Q340" s="18" t="str">
        <f t="shared" si="11"/>
        <v/>
      </c>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row>
    <row r="341" spans="1:44" ht="48" customHeight="1" x14ac:dyDescent="0.35">
      <c r="A341" s="14"/>
      <c r="B341" s="15"/>
      <c r="C341" s="15"/>
      <c r="D341" s="14"/>
      <c r="E341" s="15"/>
      <c r="F341" s="15"/>
      <c r="G341" s="36"/>
      <c r="H341" s="15"/>
      <c r="I341" s="15"/>
      <c r="J341" s="14" t="str">
        <f>IF(A341="","",IFERROR(HYPERLINK("#'Supplier Jobs'!A"&amp;(MATCH(A341,'Supplier Jobs'!$N$9:$N$258,0)+8),"JOBS / QUOTES"),"No quotes"))</f>
        <v/>
      </c>
      <c r="K341" s="14" t="str">
        <f>IF(A341="","",COUNTIF(Quotes!$D$9:$D$258,D341))</f>
        <v/>
      </c>
      <c r="L341" s="16" t="str">
        <f>IF(A341="","",IF(O341=1,SUMIF(Quotes!$C$9:$C$258,A341,Quotes!$AI$9:$AI$258),0))</f>
        <v/>
      </c>
      <c r="M341" s="16" t="str">
        <f>IF(A341="","",IF(O341=1,SUMIF(Quotes!$C$9:$C$258,A341,Quotes!$AJ$9:$AJ$258),0))</f>
        <v/>
      </c>
      <c r="N341" s="14"/>
      <c r="O341" s="14" t="str">
        <f>IF(A341="","",IF(COUNTIF($A$9:A341,A341)=1,1,0))</f>
        <v/>
      </c>
      <c r="P341" s="14" t="str">
        <f t="shared" si="10"/>
        <v/>
      </c>
      <c r="Q341" s="14" t="str">
        <f t="shared" si="11"/>
        <v/>
      </c>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row>
    <row r="342" spans="1:44" ht="48" customHeight="1" x14ac:dyDescent="0.35">
      <c r="A342" s="18"/>
      <c r="B342" s="15"/>
      <c r="C342" s="15"/>
      <c r="D342" s="18"/>
      <c r="E342" s="15"/>
      <c r="F342" s="15"/>
      <c r="G342" s="36"/>
      <c r="H342" s="15"/>
      <c r="I342" s="15"/>
      <c r="J342" s="18" t="str">
        <f>IF(A342="","",IFERROR(HYPERLINK("#'Supplier Jobs'!A"&amp;(MATCH(A342,'Supplier Jobs'!$N$9:$N$258,0)+8),"JOBS / QUOTES"),"No quotes"))</f>
        <v/>
      </c>
      <c r="K342" s="18" t="str">
        <f>IF(A342="","",COUNTIF(Quotes!$D$9:$D$258,D342))</f>
        <v/>
      </c>
      <c r="L342" s="19" t="str">
        <f>IF(A342="","",IF(O342=1,SUMIF(Quotes!$C$9:$C$258,A342,Quotes!$AI$9:$AI$258),0))</f>
        <v/>
      </c>
      <c r="M342" s="19" t="str">
        <f>IF(A342="","",IF(O342=1,SUMIF(Quotes!$C$9:$C$258,A342,Quotes!$AJ$9:$AJ$258),0))</f>
        <v/>
      </c>
      <c r="N342" s="18"/>
      <c r="O342" s="18" t="str">
        <f>IF(A342="","",IF(COUNTIF($A$9:A342,A342)=1,1,0))</f>
        <v/>
      </c>
      <c r="P342" s="18" t="str">
        <f t="shared" si="10"/>
        <v/>
      </c>
      <c r="Q342" s="18" t="str">
        <f t="shared" si="11"/>
        <v/>
      </c>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row>
    <row r="343" spans="1:44" ht="48" customHeight="1" x14ac:dyDescent="0.35">
      <c r="A343" s="14"/>
      <c r="B343" s="15"/>
      <c r="C343" s="15"/>
      <c r="D343" s="14"/>
      <c r="E343" s="15"/>
      <c r="F343" s="15"/>
      <c r="G343" s="36"/>
      <c r="H343" s="15"/>
      <c r="I343" s="15"/>
      <c r="J343" s="14" t="str">
        <f>IF(A343="","",IFERROR(HYPERLINK("#'Supplier Jobs'!A"&amp;(MATCH(A343,'Supplier Jobs'!$N$9:$N$258,0)+8),"JOBS / QUOTES"),"No quotes"))</f>
        <v/>
      </c>
      <c r="K343" s="14" t="str">
        <f>IF(A343="","",COUNTIF(Quotes!$D$9:$D$258,D343))</f>
        <v/>
      </c>
      <c r="L343" s="16" t="str">
        <f>IF(A343="","",IF(O343=1,SUMIF(Quotes!$C$9:$C$258,A343,Quotes!$AI$9:$AI$258),0))</f>
        <v/>
      </c>
      <c r="M343" s="16" t="str">
        <f>IF(A343="","",IF(O343=1,SUMIF(Quotes!$C$9:$C$258,A343,Quotes!$AJ$9:$AJ$258),0))</f>
        <v/>
      </c>
      <c r="N343" s="14"/>
      <c r="O343" s="14" t="str">
        <f>IF(A343="","",IF(COUNTIF($A$9:A343,A343)=1,1,0))</f>
        <v/>
      </c>
      <c r="P343" s="14" t="str">
        <f t="shared" si="10"/>
        <v/>
      </c>
      <c r="Q343" s="14" t="str">
        <f t="shared" si="11"/>
        <v/>
      </c>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row>
    <row r="344" spans="1:44" ht="48" customHeight="1" x14ac:dyDescent="0.35">
      <c r="A344" s="18"/>
      <c r="B344" s="15"/>
      <c r="C344" s="15"/>
      <c r="D344" s="18"/>
      <c r="E344" s="15"/>
      <c r="F344" s="15"/>
      <c r="G344" s="36"/>
      <c r="H344" s="15"/>
      <c r="I344" s="15"/>
      <c r="J344" s="18" t="str">
        <f>IF(A344="","",IFERROR(HYPERLINK("#'Supplier Jobs'!A"&amp;(MATCH(A344,'Supplier Jobs'!$N$9:$N$258,0)+8),"JOBS / QUOTES"),"No quotes"))</f>
        <v/>
      </c>
      <c r="K344" s="18" t="str">
        <f>IF(A344="","",COUNTIF(Quotes!$D$9:$D$258,D344))</f>
        <v/>
      </c>
      <c r="L344" s="19" t="str">
        <f>IF(A344="","",IF(O344=1,SUMIF(Quotes!$C$9:$C$258,A344,Quotes!$AI$9:$AI$258),0))</f>
        <v/>
      </c>
      <c r="M344" s="19" t="str">
        <f>IF(A344="","",IF(O344=1,SUMIF(Quotes!$C$9:$C$258,A344,Quotes!$AJ$9:$AJ$258),0))</f>
        <v/>
      </c>
      <c r="N344" s="18"/>
      <c r="O344" s="18" t="str">
        <f>IF(A344="","",IF(COUNTIF($A$9:A344,A344)=1,1,0))</f>
        <v/>
      </c>
      <c r="P344" s="18" t="str">
        <f t="shared" si="10"/>
        <v/>
      </c>
      <c r="Q344" s="18" t="str">
        <f t="shared" si="11"/>
        <v/>
      </c>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row>
    <row r="345" spans="1:44" ht="48" customHeight="1" x14ac:dyDescent="0.35">
      <c r="A345" s="14"/>
      <c r="B345" s="15"/>
      <c r="C345" s="15"/>
      <c r="D345" s="14"/>
      <c r="E345" s="15"/>
      <c r="F345" s="15"/>
      <c r="G345" s="36"/>
      <c r="H345" s="15"/>
      <c r="I345" s="15"/>
      <c r="J345" s="14" t="str">
        <f>IF(A345="","",IFERROR(HYPERLINK("#'Supplier Jobs'!A"&amp;(MATCH(A345,'Supplier Jobs'!$N$9:$N$258,0)+8),"JOBS / QUOTES"),"No quotes"))</f>
        <v/>
      </c>
      <c r="K345" s="14" t="str">
        <f>IF(A345="","",COUNTIF(Quotes!$D$9:$D$258,D345))</f>
        <v/>
      </c>
      <c r="L345" s="16" t="str">
        <f>IF(A345="","",IF(O345=1,SUMIF(Quotes!$C$9:$C$258,A345,Quotes!$AI$9:$AI$258),0))</f>
        <v/>
      </c>
      <c r="M345" s="16" t="str">
        <f>IF(A345="","",IF(O345=1,SUMIF(Quotes!$C$9:$C$258,A345,Quotes!$AJ$9:$AJ$258),0))</f>
        <v/>
      </c>
      <c r="N345" s="14"/>
      <c r="O345" s="14" t="str">
        <f>IF(A345="","",IF(COUNTIF($A$9:A345,A345)=1,1,0))</f>
        <v/>
      </c>
      <c r="P345" s="14" t="str">
        <f t="shared" si="10"/>
        <v/>
      </c>
      <c r="Q345" s="14" t="str">
        <f t="shared" si="11"/>
        <v/>
      </c>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row>
    <row r="346" spans="1:44" ht="48" customHeight="1" x14ac:dyDescent="0.35">
      <c r="A346" s="18"/>
      <c r="B346" s="15"/>
      <c r="C346" s="15"/>
      <c r="D346" s="18"/>
      <c r="E346" s="15"/>
      <c r="F346" s="15"/>
      <c r="G346" s="36"/>
      <c r="H346" s="15"/>
      <c r="I346" s="15"/>
      <c r="J346" s="18" t="str">
        <f>IF(A346="","",IFERROR(HYPERLINK("#'Supplier Jobs'!A"&amp;(MATCH(A346,'Supplier Jobs'!$N$9:$N$258,0)+8),"JOBS / QUOTES"),"No quotes"))</f>
        <v/>
      </c>
      <c r="K346" s="18" t="str">
        <f>IF(A346="","",COUNTIF(Quotes!$D$9:$D$258,D346))</f>
        <v/>
      </c>
      <c r="L346" s="19" t="str">
        <f>IF(A346="","",IF(O346=1,SUMIF(Quotes!$C$9:$C$258,A346,Quotes!$AI$9:$AI$258),0))</f>
        <v/>
      </c>
      <c r="M346" s="19" t="str">
        <f>IF(A346="","",IF(O346=1,SUMIF(Quotes!$C$9:$C$258,A346,Quotes!$AJ$9:$AJ$258),0))</f>
        <v/>
      </c>
      <c r="N346" s="18"/>
      <c r="O346" s="18" t="str">
        <f>IF(A346="","",IF(COUNTIF($A$9:A346,A346)=1,1,0))</f>
        <v/>
      </c>
      <c r="P346" s="18" t="str">
        <f t="shared" si="10"/>
        <v/>
      </c>
      <c r="Q346" s="18" t="str">
        <f t="shared" si="11"/>
        <v/>
      </c>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row>
    <row r="347" spans="1:44" ht="48" customHeight="1" x14ac:dyDescent="0.35">
      <c r="A347" s="14"/>
      <c r="B347" s="15"/>
      <c r="C347" s="15"/>
      <c r="D347" s="14"/>
      <c r="E347" s="15"/>
      <c r="F347" s="15"/>
      <c r="G347" s="36"/>
      <c r="H347" s="15"/>
      <c r="I347" s="15"/>
      <c r="J347" s="14" t="str">
        <f>IF(A347="","",IFERROR(HYPERLINK("#'Supplier Jobs'!A"&amp;(MATCH(A347,'Supplier Jobs'!$N$9:$N$258,0)+8),"JOBS / QUOTES"),"No quotes"))</f>
        <v/>
      </c>
      <c r="K347" s="14" t="str">
        <f>IF(A347="","",COUNTIF(Quotes!$D$9:$D$258,D347))</f>
        <v/>
      </c>
      <c r="L347" s="16" t="str">
        <f>IF(A347="","",IF(O347=1,SUMIF(Quotes!$C$9:$C$258,A347,Quotes!$AI$9:$AI$258),0))</f>
        <v/>
      </c>
      <c r="M347" s="16" t="str">
        <f>IF(A347="","",IF(O347=1,SUMIF(Quotes!$C$9:$C$258,A347,Quotes!$AJ$9:$AJ$258),0))</f>
        <v/>
      </c>
      <c r="N347" s="14"/>
      <c r="O347" s="14" t="str">
        <f>IF(A347="","",IF(COUNTIF($A$9:A347,A347)=1,1,0))</f>
        <v/>
      </c>
      <c r="P347" s="14" t="str">
        <f t="shared" si="10"/>
        <v/>
      </c>
      <c r="Q347" s="14" t="str">
        <f t="shared" si="11"/>
        <v/>
      </c>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row>
    <row r="348" spans="1:44" ht="48" customHeight="1" x14ac:dyDescent="0.35">
      <c r="A348" s="18"/>
      <c r="B348" s="15"/>
      <c r="C348" s="15"/>
      <c r="D348" s="18"/>
      <c r="E348" s="15"/>
      <c r="F348" s="15"/>
      <c r="G348" s="36"/>
      <c r="H348" s="15"/>
      <c r="I348" s="15"/>
      <c r="J348" s="18" t="str">
        <f>IF(A348="","",IFERROR(HYPERLINK("#'Supplier Jobs'!A"&amp;(MATCH(A348,'Supplier Jobs'!$N$9:$N$258,0)+8),"JOBS / QUOTES"),"No quotes"))</f>
        <v/>
      </c>
      <c r="K348" s="18" t="str">
        <f>IF(A348="","",COUNTIF(Quotes!$D$9:$D$258,D348))</f>
        <v/>
      </c>
      <c r="L348" s="19" t="str">
        <f>IF(A348="","",IF(O348=1,SUMIF(Quotes!$C$9:$C$258,A348,Quotes!$AI$9:$AI$258),0))</f>
        <v/>
      </c>
      <c r="M348" s="19" t="str">
        <f>IF(A348="","",IF(O348=1,SUMIF(Quotes!$C$9:$C$258,A348,Quotes!$AJ$9:$AJ$258),0))</f>
        <v/>
      </c>
      <c r="N348" s="18"/>
      <c r="O348" s="18" t="str">
        <f>IF(A348="","",IF(COUNTIF($A$9:A348,A348)=1,1,0))</f>
        <v/>
      </c>
      <c r="P348" s="18" t="str">
        <f t="shared" si="10"/>
        <v/>
      </c>
      <c r="Q348" s="18" t="str">
        <f t="shared" si="11"/>
        <v/>
      </c>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row>
    <row r="349" spans="1:44" ht="48" customHeight="1" x14ac:dyDescent="0.35">
      <c r="A349" s="14"/>
      <c r="B349" s="15"/>
      <c r="C349" s="15"/>
      <c r="D349" s="14"/>
      <c r="E349" s="15"/>
      <c r="F349" s="15"/>
      <c r="G349" s="36"/>
      <c r="H349" s="15"/>
      <c r="I349" s="15"/>
      <c r="J349" s="14" t="str">
        <f>IF(A349="","",IFERROR(HYPERLINK("#'Supplier Jobs'!A"&amp;(MATCH(A349,'Supplier Jobs'!$N$9:$N$258,0)+8),"JOBS / QUOTES"),"No quotes"))</f>
        <v/>
      </c>
      <c r="K349" s="14" t="str">
        <f>IF(A349="","",COUNTIF(Quotes!$D$9:$D$258,D349))</f>
        <v/>
      </c>
      <c r="L349" s="16" t="str">
        <f>IF(A349="","",IF(O349=1,SUMIF(Quotes!$C$9:$C$258,A349,Quotes!$AI$9:$AI$258),0))</f>
        <v/>
      </c>
      <c r="M349" s="16" t="str">
        <f>IF(A349="","",IF(O349=1,SUMIF(Quotes!$C$9:$C$258,A349,Quotes!$AJ$9:$AJ$258),0))</f>
        <v/>
      </c>
      <c r="N349" s="14"/>
      <c r="O349" s="14" t="str">
        <f>IF(A349="","",IF(COUNTIF($A$9:A349,A349)=1,1,0))</f>
        <v/>
      </c>
      <c r="P349" s="14" t="str">
        <f t="shared" si="10"/>
        <v/>
      </c>
      <c r="Q349" s="14" t="str">
        <f t="shared" si="11"/>
        <v/>
      </c>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row>
    <row r="350" spans="1:44" ht="48" customHeight="1" x14ac:dyDescent="0.35">
      <c r="A350" s="18"/>
      <c r="B350" s="15"/>
      <c r="C350" s="15"/>
      <c r="D350" s="18"/>
      <c r="E350" s="15"/>
      <c r="F350" s="15"/>
      <c r="G350" s="36"/>
      <c r="H350" s="15"/>
      <c r="I350" s="15"/>
      <c r="J350" s="18" t="str">
        <f>IF(A350="","",IFERROR(HYPERLINK("#'Supplier Jobs'!A"&amp;(MATCH(A350,'Supplier Jobs'!$N$9:$N$258,0)+8),"JOBS / QUOTES"),"No quotes"))</f>
        <v/>
      </c>
      <c r="K350" s="18" t="str">
        <f>IF(A350="","",COUNTIF(Quotes!$D$9:$D$258,D350))</f>
        <v/>
      </c>
      <c r="L350" s="19" t="str">
        <f>IF(A350="","",IF(O350=1,SUMIF(Quotes!$C$9:$C$258,A350,Quotes!$AI$9:$AI$258),0))</f>
        <v/>
      </c>
      <c r="M350" s="19" t="str">
        <f>IF(A350="","",IF(O350=1,SUMIF(Quotes!$C$9:$C$258,A350,Quotes!$AJ$9:$AJ$258),0))</f>
        <v/>
      </c>
      <c r="N350" s="18"/>
      <c r="O350" s="18" t="str">
        <f>IF(A350="","",IF(COUNTIF($A$9:A350,A350)=1,1,0))</f>
        <v/>
      </c>
      <c r="P350" s="18" t="str">
        <f t="shared" si="10"/>
        <v/>
      </c>
      <c r="Q350" s="18" t="str">
        <f t="shared" si="11"/>
        <v/>
      </c>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row>
    <row r="351" spans="1:44" ht="48" customHeight="1" x14ac:dyDescent="0.35">
      <c r="A351" s="14"/>
      <c r="B351" s="15"/>
      <c r="C351" s="15"/>
      <c r="D351" s="14"/>
      <c r="E351" s="15"/>
      <c r="F351" s="15"/>
      <c r="G351" s="36"/>
      <c r="H351" s="15"/>
      <c r="I351" s="15"/>
      <c r="J351" s="14" t="str">
        <f>IF(A351="","",IFERROR(HYPERLINK("#'Supplier Jobs'!A"&amp;(MATCH(A351,'Supplier Jobs'!$N$9:$N$258,0)+8),"JOBS / QUOTES"),"No quotes"))</f>
        <v/>
      </c>
      <c r="K351" s="14" t="str">
        <f>IF(A351="","",COUNTIF(Quotes!$D$9:$D$258,D351))</f>
        <v/>
      </c>
      <c r="L351" s="16" t="str">
        <f>IF(A351="","",IF(O351=1,SUMIF(Quotes!$C$9:$C$258,A351,Quotes!$AI$9:$AI$258),0))</f>
        <v/>
      </c>
      <c r="M351" s="16" t="str">
        <f>IF(A351="","",IF(O351=1,SUMIF(Quotes!$C$9:$C$258,A351,Quotes!$AJ$9:$AJ$258),0))</f>
        <v/>
      </c>
      <c r="N351" s="14"/>
      <c r="O351" s="14" t="str">
        <f>IF(A351="","",IF(COUNTIF($A$9:A351,A351)=1,1,0))</f>
        <v/>
      </c>
      <c r="P351" s="14" t="str">
        <f t="shared" si="10"/>
        <v/>
      </c>
      <c r="Q351" s="14" t="str">
        <f t="shared" si="11"/>
        <v/>
      </c>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row>
    <row r="352" spans="1:44" ht="48" customHeight="1" x14ac:dyDescent="0.35">
      <c r="A352" s="18"/>
      <c r="B352" s="15"/>
      <c r="C352" s="15"/>
      <c r="D352" s="18"/>
      <c r="E352" s="15"/>
      <c r="F352" s="15"/>
      <c r="G352" s="36"/>
      <c r="H352" s="15"/>
      <c r="I352" s="15"/>
      <c r="J352" s="18" t="str">
        <f>IF(A352="","",IFERROR(HYPERLINK("#'Supplier Jobs'!A"&amp;(MATCH(A352,'Supplier Jobs'!$N$9:$N$258,0)+8),"JOBS / QUOTES"),"No quotes"))</f>
        <v/>
      </c>
      <c r="K352" s="18" t="str">
        <f>IF(A352="","",COUNTIF(Quotes!$D$9:$D$258,D352))</f>
        <v/>
      </c>
      <c r="L352" s="19" t="str">
        <f>IF(A352="","",IF(O352=1,SUMIF(Quotes!$C$9:$C$258,A352,Quotes!$AI$9:$AI$258),0))</f>
        <v/>
      </c>
      <c r="M352" s="19" t="str">
        <f>IF(A352="","",IF(O352=1,SUMIF(Quotes!$C$9:$C$258,A352,Quotes!$AJ$9:$AJ$258),0))</f>
        <v/>
      </c>
      <c r="N352" s="18"/>
      <c r="O352" s="18" t="str">
        <f>IF(A352="","",IF(COUNTIF($A$9:A352,A352)=1,1,0))</f>
        <v/>
      </c>
      <c r="P352" s="18" t="str">
        <f t="shared" si="10"/>
        <v/>
      </c>
      <c r="Q352" s="18" t="str">
        <f t="shared" si="11"/>
        <v/>
      </c>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row>
    <row r="353" spans="1:44" ht="48" customHeight="1" x14ac:dyDescent="0.35">
      <c r="A353" s="14"/>
      <c r="B353" s="15"/>
      <c r="C353" s="15"/>
      <c r="D353" s="14"/>
      <c r="E353" s="15"/>
      <c r="F353" s="15"/>
      <c r="G353" s="36"/>
      <c r="H353" s="15"/>
      <c r="I353" s="15"/>
      <c r="J353" s="14" t="str">
        <f>IF(A353="","",IFERROR(HYPERLINK("#'Supplier Jobs'!A"&amp;(MATCH(A353,'Supplier Jobs'!$N$9:$N$258,0)+8),"JOBS / QUOTES"),"No quotes"))</f>
        <v/>
      </c>
      <c r="K353" s="14" t="str">
        <f>IF(A353="","",COUNTIF(Quotes!$D$9:$D$258,D353))</f>
        <v/>
      </c>
      <c r="L353" s="16" t="str">
        <f>IF(A353="","",IF(O353=1,SUMIF(Quotes!$C$9:$C$258,A353,Quotes!$AI$9:$AI$258),0))</f>
        <v/>
      </c>
      <c r="M353" s="16" t="str">
        <f>IF(A353="","",IF(O353=1,SUMIF(Quotes!$C$9:$C$258,A353,Quotes!$AJ$9:$AJ$258),0))</f>
        <v/>
      </c>
      <c r="N353" s="14"/>
      <c r="O353" s="14" t="str">
        <f>IF(A353="","",IF(COUNTIF($A$9:A353,A353)=1,1,0))</f>
        <v/>
      </c>
      <c r="P353" s="14" t="str">
        <f t="shared" si="10"/>
        <v/>
      </c>
      <c r="Q353" s="14" t="str">
        <f t="shared" si="11"/>
        <v/>
      </c>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row>
    <row r="354" spans="1:44" ht="48" customHeight="1" x14ac:dyDescent="0.35">
      <c r="A354" s="18"/>
      <c r="B354" s="15"/>
      <c r="C354" s="15"/>
      <c r="D354" s="18"/>
      <c r="E354" s="15"/>
      <c r="F354" s="15"/>
      <c r="G354" s="36"/>
      <c r="H354" s="15"/>
      <c r="I354" s="15"/>
      <c r="J354" s="18" t="str">
        <f>IF(A354="","",IFERROR(HYPERLINK("#'Supplier Jobs'!A"&amp;(MATCH(A354,'Supplier Jobs'!$N$9:$N$258,0)+8),"JOBS / QUOTES"),"No quotes"))</f>
        <v/>
      </c>
      <c r="K354" s="18" t="str">
        <f>IF(A354="","",COUNTIF(Quotes!$D$9:$D$258,D354))</f>
        <v/>
      </c>
      <c r="L354" s="19" t="str">
        <f>IF(A354="","",IF(O354=1,SUMIF(Quotes!$C$9:$C$258,A354,Quotes!$AI$9:$AI$258),0))</f>
        <v/>
      </c>
      <c r="M354" s="19" t="str">
        <f>IF(A354="","",IF(O354=1,SUMIF(Quotes!$C$9:$C$258,A354,Quotes!$AJ$9:$AJ$258),0))</f>
        <v/>
      </c>
      <c r="N354" s="18"/>
      <c r="O354" s="18" t="str">
        <f>IF(A354="","",IF(COUNTIF($A$9:A354,A354)=1,1,0))</f>
        <v/>
      </c>
      <c r="P354" s="18" t="str">
        <f t="shared" si="10"/>
        <v/>
      </c>
      <c r="Q354" s="18" t="str">
        <f t="shared" si="11"/>
        <v/>
      </c>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row>
    <row r="355" spans="1:44" ht="48" customHeight="1" x14ac:dyDescent="0.35">
      <c r="A355" s="14"/>
      <c r="B355" s="15"/>
      <c r="C355" s="15"/>
      <c r="D355" s="14"/>
      <c r="E355" s="15"/>
      <c r="F355" s="15"/>
      <c r="G355" s="36"/>
      <c r="H355" s="15"/>
      <c r="I355" s="15"/>
      <c r="J355" s="14" t="str">
        <f>IF(A355="","",IFERROR(HYPERLINK("#'Supplier Jobs'!A"&amp;(MATCH(A355,'Supplier Jobs'!$N$9:$N$258,0)+8),"JOBS / QUOTES"),"No quotes"))</f>
        <v/>
      </c>
      <c r="K355" s="14" t="str">
        <f>IF(A355="","",COUNTIF(Quotes!$D$9:$D$258,D355))</f>
        <v/>
      </c>
      <c r="L355" s="16" t="str">
        <f>IF(A355="","",IF(O355=1,SUMIF(Quotes!$C$9:$C$258,A355,Quotes!$AI$9:$AI$258),0))</f>
        <v/>
      </c>
      <c r="M355" s="16" t="str">
        <f>IF(A355="","",IF(O355=1,SUMIF(Quotes!$C$9:$C$258,A355,Quotes!$AJ$9:$AJ$258),0))</f>
        <v/>
      </c>
      <c r="N355" s="14"/>
      <c r="O355" s="14" t="str">
        <f>IF(A355="","",IF(COUNTIF($A$9:A355,A355)=1,1,0))</f>
        <v/>
      </c>
      <c r="P355" s="14" t="str">
        <f t="shared" si="10"/>
        <v/>
      </c>
      <c r="Q355" s="14" t="str">
        <f t="shared" si="11"/>
        <v/>
      </c>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row>
    <row r="356" spans="1:44" ht="48" customHeight="1" x14ac:dyDescent="0.35">
      <c r="A356" s="18"/>
      <c r="B356" s="15"/>
      <c r="C356" s="15"/>
      <c r="D356" s="18"/>
      <c r="E356" s="15"/>
      <c r="F356" s="15"/>
      <c r="G356" s="36"/>
      <c r="H356" s="15"/>
      <c r="I356" s="15"/>
      <c r="J356" s="18" t="str">
        <f>IF(A356="","",IFERROR(HYPERLINK("#'Supplier Jobs'!A"&amp;(MATCH(A356,'Supplier Jobs'!$N$9:$N$258,0)+8),"JOBS / QUOTES"),"No quotes"))</f>
        <v/>
      </c>
      <c r="K356" s="18" t="str">
        <f>IF(A356="","",COUNTIF(Quotes!$D$9:$D$258,D356))</f>
        <v/>
      </c>
      <c r="L356" s="19" t="str">
        <f>IF(A356="","",IF(O356=1,SUMIF(Quotes!$C$9:$C$258,A356,Quotes!$AI$9:$AI$258),0))</f>
        <v/>
      </c>
      <c r="M356" s="19" t="str">
        <f>IF(A356="","",IF(O356=1,SUMIF(Quotes!$C$9:$C$258,A356,Quotes!$AJ$9:$AJ$258),0))</f>
        <v/>
      </c>
      <c r="N356" s="18"/>
      <c r="O356" s="18" t="str">
        <f>IF(A356="","",IF(COUNTIF($A$9:A356,A356)=1,1,0))</f>
        <v/>
      </c>
      <c r="P356" s="18" t="str">
        <f t="shared" si="10"/>
        <v/>
      </c>
      <c r="Q356" s="18" t="str">
        <f t="shared" si="11"/>
        <v/>
      </c>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row>
    <row r="357" spans="1:44" ht="48" customHeight="1" x14ac:dyDescent="0.35">
      <c r="A357" s="14"/>
      <c r="B357" s="15"/>
      <c r="C357" s="15"/>
      <c r="D357" s="14"/>
      <c r="E357" s="15"/>
      <c r="F357" s="15"/>
      <c r="G357" s="36"/>
      <c r="H357" s="15"/>
      <c r="I357" s="15"/>
      <c r="J357" s="14" t="str">
        <f>IF(A357="","",IFERROR(HYPERLINK("#'Supplier Jobs'!A"&amp;(MATCH(A357,'Supplier Jobs'!$N$9:$N$258,0)+8),"JOBS / QUOTES"),"No quotes"))</f>
        <v/>
      </c>
      <c r="K357" s="14" t="str">
        <f>IF(A357="","",COUNTIF(Quotes!$D$9:$D$258,D357))</f>
        <v/>
      </c>
      <c r="L357" s="16" t="str">
        <f>IF(A357="","",IF(O357=1,SUMIF(Quotes!$C$9:$C$258,A357,Quotes!$AI$9:$AI$258),0))</f>
        <v/>
      </c>
      <c r="M357" s="16" t="str">
        <f>IF(A357="","",IF(O357=1,SUMIF(Quotes!$C$9:$C$258,A357,Quotes!$AJ$9:$AJ$258),0))</f>
        <v/>
      </c>
      <c r="N357" s="14"/>
      <c r="O357" s="14" t="str">
        <f>IF(A357="","",IF(COUNTIF($A$9:A357,A357)=1,1,0))</f>
        <v/>
      </c>
      <c r="P357" s="14" t="str">
        <f t="shared" si="10"/>
        <v/>
      </c>
      <c r="Q357" s="14" t="str">
        <f t="shared" si="11"/>
        <v/>
      </c>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row>
    <row r="358" spans="1:44" ht="48" customHeight="1" x14ac:dyDescent="0.35">
      <c r="A358" s="18"/>
      <c r="B358" s="15"/>
      <c r="C358" s="15"/>
      <c r="D358" s="18"/>
      <c r="E358" s="15"/>
      <c r="F358" s="15"/>
      <c r="G358" s="36"/>
      <c r="H358" s="15"/>
      <c r="I358" s="15"/>
      <c r="J358" s="18" t="str">
        <f>IF(A358="","",IFERROR(HYPERLINK("#'Supplier Jobs'!A"&amp;(MATCH(A358,'Supplier Jobs'!$N$9:$N$258,0)+8),"JOBS / QUOTES"),"No quotes"))</f>
        <v/>
      </c>
      <c r="K358" s="18" t="str">
        <f>IF(A358="","",COUNTIF(Quotes!$D$9:$D$258,D358))</f>
        <v/>
      </c>
      <c r="L358" s="19" t="str">
        <f>IF(A358="","",IF(O358=1,SUMIF(Quotes!$C$9:$C$258,A358,Quotes!$AI$9:$AI$258),0))</f>
        <v/>
      </c>
      <c r="M358" s="19" t="str">
        <f>IF(A358="","",IF(O358=1,SUMIF(Quotes!$C$9:$C$258,A358,Quotes!$AJ$9:$AJ$258),0))</f>
        <v/>
      </c>
      <c r="N358" s="18"/>
      <c r="O358" s="18" t="str">
        <f>IF(A358="","",IF(COUNTIF($A$9:A358,A358)=1,1,0))</f>
        <v/>
      </c>
      <c r="P358" s="18" t="str">
        <f t="shared" si="10"/>
        <v/>
      </c>
      <c r="Q358" s="18" t="str">
        <f t="shared" si="11"/>
        <v/>
      </c>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row>
    <row r="359" spans="1:44" ht="48" customHeight="1" x14ac:dyDescent="0.35">
      <c r="A359" s="14"/>
      <c r="B359" s="15"/>
      <c r="C359" s="15"/>
      <c r="D359" s="14"/>
      <c r="E359" s="15"/>
      <c r="F359" s="15"/>
      <c r="G359" s="36"/>
      <c r="H359" s="15"/>
      <c r="I359" s="15"/>
      <c r="J359" s="14" t="str">
        <f>IF(A359="","",IFERROR(HYPERLINK("#'Supplier Jobs'!A"&amp;(MATCH(A359,'Supplier Jobs'!$N$9:$N$258,0)+8),"JOBS / QUOTES"),"No quotes"))</f>
        <v/>
      </c>
      <c r="K359" s="14" t="str">
        <f>IF(A359="","",COUNTIF(Quotes!$D$9:$D$258,D359))</f>
        <v/>
      </c>
      <c r="L359" s="16" t="str">
        <f>IF(A359="","",IF(O359=1,SUMIF(Quotes!$C$9:$C$258,A359,Quotes!$AI$9:$AI$258),0))</f>
        <v/>
      </c>
      <c r="M359" s="16" t="str">
        <f>IF(A359="","",IF(O359=1,SUMIF(Quotes!$C$9:$C$258,A359,Quotes!$AJ$9:$AJ$258),0))</f>
        <v/>
      </c>
      <c r="N359" s="14"/>
      <c r="O359" s="14" t="str">
        <f>IF(A359="","",IF(COUNTIF($A$9:A359,A359)=1,1,0))</f>
        <v/>
      </c>
      <c r="P359" s="14" t="str">
        <f t="shared" si="10"/>
        <v/>
      </c>
      <c r="Q359" s="14" t="str">
        <f t="shared" si="11"/>
        <v/>
      </c>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row>
    <row r="360" spans="1:44" ht="48" customHeight="1" x14ac:dyDescent="0.35">
      <c r="A360" s="18"/>
      <c r="B360" s="15"/>
      <c r="C360" s="15"/>
      <c r="D360" s="18"/>
      <c r="E360" s="15"/>
      <c r="F360" s="15"/>
      <c r="G360" s="36"/>
      <c r="H360" s="15"/>
      <c r="I360" s="15"/>
      <c r="J360" s="18" t="str">
        <f>IF(A360="","",IFERROR(HYPERLINK("#'Supplier Jobs'!A"&amp;(MATCH(A360,'Supplier Jobs'!$N$9:$N$258,0)+8),"JOBS / QUOTES"),"No quotes"))</f>
        <v/>
      </c>
      <c r="K360" s="18" t="str">
        <f>IF(A360="","",COUNTIF(Quotes!$D$9:$D$258,D360))</f>
        <v/>
      </c>
      <c r="L360" s="19" t="str">
        <f>IF(A360="","",IF(O360=1,SUMIF(Quotes!$C$9:$C$258,A360,Quotes!$AI$9:$AI$258),0))</f>
        <v/>
      </c>
      <c r="M360" s="19" t="str">
        <f>IF(A360="","",IF(O360=1,SUMIF(Quotes!$C$9:$C$258,A360,Quotes!$AJ$9:$AJ$258),0))</f>
        <v/>
      </c>
      <c r="N360" s="18"/>
      <c r="O360" s="18" t="str">
        <f>IF(A360="","",IF(COUNTIF($A$9:A360,A360)=1,1,0))</f>
        <v/>
      </c>
      <c r="P360" s="18" t="str">
        <f t="shared" si="10"/>
        <v/>
      </c>
      <c r="Q360" s="18" t="str">
        <f t="shared" si="11"/>
        <v/>
      </c>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row>
    <row r="361" spans="1:44" ht="48" customHeight="1" x14ac:dyDescent="0.35">
      <c r="A361" s="14"/>
      <c r="B361" s="15"/>
      <c r="C361" s="15"/>
      <c r="D361" s="14"/>
      <c r="E361" s="15"/>
      <c r="F361" s="15"/>
      <c r="G361" s="36"/>
      <c r="H361" s="15"/>
      <c r="I361" s="15"/>
      <c r="J361" s="14" t="str">
        <f>IF(A361="","",IFERROR(HYPERLINK("#'Supplier Jobs'!A"&amp;(MATCH(A361,'Supplier Jobs'!$N$9:$N$258,0)+8),"JOBS / QUOTES"),"No quotes"))</f>
        <v/>
      </c>
      <c r="K361" s="14" t="str">
        <f>IF(A361="","",COUNTIF(Quotes!$D$9:$D$258,D361))</f>
        <v/>
      </c>
      <c r="L361" s="16" t="str">
        <f>IF(A361="","",IF(O361=1,SUMIF(Quotes!$C$9:$C$258,A361,Quotes!$AI$9:$AI$258),0))</f>
        <v/>
      </c>
      <c r="M361" s="16" t="str">
        <f>IF(A361="","",IF(O361=1,SUMIF(Quotes!$C$9:$C$258,A361,Quotes!$AJ$9:$AJ$258),0))</f>
        <v/>
      </c>
      <c r="N361" s="14"/>
      <c r="O361" s="14" t="str">
        <f>IF(A361="","",IF(COUNTIF($A$9:A361,A361)=1,1,0))</f>
        <v/>
      </c>
      <c r="P361" s="14" t="str">
        <f t="shared" si="10"/>
        <v/>
      </c>
      <c r="Q361" s="14" t="str">
        <f t="shared" si="11"/>
        <v/>
      </c>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row>
    <row r="362" spans="1:44" ht="48" customHeight="1" x14ac:dyDescent="0.35">
      <c r="A362" s="18"/>
      <c r="B362" s="15"/>
      <c r="C362" s="15"/>
      <c r="D362" s="18"/>
      <c r="E362" s="15"/>
      <c r="F362" s="15"/>
      <c r="G362" s="36"/>
      <c r="H362" s="15"/>
      <c r="I362" s="15"/>
      <c r="J362" s="18" t="str">
        <f>IF(A362="","",IFERROR(HYPERLINK("#'Supplier Jobs'!A"&amp;(MATCH(A362,'Supplier Jobs'!$N$9:$N$258,0)+8),"JOBS / QUOTES"),"No quotes"))</f>
        <v/>
      </c>
      <c r="K362" s="18" t="str">
        <f>IF(A362="","",COUNTIF(Quotes!$D$9:$D$258,D362))</f>
        <v/>
      </c>
      <c r="L362" s="19" t="str">
        <f>IF(A362="","",IF(O362=1,SUMIF(Quotes!$C$9:$C$258,A362,Quotes!$AI$9:$AI$258),0))</f>
        <v/>
      </c>
      <c r="M362" s="19" t="str">
        <f>IF(A362="","",IF(O362=1,SUMIF(Quotes!$C$9:$C$258,A362,Quotes!$AJ$9:$AJ$258),0))</f>
        <v/>
      </c>
      <c r="N362" s="18"/>
      <c r="O362" s="18" t="str">
        <f>IF(A362="","",IF(COUNTIF($A$9:A362,A362)=1,1,0))</f>
        <v/>
      </c>
      <c r="P362" s="18" t="str">
        <f t="shared" si="10"/>
        <v/>
      </c>
      <c r="Q362" s="18" t="str">
        <f t="shared" si="11"/>
        <v/>
      </c>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row>
    <row r="363" spans="1:44" ht="48" customHeight="1" x14ac:dyDescent="0.35">
      <c r="A363" s="14"/>
      <c r="B363" s="15"/>
      <c r="C363" s="15"/>
      <c r="D363" s="14"/>
      <c r="E363" s="15"/>
      <c r="F363" s="15"/>
      <c r="G363" s="36"/>
      <c r="H363" s="15"/>
      <c r="I363" s="15"/>
      <c r="J363" s="14" t="str">
        <f>IF(A363="","",IFERROR(HYPERLINK("#'Supplier Jobs'!A"&amp;(MATCH(A363,'Supplier Jobs'!$N$9:$N$258,0)+8),"JOBS / QUOTES"),"No quotes"))</f>
        <v/>
      </c>
      <c r="K363" s="14" t="str">
        <f>IF(A363="","",COUNTIF(Quotes!$D$9:$D$258,D363))</f>
        <v/>
      </c>
      <c r="L363" s="16" t="str">
        <f>IF(A363="","",IF(O363=1,SUMIF(Quotes!$C$9:$C$258,A363,Quotes!$AI$9:$AI$258),0))</f>
        <v/>
      </c>
      <c r="M363" s="16" t="str">
        <f>IF(A363="","",IF(O363=1,SUMIF(Quotes!$C$9:$C$258,A363,Quotes!$AJ$9:$AJ$258),0))</f>
        <v/>
      </c>
      <c r="N363" s="14"/>
      <c r="O363" s="14" t="str">
        <f>IF(A363="","",IF(COUNTIF($A$9:A363,A363)=1,1,0))</f>
        <v/>
      </c>
      <c r="P363" s="14" t="str">
        <f t="shared" si="10"/>
        <v/>
      </c>
      <c r="Q363" s="14" t="str">
        <f t="shared" si="11"/>
        <v/>
      </c>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row>
    <row r="364" spans="1:44" ht="48" customHeight="1" x14ac:dyDescent="0.35">
      <c r="A364" s="18"/>
      <c r="B364" s="15"/>
      <c r="C364" s="15"/>
      <c r="D364" s="18"/>
      <c r="E364" s="15"/>
      <c r="F364" s="15"/>
      <c r="G364" s="36"/>
      <c r="H364" s="15"/>
      <c r="I364" s="15"/>
      <c r="J364" s="18" t="str">
        <f>IF(A364="","",IFERROR(HYPERLINK("#'Supplier Jobs'!A"&amp;(MATCH(A364,'Supplier Jobs'!$N$9:$N$258,0)+8),"JOBS / QUOTES"),"No quotes"))</f>
        <v/>
      </c>
      <c r="K364" s="18" t="str">
        <f>IF(A364="","",COUNTIF(Quotes!$D$9:$D$258,D364))</f>
        <v/>
      </c>
      <c r="L364" s="19" t="str">
        <f>IF(A364="","",IF(O364=1,SUMIF(Quotes!$C$9:$C$258,A364,Quotes!$AI$9:$AI$258),0))</f>
        <v/>
      </c>
      <c r="M364" s="19" t="str">
        <f>IF(A364="","",IF(O364=1,SUMIF(Quotes!$C$9:$C$258,A364,Quotes!$AJ$9:$AJ$258),0))</f>
        <v/>
      </c>
      <c r="N364" s="18"/>
      <c r="O364" s="18" t="str">
        <f>IF(A364="","",IF(COUNTIF($A$9:A364,A364)=1,1,0))</f>
        <v/>
      </c>
      <c r="P364" s="18" t="str">
        <f t="shared" si="10"/>
        <v/>
      </c>
      <c r="Q364" s="18" t="str">
        <f t="shared" si="11"/>
        <v/>
      </c>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row>
    <row r="365" spans="1:44" ht="48" customHeight="1" x14ac:dyDescent="0.35">
      <c r="A365" s="14"/>
      <c r="B365" s="15"/>
      <c r="C365" s="15"/>
      <c r="D365" s="14"/>
      <c r="E365" s="15"/>
      <c r="F365" s="15"/>
      <c r="G365" s="36"/>
      <c r="H365" s="15"/>
      <c r="I365" s="15"/>
      <c r="J365" s="14" t="str">
        <f>IF(A365="","",IFERROR(HYPERLINK("#'Supplier Jobs'!A"&amp;(MATCH(A365,'Supplier Jobs'!$N$9:$N$258,0)+8),"JOBS / QUOTES"),"No quotes"))</f>
        <v/>
      </c>
      <c r="K365" s="14" t="str">
        <f>IF(A365="","",COUNTIF(Quotes!$D$9:$D$258,D365))</f>
        <v/>
      </c>
      <c r="L365" s="16" t="str">
        <f>IF(A365="","",IF(O365=1,SUMIF(Quotes!$C$9:$C$258,A365,Quotes!$AI$9:$AI$258),0))</f>
        <v/>
      </c>
      <c r="M365" s="16" t="str">
        <f>IF(A365="","",IF(O365=1,SUMIF(Quotes!$C$9:$C$258,A365,Quotes!$AJ$9:$AJ$258),0))</f>
        <v/>
      </c>
      <c r="N365" s="14"/>
      <c r="O365" s="14" t="str">
        <f>IF(A365="","",IF(COUNTIF($A$9:A365,A365)=1,1,0))</f>
        <v/>
      </c>
      <c r="P365" s="14" t="str">
        <f t="shared" si="10"/>
        <v/>
      </c>
      <c r="Q365" s="14" t="str">
        <f t="shared" si="11"/>
        <v/>
      </c>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row>
    <row r="366" spans="1:44" ht="48" customHeight="1" x14ac:dyDescent="0.35">
      <c r="A366" s="18"/>
      <c r="B366" s="15"/>
      <c r="C366" s="15"/>
      <c r="D366" s="18"/>
      <c r="E366" s="15"/>
      <c r="F366" s="15"/>
      <c r="G366" s="36"/>
      <c r="H366" s="15"/>
      <c r="I366" s="15"/>
      <c r="J366" s="18" t="str">
        <f>IF(A366="","",IFERROR(HYPERLINK("#'Supplier Jobs'!A"&amp;(MATCH(A366,'Supplier Jobs'!$N$9:$N$258,0)+8),"JOBS / QUOTES"),"No quotes"))</f>
        <v/>
      </c>
      <c r="K366" s="18" t="str">
        <f>IF(A366="","",COUNTIF(Quotes!$D$9:$D$258,D366))</f>
        <v/>
      </c>
      <c r="L366" s="19" t="str">
        <f>IF(A366="","",IF(O366=1,SUMIF(Quotes!$C$9:$C$258,A366,Quotes!$AI$9:$AI$258),0))</f>
        <v/>
      </c>
      <c r="M366" s="19" t="str">
        <f>IF(A366="","",IF(O366=1,SUMIF(Quotes!$C$9:$C$258,A366,Quotes!$AJ$9:$AJ$258),0))</f>
        <v/>
      </c>
      <c r="N366" s="18"/>
      <c r="O366" s="18" t="str">
        <f>IF(A366="","",IF(COUNTIF($A$9:A366,A366)=1,1,0))</f>
        <v/>
      </c>
      <c r="P366" s="18" t="str">
        <f t="shared" si="10"/>
        <v/>
      </c>
      <c r="Q366" s="18" t="str">
        <f t="shared" si="11"/>
        <v/>
      </c>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row>
    <row r="367" spans="1:44" ht="48" customHeight="1" x14ac:dyDescent="0.35">
      <c r="A367" s="14"/>
      <c r="B367" s="15"/>
      <c r="C367" s="15"/>
      <c r="D367" s="14"/>
      <c r="E367" s="15"/>
      <c r="F367" s="15"/>
      <c r="G367" s="36"/>
      <c r="H367" s="15"/>
      <c r="I367" s="15"/>
      <c r="J367" s="14" t="str">
        <f>IF(A367="","",IFERROR(HYPERLINK("#'Supplier Jobs'!A"&amp;(MATCH(A367,'Supplier Jobs'!$N$9:$N$258,0)+8),"JOBS / QUOTES"),"No quotes"))</f>
        <v/>
      </c>
      <c r="K367" s="14" t="str">
        <f>IF(A367="","",COUNTIF(Quotes!$D$9:$D$258,D367))</f>
        <v/>
      </c>
      <c r="L367" s="16" t="str">
        <f>IF(A367="","",IF(O367=1,SUMIF(Quotes!$C$9:$C$258,A367,Quotes!$AI$9:$AI$258),0))</f>
        <v/>
      </c>
      <c r="M367" s="16" t="str">
        <f>IF(A367="","",IF(O367=1,SUMIF(Quotes!$C$9:$C$258,A367,Quotes!$AJ$9:$AJ$258),0))</f>
        <v/>
      </c>
      <c r="N367" s="14"/>
      <c r="O367" s="14" t="str">
        <f>IF(A367="","",IF(COUNTIF($A$9:A367,A367)=1,1,0))</f>
        <v/>
      </c>
      <c r="P367" s="14" t="str">
        <f t="shared" si="10"/>
        <v/>
      </c>
      <c r="Q367" s="14" t="str">
        <f t="shared" si="11"/>
        <v/>
      </c>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row>
    <row r="368" spans="1:44" ht="48" customHeight="1" x14ac:dyDescent="0.35">
      <c r="A368" s="18"/>
      <c r="B368" s="15"/>
      <c r="C368" s="15"/>
      <c r="D368" s="18"/>
      <c r="E368" s="15"/>
      <c r="F368" s="15"/>
      <c r="G368" s="36"/>
      <c r="H368" s="15"/>
      <c r="I368" s="15"/>
      <c r="J368" s="18" t="str">
        <f>IF(A368="","",IFERROR(HYPERLINK("#'Supplier Jobs'!A"&amp;(MATCH(A368,'Supplier Jobs'!$N$9:$N$258,0)+8),"JOBS / QUOTES"),"No quotes"))</f>
        <v/>
      </c>
      <c r="K368" s="18" t="str">
        <f>IF(A368="","",COUNTIF(Quotes!$D$9:$D$258,D368))</f>
        <v/>
      </c>
      <c r="L368" s="19" t="str">
        <f>IF(A368="","",IF(O368=1,SUMIF(Quotes!$C$9:$C$258,A368,Quotes!$AI$9:$AI$258),0))</f>
        <v/>
      </c>
      <c r="M368" s="19" t="str">
        <f>IF(A368="","",IF(O368=1,SUMIF(Quotes!$C$9:$C$258,A368,Quotes!$AJ$9:$AJ$258),0))</f>
        <v/>
      </c>
      <c r="N368" s="18"/>
      <c r="O368" s="18" t="str">
        <f>IF(A368="","",IF(COUNTIF($A$9:A368,A368)=1,1,0))</f>
        <v/>
      </c>
      <c r="P368" s="18" t="str">
        <f t="shared" si="10"/>
        <v/>
      </c>
      <c r="Q368" s="18" t="str">
        <f t="shared" si="11"/>
        <v/>
      </c>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row>
    <row r="369" spans="1:44" ht="48" customHeight="1" x14ac:dyDescent="0.35">
      <c r="A369" s="14"/>
      <c r="B369" s="15"/>
      <c r="C369" s="15"/>
      <c r="D369" s="14"/>
      <c r="E369" s="15"/>
      <c r="F369" s="15"/>
      <c r="G369" s="36"/>
      <c r="H369" s="15"/>
      <c r="I369" s="15"/>
      <c r="J369" s="14" t="str">
        <f>IF(A369="","",IFERROR(HYPERLINK("#'Supplier Jobs'!A"&amp;(MATCH(A369,'Supplier Jobs'!$N$9:$N$258,0)+8),"JOBS / QUOTES"),"No quotes"))</f>
        <v/>
      </c>
      <c r="K369" s="14" t="str">
        <f>IF(A369="","",COUNTIF(Quotes!$D$9:$D$258,D369))</f>
        <v/>
      </c>
      <c r="L369" s="16" t="str">
        <f>IF(A369="","",IF(O369=1,SUMIF(Quotes!$C$9:$C$258,A369,Quotes!$AI$9:$AI$258),0))</f>
        <v/>
      </c>
      <c r="M369" s="16" t="str">
        <f>IF(A369="","",IF(O369=1,SUMIF(Quotes!$C$9:$C$258,A369,Quotes!$AJ$9:$AJ$258),0))</f>
        <v/>
      </c>
      <c r="N369" s="14"/>
      <c r="O369" s="14" t="str">
        <f>IF(A369="","",IF(COUNTIF($A$9:A369,A369)=1,1,0))</f>
        <v/>
      </c>
      <c r="P369" s="14" t="str">
        <f t="shared" si="10"/>
        <v/>
      </c>
      <c r="Q369" s="14" t="str">
        <f t="shared" si="11"/>
        <v/>
      </c>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row>
    <row r="370" spans="1:44" ht="48" customHeight="1" x14ac:dyDescent="0.35">
      <c r="A370" s="18"/>
      <c r="B370" s="15"/>
      <c r="C370" s="15"/>
      <c r="D370" s="18"/>
      <c r="E370" s="15"/>
      <c r="F370" s="15"/>
      <c r="G370" s="36"/>
      <c r="H370" s="15"/>
      <c r="I370" s="15"/>
      <c r="J370" s="18" t="str">
        <f>IF(A370="","",IFERROR(HYPERLINK("#'Supplier Jobs'!A"&amp;(MATCH(A370,'Supplier Jobs'!$N$9:$N$258,0)+8),"JOBS / QUOTES"),"No quotes"))</f>
        <v/>
      </c>
      <c r="K370" s="18" t="str">
        <f>IF(A370="","",COUNTIF(Quotes!$D$9:$D$258,D370))</f>
        <v/>
      </c>
      <c r="L370" s="19" t="str">
        <f>IF(A370="","",IF(O370=1,SUMIF(Quotes!$C$9:$C$258,A370,Quotes!$AI$9:$AI$258),0))</f>
        <v/>
      </c>
      <c r="M370" s="19" t="str">
        <f>IF(A370="","",IF(O370=1,SUMIF(Quotes!$C$9:$C$258,A370,Quotes!$AJ$9:$AJ$258),0))</f>
        <v/>
      </c>
      <c r="N370" s="18"/>
      <c r="O370" s="18" t="str">
        <f>IF(A370="","",IF(COUNTIF($A$9:A370,A370)=1,1,0))</f>
        <v/>
      </c>
      <c r="P370" s="18" t="str">
        <f t="shared" si="10"/>
        <v/>
      </c>
      <c r="Q370" s="18" t="str">
        <f t="shared" si="11"/>
        <v/>
      </c>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row>
    <row r="371" spans="1:44" ht="48" customHeight="1" x14ac:dyDescent="0.35">
      <c r="A371" s="14"/>
      <c r="B371" s="15"/>
      <c r="C371" s="15"/>
      <c r="D371" s="14"/>
      <c r="E371" s="15"/>
      <c r="F371" s="15"/>
      <c r="G371" s="36"/>
      <c r="H371" s="15"/>
      <c r="I371" s="15"/>
      <c r="J371" s="14" t="str">
        <f>IF(A371="","",IFERROR(HYPERLINK("#'Supplier Jobs'!A"&amp;(MATCH(A371,'Supplier Jobs'!$N$9:$N$258,0)+8),"JOBS / QUOTES"),"No quotes"))</f>
        <v/>
      </c>
      <c r="K371" s="14" t="str">
        <f>IF(A371="","",COUNTIF(Quotes!$D$9:$D$258,D371))</f>
        <v/>
      </c>
      <c r="L371" s="16" t="str">
        <f>IF(A371="","",IF(O371=1,SUMIF(Quotes!$C$9:$C$258,A371,Quotes!$AI$9:$AI$258),0))</f>
        <v/>
      </c>
      <c r="M371" s="16" t="str">
        <f>IF(A371="","",IF(O371=1,SUMIF(Quotes!$C$9:$C$258,A371,Quotes!$AJ$9:$AJ$258),0))</f>
        <v/>
      </c>
      <c r="N371" s="14"/>
      <c r="O371" s="14" t="str">
        <f>IF(A371="","",IF(COUNTIF($A$9:A371,A371)=1,1,0))</f>
        <v/>
      </c>
      <c r="P371" s="14" t="str">
        <f t="shared" si="10"/>
        <v/>
      </c>
      <c r="Q371" s="14" t="str">
        <f t="shared" si="11"/>
        <v/>
      </c>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row>
    <row r="372" spans="1:44" ht="48" customHeight="1" x14ac:dyDescent="0.35">
      <c r="A372" s="18"/>
      <c r="B372" s="15"/>
      <c r="C372" s="15"/>
      <c r="D372" s="18"/>
      <c r="E372" s="15"/>
      <c r="F372" s="15"/>
      <c r="G372" s="36"/>
      <c r="H372" s="15"/>
      <c r="I372" s="15"/>
      <c r="J372" s="18" t="str">
        <f>IF(A372="","",IFERROR(HYPERLINK("#'Supplier Jobs'!A"&amp;(MATCH(A372,'Supplier Jobs'!$N$9:$N$258,0)+8),"JOBS / QUOTES"),"No quotes"))</f>
        <v/>
      </c>
      <c r="K372" s="18" t="str">
        <f>IF(A372="","",COUNTIF(Quotes!$D$9:$D$258,D372))</f>
        <v/>
      </c>
      <c r="L372" s="19" t="str">
        <f>IF(A372="","",IF(O372=1,SUMIF(Quotes!$C$9:$C$258,A372,Quotes!$AI$9:$AI$258),0))</f>
        <v/>
      </c>
      <c r="M372" s="19" t="str">
        <f>IF(A372="","",IF(O372=1,SUMIF(Quotes!$C$9:$C$258,A372,Quotes!$AJ$9:$AJ$258),0))</f>
        <v/>
      </c>
      <c r="N372" s="18"/>
      <c r="O372" s="18" t="str">
        <f>IF(A372="","",IF(COUNTIF($A$9:A372,A372)=1,1,0))</f>
        <v/>
      </c>
      <c r="P372" s="18" t="str">
        <f t="shared" si="10"/>
        <v/>
      </c>
      <c r="Q372" s="18" t="str">
        <f t="shared" si="11"/>
        <v/>
      </c>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row>
    <row r="373" spans="1:44" ht="48" customHeight="1" x14ac:dyDescent="0.35">
      <c r="A373" s="14"/>
      <c r="B373" s="15"/>
      <c r="C373" s="15"/>
      <c r="D373" s="14"/>
      <c r="E373" s="15"/>
      <c r="F373" s="15"/>
      <c r="G373" s="36"/>
      <c r="H373" s="15"/>
      <c r="I373" s="15"/>
      <c r="J373" s="14" t="str">
        <f>IF(A373="","",IFERROR(HYPERLINK("#'Supplier Jobs'!A"&amp;(MATCH(A373,'Supplier Jobs'!$N$9:$N$258,0)+8),"JOBS / QUOTES"),"No quotes"))</f>
        <v/>
      </c>
      <c r="K373" s="14" t="str">
        <f>IF(A373="","",COUNTIF(Quotes!$D$9:$D$258,D373))</f>
        <v/>
      </c>
      <c r="L373" s="16" t="str">
        <f>IF(A373="","",IF(O373=1,SUMIF(Quotes!$C$9:$C$258,A373,Quotes!$AI$9:$AI$258),0))</f>
        <v/>
      </c>
      <c r="M373" s="16" t="str">
        <f>IF(A373="","",IF(O373=1,SUMIF(Quotes!$C$9:$C$258,A373,Quotes!$AJ$9:$AJ$258),0))</f>
        <v/>
      </c>
      <c r="N373" s="14"/>
      <c r="O373" s="14" t="str">
        <f>IF(A373="","",IF(COUNTIF($A$9:A373,A373)=1,1,0))</f>
        <v/>
      </c>
      <c r="P373" s="14" t="str">
        <f t="shared" si="10"/>
        <v/>
      </c>
      <c r="Q373" s="14" t="str">
        <f t="shared" si="11"/>
        <v/>
      </c>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row>
    <row r="374" spans="1:44" ht="48" customHeight="1" x14ac:dyDescent="0.35">
      <c r="A374" s="18"/>
      <c r="B374" s="15"/>
      <c r="C374" s="15"/>
      <c r="D374" s="18"/>
      <c r="E374" s="15"/>
      <c r="F374" s="15"/>
      <c r="G374" s="36"/>
      <c r="H374" s="15"/>
      <c r="I374" s="15"/>
      <c r="J374" s="18" t="str">
        <f>IF(A374="","",IFERROR(HYPERLINK("#'Supplier Jobs'!A"&amp;(MATCH(A374,'Supplier Jobs'!$N$9:$N$258,0)+8),"JOBS / QUOTES"),"No quotes"))</f>
        <v/>
      </c>
      <c r="K374" s="18" t="str">
        <f>IF(A374="","",COUNTIF(Quotes!$D$9:$D$258,D374))</f>
        <v/>
      </c>
      <c r="L374" s="19" t="str">
        <f>IF(A374="","",IF(O374=1,SUMIF(Quotes!$C$9:$C$258,A374,Quotes!$AI$9:$AI$258),0))</f>
        <v/>
      </c>
      <c r="M374" s="19" t="str">
        <f>IF(A374="","",IF(O374=1,SUMIF(Quotes!$C$9:$C$258,A374,Quotes!$AJ$9:$AJ$258),0))</f>
        <v/>
      </c>
      <c r="N374" s="18"/>
      <c r="O374" s="18" t="str">
        <f>IF(A374="","",IF(COUNTIF($A$9:A374,A374)=1,1,0))</f>
        <v/>
      </c>
      <c r="P374" s="18" t="str">
        <f t="shared" si="10"/>
        <v/>
      </c>
      <c r="Q374" s="18" t="str">
        <f t="shared" si="11"/>
        <v/>
      </c>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row>
    <row r="375" spans="1:44" ht="48" customHeight="1" x14ac:dyDescent="0.35">
      <c r="A375" s="14"/>
      <c r="B375" s="15"/>
      <c r="C375" s="15"/>
      <c r="D375" s="14"/>
      <c r="E375" s="15"/>
      <c r="F375" s="15"/>
      <c r="G375" s="36"/>
      <c r="H375" s="15"/>
      <c r="I375" s="15"/>
      <c r="J375" s="14" t="str">
        <f>IF(A375="","",IFERROR(HYPERLINK("#'Supplier Jobs'!A"&amp;(MATCH(A375,'Supplier Jobs'!$N$9:$N$258,0)+8),"JOBS / QUOTES"),"No quotes"))</f>
        <v/>
      </c>
      <c r="K375" s="14" t="str">
        <f>IF(A375="","",COUNTIF(Quotes!$D$9:$D$258,D375))</f>
        <v/>
      </c>
      <c r="L375" s="16" t="str">
        <f>IF(A375="","",IF(O375=1,SUMIF(Quotes!$C$9:$C$258,A375,Quotes!$AI$9:$AI$258),0))</f>
        <v/>
      </c>
      <c r="M375" s="16" t="str">
        <f>IF(A375="","",IF(O375=1,SUMIF(Quotes!$C$9:$C$258,A375,Quotes!$AJ$9:$AJ$258),0))</f>
        <v/>
      </c>
      <c r="N375" s="14"/>
      <c r="O375" s="14" t="str">
        <f>IF(A375="","",IF(COUNTIF($A$9:A375,A375)=1,1,0))</f>
        <v/>
      </c>
      <c r="P375" s="14" t="str">
        <f t="shared" si="10"/>
        <v/>
      </c>
      <c r="Q375" s="14" t="str">
        <f t="shared" si="11"/>
        <v/>
      </c>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row>
    <row r="376" spans="1:44" ht="48" customHeight="1" x14ac:dyDescent="0.35">
      <c r="A376" s="18"/>
      <c r="B376" s="15"/>
      <c r="C376" s="15"/>
      <c r="D376" s="18"/>
      <c r="E376" s="15"/>
      <c r="F376" s="15"/>
      <c r="G376" s="36"/>
      <c r="H376" s="15"/>
      <c r="I376" s="15"/>
      <c r="J376" s="18" t="str">
        <f>IF(A376="","",IFERROR(HYPERLINK("#'Supplier Jobs'!A"&amp;(MATCH(A376,'Supplier Jobs'!$N$9:$N$258,0)+8),"JOBS / QUOTES"),"No quotes"))</f>
        <v/>
      </c>
      <c r="K376" s="18" t="str">
        <f>IF(A376="","",COUNTIF(Quotes!$D$9:$D$258,D376))</f>
        <v/>
      </c>
      <c r="L376" s="19" t="str">
        <f>IF(A376="","",IF(O376=1,SUMIF(Quotes!$C$9:$C$258,A376,Quotes!$AI$9:$AI$258),0))</f>
        <v/>
      </c>
      <c r="M376" s="19" t="str">
        <f>IF(A376="","",IF(O376=1,SUMIF(Quotes!$C$9:$C$258,A376,Quotes!$AJ$9:$AJ$258),0))</f>
        <v/>
      </c>
      <c r="N376" s="18"/>
      <c r="O376" s="18" t="str">
        <f>IF(A376="","",IF(COUNTIF($A$9:A376,A376)=1,1,0))</f>
        <v/>
      </c>
      <c r="P376" s="18" t="str">
        <f t="shared" si="10"/>
        <v/>
      </c>
      <c r="Q376" s="18" t="str">
        <f t="shared" si="11"/>
        <v/>
      </c>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row>
    <row r="377" spans="1:44" ht="48" customHeight="1" x14ac:dyDescent="0.35">
      <c r="A377" s="14"/>
      <c r="B377" s="15"/>
      <c r="C377" s="15"/>
      <c r="D377" s="14"/>
      <c r="E377" s="15"/>
      <c r="F377" s="15"/>
      <c r="G377" s="36"/>
      <c r="H377" s="15"/>
      <c r="I377" s="15"/>
      <c r="J377" s="14" t="str">
        <f>IF(A377="","",IFERROR(HYPERLINK("#'Supplier Jobs'!A"&amp;(MATCH(A377,'Supplier Jobs'!$N$9:$N$258,0)+8),"JOBS / QUOTES"),"No quotes"))</f>
        <v/>
      </c>
      <c r="K377" s="14" t="str">
        <f>IF(A377="","",COUNTIF(Quotes!$D$9:$D$258,D377))</f>
        <v/>
      </c>
      <c r="L377" s="16" t="str">
        <f>IF(A377="","",IF(O377=1,SUMIF(Quotes!$C$9:$C$258,A377,Quotes!$AI$9:$AI$258),0))</f>
        <v/>
      </c>
      <c r="M377" s="16" t="str">
        <f>IF(A377="","",IF(O377=1,SUMIF(Quotes!$C$9:$C$258,A377,Quotes!$AJ$9:$AJ$258),0))</f>
        <v/>
      </c>
      <c r="N377" s="14"/>
      <c r="O377" s="14" t="str">
        <f>IF(A377="","",IF(COUNTIF($A$9:A377,A377)=1,1,0))</f>
        <v/>
      </c>
      <c r="P377" s="14" t="str">
        <f t="shared" si="10"/>
        <v/>
      </c>
      <c r="Q377" s="14" t="str">
        <f t="shared" si="11"/>
        <v/>
      </c>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row>
    <row r="378" spans="1:44" ht="48" customHeight="1" x14ac:dyDescent="0.35">
      <c r="A378" s="18"/>
      <c r="B378" s="15"/>
      <c r="C378" s="15"/>
      <c r="D378" s="18"/>
      <c r="E378" s="15"/>
      <c r="F378" s="15"/>
      <c r="G378" s="36"/>
      <c r="H378" s="15"/>
      <c r="I378" s="15"/>
      <c r="J378" s="18" t="str">
        <f>IF(A378="","",IFERROR(HYPERLINK("#'Supplier Jobs'!A"&amp;(MATCH(A378,'Supplier Jobs'!$N$9:$N$258,0)+8),"JOBS / QUOTES"),"No quotes"))</f>
        <v/>
      </c>
      <c r="K378" s="18" t="str">
        <f>IF(A378="","",COUNTIF(Quotes!$D$9:$D$258,D378))</f>
        <v/>
      </c>
      <c r="L378" s="19" t="str">
        <f>IF(A378="","",IF(O378=1,SUMIF(Quotes!$C$9:$C$258,A378,Quotes!$AI$9:$AI$258),0))</f>
        <v/>
      </c>
      <c r="M378" s="19" t="str">
        <f>IF(A378="","",IF(O378=1,SUMIF(Quotes!$C$9:$C$258,A378,Quotes!$AJ$9:$AJ$258),0))</f>
        <v/>
      </c>
      <c r="N378" s="18"/>
      <c r="O378" s="18" t="str">
        <f>IF(A378="","",IF(COUNTIF($A$9:A378,A378)=1,1,0))</f>
        <v/>
      </c>
      <c r="P378" s="18" t="str">
        <f t="shared" si="10"/>
        <v/>
      </c>
      <c r="Q378" s="18" t="str">
        <f t="shared" si="11"/>
        <v/>
      </c>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row>
    <row r="379" spans="1:44" ht="48" customHeight="1" x14ac:dyDescent="0.35">
      <c r="A379" s="14"/>
      <c r="B379" s="15"/>
      <c r="C379" s="15"/>
      <c r="D379" s="14"/>
      <c r="E379" s="15"/>
      <c r="F379" s="15"/>
      <c r="G379" s="36"/>
      <c r="H379" s="15"/>
      <c r="I379" s="15"/>
      <c r="J379" s="14" t="str">
        <f>IF(A379="","",IFERROR(HYPERLINK("#'Supplier Jobs'!A"&amp;(MATCH(A379,'Supplier Jobs'!$N$9:$N$258,0)+8),"JOBS / QUOTES"),"No quotes"))</f>
        <v/>
      </c>
      <c r="K379" s="14" t="str">
        <f>IF(A379="","",COUNTIF(Quotes!$D$9:$D$258,D379))</f>
        <v/>
      </c>
      <c r="L379" s="16" t="str">
        <f>IF(A379="","",IF(O379=1,SUMIF(Quotes!$C$9:$C$258,A379,Quotes!$AI$9:$AI$258),0))</f>
        <v/>
      </c>
      <c r="M379" s="16" t="str">
        <f>IF(A379="","",IF(O379=1,SUMIF(Quotes!$C$9:$C$258,A379,Quotes!$AJ$9:$AJ$258),0))</f>
        <v/>
      </c>
      <c r="N379" s="14"/>
      <c r="O379" s="14" t="str">
        <f>IF(A379="","",IF(COUNTIF($A$9:A379,A379)=1,1,0))</f>
        <v/>
      </c>
      <c r="P379" s="14" t="str">
        <f t="shared" si="10"/>
        <v/>
      </c>
      <c r="Q379" s="14" t="str">
        <f t="shared" si="11"/>
        <v/>
      </c>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row>
    <row r="380" spans="1:44" ht="48" customHeight="1" x14ac:dyDescent="0.35">
      <c r="A380" s="18"/>
      <c r="B380" s="15"/>
      <c r="C380" s="15"/>
      <c r="D380" s="18"/>
      <c r="E380" s="15"/>
      <c r="F380" s="15"/>
      <c r="G380" s="36"/>
      <c r="H380" s="15"/>
      <c r="I380" s="15"/>
      <c r="J380" s="18" t="str">
        <f>IF(A380="","",IFERROR(HYPERLINK("#'Supplier Jobs'!A"&amp;(MATCH(A380,'Supplier Jobs'!$N$9:$N$258,0)+8),"JOBS / QUOTES"),"No quotes"))</f>
        <v/>
      </c>
      <c r="K380" s="18" t="str">
        <f>IF(A380="","",COUNTIF(Quotes!$D$9:$D$258,D380))</f>
        <v/>
      </c>
      <c r="L380" s="19" t="str">
        <f>IF(A380="","",IF(O380=1,SUMIF(Quotes!$C$9:$C$258,A380,Quotes!$AI$9:$AI$258),0))</f>
        <v/>
      </c>
      <c r="M380" s="19" t="str">
        <f>IF(A380="","",IF(O380=1,SUMIF(Quotes!$C$9:$C$258,A380,Quotes!$AJ$9:$AJ$258),0))</f>
        <v/>
      </c>
      <c r="N380" s="18"/>
      <c r="O380" s="18" t="str">
        <f>IF(A380="","",IF(COUNTIF($A$9:A380,A380)=1,1,0))</f>
        <v/>
      </c>
      <c r="P380" s="18" t="str">
        <f t="shared" si="10"/>
        <v/>
      </c>
      <c r="Q380" s="18" t="str">
        <f t="shared" si="11"/>
        <v/>
      </c>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row>
    <row r="381" spans="1:44" ht="48" customHeight="1" x14ac:dyDescent="0.35">
      <c r="A381" s="14"/>
      <c r="B381" s="15"/>
      <c r="C381" s="15"/>
      <c r="D381" s="14"/>
      <c r="E381" s="15"/>
      <c r="F381" s="15"/>
      <c r="G381" s="36"/>
      <c r="H381" s="15"/>
      <c r="I381" s="15"/>
      <c r="J381" s="14" t="str">
        <f>IF(A381="","",IFERROR(HYPERLINK("#'Supplier Jobs'!A"&amp;(MATCH(A381,'Supplier Jobs'!$N$9:$N$258,0)+8),"JOBS / QUOTES"),"No quotes"))</f>
        <v/>
      </c>
      <c r="K381" s="14" t="str">
        <f>IF(A381="","",COUNTIF(Quotes!$D$9:$D$258,D381))</f>
        <v/>
      </c>
      <c r="L381" s="16" t="str">
        <f>IF(A381="","",IF(O381=1,SUMIF(Quotes!$C$9:$C$258,A381,Quotes!$AI$9:$AI$258),0))</f>
        <v/>
      </c>
      <c r="M381" s="16" t="str">
        <f>IF(A381="","",IF(O381=1,SUMIF(Quotes!$C$9:$C$258,A381,Quotes!$AJ$9:$AJ$258),0))</f>
        <v/>
      </c>
      <c r="N381" s="14"/>
      <c r="O381" s="14" t="str">
        <f>IF(A381="","",IF(COUNTIF($A$9:A381,A381)=1,1,0))</f>
        <v/>
      </c>
      <c r="P381" s="14" t="str">
        <f t="shared" si="10"/>
        <v/>
      </c>
      <c r="Q381" s="14" t="str">
        <f t="shared" si="11"/>
        <v/>
      </c>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row>
    <row r="382" spans="1:44" ht="48" customHeight="1" x14ac:dyDescent="0.35">
      <c r="A382" s="18"/>
      <c r="B382" s="15"/>
      <c r="C382" s="15"/>
      <c r="D382" s="18"/>
      <c r="E382" s="15"/>
      <c r="F382" s="15"/>
      <c r="G382" s="36"/>
      <c r="H382" s="15"/>
      <c r="I382" s="15"/>
      <c r="J382" s="18" t="str">
        <f>IF(A382="","",IFERROR(HYPERLINK("#'Supplier Jobs'!A"&amp;(MATCH(A382,'Supplier Jobs'!$N$9:$N$258,0)+8),"JOBS / QUOTES"),"No quotes"))</f>
        <v/>
      </c>
      <c r="K382" s="18" t="str">
        <f>IF(A382="","",COUNTIF(Quotes!$D$9:$D$258,D382))</f>
        <v/>
      </c>
      <c r="L382" s="19" t="str">
        <f>IF(A382="","",IF(O382=1,SUMIF(Quotes!$C$9:$C$258,A382,Quotes!$AI$9:$AI$258),0))</f>
        <v/>
      </c>
      <c r="M382" s="19" t="str">
        <f>IF(A382="","",IF(O382=1,SUMIF(Quotes!$C$9:$C$258,A382,Quotes!$AJ$9:$AJ$258),0))</f>
        <v/>
      </c>
      <c r="N382" s="18"/>
      <c r="O382" s="18" t="str">
        <f>IF(A382="","",IF(COUNTIF($A$9:A382,A382)=1,1,0))</f>
        <v/>
      </c>
      <c r="P382" s="18" t="str">
        <f t="shared" si="10"/>
        <v/>
      </c>
      <c r="Q382" s="18" t="str">
        <f t="shared" si="11"/>
        <v/>
      </c>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row>
    <row r="383" spans="1:44" ht="48" customHeight="1" x14ac:dyDescent="0.35">
      <c r="A383" s="14"/>
      <c r="B383" s="15"/>
      <c r="C383" s="15"/>
      <c r="D383" s="14"/>
      <c r="E383" s="15"/>
      <c r="F383" s="15"/>
      <c r="G383" s="36"/>
      <c r="H383" s="15"/>
      <c r="I383" s="15"/>
      <c r="J383" s="14" t="str">
        <f>IF(A383="","",IFERROR(HYPERLINK("#'Supplier Jobs'!A"&amp;(MATCH(A383,'Supplier Jobs'!$N$9:$N$258,0)+8),"JOBS / QUOTES"),"No quotes"))</f>
        <v/>
      </c>
      <c r="K383" s="14" t="str">
        <f>IF(A383="","",COUNTIF(Quotes!$D$9:$D$258,D383))</f>
        <v/>
      </c>
      <c r="L383" s="16" t="str">
        <f>IF(A383="","",IF(O383=1,SUMIF(Quotes!$C$9:$C$258,A383,Quotes!$AI$9:$AI$258),0))</f>
        <v/>
      </c>
      <c r="M383" s="16" t="str">
        <f>IF(A383="","",IF(O383=1,SUMIF(Quotes!$C$9:$C$258,A383,Quotes!$AJ$9:$AJ$258),0))</f>
        <v/>
      </c>
      <c r="N383" s="14"/>
      <c r="O383" s="14" t="str">
        <f>IF(A383="","",IF(COUNTIF($A$9:A383,A383)=1,1,0))</f>
        <v/>
      </c>
      <c r="P383" s="14" t="str">
        <f t="shared" si="10"/>
        <v/>
      </c>
      <c r="Q383" s="14" t="str">
        <f t="shared" si="11"/>
        <v/>
      </c>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row>
    <row r="384" spans="1:44" ht="48" customHeight="1" x14ac:dyDescent="0.35">
      <c r="A384" s="18"/>
      <c r="B384" s="15"/>
      <c r="C384" s="15"/>
      <c r="D384" s="18"/>
      <c r="E384" s="15"/>
      <c r="F384" s="15"/>
      <c r="G384" s="36"/>
      <c r="H384" s="15"/>
      <c r="I384" s="15"/>
      <c r="J384" s="18" t="str">
        <f>IF(A384="","",IFERROR(HYPERLINK("#'Supplier Jobs'!A"&amp;(MATCH(A384,'Supplier Jobs'!$N$9:$N$258,0)+8),"JOBS / QUOTES"),"No quotes"))</f>
        <v/>
      </c>
      <c r="K384" s="18" t="str">
        <f>IF(A384="","",COUNTIF(Quotes!$D$9:$D$258,D384))</f>
        <v/>
      </c>
      <c r="L384" s="19" t="str">
        <f>IF(A384="","",IF(O384=1,SUMIF(Quotes!$C$9:$C$258,A384,Quotes!$AI$9:$AI$258),0))</f>
        <v/>
      </c>
      <c r="M384" s="19" t="str">
        <f>IF(A384="","",IF(O384=1,SUMIF(Quotes!$C$9:$C$258,A384,Quotes!$AJ$9:$AJ$258),0))</f>
        <v/>
      </c>
      <c r="N384" s="18"/>
      <c r="O384" s="18" t="str">
        <f>IF(A384="","",IF(COUNTIF($A$9:A384,A384)=1,1,0))</f>
        <v/>
      </c>
      <c r="P384" s="18" t="str">
        <f t="shared" si="10"/>
        <v/>
      </c>
      <c r="Q384" s="18" t="str">
        <f t="shared" si="11"/>
        <v/>
      </c>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row>
    <row r="385" spans="1:44" ht="48" customHeight="1" x14ac:dyDescent="0.35">
      <c r="A385" s="14"/>
      <c r="B385" s="15"/>
      <c r="C385" s="15"/>
      <c r="D385" s="14"/>
      <c r="E385" s="15"/>
      <c r="F385" s="15"/>
      <c r="G385" s="36"/>
      <c r="H385" s="15"/>
      <c r="I385" s="15"/>
      <c r="J385" s="14" t="str">
        <f>IF(A385="","",IFERROR(HYPERLINK("#'Supplier Jobs'!A"&amp;(MATCH(A385,'Supplier Jobs'!$N$9:$N$258,0)+8),"JOBS / QUOTES"),"No quotes"))</f>
        <v/>
      </c>
      <c r="K385" s="14" t="str">
        <f>IF(A385="","",COUNTIF(Quotes!$D$9:$D$258,D385))</f>
        <v/>
      </c>
      <c r="L385" s="16" t="str">
        <f>IF(A385="","",IF(O385=1,SUMIF(Quotes!$C$9:$C$258,A385,Quotes!$AI$9:$AI$258),0))</f>
        <v/>
      </c>
      <c r="M385" s="16" t="str">
        <f>IF(A385="","",IF(O385=1,SUMIF(Quotes!$C$9:$C$258,A385,Quotes!$AJ$9:$AJ$258),0))</f>
        <v/>
      </c>
      <c r="N385" s="14"/>
      <c r="O385" s="14" t="str">
        <f>IF(A385="","",IF(COUNTIF($A$9:A385,A385)=1,1,0))</f>
        <v/>
      </c>
      <c r="P385" s="14" t="str">
        <f t="shared" si="10"/>
        <v/>
      </c>
      <c r="Q385" s="14" t="str">
        <f t="shared" si="11"/>
        <v/>
      </c>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row>
    <row r="386" spans="1:44" ht="48" customHeight="1" x14ac:dyDescent="0.35">
      <c r="A386" s="18"/>
      <c r="B386" s="15"/>
      <c r="C386" s="15"/>
      <c r="D386" s="18"/>
      <c r="E386" s="15"/>
      <c r="F386" s="15"/>
      <c r="G386" s="36"/>
      <c r="H386" s="15"/>
      <c r="I386" s="15"/>
      <c r="J386" s="18" t="str">
        <f>IF(A386="","",IFERROR(HYPERLINK("#'Supplier Jobs'!A"&amp;(MATCH(A386,'Supplier Jobs'!$N$9:$N$258,0)+8),"JOBS / QUOTES"),"No quotes"))</f>
        <v/>
      </c>
      <c r="K386" s="18" t="str">
        <f>IF(A386="","",COUNTIF(Quotes!$D$9:$D$258,D386))</f>
        <v/>
      </c>
      <c r="L386" s="19" t="str">
        <f>IF(A386="","",IF(O386=1,SUMIF(Quotes!$C$9:$C$258,A386,Quotes!$AI$9:$AI$258),0))</f>
        <v/>
      </c>
      <c r="M386" s="19" t="str">
        <f>IF(A386="","",IF(O386=1,SUMIF(Quotes!$C$9:$C$258,A386,Quotes!$AJ$9:$AJ$258),0))</f>
        <v/>
      </c>
      <c r="N386" s="18"/>
      <c r="O386" s="18" t="str">
        <f>IF(A386="","",IF(COUNTIF($A$9:A386,A386)=1,1,0))</f>
        <v/>
      </c>
      <c r="P386" s="18" t="str">
        <f t="shared" si="10"/>
        <v/>
      </c>
      <c r="Q386" s="18" t="str">
        <f t="shared" si="11"/>
        <v/>
      </c>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row>
    <row r="387" spans="1:44" ht="48" customHeight="1" x14ac:dyDescent="0.35">
      <c r="A387" s="14"/>
      <c r="B387" s="15"/>
      <c r="C387" s="15"/>
      <c r="D387" s="14"/>
      <c r="E387" s="15"/>
      <c r="F387" s="15"/>
      <c r="G387" s="36"/>
      <c r="H387" s="15"/>
      <c r="I387" s="15"/>
      <c r="J387" s="14" t="str">
        <f>IF(A387="","",IFERROR(HYPERLINK("#'Supplier Jobs'!A"&amp;(MATCH(A387,'Supplier Jobs'!$N$9:$N$258,0)+8),"JOBS / QUOTES"),"No quotes"))</f>
        <v/>
      </c>
      <c r="K387" s="14" t="str">
        <f>IF(A387="","",COUNTIF(Quotes!$D$9:$D$258,D387))</f>
        <v/>
      </c>
      <c r="L387" s="16" t="str">
        <f>IF(A387="","",IF(O387=1,SUMIF(Quotes!$C$9:$C$258,A387,Quotes!$AI$9:$AI$258),0))</f>
        <v/>
      </c>
      <c r="M387" s="16" t="str">
        <f>IF(A387="","",IF(O387=1,SUMIF(Quotes!$C$9:$C$258,A387,Quotes!$AJ$9:$AJ$258),0))</f>
        <v/>
      </c>
      <c r="N387" s="14"/>
      <c r="O387" s="14" t="str">
        <f>IF(A387="","",IF(COUNTIF($A$9:A387,A387)=1,1,0))</f>
        <v/>
      </c>
      <c r="P387" s="14" t="str">
        <f t="shared" si="10"/>
        <v/>
      </c>
      <c r="Q387" s="14" t="str">
        <f t="shared" si="11"/>
        <v/>
      </c>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row>
    <row r="388" spans="1:44" ht="48" customHeight="1" x14ac:dyDescent="0.35">
      <c r="A388" s="18"/>
      <c r="B388" s="15"/>
      <c r="C388" s="15"/>
      <c r="D388" s="18"/>
      <c r="E388" s="15"/>
      <c r="F388" s="15"/>
      <c r="G388" s="36"/>
      <c r="H388" s="15"/>
      <c r="I388" s="15"/>
      <c r="J388" s="18" t="str">
        <f>IF(A388="","",IFERROR(HYPERLINK("#'Supplier Jobs'!A"&amp;(MATCH(A388,'Supplier Jobs'!$N$9:$N$258,0)+8),"JOBS / QUOTES"),"No quotes"))</f>
        <v/>
      </c>
      <c r="K388" s="18" t="str">
        <f>IF(A388="","",COUNTIF(Quotes!$D$9:$D$258,D388))</f>
        <v/>
      </c>
      <c r="L388" s="19" t="str">
        <f>IF(A388="","",IF(O388=1,SUMIF(Quotes!$C$9:$C$258,A388,Quotes!$AI$9:$AI$258),0))</f>
        <v/>
      </c>
      <c r="M388" s="19" t="str">
        <f>IF(A388="","",IF(O388=1,SUMIF(Quotes!$C$9:$C$258,A388,Quotes!$AJ$9:$AJ$258),0))</f>
        <v/>
      </c>
      <c r="N388" s="18"/>
      <c r="O388" s="18" t="str">
        <f>IF(A388="","",IF(COUNTIF($A$9:A388,A388)=1,1,0))</f>
        <v/>
      </c>
      <c r="P388" s="18" t="str">
        <f t="shared" si="10"/>
        <v/>
      </c>
      <c r="Q388" s="18" t="str">
        <f t="shared" si="11"/>
        <v/>
      </c>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row>
    <row r="389" spans="1:44" ht="48" customHeight="1" x14ac:dyDescent="0.35">
      <c r="A389" s="14"/>
      <c r="B389" s="15"/>
      <c r="C389" s="15"/>
      <c r="D389" s="14"/>
      <c r="E389" s="15"/>
      <c r="F389" s="15"/>
      <c r="G389" s="36"/>
      <c r="H389" s="15"/>
      <c r="I389" s="15"/>
      <c r="J389" s="14" t="str">
        <f>IF(A389="","",IFERROR(HYPERLINK("#'Supplier Jobs'!A"&amp;(MATCH(A389,'Supplier Jobs'!$N$9:$N$258,0)+8),"JOBS / QUOTES"),"No quotes"))</f>
        <v/>
      </c>
      <c r="K389" s="14" t="str">
        <f>IF(A389="","",COUNTIF(Quotes!$D$9:$D$258,D389))</f>
        <v/>
      </c>
      <c r="L389" s="16" t="str">
        <f>IF(A389="","",IF(O389=1,SUMIF(Quotes!$C$9:$C$258,A389,Quotes!$AI$9:$AI$258),0))</f>
        <v/>
      </c>
      <c r="M389" s="16" t="str">
        <f>IF(A389="","",IF(O389=1,SUMIF(Quotes!$C$9:$C$258,A389,Quotes!$AJ$9:$AJ$258),0))</f>
        <v/>
      </c>
      <c r="N389" s="14"/>
      <c r="O389" s="14" t="str">
        <f>IF(A389="","",IF(COUNTIF($A$9:A389,A389)=1,1,0))</f>
        <v/>
      </c>
      <c r="P389" s="14" t="str">
        <f t="shared" si="10"/>
        <v/>
      </c>
      <c r="Q389" s="14" t="str">
        <f t="shared" si="11"/>
        <v/>
      </c>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row>
    <row r="390" spans="1:44" ht="48" customHeight="1" x14ac:dyDescent="0.35">
      <c r="A390" s="18"/>
      <c r="B390" s="15"/>
      <c r="C390" s="15"/>
      <c r="D390" s="18"/>
      <c r="E390" s="15"/>
      <c r="F390" s="15"/>
      <c r="G390" s="36"/>
      <c r="H390" s="15"/>
      <c r="I390" s="15"/>
      <c r="J390" s="18" t="str">
        <f>IF(A390="","",IFERROR(HYPERLINK("#'Supplier Jobs'!A"&amp;(MATCH(A390,'Supplier Jobs'!$N$9:$N$258,0)+8),"JOBS / QUOTES"),"No quotes"))</f>
        <v/>
      </c>
      <c r="K390" s="18" t="str">
        <f>IF(A390="","",COUNTIF(Quotes!$D$9:$D$258,D390))</f>
        <v/>
      </c>
      <c r="L390" s="19" t="str">
        <f>IF(A390="","",IF(O390=1,SUMIF(Quotes!$C$9:$C$258,A390,Quotes!$AI$9:$AI$258),0))</f>
        <v/>
      </c>
      <c r="M390" s="19" t="str">
        <f>IF(A390="","",IF(O390=1,SUMIF(Quotes!$C$9:$C$258,A390,Quotes!$AJ$9:$AJ$258),0))</f>
        <v/>
      </c>
      <c r="N390" s="18"/>
      <c r="O390" s="18" t="str">
        <f>IF(A390="","",IF(COUNTIF($A$9:A390,A390)=1,1,0))</f>
        <v/>
      </c>
      <c r="P390" s="18" t="str">
        <f t="shared" si="10"/>
        <v/>
      </c>
      <c r="Q390" s="18" t="str">
        <f t="shared" si="11"/>
        <v/>
      </c>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row>
    <row r="391" spans="1:44" ht="48" customHeight="1" x14ac:dyDescent="0.35">
      <c r="A391" s="14"/>
      <c r="B391" s="15"/>
      <c r="C391" s="15"/>
      <c r="D391" s="14"/>
      <c r="E391" s="15"/>
      <c r="F391" s="15"/>
      <c r="G391" s="36"/>
      <c r="H391" s="15"/>
      <c r="I391" s="15"/>
      <c r="J391" s="14" t="str">
        <f>IF(A391="","",IFERROR(HYPERLINK("#'Supplier Jobs'!A"&amp;(MATCH(A391,'Supplier Jobs'!$N$9:$N$258,0)+8),"JOBS / QUOTES"),"No quotes"))</f>
        <v/>
      </c>
      <c r="K391" s="14" t="str">
        <f>IF(A391="","",COUNTIF(Quotes!$D$9:$D$258,D391))</f>
        <v/>
      </c>
      <c r="L391" s="16" t="str">
        <f>IF(A391="","",IF(O391=1,SUMIF(Quotes!$C$9:$C$258,A391,Quotes!$AI$9:$AI$258),0))</f>
        <v/>
      </c>
      <c r="M391" s="16" t="str">
        <f>IF(A391="","",IF(O391=1,SUMIF(Quotes!$C$9:$C$258,A391,Quotes!$AJ$9:$AJ$258),0))</f>
        <v/>
      </c>
      <c r="N391" s="14"/>
      <c r="O391" s="14" t="str">
        <f>IF(A391="","",IF(COUNTIF($A$9:A391,A391)=1,1,0))</f>
        <v/>
      </c>
      <c r="P391" s="14" t="str">
        <f t="shared" si="10"/>
        <v/>
      </c>
      <c r="Q391" s="14" t="str">
        <f t="shared" si="11"/>
        <v/>
      </c>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row>
    <row r="392" spans="1:44" ht="48" customHeight="1" x14ac:dyDescent="0.35">
      <c r="A392" s="18"/>
      <c r="B392" s="15"/>
      <c r="C392" s="15"/>
      <c r="D392" s="18"/>
      <c r="E392" s="15"/>
      <c r="F392" s="15"/>
      <c r="G392" s="36"/>
      <c r="H392" s="15"/>
      <c r="I392" s="15"/>
      <c r="J392" s="18" t="str">
        <f>IF(A392="","",IFERROR(HYPERLINK("#'Supplier Jobs'!A"&amp;(MATCH(A392,'Supplier Jobs'!$N$9:$N$258,0)+8),"JOBS / QUOTES"),"No quotes"))</f>
        <v/>
      </c>
      <c r="K392" s="18" t="str">
        <f>IF(A392="","",COUNTIF(Quotes!$D$9:$D$258,D392))</f>
        <v/>
      </c>
      <c r="L392" s="19" t="str">
        <f>IF(A392="","",IF(O392=1,SUMIF(Quotes!$C$9:$C$258,A392,Quotes!$AI$9:$AI$258),0))</f>
        <v/>
      </c>
      <c r="M392" s="19" t="str">
        <f>IF(A392="","",IF(O392=1,SUMIF(Quotes!$C$9:$C$258,A392,Quotes!$AJ$9:$AJ$258),0))</f>
        <v/>
      </c>
      <c r="N392" s="18"/>
      <c r="O392" s="18" t="str">
        <f>IF(A392="","",IF(COUNTIF($A$9:A392,A392)=1,1,0))</f>
        <v/>
      </c>
      <c r="P392" s="18" t="str">
        <f t="shared" si="10"/>
        <v/>
      </c>
      <c r="Q392" s="18" t="str">
        <f t="shared" si="11"/>
        <v/>
      </c>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row>
    <row r="393" spans="1:44" ht="48" customHeight="1" x14ac:dyDescent="0.35">
      <c r="A393" s="14"/>
      <c r="B393" s="15"/>
      <c r="C393" s="15"/>
      <c r="D393" s="14"/>
      <c r="E393" s="15"/>
      <c r="F393" s="15"/>
      <c r="G393" s="36"/>
      <c r="H393" s="15"/>
      <c r="I393" s="15"/>
      <c r="J393" s="14" t="str">
        <f>IF(A393="","",IFERROR(HYPERLINK("#'Supplier Jobs'!A"&amp;(MATCH(A393,'Supplier Jobs'!$N$9:$N$258,0)+8),"JOBS / QUOTES"),"No quotes"))</f>
        <v/>
      </c>
      <c r="K393" s="14" t="str">
        <f>IF(A393="","",COUNTIF(Quotes!$D$9:$D$258,D393))</f>
        <v/>
      </c>
      <c r="L393" s="16" t="str">
        <f>IF(A393="","",IF(O393=1,SUMIF(Quotes!$C$9:$C$258,A393,Quotes!$AI$9:$AI$258),0))</f>
        <v/>
      </c>
      <c r="M393" s="16" t="str">
        <f>IF(A393="","",IF(O393=1,SUMIF(Quotes!$C$9:$C$258,A393,Quotes!$AJ$9:$AJ$258),0))</f>
        <v/>
      </c>
      <c r="N393" s="14"/>
      <c r="O393" s="14" t="str">
        <f>IF(A393="","",IF(COUNTIF($A$9:A393,A393)=1,1,0))</f>
        <v/>
      </c>
      <c r="P393" s="14" t="str">
        <f t="shared" ref="P393:P456" si="12">IF(A393="","",D393&amp;" | "&amp;B393&amp;" | "&amp;E393)</f>
        <v/>
      </c>
      <c r="Q393" s="14" t="str">
        <f t="shared" ref="Q393:Q456" si="13">IF(A393="","",A393&amp;" | "&amp;B393)</f>
        <v/>
      </c>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row>
    <row r="394" spans="1:44" ht="48" customHeight="1" x14ac:dyDescent="0.35">
      <c r="A394" s="18"/>
      <c r="B394" s="15"/>
      <c r="C394" s="15"/>
      <c r="D394" s="18"/>
      <c r="E394" s="15"/>
      <c r="F394" s="15"/>
      <c r="G394" s="36"/>
      <c r="H394" s="15"/>
      <c r="I394" s="15"/>
      <c r="J394" s="18" t="str">
        <f>IF(A394="","",IFERROR(HYPERLINK("#'Supplier Jobs'!A"&amp;(MATCH(A394,'Supplier Jobs'!$N$9:$N$258,0)+8),"JOBS / QUOTES"),"No quotes"))</f>
        <v/>
      </c>
      <c r="K394" s="18" t="str">
        <f>IF(A394="","",COUNTIF(Quotes!$D$9:$D$258,D394))</f>
        <v/>
      </c>
      <c r="L394" s="19" t="str">
        <f>IF(A394="","",IF(O394=1,SUMIF(Quotes!$C$9:$C$258,A394,Quotes!$AI$9:$AI$258),0))</f>
        <v/>
      </c>
      <c r="M394" s="19" t="str">
        <f>IF(A394="","",IF(O394=1,SUMIF(Quotes!$C$9:$C$258,A394,Quotes!$AJ$9:$AJ$258),0))</f>
        <v/>
      </c>
      <c r="N394" s="18"/>
      <c r="O394" s="18" t="str">
        <f>IF(A394="","",IF(COUNTIF($A$9:A394,A394)=1,1,0))</f>
        <v/>
      </c>
      <c r="P394" s="18" t="str">
        <f t="shared" si="12"/>
        <v/>
      </c>
      <c r="Q394" s="18" t="str">
        <f t="shared" si="13"/>
        <v/>
      </c>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row>
    <row r="395" spans="1:44" ht="48" customHeight="1" x14ac:dyDescent="0.35">
      <c r="A395" s="14"/>
      <c r="B395" s="15"/>
      <c r="C395" s="15"/>
      <c r="D395" s="14"/>
      <c r="E395" s="15"/>
      <c r="F395" s="15"/>
      <c r="G395" s="36"/>
      <c r="H395" s="15"/>
      <c r="I395" s="15"/>
      <c r="J395" s="14" t="str">
        <f>IF(A395="","",IFERROR(HYPERLINK("#'Supplier Jobs'!A"&amp;(MATCH(A395,'Supplier Jobs'!$N$9:$N$258,0)+8),"JOBS / QUOTES"),"No quotes"))</f>
        <v/>
      </c>
      <c r="K395" s="14" t="str">
        <f>IF(A395="","",COUNTIF(Quotes!$D$9:$D$258,D395))</f>
        <v/>
      </c>
      <c r="L395" s="16" t="str">
        <f>IF(A395="","",IF(O395=1,SUMIF(Quotes!$C$9:$C$258,A395,Quotes!$AI$9:$AI$258),0))</f>
        <v/>
      </c>
      <c r="M395" s="16" t="str">
        <f>IF(A395="","",IF(O395=1,SUMIF(Quotes!$C$9:$C$258,A395,Quotes!$AJ$9:$AJ$258),0))</f>
        <v/>
      </c>
      <c r="N395" s="14"/>
      <c r="O395" s="14" t="str">
        <f>IF(A395="","",IF(COUNTIF($A$9:A395,A395)=1,1,0))</f>
        <v/>
      </c>
      <c r="P395" s="14" t="str">
        <f t="shared" si="12"/>
        <v/>
      </c>
      <c r="Q395" s="14" t="str">
        <f t="shared" si="13"/>
        <v/>
      </c>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row>
    <row r="396" spans="1:44" ht="48" customHeight="1" x14ac:dyDescent="0.35">
      <c r="A396" s="18"/>
      <c r="B396" s="15"/>
      <c r="C396" s="15"/>
      <c r="D396" s="18"/>
      <c r="E396" s="15"/>
      <c r="F396" s="15"/>
      <c r="G396" s="36"/>
      <c r="H396" s="15"/>
      <c r="I396" s="15"/>
      <c r="J396" s="18" t="str">
        <f>IF(A396="","",IFERROR(HYPERLINK("#'Supplier Jobs'!A"&amp;(MATCH(A396,'Supplier Jobs'!$N$9:$N$258,0)+8),"JOBS / QUOTES"),"No quotes"))</f>
        <v/>
      </c>
      <c r="K396" s="18" t="str">
        <f>IF(A396="","",COUNTIF(Quotes!$D$9:$D$258,D396))</f>
        <v/>
      </c>
      <c r="L396" s="19" t="str">
        <f>IF(A396="","",IF(O396=1,SUMIF(Quotes!$C$9:$C$258,A396,Quotes!$AI$9:$AI$258),0))</f>
        <v/>
      </c>
      <c r="M396" s="19" t="str">
        <f>IF(A396="","",IF(O396=1,SUMIF(Quotes!$C$9:$C$258,A396,Quotes!$AJ$9:$AJ$258),0))</f>
        <v/>
      </c>
      <c r="N396" s="18"/>
      <c r="O396" s="18" t="str">
        <f>IF(A396="","",IF(COUNTIF($A$9:A396,A396)=1,1,0))</f>
        <v/>
      </c>
      <c r="P396" s="18" t="str">
        <f t="shared" si="12"/>
        <v/>
      </c>
      <c r="Q396" s="18" t="str">
        <f t="shared" si="13"/>
        <v/>
      </c>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row>
    <row r="397" spans="1:44" ht="48" customHeight="1" x14ac:dyDescent="0.35">
      <c r="A397" s="14"/>
      <c r="B397" s="15"/>
      <c r="C397" s="15"/>
      <c r="D397" s="14"/>
      <c r="E397" s="15"/>
      <c r="F397" s="15"/>
      <c r="G397" s="36"/>
      <c r="H397" s="15"/>
      <c r="I397" s="15"/>
      <c r="J397" s="14" t="str">
        <f>IF(A397="","",IFERROR(HYPERLINK("#'Supplier Jobs'!A"&amp;(MATCH(A397,'Supplier Jobs'!$N$9:$N$258,0)+8),"JOBS / QUOTES"),"No quotes"))</f>
        <v/>
      </c>
      <c r="K397" s="14" t="str">
        <f>IF(A397="","",COUNTIF(Quotes!$D$9:$D$258,D397))</f>
        <v/>
      </c>
      <c r="L397" s="16" t="str">
        <f>IF(A397="","",IF(O397=1,SUMIF(Quotes!$C$9:$C$258,A397,Quotes!$AI$9:$AI$258),0))</f>
        <v/>
      </c>
      <c r="M397" s="16" t="str">
        <f>IF(A397="","",IF(O397=1,SUMIF(Quotes!$C$9:$C$258,A397,Quotes!$AJ$9:$AJ$258),0))</f>
        <v/>
      </c>
      <c r="N397" s="14"/>
      <c r="O397" s="14" t="str">
        <f>IF(A397="","",IF(COUNTIF($A$9:A397,A397)=1,1,0))</f>
        <v/>
      </c>
      <c r="P397" s="14" t="str">
        <f t="shared" si="12"/>
        <v/>
      </c>
      <c r="Q397" s="14" t="str">
        <f t="shared" si="13"/>
        <v/>
      </c>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row>
    <row r="398" spans="1:44" ht="48" customHeight="1" x14ac:dyDescent="0.35">
      <c r="A398" s="18"/>
      <c r="B398" s="15"/>
      <c r="C398" s="15"/>
      <c r="D398" s="18"/>
      <c r="E398" s="15"/>
      <c r="F398" s="15"/>
      <c r="G398" s="36"/>
      <c r="H398" s="15"/>
      <c r="I398" s="15"/>
      <c r="J398" s="18" t="str">
        <f>IF(A398="","",IFERROR(HYPERLINK("#'Supplier Jobs'!A"&amp;(MATCH(A398,'Supplier Jobs'!$N$9:$N$258,0)+8),"JOBS / QUOTES"),"No quotes"))</f>
        <v/>
      </c>
      <c r="K398" s="18" t="str">
        <f>IF(A398="","",COUNTIF(Quotes!$D$9:$D$258,D398))</f>
        <v/>
      </c>
      <c r="L398" s="19" t="str">
        <f>IF(A398="","",IF(O398=1,SUMIF(Quotes!$C$9:$C$258,A398,Quotes!$AI$9:$AI$258),0))</f>
        <v/>
      </c>
      <c r="M398" s="19" t="str">
        <f>IF(A398="","",IF(O398=1,SUMIF(Quotes!$C$9:$C$258,A398,Quotes!$AJ$9:$AJ$258),0))</f>
        <v/>
      </c>
      <c r="N398" s="18"/>
      <c r="O398" s="18" t="str">
        <f>IF(A398="","",IF(COUNTIF($A$9:A398,A398)=1,1,0))</f>
        <v/>
      </c>
      <c r="P398" s="18" t="str">
        <f t="shared" si="12"/>
        <v/>
      </c>
      <c r="Q398" s="18" t="str">
        <f t="shared" si="13"/>
        <v/>
      </c>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row>
    <row r="399" spans="1:44" ht="48" customHeight="1" x14ac:dyDescent="0.35">
      <c r="A399" s="14"/>
      <c r="B399" s="15"/>
      <c r="C399" s="15"/>
      <c r="D399" s="14"/>
      <c r="E399" s="15"/>
      <c r="F399" s="15"/>
      <c r="G399" s="36"/>
      <c r="H399" s="15"/>
      <c r="I399" s="15"/>
      <c r="J399" s="14" t="str">
        <f>IF(A399="","",IFERROR(HYPERLINK("#'Supplier Jobs'!A"&amp;(MATCH(A399,'Supplier Jobs'!$N$9:$N$258,0)+8),"JOBS / QUOTES"),"No quotes"))</f>
        <v/>
      </c>
      <c r="K399" s="14" t="str">
        <f>IF(A399="","",COUNTIF(Quotes!$D$9:$D$258,D399))</f>
        <v/>
      </c>
      <c r="L399" s="16" t="str">
        <f>IF(A399="","",IF(O399=1,SUMIF(Quotes!$C$9:$C$258,A399,Quotes!$AI$9:$AI$258),0))</f>
        <v/>
      </c>
      <c r="M399" s="16" t="str">
        <f>IF(A399="","",IF(O399=1,SUMIF(Quotes!$C$9:$C$258,A399,Quotes!$AJ$9:$AJ$258),0))</f>
        <v/>
      </c>
      <c r="N399" s="14"/>
      <c r="O399" s="14" t="str">
        <f>IF(A399="","",IF(COUNTIF($A$9:A399,A399)=1,1,0))</f>
        <v/>
      </c>
      <c r="P399" s="14" t="str">
        <f t="shared" si="12"/>
        <v/>
      </c>
      <c r="Q399" s="14" t="str">
        <f t="shared" si="13"/>
        <v/>
      </c>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row>
    <row r="400" spans="1:44" ht="48" customHeight="1" x14ac:dyDescent="0.35">
      <c r="A400" s="18"/>
      <c r="B400" s="15"/>
      <c r="C400" s="15"/>
      <c r="D400" s="18"/>
      <c r="E400" s="15"/>
      <c r="F400" s="15"/>
      <c r="G400" s="36"/>
      <c r="H400" s="15"/>
      <c r="I400" s="15"/>
      <c r="J400" s="18" t="str">
        <f>IF(A400="","",IFERROR(HYPERLINK("#'Supplier Jobs'!A"&amp;(MATCH(A400,'Supplier Jobs'!$N$9:$N$258,0)+8),"JOBS / QUOTES"),"No quotes"))</f>
        <v/>
      </c>
      <c r="K400" s="18" t="str">
        <f>IF(A400="","",COUNTIF(Quotes!$D$9:$D$258,D400))</f>
        <v/>
      </c>
      <c r="L400" s="19" t="str">
        <f>IF(A400="","",IF(O400=1,SUMIF(Quotes!$C$9:$C$258,A400,Quotes!$AI$9:$AI$258),0))</f>
        <v/>
      </c>
      <c r="M400" s="19" t="str">
        <f>IF(A400="","",IF(O400=1,SUMIF(Quotes!$C$9:$C$258,A400,Quotes!$AJ$9:$AJ$258),0))</f>
        <v/>
      </c>
      <c r="N400" s="18"/>
      <c r="O400" s="18" t="str">
        <f>IF(A400="","",IF(COUNTIF($A$9:A400,A400)=1,1,0))</f>
        <v/>
      </c>
      <c r="P400" s="18" t="str">
        <f t="shared" si="12"/>
        <v/>
      </c>
      <c r="Q400" s="18" t="str">
        <f t="shared" si="13"/>
        <v/>
      </c>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row>
    <row r="401" spans="1:44" ht="48" customHeight="1" x14ac:dyDescent="0.35">
      <c r="A401" s="14"/>
      <c r="B401" s="15"/>
      <c r="C401" s="15"/>
      <c r="D401" s="14"/>
      <c r="E401" s="15"/>
      <c r="F401" s="15"/>
      <c r="G401" s="36"/>
      <c r="H401" s="15"/>
      <c r="I401" s="15"/>
      <c r="J401" s="14" t="str">
        <f>IF(A401="","",IFERROR(HYPERLINK("#'Supplier Jobs'!A"&amp;(MATCH(A401,'Supplier Jobs'!$N$9:$N$258,0)+8),"JOBS / QUOTES"),"No quotes"))</f>
        <v/>
      </c>
      <c r="K401" s="14" t="str">
        <f>IF(A401="","",COUNTIF(Quotes!$D$9:$D$258,D401))</f>
        <v/>
      </c>
      <c r="L401" s="16" t="str">
        <f>IF(A401="","",IF(O401=1,SUMIF(Quotes!$C$9:$C$258,A401,Quotes!$AI$9:$AI$258),0))</f>
        <v/>
      </c>
      <c r="M401" s="16" t="str">
        <f>IF(A401="","",IF(O401=1,SUMIF(Quotes!$C$9:$C$258,A401,Quotes!$AJ$9:$AJ$258),0))</f>
        <v/>
      </c>
      <c r="N401" s="14"/>
      <c r="O401" s="14" t="str">
        <f>IF(A401="","",IF(COUNTIF($A$9:A401,A401)=1,1,0))</f>
        <v/>
      </c>
      <c r="P401" s="14" t="str">
        <f t="shared" si="12"/>
        <v/>
      </c>
      <c r="Q401" s="14" t="str">
        <f t="shared" si="13"/>
        <v/>
      </c>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row>
    <row r="402" spans="1:44" ht="48" customHeight="1" x14ac:dyDescent="0.35">
      <c r="A402" s="18"/>
      <c r="B402" s="15"/>
      <c r="C402" s="15"/>
      <c r="D402" s="18"/>
      <c r="E402" s="15"/>
      <c r="F402" s="15"/>
      <c r="G402" s="36"/>
      <c r="H402" s="15"/>
      <c r="I402" s="15"/>
      <c r="J402" s="18" t="str">
        <f>IF(A402="","",IFERROR(HYPERLINK("#'Supplier Jobs'!A"&amp;(MATCH(A402,'Supplier Jobs'!$N$9:$N$258,0)+8),"JOBS / QUOTES"),"No quotes"))</f>
        <v/>
      </c>
      <c r="K402" s="18" t="str">
        <f>IF(A402="","",COUNTIF(Quotes!$D$9:$D$258,D402))</f>
        <v/>
      </c>
      <c r="L402" s="19" t="str">
        <f>IF(A402="","",IF(O402=1,SUMIF(Quotes!$C$9:$C$258,A402,Quotes!$AI$9:$AI$258),0))</f>
        <v/>
      </c>
      <c r="M402" s="19" t="str">
        <f>IF(A402="","",IF(O402=1,SUMIF(Quotes!$C$9:$C$258,A402,Quotes!$AJ$9:$AJ$258),0))</f>
        <v/>
      </c>
      <c r="N402" s="18"/>
      <c r="O402" s="18" t="str">
        <f>IF(A402="","",IF(COUNTIF($A$9:A402,A402)=1,1,0))</f>
        <v/>
      </c>
      <c r="P402" s="18" t="str">
        <f t="shared" si="12"/>
        <v/>
      </c>
      <c r="Q402" s="18" t="str">
        <f t="shared" si="13"/>
        <v/>
      </c>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row>
    <row r="403" spans="1:44" ht="48" customHeight="1" x14ac:dyDescent="0.35">
      <c r="A403" s="14"/>
      <c r="B403" s="15"/>
      <c r="C403" s="15"/>
      <c r="D403" s="14"/>
      <c r="E403" s="15"/>
      <c r="F403" s="15"/>
      <c r="G403" s="36"/>
      <c r="H403" s="15"/>
      <c r="I403" s="15"/>
      <c r="J403" s="14" t="str">
        <f>IF(A403="","",IFERROR(HYPERLINK("#'Supplier Jobs'!A"&amp;(MATCH(A403,'Supplier Jobs'!$N$9:$N$258,0)+8),"JOBS / QUOTES"),"No quotes"))</f>
        <v/>
      </c>
      <c r="K403" s="14" t="str">
        <f>IF(A403="","",COUNTIF(Quotes!$D$9:$D$258,D403))</f>
        <v/>
      </c>
      <c r="L403" s="16" t="str">
        <f>IF(A403="","",IF(O403=1,SUMIF(Quotes!$C$9:$C$258,A403,Quotes!$AI$9:$AI$258),0))</f>
        <v/>
      </c>
      <c r="M403" s="16" t="str">
        <f>IF(A403="","",IF(O403=1,SUMIF(Quotes!$C$9:$C$258,A403,Quotes!$AJ$9:$AJ$258),0))</f>
        <v/>
      </c>
      <c r="N403" s="14"/>
      <c r="O403" s="14" t="str">
        <f>IF(A403="","",IF(COUNTIF($A$9:A403,A403)=1,1,0))</f>
        <v/>
      </c>
      <c r="P403" s="14" t="str">
        <f t="shared" si="12"/>
        <v/>
      </c>
      <c r="Q403" s="14" t="str">
        <f t="shared" si="13"/>
        <v/>
      </c>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row>
    <row r="404" spans="1:44" ht="48" customHeight="1" x14ac:dyDescent="0.35">
      <c r="A404" s="18"/>
      <c r="B404" s="15"/>
      <c r="C404" s="15"/>
      <c r="D404" s="18"/>
      <c r="E404" s="15"/>
      <c r="F404" s="15"/>
      <c r="G404" s="36"/>
      <c r="H404" s="15"/>
      <c r="I404" s="15"/>
      <c r="J404" s="18" t="str">
        <f>IF(A404="","",IFERROR(HYPERLINK("#'Supplier Jobs'!A"&amp;(MATCH(A404,'Supplier Jobs'!$N$9:$N$258,0)+8),"JOBS / QUOTES"),"No quotes"))</f>
        <v/>
      </c>
      <c r="K404" s="18" t="str">
        <f>IF(A404="","",COUNTIF(Quotes!$D$9:$D$258,D404))</f>
        <v/>
      </c>
      <c r="L404" s="19" t="str">
        <f>IF(A404="","",IF(O404=1,SUMIF(Quotes!$C$9:$C$258,A404,Quotes!$AI$9:$AI$258),0))</f>
        <v/>
      </c>
      <c r="M404" s="19" t="str">
        <f>IF(A404="","",IF(O404=1,SUMIF(Quotes!$C$9:$C$258,A404,Quotes!$AJ$9:$AJ$258),0))</f>
        <v/>
      </c>
      <c r="N404" s="18"/>
      <c r="O404" s="18" t="str">
        <f>IF(A404="","",IF(COUNTIF($A$9:A404,A404)=1,1,0))</f>
        <v/>
      </c>
      <c r="P404" s="18" t="str">
        <f t="shared" si="12"/>
        <v/>
      </c>
      <c r="Q404" s="18" t="str">
        <f t="shared" si="13"/>
        <v/>
      </c>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row>
    <row r="405" spans="1:44" ht="48" customHeight="1" x14ac:dyDescent="0.35">
      <c r="A405" s="14"/>
      <c r="B405" s="15"/>
      <c r="C405" s="15"/>
      <c r="D405" s="14"/>
      <c r="E405" s="15"/>
      <c r="F405" s="15"/>
      <c r="G405" s="36"/>
      <c r="H405" s="15"/>
      <c r="I405" s="15"/>
      <c r="J405" s="14" t="str">
        <f>IF(A405="","",IFERROR(HYPERLINK("#'Supplier Jobs'!A"&amp;(MATCH(A405,'Supplier Jobs'!$N$9:$N$258,0)+8),"JOBS / QUOTES"),"No quotes"))</f>
        <v/>
      </c>
      <c r="K405" s="14" t="str">
        <f>IF(A405="","",COUNTIF(Quotes!$D$9:$D$258,D405))</f>
        <v/>
      </c>
      <c r="L405" s="16" t="str">
        <f>IF(A405="","",IF(O405=1,SUMIF(Quotes!$C$9:$C$258,A405,Quotes!$AI$9:$AI$258),0))</f>
        <v/>
      </c>
      <c r="M405" s="16" t="str">
        <f>IF(A405="","",IF(O405=1,SUMIF(Quotes!$C$9:$C$258,A405,Quotes!$AJ$9:$AJ$258),0))</f>
        <v/>
      </c>
      <c r="N405" s="14"/>
      <c r="O405" s="14" t="str">
        <f>IF(A405="","",IF(COUNTIF($A$9:A405,A405)=1,1,0))</f>
        <v/>
      </c>
      <c r="P405" s="14" t="str">
        <f t="shared" si="12"/>
        <v/>
      </c>
      <c r="Q405" s="14" t="str">
        <f t="shared" si="13"/>
        <v/>
      </c>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row>
    <row r="406" spans="1:44" ht="48" customHeight="1" x14ac:dyDescent="0.35">
      <c r="A406" s="18"/>
      <c r="B406" s="15"/>
      <c r="C406" s="15"/>
      <c r="D406" s="18"/>
      <c r="E406" s="15"/>
      <c r="F406" s="15"/>
      <c r="G406" s="36"/>
      <c r="H406" s="15"/>
      <c r="I406" s="15"/>
      <c r="J406" s="18" t="str">
        <f>IF(A406="","",IFERROR(HYPERLINK("#'Supplier Jobs'!A"&amp;(MATCH(A406,'Supplier Jobs'!$N$9:$N$258,0)+8),"JOBS / QUOTES"),"No quotes"))</f>
        <v/>
      </c>
      <c r="K406" s="18" t="str">
        <f>IF(A406="","",COUNTIF(Quotes!$D$9:$D$258,D406))</f>
        <v/>
      </c>
      <c r="L406" s="19" t="str">
        <f>IF(A406="","",IF(O406=1,SUMIF(Quotes!$C$9:$C$258,A406,Quotes!$AI$9:$AI$258),0))</f>
        <v/>
      </c>
      <c r="M406" s="19" t="str">
        <f>IF(A406="","",IF(O406=1,SUMIF(Quotes!$C$9:$C$258,A406,Quotes!$AJ$9:$AJ$258),0))</f>
        <v/>
      </c>
      <c r="N406" s="18"/>
      <c r="O406" s="18" t="str">
        <f>IF(A406="","",IF(COUNTIF($A$9:A406,A406)=1,1,0))</f>
        <v/>
      </c>
      <c r="P406" s="18" t="str">
        <f t="shared" si="12"/>
        <v/>
      </c>
      <c r="Q406" s="18" t="str">
        <f t="shared" si="13"/>
        <v/>
      </c>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row>
    <row r="407" spans="1:44" ht="48" customHeight="1" x14ac:dyDescent="0.35">
      <c r="A407" s="14"/>
      <c r="B407" s="15"/>
      <c r="C407" s="15"/>
      <c r="D407" s="14"/>
      <c r="E407" s="15"/>
      <c r="F407" s="15"/>
      <c r="G407" s="36"/>
      <c r="H407" s="15"/>
      <c r="I407" s="15"/>
      <c r="J407" s="14" t="str">
        <f>IF(A407="","",IFERROR(HYPERLINK("#'Supplier Jobs'!A"&amp;(MATCH(A407,'Supplier Jobs'!$N$9:$N$258,0)+8),"JOBS / QUOTES"),"No quotes"))</f>
        <v/>
      </c>
      <c r="K407" s="14" t="str">
        <f>IF(A407="","",COUNTIF(Quotes!$D$9:$D$258,D407))</f>
        <v/>
      </c>
      <c r="L407" s="16" t="str">
        <f>IF(A407="","",IF(O407=1,SUMIF(Quotes!$C$9:$C$258,A407,Quotes!$AI$9:$AI$258),0))</f>
        <v/>
      </c>
      <c r="M407" s="16" t="str">
        <f>IF(A407="","",IF(O407=1,SUMIF(Quotes!$C$9:$C$258,A407,Quotes!$AJ$9:$AJ$258),0))</f>
        <v/>
      </c>
      <c r="N407" s="14"/>
      <c r="O407" s="14" t="str">
        <f>IF(A407="","",IF(COUNTIF($A$9:A407,A407)=1,1,0))</f>
        <v/>
      </c>
      <c r="P407" s="14" t="str">
        <f t="shared" si="12"/>
        <v/>
      </c>
      <c r="Q407" s="14" t="str">
        <f t="shared" si="13"/>
        <v/>
      </c>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row>
    <row r="408" spans="1:44" ht="48" customHeight="1" x14ac:dyDescent="0.35">
      <c r="A408" s="18"/>
      <c r="B408" s="15"/>
      <c r="C408" s="15"/>
      <c r="D408" s="18"/>
      <c r="E408" s="15"/>
      <c r="F408" s="15"/>
      <c r="G408" s="36"/>
      <c r="H408" s="15"/>
      <c r="I408" s="15"/>
      <c r="J408" s="18" t="str">
        <f>IF(A408="","",IFERROR(HYPERLINK("#'Supplier Jobs'!A"&amp;(MATCH(A408,'Supplier Jobs'!$N$9:$N$258,0)+8),"JOBS / QUOTES"),"No quotes"))</f>
        <v/>
      </c>
      <c r="K408" s="18" t="str">
        <f>IF(A408="","",COUNTIF(Quotes!$D$9:$D$258,D408))</f>
        <v/>
      </c>
      <c r="L408" s="19" t="str">
        <f>IF(A408="","",IF(O408=1,SUMIF(Quotes!$C$9:$C$258,A408,Quotes!$AI$9:$AI$258),0))</f>
        <v/>
      </c>
      <c r="M408" s="19" t="str">
        <f>IF(A408="","",IF(O408=1,SUMIF(Quotes!$C$9:$C$258,A408,Quotes!$AJ$9:$AJ$258),0))</f>
        <v/>
      </c>
      <c r="N408" s="18"/>
      <c r="O408" s="18" t="str">
        <f>IF(A408="","",IF(COUNTIF($A$9:A408,A408)=1,1,0))</f>
        <v/>
      </c>
      <c r="P408" s="18" t="str">
        <f t="shared" si="12"/>
        <v/>
      </c>
      <c r="Q408" s="18" t="str">
        <f t="shared" si="13"/>
        <v/>
      </c>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row>
    <row r="409" spans="1:44" ht="48" customHeight="1" x14ac:dyDescent="0.35">
      <c r="A409" s="14"/>
      <c r="B409" s="15"/>
      <c r="C409" s="15"/>
      <c r="D409" s="14"/>
      <c r="E409" s="15"/>
      <c r="F409" s="15"/>
      <c r="G409" s="36"/>
      <c r="H409" s="15"/>
      <c r="I409" s="15"/>
      <c r="J409" s="14" t="str">
        <f>IF(A409="","",IFERROR(HYPERLINK("#'Supplier Jobs'!A"&amp;(MATCH(A409,'Supplier Jobs'!$N$9:$N$258,0)+8),"JOBS / QUOTES"),"No quotes"))</f>
        <v/>
      </c>
      <c r="K409" s="14" t="str">
        <f>IF(A409="","",COUNTIF(Quotes!$D$9:$D$258,D409))</f>
        <v/>
      </c>
      <c r="L409" s="16" t="str">
        <f>IF(A409="","",IF(O409=1,SUMIF(Quotes!$C$9:$C$258,A409,Quotes!$AI$9:$AI$258),0))</f>
        <v/>
      </c>
      <c r="M409" s="16" t="str">
        <f>IF(A409="","",IF(O409=1,SUMIF(Quotes!$C$9:$C$258,A409,Quotes!$AJ$9:$AJ$258),0))</f>
        <v/>
      </c>
      <c r="N409" s="14"/>
      <c r="O409" s="14" t="str">
        <f>IF(A409="","",IF(COUNTIF($A$9:A409,A409)=1,1,0))</f>
        <v/>
      </c>
      <c r="P409" s="14" t="str">
        <f t="shared" si="12"/>
        <v/>
      </c>
      <c r="Q409" s="14" t="str">
        <f t="shared" si="13"/>
        <v/>
      </c>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row>
    <row r="410" spans="1:44" ht="48" customHeight="1" x14ac:dyDescent="0.35">
      <c r="A410" s="18"/>
      <c r="B410" s="15"/>
      <c r="C410" s="15"/>
      <c r="D410" s="18"/>
      <c r="E410" s="15"/>
      <c r="F410" s="15"/>
      <c r="G410" s="36"/>
      <c r="H410" s="15"/>
      <c r="I410" s="15"/>
      <c r="J410" s="18" t="str">
        <f>IF(A410="","",IFERROR(HYPERLINK("#'Supplier Jobs'!A"&amp;(MATCH(A410,'Supplier Jobs'!$N$9:$N$258,0)+8),"JOBS / QUOTES"),"No quotes"))</f>
        <v/>
      </c>
      <c r="K410" s="18" t="str">
        <f>IF(A410="","",COUNTIF(Quotes!$D$9:$D$258,D410))</f>
        <v/>
      </c>
      <c r="L410" s="19" t="str">
        <f>IF(A410="","",IF(O410=1,SUMIF(Quotes!$C$9:$C$258,A410,Quotes!$AI$9:$AI$258),0))</f>
        <v/>
      </c>
      <c r="M410" s="19" t="str">
        <f>IF(A410="","",IF(O410=1,SUMIF(Quotes!$C$9:$C$258,A410,Quotes!$AJ$9:$AJ$258),0))</f>
        <v/>
      </c>
      <c r="N410" s="18"/>
      <c r="O410" s="18" t="str">
        <f>IF(A410="","",IF(COUNTIF($A$9:A410,A410)=1,1,0))</f>
        <v/>
      </c>
      <c r="P410" s="18" t="str">
        <f t="shared" si="12"/>
        <v/>
      </c>
      <c r="Q410" s="18" t="str">
        <f t="shared" si="13"/>
        <v/>
      </c>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row>
    <row r="411" spans="1:44" ht="48" customHeight="1" x14ac:dyDescent="0.35">
      <c r="A411" s="14"/>
      <c r="B411" s="15"/>
      <c r="C411" s="15"/>
      <c r="D411" s="14"/>
      <c r="E411" s="15"/>
      <c r="F411" s="15"/>
      <c r="G411" s="36"/>
      <c r="H411" s="15"/>
      <c r="I411" s="15"/>
      <c r="J411" s="14" t="str">
        <f>IF(A411="","",IFERROR(HYPERLINK("#'Supplier Jobs'!A"&amp;(MATCH(A411,'Supplier Jobs'!$N$9:$N$258,0)+8),"JOBS / QUOTES"),"No quotes"))</f>
        <v/>
      </c>
      <c r="K411" s="14" t="str">
        <f>IF(A411="","",COUNTIF(Quotes!$D$9:$D$258,D411))</f>
        <v/>
      </c>
      <c r="L411" s="16" t="str">
        <f>IF(A411="","",IF(O411=1,SUMIF(Quotes!$C$9:$C$258,A411,Quotes!$AI$9:$AI$258),0))</f>
        <v/>
      </c>
      <c r="M411" s="16" t="str">
        <f>IF(A411="","",IF(O411=1,SUMIF(Quotes!$C$9:$C$258,A411,Quotes!$AJ$9:$AJ$258),0))</f>
        <v/>
      </c>
      <c r="N411" s="14"/>
      <c r="O411" s="14" t="str">
        <f>IF(A411="","",IF(COUNTIF($A$9:A411,A411)=1,1,0))</f>
        <v/>
      </c>
      <c r="P411" s="14" t="str">
        <f t="shared" si="12"/>
        <v/>
      </c>
      <c r="Q411" s="14" t="str">
        <f t="shared" si="13"/>
        <v/>
      </c>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row>
    <row r="412" spans="1:44" ht="48" customHeight="1" x14ac:dyDescent="0.35">
      <c r="A412" s="18"/>
      <c r="B412" s="15"/>
      <c r="C412" s="15"/>
      <c r="D412" s="18"/>
      <c r="E412" s="15"/>
      <c r="F412" s="15"/>
      <c r="G412" s="36"/>
      <c r="H412" s="15"/>
      <c r="I412" s="15"/>
      <c r="J412" s="18" t="str">
        <f>IF(A412="","",IFERROR(HYPERLINK("#'Supplier Jobs'!A"&amp;(MATCH(A412,'Supplier Jobs'!$N$9:$N$258,0)+8),"JOBS / QUOTES"),"No quotes"))</f>
        <v/>
      </c>
      <c r="K412" s="18" t="str">
        <f>IF(A412="","",COUNTIF(Quotes!$D$9:$D$258,D412))</f>
        <v/>
      </c>
      <c r="L412" s="19" t="str">
        <f>IF(A412="","",IF(O412=1,SUMIF(Quotes!$C$9:$C$258,A412,Quotes!$AI$9:$AI$258),0))</f>
        <v/>
      </c>
      <c r="M412" s="19" t="str">
        <f>IF(A412="","",IF(O412=1,SUMIF(Quotes!$C$9:$C$258,A412,Quotes!$AJ$9:$AJ$258),0))</f>
        <v/>
      </c>
      <c r="N412" s="18"/>
      <c r="O412" s="18" t="str">
        <f>IF(A412="","",IF(COUNTIF($A$9:A412,A412)=1,1,0))</f>
        <v/>
      </c>
      <c r="P412" s="18" t="str">
        <f t="shared" si="12"/>
        <v/>
      </c>
      <c r="Q412" s="18" t="str">
        <f t="shared" si="13"/>
        <v/>
      </c>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row>
    <row r="413" spans="1:44" ht="48" customHeight="1" x14ac:dyDescent="0.35">
      <c r="A413" s="14"/>
      <c r="B413" s="15"/>
      <c r="C413" s="15"/>
      <c r="D413" s="14"/>
      <c r="E413" s="15"/>
      <c r="F413" s="15"/>
      <c r="G413" s="36"/>
      <c r="H413" s="15"/>
      <c r="I413" s="15"/>
      <c r="J413" s="14" t="str">
        <f>IF(A413="","",IFERROR(HYPERLINK("#'Supplier Jobs'!A"&amp;(MATCH(A413,'Supplier Jobs'!$N$9:$N$258,0)+8),"JOBS / QUOTES"),"No quotes"))</f>
        <v/>
      </c>
      <c r="K413" s="14" t="str">
        <f>IF(A413="","",COUNTIF(Quotes!$D$9:$D$258,D413))</f>
        <v/>
      </c>
      <c r="L413" s="16" t="str">
        <f>IF(A413="","",IF(O413=1,SUMIF(Quotes!$C$9:$C$258,A413,Quotes!$AI$9:$AI$258),0))</f>
        <v/>
      </c>
      <c r="M413" s="16" t="str">
        <f>IF(A413="","",IF(O413=1,SUMIF(Quotes!$C$9:$C$258,A413,Quotes!$AJ$9:$AJ$258),0))</f>
        <v/>
      </c>
      <c r="N413" s="14"/>
      <c r="O413" s="14" t="str">
        <f>IF(A413="","",IF(COUNTIF($A$9:A413,A413)=1,1,0))</f>
        <v/>
      </c>
      <c r="P413" s="14" t="str">
        <f t="shared" si="12"/>
        <v/>
      </c>
      <c r="Q413" s="14" t="str">
        <f t="shared" si="13"/>
        <v/>
      </c>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row>
    <row r="414" spans="1:44" ht="48" customHeight="1" x14ac:dyDescent="0.35">
      <c r="A414" s="18"/>
      <c r="B414" s="15"/>
      <c r="C414" s="15"/>
      <c r="D414" s="18"/>
      <c r="E414" s="15"/>
      <c r="F414" s="15"/>
      <c r="G414" s="36"/>
      <c r="H414" s="15"/>
      <c r="I414" s="15"/>
      <c r="J414" s="18" t="str">
        <f>IF(A414="","",IFERROR(HYPERLINK("#'Supplier Jobs'!A"&amp;(MATCH(A414,'Supplier Jobs'!$N$9:$N$258,0)+8),"JOBS / QUOTES"),"No quotes"))</f>
        <v/>
      </c>
      <c r="K414" s="18" t="str">
        <f>IF(A414="","",COUNTIF(Quotes!$D$9:$D$258,D414))</f>
        <v/>
      </c>
      <c r="L414" s="19" t="str">
        <f>IF(A414="","",IF(O414=1,SUMIF(Quotes!$C$9:$C$258,A414,Quotes!$AI$9:$AI$258),0))</f>
        <v/>
      </c>
      <c r="M414" s="19" t="str">
        <f>IF(A414="","",IF(O414=1,SUMIF(Quotes!$C$9:$C$258,A414,Quotes!$AJ$9:$AJ$258),0))</f>
        <v/>
      </c>
      <c r="N414" s="18"/>
      <c r="O414" s="18" t="str">
        <f>IF(A414="","",IF(COUNTIF($A$9:A414,A414)=1,1,0))</f>
        <v/>
      </c>
      <c r="P414" s="18" t="str">
        <f t="shared" si="12"/>
        <v/>
      </c>
      <c r="Q414" s="18" t="str">
        <f t="shared" si="13"/>
        <v/>
      </c>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row>
    <row r="415" spans="1:44" ht="48" customHeight="1" x14ac:dyDescent="0.35">
      <c r="A415" s="14"/>
      <c r="B415" s="15"/>
      <c r="C415" s="15"/>
      <c r="D415" s="14"/>
      <c r="E415" s="15"/>
      <c r="F415" s="15"/>
      <c r="G415" s="36"/>
      <c r="H415" s="15"/>
      <c r="I415" s="15"/>
      <c r="J415" s="14" t="str">
        <f>IF(A415="","",IFERROR(HYPERLINK("#'Supplier Jobs'!A"&amp;(MATCH(A415,'Supplier Jobs'!$N$9:$N$258,0)+8),"JOBS / QUOTES"),"No quotes"))</f>
        <v/>
      </c>
      <c r="K415" s="14" t="str">
        <f>IF(A415="","",COUNTIF(Quotes!$D$9:$D$258,D415))</f>
        <v/>
      </c>
      <c r="L415" s="16" t="str">
        <f>IF(A415="","",IF(O415=1,SUMIF(Quotes!$C$9:$C$258,A415,Quotes!$AI$9:$AI$258),0))</f>
        <v/>
      </c>
      <c r="M415" s="16" t="str">
        <f>IF(A415="","",IF(O415=1,SUMIF(Quotes!$C$9:$C$258,A415,Quotes!$AJ$9:$AJ$258),0))</f>
        <v/>
      </c>
      <c r="N415" s="14"/>
      <c r="O415" s="14" t="str">
        <f>IF(A415="","",IF(COUNTIF($A$9:A415,A415)=1,1,0))</f>
        <v/>
      </c>
      <c r="P415" s="14" t="str">
        <f t="shared" si="12"/>
        <v/>
      </c>
      <c r="Q415" s="14" t="str">
        <f t="shared" si="13"/>
        <v/>
      </c>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row>
    <row r="416" spans="1:44" ht="48" customHeight="1" x14ac:dyDescent="0.35">
      <c r="A416" s="18"/>
      <c r="B416" s="15"/>
      <c r="C416" s="15"/>
      <c r="D416" s="18"/>
      <c r="E416" s="15"/>
      <c r="F416" s="15"/>
      <c r="G416" s="36"/>
      <c r="H416" s="15"/>
      <c r="I416" s="15"/>
      <c r="J416" s="18" t="str">
        <f>IF(A416="","",IFERROR(HYPERLINK("#'Supplier Jobs'!A"&amp;(MATCH(A416,'Supplier Jobs'!$N$9:$N$258,0)+8),"JOBS / QUOTES"),"No quotes"))</f>
        <v/>
      </c>
      <c r="K416" s="18" t="str">
        <f>IF(A416="","",COUNTIF(Quotes!$D$9:$D$258,D416))</f>
        <v/>
      </c>
      <c r="L416" s="19" t="str">
        <f>IF(A416="","",IF(O416=1,SUMIF(Quotes!$C$9:$C$258,A416,Quotes!$AI$9:$AI$258),0))</f>
        <v/>
      </c>
      <c r="M416" s="19" t="str">
        <f>IF(A416="","",IF(O416=1,SUMIF(Quotes!$C$9:$C$258,A416,Quotes!$AJ$9:$AJ$258),0))</f>
        <v/>
      </c>
      <c r="N416" s="18"/>
      <c r="O416" s="18" t="str">
        <f>IF(A416="","",IF(COUNTIF($A$9:A416,A416)=1,1,0))</f>
        <v/>
      </c>
      <c r="P416" s="18" t="str">
        <f t="shared" si="12"/>
        <v/>
      </c>
      <c r="Q416" s="18" t="str">
        <f t="shared" si="13"/>
        <v/>
      </c>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row>
    <row r="417" spans="1:44" ht="48" customHeight="1" x14ac:dyDescent="0.35">
      <c r="A417" s="14"/>
      <c r="B417" s="15"/>
      <c r="C417" s="15"/>
      <c r="D417" s="14"/>
      <c r="E417" s="15"/>
      <c r="F417" s="15"/>
      <c r="G417" s="36"/>
      <c r="H417" s="15"/>
      <c r="I417" s="15"/>
      <c r="J417" s="14" t="str">
        <f>IF(A417="","",IFERROR(HYPERLINK("#'Supplier Jobs'!A"&amp;(MATCH(A417,'Supplier Jobs'!$N$9:$N$258,0)+8),"JOBS / QUOTES"),"No quotes"))</f>
        <v/>
      </c>
      <c r="K417" s="14" t="str">
        <f>IF(A417="","",COUNTIF(Quotes!$D$9:$D$258,D417))</f>
        <v/>
      </c>
      <c r="L417" s="16" t="str">
        <f>IF(A417="","",IF(O417=1,SUMIF(Quotes!$C$9:$C$258,A417,Quotes!$AI$9:$AI$258),0))</f>
        <v/>
      </c>
      <c r="M417" s="16" t="str">
        <f>IF(A417="","",IF(O417=1,SUMIF(Quotes!$C$9:$C$258,A417,Quotes!$AJ$9:$AJ$258),0))</f>
        <v/>
      </c>
      <c r="N417" s="14"/>
      <c r="O417" s="14" t="str">
        <f>IF(A417="","",IF(COUNTIF($A$9:A417,A417)=1,1,0))</f>
        <v/>
      </c>
      <c r="P417" s="14" t="str">
        <f t="shared" si="12"/>
        <v/>
      </c>
      <c r="Q417" s="14" t="str">
        <f t="shared" si="13"/>
        <v/>
      </c>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row>
    <row r="418" spans="1:44" ht="48" customHeight="1" x14ac:dyDescent="0.35">
      <c r="A418" s="18"/>
      <c r="B418" s="15"/>
      <c r="C418" s="15"/>
      <c r="D418" s="18"/>
      <c r="E418" s="15"/>
      <c r="F418" s="15"/>
      <c r="G418" s="36"/>
      <c r="H418" s="15"/>
      <c r="I418" s="15"/>
      <c r="J418" s="18" t="str">
        <f>IF(A418="","",IFERROR(HYPERLINK("#'Supplier Jobs'!A"&amp;(MATCH(A418,'Supplier Jobs'!$N$9:$N$258,0)+8),"JOBS / QUOTES"),"No quotes"))</f>
        <v/>
      </c>
      <c r="K418" s="18" t="str">
        <f>IF(A418="","",COUNTIF(Quotes!$D$9:$D$258,D418))</f>
        <v/>
      </c>
      <c r="L418" s="19" t="str">
        <f>IF(A418="","",IF(O418=1,SUMIF(Quotes!$C$9:$C$258,A418,Quotes!$AI$9:$AI$258),0))</f>
        <v/>
      </c>
      <c r="M418" s="19" t="str">
        <f>IF(A418="","",IF(O418=1,SUMIF(Quotes!$C$9:$C$258,A418,Quotes!$AJ$9:$AJ$258),0))</f>
        <v/>
      </c>
      <c r="N418" s="18"/>
      <c r="O418" s="18" t="str">
        <f>IF(A418="","",IF(COUNTIF($A$9:A418,A418)=1,1,0))</f>
        <v/>
      </c>
      <c r="P418" s="18" t="str">
        <f t="shared" si="12"/>
        <v/>
      </c>
      <c r="Q418" s="18" t="str">
        <f t="shared" si="13"/>
        <v/>
      </c>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row>
    <row r="419" spans="1:44" ht="48" customHeight="1" x14ac:dyDescent="0.35">
      <c r="A419" s="14"/>
      <c r="B419" s="15"/>
      <c r="C419" s="15"/>
      <c r="D419" s="14"/>
      <c r="E419" s="15"/>
      <c r="F419" s="15"/>
      <c r="G419" s="36"/>
      <c r="H419" s="15"/>
      <c r="I419" s="15"/>
      <c r="J419" s="14" t="str">
        <f>IF(A419="","",IFERROR(HYPERLINK("#'Supplier Jobs'!A"&amp;(MATCH(A419,'Supplier Jobs'!$N$9:$N$258,0)+8),"JOBS / QUOTES"),"No quotes"))</f>
        <v/>
      </c>
      <c r="K419" s="14" t="str">
        <f>IF(A419="","",COUNTIF(Quotes!$D$9:$D$258,D419))</f>
        <v/>
      </c>
      <c r="L419" s="16" t="str">
        <f>IF(A419="","",IF(O419=1,SUMIF(Quotes!$C$9:$C$258,A419,Quotes!$AI$9:$AI$258),0))</f>
        <v/>
      </c>
      <c r="M419" s="16" t="str">
        <f>IF(A419="","",IF(O419=1,SUMIF(Quotes!$C$9:$C$258,A419,Quotes!$AJ$9:$AJ$258),0))</f>
        <v/>
      </c>
      <c r="N419" s="14"/>
      <c r="O419" s="14" t="str">
        <f>IF(A419="","",IF(COUNTIF($A$9:A419,A419)=1,1,0))</f>
        <v/>
      </c>
      <c r="P419" s="14" t="str">
        <f t="shared" si="12"/>
        <v/>
      </c>
      <c r="Q419" s="14" t="str">
        <f t="shared" si="13"/>
        <v/>
      </c>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row>
    <row r="420" spans="1:44" ht="48" customHeight="1" x14ac:dyDescent="0.35">
      <c r="A420" s="18"/>
      <c r="B420" s="15"/>
      <c r="C420" s="15"/>
      <c r="D420" s="18"/>
      <c r="E420" s="15"/>
      <c r="F420" s="15"/>
      <c r="G420" s="36"/>
      <c r="H420" s="15"/>
      <c r="I420" s="15"/>
      <c r="J420" s="18" t="str">
        <f>IF(A420="","",IFERROR(HYPERLINK("#'Supplier Jobs'!A"&amp;(MATCH(A420,'Supplier Jobs'!$N$9:$N$258,0)+8),"JOBS / QUOTES"),"No quotes"))</f>
        <v/>
      </c>
      <c r="K420" s="18" t="str">
        <f>IF(A420="","",COUNTIF(Quotes!$D$9:$D$258,D420))</f>
        <v/>
      </c>
      <c r="L420" s="19" t="str">
        <f>IF(A420="","",IF(O420=1,SUMIF(Quotes!$C$9:$C$258,A420,Quotes!$AI$9:$AI$258),0))</f>
        <v/>
      </c>
      <c r="M420" s="19" t="str">
        <f>IF(A420="","",IF(O420=1,SUMIF(Quotes!$C$9:$C$258,A420,Quotes!$AJ$9:$AJ$258),0))</f>
        <v/>
      </c>
      <c r="N420" s="18"/>
      <c r="O420" s="18" t="str">
        <f>IF(A420="","",IF(COUNTIF($A$9:A420,A420)=1,1,0))</f>
        <v/>
      </c>
      <c r="P420" s="18" t="str">
        <f t="shared" si="12"/>
        <v/>
      </c>
      <c r="Q420" s="18" t="str">
        <f t="shared" si="13"/>
        <v/>
      </c>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row>
    <row r="421" spans="1:44" ht="48" customHeight="1" x14ac:dyDescent="0.35">
      <c r="A421" s="14"/>
      <c r="B421" s="15"/>
      <c r="C421" s="15"/>
      <c r="D421" s="14"/>
      <c r="E421" s="15"/>
      <c r="F421" s="15"/>
      <c r="G421" s="36"/>
      <c r="H421" s="15"/>
      <c r="I421" s="15"/>
      <c r="J421" s="14" t="str">
        <f>IF(A421="","",IFERROR(HYPERLINK("#'Supplier Jobs'!A"&amp;(MATCH(A421,'Supplier Jobs'!$N$9:$N$258,0)+8),"JOBS / QUOTES"),"No quotes"))</f>
        <v/>
      </c>
      <c r="K421" s="14" t="str">
        <f>IF(A421="","",COUNTIF(Quotes!$D$9:$D$258,D421))</f>
        <v/>
      </c>
      <c r="L421" s="16" t="str">
        <f>IF(A421="","",IF(O421=1,SUMIF(Quotes!$C$9:$C$258,A421,Quotes!$AI$9:$AI$258),0))</f>
        <v/>
      </c>
      <c r="M421" s="16" t="str">
        <f>IF(A421="","",IF(O421=1,SUMIF(Quotes!$C$9:$C$258,A421,Quotes!$AJ$9:$AJ$258),0))</f>
        <v/>
      </c>
      <c r="N421" s="14"/>
      <c r="O421" s="14" t="str">
        <f>IF(A421="","",IF(COUNTIF($A$9:A421,A421)=1,1,0))</f>
        <v/>
      </c>
      <c r="P421" s="14" t="str">
        <f t="shared" si="12"/>
        <v/>
      </c>
      <c r="Q421" s="14" t="str">
        <f t="shared" si="13"/>
        <v/>
      </c>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row>
    <row r="422" spans="1:44" ht="48" customHeight="1" x14ac:dyDescent="0.35">
      <c r="A422" s="18"/>
      <c r="B422" s="15"/>
      <c r="C422" s="15"/>
      <c r="D422" s="18"/>
      <c r="E422" s="15"/>
      <c r="F422" s="15"/>
      <c r="G422" s="36"/>
      <c r="H422" s="15"/>
      <c r="I422" s="15"/>
      <c r="J422" s="18" t="str">
        <f>IF(A422="","",IFERROR(HYPERLINK("#'Supplier Jobs'!A"&amp;(MATCH(A422,'Supplier Jobs'!$N$9:$N$258,0)+8),"JOBS / QUOTES"),"No quotes"))</f>
        <v/>
      </c>
      <c r="K422" s="18" t="str">
        <f>IF(A422="","",COUNTIF(Quotes!$D$9:$D$258,D422))</f>
        <v/>
      </c>
      <c r="L422" s="19" t="str">
        <f>IF(A422="","",IF(O422=1,SUMIF(Quotes!$C$9:$C$258,A422,Quotes!$AI$9:$AI$258),0))</f>
        <v/>
      </c>
      <c r="M422" s="19" t="str">
        <f>IF(A422="","",IF(O422=1,SUMIF(Quotes!$C$9:$C$258,A422,Quotes!$AJ$9:$AJ$258),0))</f>
        <v/>
      </c>
      <c r="N422" s="18"/>
      <c r="O422" s="18" t="str">
        <f>IF(A422="","",IF(COUNTIF($A$9:A422,A422)=1,1,0))</f>
        <v/>
      </c>
      <c r="P422" s="18" t="str">
        <f t="shared" si="12"/>
        <v/>
      </c>
      <c r="Q422" s="18" t="str">
        <f t="shared" si="13"/>
        <v/>
      </c>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row>
    <row r="423" spans="1:44" ht="48" customHeight="1" x14ac:dyDescent="0.35">
      <c r="A423" s="14"/>
      <c r="B423" s="15"/>
      <c r="C423" s="15"/>
      <c r="D423" s="14"/>
      <c r="E423" s="15"/>
      <c r="F423" s="15"/>
      <c r="G423" s="36"/>
      <c r="H423" s="15"/>
      <c r="I423" s="15"/>
      <c r="J423" s="14" t="str">
        <f>IF(A423="","",IFERROR(HYPERLINK("#'Supplier Jobs'!A"&amp;(MATCH(A423,'Supplier Jobs'!$N$9:$N$258,0)+8),"JOBS / QUOTES"),"No quotes"))</f>
        <v/>
      </c>
      <c r="K423" s="14" t="str">
        <f>IF(A423="","",COUNTIF(Quotes!$D$9:$D$258,D423))</f>
        <v/>
      </c>
      <c r="L423" s="16" t="str">
        <f>IF(A423="","",IF(O423=1,SUMIF(Quotes!$C$9:$C$258,A423,Quotes!$AI$9:$AI$258),0))</f>
        <v/>
      </c>
      <c r="M423" s="16" t="str">
        <f>IF(A423="","",IF(O423=1,SUMIF(Quotes!$C$9:$C$258,A423,Quotes!$AJ$9:$AJ$258),0))</f>
        <v/>
      </c>
      <c r="N423" s="14"/>
      <c r="O423" s="14" t="str">
        <f>IF(A423="","",IF(COUNTIF($A$9:A423,A423)=1,1,0))</f>
        <v/>
      </c>
      <c r="P423" s="14" t="str">
        <f t="shared" si="12"/>
        <v/>
      </c>
      <c r="Q423" s="14" t="str">
        <f t="shared" si="13"/>
        <v/>
      </c>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row>
    <row r="424" spans="1:44" ht="48" customHeight="1" x14ac:dyDescent="0.35">
      <c r="A424" s="18"/>
      <c r="B424" s="15"/>
      <c r="C424" s="15"/>
      <c r="D424" s="18"/>
      <c r="E424" s="15"/>
      <c r="F424" s="15"/>
      <c r="G424" s="36"/>
      <c r="H424" s="15"/>
      <c r="I424" s="15"/>
      <c r="J424" s="18" t="str">
        <f>IF(A424="","",IFERROR(HYPERLINK("#'Supplier Jobs'!A"&amp;(MATCH(A424,'Supplier Jobs'!$N$9:$N$258,0)+8),"JOBS / QUOTES"),"No quotes"))</f>
        <v/>
      </c>
      <c r="K424" s="18" t="str">
        <f>IF(A424="","",COUNTIF(Quotes!$D$9:$D$258,D424))</f>
        <v/>
      </c>
      <c r="L424" s="19" t="str">
        <f>IF(A424="","",IF(O424=1,SUMIF(Quotes!$C$9:$C$258,A424,Quotes!$AI$9:$AI$258),0))</f>
        <v/>
      </c>
      <c r="M424" s="19" t="str">
        <f>IF(A424="","",IF(O424=1,SUMIF(Quotes!$C$9:$C$258,A424,Quotes!$AJ$9:$AJ$258),0))</f>
        <v/>
      </c>
      <c r="N424" s="18"/>
      <c r="O424" s="18" t="str">
        <f>IF(A424="","",IF(COUNTIF($A$9:A424,A424)=1,1,0))</f>
        <v/>
      </c>
      <c r="P424" s="18" t="str">
        <f t="shared" si="12"/>
        <v/>
      </c>
      <c r="Q424" s="18" t="str">
        <f t="shared" si="13"/>
        <v/>
      </c>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row>
    <row r="425" spans="1:44" ht="48" customHeight="1" x14ac:dyDescent="0.35">
      <c r="A425" s="14"/>
      <c r="B425" s="15"/>
      <c r="C425" s="15"/>
      <c r="D425" s="14"/>
      <c r="E425" s="15"/>
      <c r="F425" s="15"/>
      <c r="G425" s="36"/>
      <c r="H425" s="15"/>
      <c r="I425" s="15"/>
      <c r="J425" s="14" t="str">
        <f>IF(A425="","",IFERROR(HYPERLINK("#'Supplier Jobs'!A"&amp;(MATCH(A425,'Supplier Jobs'!$N$9:$N$258,0)+8),"JOBS / QUOTES"),"No quotes"))</f>
        <v/>
      </c>
      <c r="K425" s="14" t="str">
        <f>IF(A425="","",COUNTIF(Quotes!$D$9:$D$258,D425))</f>
        <v/>
      </c>
      <c r="L425" s="16" t="str">
        <f>IF(A425="","",IF(O425=1,SUMIF(Quotes!$C$9:$C$258,A425,Quotes!$AI$9:$AI$258),0))</f>
        <v/>
      </c>
      <c r="M425" s="16" t="str">
        <f>IF(A425="","",IF(O425=1,SUMIF(Quotes!$C$9:$C$258,A425,Quotes!$AJ$9:$AJ$258),0))</f>
        <v/>
      </c>
      <c r="N425" s="14"/>
      <c r="O425" s="14" t="str">
        <f>IF(A425="","",IF(COUNTIF($A$9:A425,A425)=1,1,0))</f>
        <v/>
      </c>
      <c r="P425" s="14" t="str">
        <f t="shared" si="12"/>
        <v/>
      </c>
      <c r="Q425" s="14" t="str">
        <f t="shared" si="13"/>
        <v/>
      </c>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row>
    <row r="426" spans="1:44" ht="48" customHeight="1" x14ac:dyDescent="0.35">
      <c r="A426" s="18"/>
      <c r="B426" s="15"/>
      <c r="C426" s="15"/>
      <c r="D426" s="18"/>
      <c r="E426" s="15"/>
      <c r="F426" s="15"/>
      <c r="G426" s="36"/>
      <c r="H426" s="15"/>
      <c r="I426" s="15"/>
      <c r="J426" s="18" t="str">
        <f>IF(A426="","",IFERROR(HYPERLINK("#'Supplier Jobs'!A"&amp;(MATCH(A426,'Supplier Jobs'!$N$9:$N$258,0)+8),"JOBS / QUOTES"),"No quotes"))</f>
        <v/>
      </c>
      <c r="K426" s="18" t="str">
        <f>IF(A426="","",COUNTIF(Quotes!$D$9:$D$258,D426))</f>
        <v/>
      </c>
      <c r="L426" s="19" t="str">
        <f>IF(A426="","",IF(O426=1,SUMIF(Quotes!$C$9:$C$258,A426,Quotes!$AI$9:$AI$258),0))</f>
        <v/>
      </c>
      <c r="M426" s="19" t="str">
        <f>IF(A426="","",IF(O426=1,SUMIF(Quotes!$C$9:$C$258,A426,Quotes!$AJ$9:$AJ$258),0))</f>
        <v/>
      </c>
      <c r="N426" s="18"/>
      <c r="O426" s="18" t="str">
        <f>IF(A426="","",IF(COUNTIF($A$9:A426,A426)=1,1,0))</f>
        <v/>
      </c>
      <c r="P426" s="18" t="str">
        <f t="shared" si="12"/>
        <v/>
      </c>
      <c r="Q426" s="18" t="str">
        <f t="shared" si="13"/>
        <v/>
      </c>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row>
    <row r="427" spans="1:44" ht="48" customHeight="1" x14ac:dyDescent="0.35">
      <c r="A427" s="14"/>
      <c r="B427" s="15"/>
      <c r="C427" s="15"/>
      <c r="D427" s="14"/>
      <c r="E427" s="15"/>
      <c r="F427" s="15"/>
      <c r="G427" s="36"/>
      <c r="H427" s="15"/>
      <c r="I427" s="15"/>
      <c r="J427" s="14" t="str">
        <f>IF(A427="","",IFERROR(HYPERLINK("#'Supplier Jobs'!A"&amp;(MATCH(A427,'Supplier Jobs'!$N$9:$N$258,0)+8),"JOBS / QUOTES"),"No quotes"))</f>
        <v/>
      </c>
      <c r="K427" s="14" t="str">
        <f>IF(A427="","",COUNTIF(Quotes!$D$9:$D$258,D427))</f>
        <v/>
      </c>
      <c r="L427" s="16" t="str">
        <f>IF(A427="","",IF(O427=1,SUMIF(Quotes!$C$9:$C$258,A427,Quotes!$AI$9:$AI$258),0))</f>
        <v/>
      </c>
      <c r="M427" s="16" t="str">
        <f>IF(A427="","",IF(O427=1,SUMIF(Quotes!$C$9:$C$258,A427,Quotes!$AJ$9:$AJ$258),0))</f>
        <v/>
      </c>
      <c r="N427" s="14"/>
      <c r="O427" s="14" t="str">
        <f>IF(A427="","",IF(COUNTIF($A$9:A427,A427)=1,1,0))</f>
        <v/>
      </c>
      <c r="P427" s="14" t="str">
        <f t="shared" si="12"/>
        <v/>
      </c>
      <c r="Q427" s="14" t="str">
        <f t="shared" si="13"/>
        <v/>
      </c>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row>
    <row r="428" spans="1:44" ht="48" customHeight="1" x14ac:dyDescent="0.35">
      <c r="A428" s="18"/>
      <c r="B428" s="15"/>
      <c r="C428" s="15"/>
      <c r="D428" s="18"/>
      <c r="E428" s="15"/>
      <c r="F428" s="15"/>
      <c r="G428" s="36"/>
      <c r="H428" s="15"/>
      <c r="I428" s="15"/>
      <c r="J428" s="18" t="str">
        <f>IF(A428="","",IFERROR(HYPERLINK("#'Supplier Jobs'!A"&amp;(MATCH(A428,'Supplier Jobs'!$N$9:$N$258,0)+8),"JOBS / QUOTES"),"No quotes"))</f>
        <v/>
      </c>
      <c r="K428" s="18" t="str">
        <f>IF(A428="","",COUNTIF(Quotes!$D$9:$D$258,D428))</f>
        <v/>
      </c>
      <c r="L428" s="19" t="str">
        <f>IF(A428="","",IF(O428=1,SUMIF(Quotes!$C$9:$C$258,A428,Quotes!$AI$9:$AI$258),0))</f>
        <v/>
      </c>
      <c r="M428" s="19" t="str">
        <f>IF(A428="","",IF(O428=1,SUMIF(Quotes!$C$9:$C$258,A428,Quotes!$AJ$9:$AJ$258),0))</f>
        <v/>
      </c>
      <c r="N428" s="18"/>
      <c r="O428" s="18" t="str">
        <f>IF(A428="","",IF(COUNTIF($A$9:A428,A428)=1,1,0))</f>
        <v/>
      </c>
      <c r="P428" s="18" t="str">
        <f t="shared" si="12"/>
        <v/>
      </c>
      <c r="Q428" s="18" t="str">
        <f t="shared" si="13"/>
        <v/>
      </c>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row>
    <row r="429" spans="1:44" ht="48" customHeight="1" x14ac:dyDescent="0.35">
      <c r="A429" s="14"/>
      <c r="B429" s="15"/>
      <c r="C429" s="15"/>
      <c r="D429" s="14"/>
      <c r="E429" s="15"/>
      <c r="F429" s="15"/>
      <c r="G429" s="36"/>
      <c r="H429" s="15"/>
      <c r="I429" s="15"/>
      <c r="J429" s="14" t="str">
        <f>IF(A429="","",IFERROR(HYPERLINK("#'Supplier Jobs'!A"&amp;(MATCH(A429,'Supplier Jobs'!$N$9:$N$258,0)+8),"JOBS / QUOTES"),"No quotes"))</f>
        <v/>
      </c>
      <c r="K429" s="14" t="str">
        <f>IF(A429="","",COUNTIF(Quotes!$D$9:$D$258,D429))</f>
        <v/>
      </c>
      <c r="L429" s="16" t="str">
        <f>IF(A429="","",IF(O429=1,SUMIF(Quotes!$C$9:$C$258,A429,Quotes!$AI$9:$AI$258),0))</f>
        <v/>
      </c>
      <c r="M429" s="16" t="str">
        <f>IF(A429="","",IF(O429=1,SUMIF(Quotes!$C$9:$C$258,A429,Quotes!$AJ$9:$AJ$258),0))</f>
        <v/>
      </c>
      <c r="N429" s="14"/>
      <c r="O429" s="14" t="str">
        <f>IF(A429="","",IF(COUNTIF($A$9:A429,A429)=1,1,0))</f>
        <v/>
      </c>
      <c r="P429" s="14" t="str">
        <f t="shared" si="12"/>
        <v/>
      </c>
      <c r="Q429" s="14" t="str">
        <f t="shared" si="13"/>
        <v/>
      </c>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row>
    <row r="430" spans="1:44" ht="48" customHeight="1" x14ac:dyDescent="0.35">
      <c r="A430" s="18"/>
      <c r="B430" s="15"/>
      <c r="C430" s="15"/>
      <c r="D430" s="18"/>
      <c r="E430" s="15"/>
      <c r="F430" s="15"/>
      <c r="G430" s="36"/>
      <c r="H430" s="15"/>
      <c r="I430" s="15"/>
      <c r="J430" s="18" t="str">
        <f>IF(A430="","",IFERROR(HYPERLINK("#'Supplier Jobs'!A"&amp;(MATCH(A430,'Supplier Jobs'!$N$9:$N$258,0)+8),"JOBS / QUOTES"),"No quotes"))</f>
        <v/>
      </c>
      <c r="K430" s="18" t="str">
        <f>IF(A430="","",COUNTIF(Quotes!$D$9:$D$258,D430))</f>
        <v/>
      </c>
      <c r="L430" s="19" t="str">
        <f>IF(A430="","",IF(O430=1,SUMIF(Quotes!$C$9:$C$258,A430,Quotes!$AI$9:$AI$258),0))</f>
        <v/>
      </c>
      <c r="M430" s="19" t="str">
        <f>IF(A430="","",IF(O430=1,SUMIF(Quotes!$C$9:$C$258,A430,Quotes!$AJ$9:$AJ$258),0))</f>
        <v/>
      </c>
      <c r="N430" s="18"/>
      <c r="O430" s="18" t="str">
        <f>IF(A430="","",IF(COUNTIF($A$9:A430,A430)=1,1,0))</f>
        <v/>
      </c>
      <c r="P430" s="18" t="str">
        <f t="shared" si="12"/>
        <v/>
      </c>
      <c r="Q430" s="18" t="str">
        <f t="shared" si="13"/>
        <v/>
      </c>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row>
    <row r="431" spans="1:44" ht="48" customHeight="1" x14ac:dyDescent="0.35">
      <c r="A431" s="14"/>
      <c r="B431" s="15"/>
      <c r="C431" s="15"/>
      <c r="D431" s="14"/>
      <c r="E431" s="15"/>
      <c r="F431" s="15"/>
      <c r="G431" s="36"/>
      <c r="H431" s="15"/>
      <c r="I431" s="15"/>
      <c r="J431" s="14" t="str">
        <f>IF(A431="","",IFERROR(HYPERLINK("#'Supplier Jobs'!A"&amp;(MATCH(A431,'Supplier Jobs'!$N$9:$N$258,0)+8),"JOBS / QUOTES"),"No quotes"))</f>
        <v/>
      </c>
      <c r="K431" s="14" t="str">
        <f>IF(A431="","",COUNTIF(Quotes!$D$9:$D$258,D431))</f>
        <v/>
      </c>
      <c r="L431" s="16" t="str">
        <f>IF(A431="","",IF(O431=1,SUMIF(Quotes!$C$9:$C$258,A431,Quotes!$AI$9:$AI$258),0))</f>
        <v/>
      </c>
      <c r="M431" s="16" t="str">
        <f>IF(A431="","",IF(O431=1,SUMIF(Quotes!$C$9:$C$258,A431,Quotes!$AJ$9:$AJ$258),0))</f>
        <v/>
      </c>
      <c r="N431" s="14"/>
      <c r="O431" s="14" t="str">
        <f>IF(A431="","",IF(COUNTIF($A$9:A431,A431)=1,1,0))</f>
        <v/>
      </c>
      <c r="P431" s="14" t="str">
        <f t="shared" si="12"/>
        <v/>
      </c>
      <c r="Q431" s="14" t="str">
        <f t="shared" si="13"/>
        <v/>
      </c>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row>
    <row r="432" spans="1:44" ht="48" customHeight="1" x14ac:dyDescent="0.35">
      <c r="A432" s="18"/>
      <c r="B432" s="15"/>
      <c r="C432" s="15"/>
      <c r="D432" s="18"/>
      <c r="E432" s="15"/>
      <c r="F432" s="15"/>
      <c r="G432" s="36"/>
      <c r="H432" s="15"/>
      <c r="I432" s="15"/>
      <c r="J432" s="18" t="str">
        <f>IF(A432="","",IFERROR(HYPERLINK("#'Supplier Jobs'!A"&amp;(MATCH(A432,'Supplier Jobs'!$N$9:$N$258,0)+8),"JOBS / QUOTES"),"No quotes"))</f>
        <v/>
      </c>
      <c r="K432" s="18" t="str">
        <f>IF(A432="","",COUNTIF(Quotes!$D$9:$D$258,D432))</f>
        <v/>
      </c>
      <c r="L432" s="19" t="str">
        <f>IF(A432="","",IF(O432=1,SUMIF(Quotes!$C$9:$C$258,A432,Quotes!$AI$9:$AI$258),0))</f>
        <v/>
      </c>
      <c r="M432" s="19" t="str">
        <f>IF(A432="","",IF(O432=1,SUMIF(Quotes!$C$9:$C$258,A432,Quotes!$AJ$9:$AJ$258),0))</f>
        <v/>
      </c>
      <c r="N432" s="18"/>
      <c r="O432" s="18" t="str">
        <f>IF(A432="","",IF(COUNTIF($A$9:A432,A432)=1,1,0))</f>
        <v/>
      </c>
      <c r="P432" s="18" t="str">
        <f t="shared" si="12"/>
        <v/>
      </c>
      <c r="Q432" s="18" t="str">
        <f t="shared" si="13"/>
        <v/>
      </c>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row>
    <row r="433" spans="1:44" ht="48" customHeight="1" x14ac:dyDescent="0.35">
      <c r="A433" s="14"/>
      <c r="B433" s="15"/>
      <c r="C433" s="15"/>
      <c r="D433" s="14"/>
      <c r="E433" s="15"/>
      <c r="F433" s="15"/>
      <c r="G433" s="36"/>
      <c r="H433" s="15"/>
      <c r="I433" s="15"/>
      <c r="J433" s="14" t="str">
        <f>IF(A433="","",IFERROR(HYPERLINK("#'Supplier Jobs'!A"&amp;(MATCH(A433,'Supplier Jobs'!$N$9:$N$258,0)+8),"JOBS / QUOTES"),"No quotes"))</f>
        <v/>
      </c>
      <c r="K433" s="14" t="str">
        <f>IF(A433="","",COUNTIF(Quotes!$D$9:$D$258,D433))</f>
        <v/>
      </c>
      <c r="L433" s="16" t="str">
        <f>IF(A433="","",IF(O433=1,SUMIF(Quotes!$C$9:$C$258,A433,Quotes!$AI$9:$AI$258),0))</f>
        <v/>
      </c>
      <c r="M433" s="16" t="str">
        <f>IF(A433="","",IF(O433=1,SUMIF(Quotes!$C$9:$C$258,A433,Quotes!$AJ$9:$AJ$258),0))</f>
        <v/>
      </c>
      <c r="N433" s="14"/>
      <c r="O433" s="14" t="str">
        <f>IF(A433="","",IF(COUNTIF($A$9:A433,A433)=1,1,0))</f>
        <v/>
      </c>
      <c r="P433" s="14" t="str">
        <f t="shared" si="12"/>
        <v/>
      </c>
      <c r="Q433" s="14" t="str">
        <f t="shared" si="13"/>
        <v/>
      </c>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row>
    <row r="434" spans="1:44" ht="48" customHeight="1" x14ac:dyDescent="0.35">
      <c r="A434" s="18"/>
      <c r="B434" s="15"/>
      <c r="C434" s="15"/>
      <c r="D434" s="18"/>
      <c r="E434" s="15"/>
      <c r="F434" s="15"/>
      <c r="G434" s="36"/>
      <c r="H434" s="15"/>
      <c r="I434" s="15"/>
      <c r="J434" s="18" t="str">
        <f>IF(A434="","",IFERROR(HYPERLINK("#'Supplier Jobs'!A"&amp;(MATCH(A434,'Supplier Jobs'!$N$9:$N$258,0)+8),"JOBS / QUOTES"),"No quotes"))</f>
        <v/>
      </c>
      <c r="K434" s="18" t="str">
        <f>IF(A434="","",COUNTIF(Quotes!$D$9:$D$258,D434))</f>
        <v/>
      </c>
      <c r="L434" s="19" t="str">
        <f>IF(A434="","",IF(O434=1,SUMIF(Quotes!$C$9:$C$258,A434,Quotes!$AI$9:$AI$258),0))</f>
        <v/>
      </c>
      <c r="M434" s="19" t="str">
        <f>IF(A434="","",IF(O434=1,SUMIF(Quotes!$C$9:$C$258,A434,Quotes!$AJ$9:$AJ$258),0))</f>
        <v/>
      </c>
      <c r="N434" s="18"/>
      <c r="O434" s="18" t="str">
        <f>IF(A434="","",IF(COUNTIF($A$9:A434,A434)=1,1,0))</f>
        <v/>
      </c>
      <c r="P434" s="18" t="str">
        <f t="shared" si="12"/>
        <v/>
      </c>
      <c r="Q434" s="18" t="str">
        <f t="shared" si="13"/>
        <v/>
      </c>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row>
    <row r="435" spans="1:44" ht="48" customHeight="1" x14ac:dyDescent="0.35">
      <c r="A435" s="14"/>
      <c r="B435" s="15"/>
      <c r="C435" s="15"/>
      <c r="D435" s="14"/>
      <c r="E435" s="15"/>
      <c r="F435" s="15"/>
      <c r="G435" s="36"/>
      <c r="H435" s="15"/>
      <c r="I435" s="15"/>
      <c r="J435" s="14" t="str">
        <f>IF(A435="","",IFERROR(HYPERLINK("#'Supplier Jobs'!A"&amp;(MATCH(A435,'Supplier Jobs'!$N$9:$N$258,0)+8),"JOBS / QUOTES"),"No quotes"))</f>
        <v/>
      </c>
      <c r="K435" s="14" t="str">
        <f>IF(A435="","",COUNTIF(Quotes!$D$9:$D$258,D435))</f>
        <v/>
      </c>
      <c r="L435" s="16" t="str">
        <f>IF(A435="","",IF(O435=1,SUMIF(Quotes!$C$9:$C$258,A435,Quotes!$AI$9:$AI$258),0))</f>
        <v/>
      </c>
      <c r="M435" s="16" t="str">
        <f>IF(A435="","",IF(O435=1,SUMIF(Quotes!$C$9:$C$258,A435,Quotes!$AJ$9:$AJ$258),0))</f>
        <v/>
      </c>
      <c r="N435" s="14"/>
      <c r="O435" s="14" t="str">
        <f>IF(A435="","",IF(COUNTIF($A$9:A435,A435)=1,1,0))</f>
        <v/>
      </c>
      <c r="P435" s="14" t="str">
        <f t="shared" si="12"/>
        <v/>
      </c>
      <c r="Q435" s="14" t="str">
        <f t="shared" si="13"/>
        <v/>
      </c>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row>
    <row r="436" spans="1:44" ht="48" customHeight="1" x14ac:dyDescent="0.35">
      <c r="A436" s="18"/>
      <c r="B436" s="15"/>
      <c r="C436" s="15"/>
      <c r="D436" s="18"/>
      <c r="E436" s="15"/>
      <c r="F436" s="15"/>
      <c r="G436" s="36"/>
      <c r="H436" s="15"/>
      <c r="I436" s="15"/>
      <c r="J436" s="18" t="str">
        <f>IF(A436="","",IFERROR(HYPERLINK("#'Supplier Jobs'!A"&amp;(MATCH(A436,'Supplier Jobs'!$N$9:$N$258,0)+8),"JOBS / QUOTES"),"No quotes"))</f>
        <v/>
      </c>
      <c r="K436" s="18" t="str">
        <f>IF(A436="","",COUNTIF(Quotes!$D$9:$D$258,D436))</f>
        <v/>
      </c>
      <c r="L436" s="19" t="str">
        <f>IF(A436="","",IF(O436=1,SUMIF(Quotes!$C$9:$C$258,A436,Quotes!$AI$9:$AI$258),0))</f>
        <v/>
      </c>
      <c r="M436" s="19" t="str">
        <f>IF(A436="","",IF(O436=1,SUMIF(Quotes!$C$9:$C$258,A436,Quotes!$AJ$9:$AJ$258),0))</f>
        <v/>
      </c>
      <c r="N436" s="18"/>
      <c r="O436" s="18" t="str">
        <f>IF(A436="","",IF(COUNTIF($A$9:A436,A436)=1,1,0))</f>
        <v/>
      </c>
      <c r="P436" s="18" t="str">
        <f t="shared" si="12"/>
        <v/>
      </c>
      <c r="Q436" s="18" t="str">
        <f t="shared" si="13"/>
        <v/>
      </c>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row>
    <row r="437" spans="1:44" ht="48" customHeight="1" x14ac:dyDescent="0.35">
      <c r="A437" s="14"/>
      <c r="B437" s="15"/>
      <c r="C437" s="15"/>
      <c r="D437" s="14"/>
      <c r="E437" s="15"/>
      <c r="F437" s="15"/>
      <c r="G437" s="36"/>
      <c r="H437" s="15"/>
      <c r="I437" s="15"/>
      <c r="J437" s="14" t="str">
        <f>IF(A437="","",IFERROR(HYPERLINK("#'Supplier Jobs'!A"&amp;(MATCH(A437,'Supplier Jobs'!$N$9:$N$258,0)+8),"JOBS / QUOTES"),"No quotes"))</f>
        <v/>
      </c>
      <c r="K437" s="14" t="str">
        <f>IF(A437="","",COUNTIF(Quotes!$D$9:$D$258,D437))</f>
        <v/>
      </c>
      <c r="L437" s="16" t="str">
        <f>IF(A437="","",IF(O437=1,SUMIF(Quotes!$C$9:$C$258,A437,Quotes!$AI$9:$AI$258),0))</f>
        <v/>
      </c>
      <c r="M437" s="16" t="str">
        <f>IF(A437="","",IF(O437=1,SUMIF(Quotes!$C$9:$C$258,A437,Quotes!$AJ$9:$AJ$258),0))</f>
        <v/>
      </c>
      <c r="N437" s="14"/>
      <c r="O437" s="14" t="str">
        <f>IF(A437="","",IF(COUNTIF($A$9:A437,A437)=1,1,0))</f>
        <v/>
      </c>
      <c r="P437" s="14" t="str">
        <f t="shared" si="12"/>
        <v/>
      </c>
      <c r="Q437" s="14" t="str">
        <f t="shared" si="13"/>
        <v/>
      </c>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row>
    <row r="438" spans="1:44" ht="48" customHeight="1" x14ac:dyDescent="0.35">
      <c r="A438" s="18"/>
      <c r="B438" s="15"/>
      <c r="C438" s="15"/>
      <c r="D438" s="18"/>
      <c r="E438" s="15"/>
      <c r="F438" s="15"/>
      <c r="G438" s="36"/>
      <c r="H438" s="15"/>
      <c r="I438" s="15"/>
      <c r="J438" s="18" t="str">
        <f>IF(A438="","",IFERROR(HYPERLINK("#'Supplier Jobs'!A"&amp;(MATCH(A438,'Supplier Jobs'!$N$9:$N$258,0)+8),"JOBS / QUOTES"),"No quotes"))</f>
        <v/>
      </c>
      <c r="K438" s="18" t="str">
        <f>IF(A438="","",COUNTIF(Quotes!$D$9:$D$258,D438))</f>
        <v/>
      </c>
      <c r="L438" s="19" t="str">
        <f>IF(A438="","",IF(O438=1,SUMIF(Quotes!$C$9:$C$258,A438,Quotes!$AI$9:$AI$258),0))</f>
        <v/>
      </c>
      <c r="M438" s="19" t="str">
        <f>IF(A438="","",IF(O438=1,SUMIF(Quotes!$C$9:$C$258,A438,Quotes!$AJ$9:$AJ$258),0))</f>
        <v/>
      </c>
      <c r="N438" s="18"/>
      <c r="O438" s="18" t="str">
        <f>IF(A438="","",IF(COUNTIF($A$9:A438,A438)=1,1,0))</f>
        <v/>
      </c>
      <c r="P438" s="18" t="str">
        <f t="shared" si="12"/>
        <v/>
      </c>
      <c r="Q438" s="18" t="str">
        <f t="shared" si="13"/>
        <v/>
      </c>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row>
    <row r="439" spans="1:44" ht="48" customHeight="1" x14ac:dyDescent="0.35">
      <c r="A439" s="14"/>
      <c r="B439" s="15"/>
      <c r="C439" s="15"/>
      <c r="D439" s="14"/>
      <c r="E439" s="15"/>
      <c r="F439" s="15"/>
      <c r="G439" s="36"/>
      <c r="H439" s="15"/>
      <c r="I439" s="15"/>
      <c r="J439" s="14" t="str">
        <f>IF(A439="","",IFERROR(HYPERLINK("#'Supplier Jobs'!A"&amp;(MATCH(A439,'Supplier Jobs'!$N$9:$N$258,0)+8),"JOBS / QUOTES"),"No quotes"))</f>
        <v/>
      </c>
      <c r="K439" s="14" t="str">
        <f>IF(A439="","",COUNTIF(Quotes!$D$9:$D$258,D439))</f>
        <v/>
      </c>
      <c r="L439" s="16" t="str">
        <f>IF(A439="","",IF(O439=1,SUMIF(Quotes!$C$9:$C$258,A439,Quotes!$AI$9:$AI$258),0))</f>
        <v/>
      </c>
      <c r="M439" s="16" t="str">
        <f>IF(A439="","",IF(O439=1,SUMIF(Quotes!$C$9:$C$258,A439,Quotes!$AJ$9:$AJ$258),0))</f>
        <v/>
      </c>
      <c r="N439" s="14"/>
      <c r="O439" s="14" t="str">
        <f>IF(A439="","",IF(COUNTIF($A$9:A439,A439)=1,1,0))</f>
        <v/>
      </c>
      <c r="P439" s="14" t="str">
        <f t="shared" si="12"/>
        <v/>
      </c>
      <c r="Q439" s="14" t="str">
        <f t="shared" si="13"/>
        <v/>
      </c>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row>
    <row r="440" spans="1:44" ht="48" customHeight="1" x14ac:dyDescent="0.35">
      <c r="A440" s="18"/>
      <c r="B440" s="15"/>
      <c r="C440" s="15"/>
      <c r="D440" s="18"/>
      <c r="E440" s="15"/>
      <c r="F440" s="15"/>
      <c r="G440" s="36"/>
      <c r="H440" s="15"/>
      <c r="I440" s="15"/>
      <c r="J440" s="18" t="str">
        <f>IF(A440="","",IFERROR(HYPERLINK("#'Supplier Jobs'!A"&amp;(MATCH(A440,'Supplier Jobs'!$N$9:$N$258,0)+8),"JOBS / QUOTES"),"No quotes"))</f>
        <v/>
      </c>
      <c r="K440" s="18" t="str">
        <f>IF(A440="","",COUNTIF(Quotes!$D$9:$D$258,D440))</f>
        <v/>
      </c>
      <c r="L440" s="19" t="str">
        <f>IF(A440="","",IF(O440=1,SUMIF(Quotes!$C$9:$C$258,A440,Quotes!$AI$9:$AI$258),0))</f>
        <v/>
      </c>
      <c r="M440" s="19" t="str">
        <f>IF(A440="","",IF(O440=1,SUMIF(Quotes!$C$9:$C$258,A440,Quotes!$AJ$9:$AJ$258),0))</f>
        <v/>
      </c>
      <c r="N440" s="18"/>
      <c r="O440" s="18" t="str">
        <f>IF(A440="","",IF(COUNTIF($A$9:A440,A440)=1,1,0))</f>
        <v/>
      </c>
      <c r="P440" s="18" t="str">
        <f t="shared" si="12"/>
        <v/>
      </c>
      <c r="Q440" s="18" t="str">
        <f t="shared" si="13"/>
        <v/>
      </c>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row>
    <row r="441" spans="1:44" ht="48" customHeight="1" x14ac:dyDescent="0.35">
      <c r="A441" s="14"/>
      <c r="B441" s="15"/>
      <c r="C441" s="15"/>
      <c r="D441" s="14"/>
      <c r="E441" s="15"/>
      <c r="F441" s="15"/>
      <c r="G441" s="36"/>
      <c r="H441" s="15"/>
      <c r="I441" s="15"/>
      <c r="J441" s="14" t="str">
        <f>IF(A441="","",IFERROR(HYPERLINK("#'Supplier Jobs'!A"&amp;(MATCH(A441,'Supplier Jobs'!$N$9:$N$258,0)+8),"JOBS / QUOTES"),"No quotes"))</f>
        <v/>
      </c>
      <c r="K441" s="14" t="str">
        <f>IF(A441="","",COUNTIF(Quotes!$D$9:$D$258,D441))</f>
        <v/>
      </c>
      <c r="L441" s="16" t="str">
        <f>IF(A441="","",IF(O441=1,SUMIF(Quotes!$C$9:$C$258,A441,Quotes!$AI$9:$AI$258),0))</f>
        <v/>
      </c>
      <c r="M441" s="16" t="str">
        <f>IF(A441="","",IF(O441=1,SUMIF(Quotes!$C$9:$C$258,A441,Quotes!$AJ$9:$AJ$258),0))</f>
        <v/>
      </c>
      <c r="N441" s="14"/>
      <c r="O441" s="14" t="str">
        <f>IF(A441="","",IF(COUNTIF($A$9:A441,A441)=1,1,0))</f>
        <v/>
      </c>
      <c r="P441" s="14" t="str">
        <f t="shared" si="12"/>
        <v/>
      </c>
      <c r="Q441" s="14" t="str">
        <f t="shared" si="13"/>
        <v/>
      </c>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row>
    <row r="442" spans="1:44" ht="48" customHeight="1" x14ac:dyDescent="0.35">
      <c r="A442" s="18"/>
      <c r="B442" s="15"/>
      <c r="C442" s="15"/>
      <c r="D442" s="18"/>
      <c r="E442" s="15"/>
      <c r="F442" s="15"/>
      <c r="G442" s="36"/>
      <c r="H442" s="15"/>
      <c r="I442" s="15"/>
      <c r="J442" s="18" t="str">
        <f>IF(A442="","",IFERROR(HYPERLINK("#'Supplier Jobs'!A"&amp;(MATCH(A442,'Supplier Jobs'!$N$9:$N$258,0)+8),"JOBS / QUOTES"),"No quotes"))</f>
        <v/>
      </c>
      <c r="K442" s="18" t="str">
        <f>IF(A442="","",COUNTIF(Quotes!$D$9:$D$258,D442))</f>
        <v/>
      </c>
      <c r="L442" s="19" t="str">
        <f>IF(A442="","",IF(O442=1,SUMIF(Quotes!$C$9:$C$258,A442,Quotes!$AI$9:$AI$258),0))</f>
        <v/>
      </c>
      <c r="M442" s="19" t="str">
        <f>IF(A442="","",IF(O442=1,SUMIF(Quotes!$C$9:$C$258,A442,Quotes!$AJ$9:$AJ$258),0))</f>
        <v/>
      </c>
      <c r="N442" s="18"/>
      <c r="O442" s="18" t="str">
        <f>IF(A442="","",IF(COUNTIF($A$9:A442,A442)=1,1,0))</f>
        <v/>
      </c>
      <c r="P442" s="18" t="str">
        <f t="shared" si="12"/>
        <v/>
      </c>
      <c r="Q442" s="18" t="str">
        <f t="shared" si="13"/>
        <v/>
      </c>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row>
    <row r="443" spans="1:44" ht="48" customHeight="1" x14ac:dyDescent="0.35">
      <c r="A443" s="14"/>
      <c r="B443" s="15"/>
      <c r="C443" s="15"/>
      <c r="D443" s="14"/>
      <c r="E443" s="15"/>
      <c r="F443" s="15"/>
      <c r="G443" s="36"/>
      <c r="H443" s="15"/>
      <c r="I443" s="15"/>
      <c r="J443" s="14" t="str">
        <f>IF(A443="","",IFERROR(HYPERLINK("#'Supplier Jobs'!A"&amp;(MATCH(A443,'Supplier Jobs'!$N$9:$N$258,0)+8),"JOBS / QUOTES"),"No quotes"))</f>
        <v/>
      </c>
      <c r="K443" s="14" t="str">
        <f>IF(A443="","",COUNTIF(Quotes!$D$9:$D$258,D443))</f>
        <v/>
      </c>
      <c r="L443" s="16" t="str">
        <f>IF(A443="","",IF(O443=1,SUMIF(Quotes!$C$9:$C$258,A443,Quotes!$AI$9:$AI$258),0))</f>
        <v/>
      </c>
      <c r="M443" s="16" t="str">
        <f>IF(A443="","",IF(O443=1,SUMIF(Quotes!$C$9:$C$258,A443,Quotes!$AJ$9:$AJ$258),0))</f>
        <v/>
      </c>
      <c r="N443" s="14"/>
      <c r="O443" s="14" t="str">
        <f>IF(A443="","",IF(COUNTIF($A$9:A443,A443)=1,1,0))</f>
        <v/>
      </c>
      <c r="P443" s="14" t="str">
        <f t="shared" si="12"/>
        <v/>
      </c>
      <c r="Q443" s="14" t="str">
        <f t="shared" si="13"/>
        <v/>
      </c>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row>
    <row r="444" spans="1:44" ht="48" customHeight="1" x14ac:dyDescent="0.35">
      <c r="A444" s="18"/>
      <c r="B444" s="15"/>
      <c r="C444" s="15"/>
      <c r="D444" s="18"/>
      <c r="E444" s="15"/>
      <c r="F444" s="15"/>
      <c r="G444" s="36"/>
      <c r="H444" s="15"/>
      <c r="I444" s="15"/>
      <c r="J444" s="18" t="str">
        <f>IF(A444="","",IFERROR(HYPERLINK("#'Supplier Jobs'!A"&amp;(MATCH(A444,'Supplier Jobs'!$N$9:$N$258,0)+8),"JOBS / QUOTES"),"No quotes"))</f>
        <v/>
      </c>
      <c r="K444" s="18" t="str">
        <f>IF(A444="","",COUNTIF(Quotes!$D$9:$D$258,D444))</f>
        <v/>
      </c>
      <c r="L444" s="19" t="str">
        <f>IF(A444="","",IF(O444=1,SUMIF(Quotes!$C$9:$C$258,A444,Quotes!$AI$9:$AI$258),0))</f>
        <v/>
      </c>
      <c r="M444" s="19" t="str">
        <f>IF(A444="","",IF(O444=1,SUMIF(Quotes!$C$9:$C$258,A444,Quotes!$AJ$9:$AJ$258),0))</f>
        <v/>
      </c>
      <c r="N444" s="18"/>
      <c r="O444" s="18" t="str">
        <f>IF(A444="","",IF(COUNTIF($A$9:A444,A444)=1,1,0))</f>
        <v/>
      </c>
      <c r="P444" s="18" t="str">
        <f t="shared" si="12"/>
        <v/>
      </c>
      <c r="Q444" s="18" t="str">
        <f t="shared" si="13"/>
        <v/>
      </c>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row>
    <row r="445" spans="1:44" ht="48" customHeight="1" x14ac:dyDescent="0.35">
      <c r="A445" s="14"/>
      <c r="B445" s="15"/>
      <c r="C445" s="15"/>
      <c r="D445" s="14"/>
      <c r="E445" s="15"/>
      <c r="F445" s="15"/>
      <c r="G445" s="36"/>
      <c r="H445" s="15"/>
      <c r="I445" s="15"/>
      <c r="J445" s="14" t="str">
        <f>IF(A445="","",IFERROR(HYPERLINK("#'Supplier Jobs'!A"&amp;(MATCH(A445,'Supplier Jobs'!$N$9:$N$258,0)+8),"JOBS / QUOTES"),"No quotes"))</f>
        <v/>
      </c>
      <c r="K445" s="14" t="str">
        <f>IF(A445="","",COUNTIF(Quotes!$D$9:$D$258,D445))</f>
        <v/>
      </c>
      <c r="L445" s="16" t="str">
        <f>IF(A445="","",IF(O445=1,SUMIF(Quotes!$C$9:$C$258,A445,Quotes!$AI$9:$AI$258),0))</f>
        <v/>
      </c>
      <c r="M445" s="16" t="str">
        <f>IF(A445="","",IF(O445=1,SUMIF(Quotes!$C$9:$C$258,A445,Quotes!$AJ$9:$AJ$258),0))</f>
        <v/>
      </c>
      <c r="N445" s="14"/>
      <c r="O445" s="14" t="str">
        <f>IF(A445="","",IF(COUNTIF($A$9:A445,A445)=1,1,0))</f>
        <v/>
      </c>
      <c r="P445" s="14" t="str">
        <f t="shared" si="12"/>
        <v/>
      </c>
      <c r="Q445" s="14" t="str">
        <f t="shared" si="13"/>
        <v/>
      </c>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row>
    <row r="446" spans="1:44" ht="48" customHeight="1" x14ac:dyDescent="0.35">
      <c r="A446" s="18"/>
      <c r="B446" s="15"/>
      <c r="C446" s="15"/>
      <c r="D446" s="18"/>
      <c r="E446" s="15"/>
      <c r="F446" s="15"/>
      <c r="G446" s="36"/>
      <c r="H446" s="15"/>
      <c r="I446" s="15"/>
      <c r="J446" s="18" t="str">
        <f>IF(A446="","",IFERROR(HYPERLINK("#'Supplier Jobs'!A"&amp;(MATCH(A446,'Supplier Jobs'!$N$9:$N$258,0)+8),"JOBS / QUOTES"),"No quotes"))</f>
        <v/>
      </c>
      <c r="K446" s="18" t="str">
        <f>IF(A446="","",COUNTIF(Quotes!$D$9:$D$258,D446))</f>
        <v/>
      </c>
      <c r="L446" s="19" t="str">
        <f>IF(A446="","",IF(O446=1,SUMIF(Quotes!$C$9:$C$258,A446,Quotes!$AI$9:$AI$258),0))</f>
        <v/>
      </c>
      <c r="M446" s="19" t="str">
        <f>IF(A446="","",IF(O446=1,SUMIF(Quotes!$C$9:$C$258,A446,Quotes!$AJ$9:$AJ$258),0))</f>
        <v/>
      </c>
      <c r="N446" s="18"/>
      <c r="O446" s="18" t="str">
        <f>IF(A446="","",IF(COUNTIF($A$9:A446,A446)=1,1,0))</f>
        <v/>
      </c>
      <c r="P446" s="18" t="str">
        <f t="shared" si="12"/>
        <v/>
      </c>
      <c r="Q446" s="18" t="str">
        <f t="shared" si="13"/>
        <v/>
      </c>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row>
    <row r="447" spans="1:44" ht="48" customHeight="1" x14ac:dyDescent="0.35">
      <c r="A447" s="14"/>
      <c r="B447" s="15"/>
      <c r="C447" s="15"/>
      <c r="D447" s="14"/>
      <c r="E447" s="15"/>
      <c r="F447" s="15"/>
      <c r="G447" s="36"/>
      <c r="H447" s="15"/>
      <c r="I447" s="15"/>
      <c r="J447" s="14" t="str">
        <f>IF(A447="","",IFERROR(HYPERLINK("#'Supplier Jobs'!A"&amp;(MATCH(A447,'Supplier Jobs'!$N$9:$N$258,0)+8),"JOBS / QUOTES"),"No quotes"))</f>
        <v/>
      </c>
      <c r="K447" s="14" t="str">
        <f>IF(A447="","",COUNTIF(Quotes!$D$9:$D$258,D447))</f>
        <v/>
      </c>
      <c r="L447" s="16" t="str">
        <f>IF(A447="","",IF(O447=1,SUMIF(Quotes!$C$9:$C$258,A447,Quotes!$AI$9:$AI$258),0))</f>
        <v/>
      </c>
      <c r="M447" s="16" t="str">
        <f>IF(A447="","",IF(O447=1,SUMIF(Quotes!$C$9:$C$258,A447,Quotes!$AJ$9:$AJ$258),0))</f>
        <v/>
      </c>
      <c r="N447" s="14"/>
      <c r="O447" s="14" t="str">
        <f>IF(A447="","",IF(COUNTIF($A$9:A447,A447)=1,1,0))</f>
        <v/>
      </c>
      <c r="P447" s="14" t="str">
        <f t="shared" si="12"/>
        <v/>
      </c>
      <c r="Q447" s="14" t="str">
        <f t="shared" si="13"/>
        <v/>
      </c>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row>
    <row r="448" spans="1:44" ht="48" customHeight="1" x14ac:dyDescent="0.35">
      <c r="A448" s="18"/>
      <c r="B448" s="15"/>
      <c r="C448" s="15"/>
      <c r="D448" s="18"/>
      <c r="E448" s="15"/>
      <c r="F448" s="15"/>
      <c r="G448" s="36"/>
      <c r="H448" s="15"/>
      <c r="I448" s="15"/>
      <c r="J448" s="18" t="str">
        <f>IF(A448="","",IFERROR(HYPERLINK("#'Supplier Jobs'!A"&amp;(MATCH(A448,'Supplier Jobs'!$N$9:$N$258,0)+8),"JOBS / QUOTES"),"No quotes"))</f>
        <v/>
      </c>
      <c r="K448" s="18" t="str">
        <f>IF(A448="","",COUNTIF(Quotes!$D$9:$D$258,D448))</f>
        <v/>
      </c>
      <c r="L448" s="19" t="str">
        <f>IF(A448="","",IF(O448=1,SUMIF(Quotes!$C$9:$C$258,A448,Quotes!$AI$9:$AI$258),0))</f>
        <v/>
      </c>
      <c r="M448" s="19" t="str">
        <f>IF(A448="","",IF(O448=1,SUMIF(Quotes!$C$9:$C$258,A448,Quotes!$AJ$9:$AJ$258),0))</f>
        <v/>
      </c>
      <c r="N448" s="18"/>
      <c r="O448" s="18" t="str">
        <f>IF(A448="","",IF(COUNTIF($A$9:A448,A448)=1,1,0))</f>
        <v/>
      </c>
      <c r="P448" s="18" t="str">
        <f t="shared" si="12"/>
        <v/>
      </c>
      <c r="Q448" s="18" t="str">
        <f t="shared" si="13"/>
        <v/>
      </c>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row>
    <row r="449" spans="1:44" ht="48" customHeight="1" x14ac:dyDescent="0.35">
      <c r="A449" s="14"/>
      <c r="B449" s="15"/>
      <c r="C449" s="15"/>
      <c r="D449" s="14"/>
      <c r="E449" s="15"/>
      <c r="F449" s="15"/>
      <c r="G449" s="36"/>
      <c r="H449" s="15"/>
      <c r="I449" s="15"/>
      <c r="J449" s="14" t="str">
        <f>IF(A449="","",IFERROR(HYPERLINK("#'Supplier Jobs'!A"&amp;(MATCH(A449,'Supplier Jobs'!$N$9:$N$258,0)+8),"JOBS / QUOTES"),"No quotes"))</f>
        <v/>
      </c>
      <c r="K449" s="14" t="str">
        <f>IF(A449="","",COUNTIF(Quotes!$D$9:$D$258,D449))</f>
        <v/>
      </c>
      <c r="L449" s="16" t="str">
        <f>IF(A449="","",IF(O449=1,SUMIF(Quotes!$C$9:$C$258,A449,Quotes!$AI$9:$AI$258),0))</f>
        <v/>
      </c>
      <c r="M449" s="16" t="str">
        <f>IF(A449="","",IF(O449=1,SUMIF(Quotes!$C$9:$C$258,A449,Quotes!$AJ$9:$AJ$258),0))</f>
        <v/>
      </c>
      <c r="N449" s="14"/>
      <c r="O449" s="14" t="str">
        <f>IF(A449="","",IF(COUNTIF($A$9:A449,A449)=1,1,0))</f>
        <v/>
      </c>
      <c r="P449" s="14" t="str">
        <f t="shared" si="12"/>
        <v/>
      </c>
      <c r="Q449" s="14" t="str">
        <f t="shared" si="13"/>
        <v/>
      </c>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row>
    <row r="450" spans="1:44" ht="48" customHeight="1" x14ac:dyDescent="0.35">
      <c r="A450" s="18"/>
      <c r="B450" s="15"/>
      <c r="C450" s="15"/>
      <c r="D450" s="18"/>
      <c r="E450" s="15"/>
      <c r="F450" s="15"/>
      <c r="G450" s="36"/>
      <c r="H450" s="15"/>
      <c r="I450" s="15"/>
      <c r="J450" s="18" t="str">
        <f>IF(A450="","",IFERROR(HYPERLINK("#'Supplier Jobs'!A"&amp;(MATCH(A450,'Supplier Jobs'!$N$9:$N$258,0)+8),"JOBS / QUOTES"),"No quotes"))</f>
        <v/>
      </c>
      <c r="K450" s="18" t="str">
        <f>IF(A450="","",COUNTIF(Quotes!$D$9:$D$258,D450))</f>
        <v/>
      </c>
      <c r="L450" s="19" t="str">
        <f>IF(A450="","",IF(O450=1,SUMIF(Quotes!$C$9:$C$258,A450,Quotes!$AI$9:$AI$258),0))</f>
        <v/>
      </c>
      <c r="M450" s="19" t="str">
        <f>IF(A450="","",IF(O450=1,SUMIF(Quotes!$C$9:$C$258,A450,Quotes!$AJ$9:$AJ$258),0))</f>
        <v/>
      </c>
      <c r="N450" s="18"/>
      <c r="O450" s="18" t="str">
        <f>IF(A450="","",IF(COUNTIF($A$9:A450,A450)=1,1,0))</f>
        <v/>
      </c>
      <c r="P450" s="18" t="str">
        <f t="shared" si="12"/>
        <v/>
      </c>
      <c r="Q450" s="18" t="str">
        <f t="shared" si="13"/>
        <v/>
      </c>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row>
    <row r="451" spans="1:44" ht="48" customHeight="1" x14ac:dyDescent="0.35">
      <c r="A451" s="14"/>
      <c r="B451" s="15"/>
      <c r="C451" s="15"/>
      <c r="D451" s="14"/>
      <c r="E451" s="15"/>
      <c r="F451" s="15"/>
      <c r="G451" s="36"/>
      <c r="H451" s="15"/>
      <c r="I451" s="15"/>
      <c r="J451" s="14" t="str">
        <f>IF(A451="","",IFERROR(HYPERLINK("#'Supplier Jobs'!A"&amp;(MATCH(A451,'Supplier Jobs'!$N$9:$N$258,0)+8),"JOBS / QUOTES"),"No quotes"))</f>
        <v/>
      </c>
      <c r="K451" s="14" t="str">
        <f>IF(A451="","",COUNTIF(Quotes!$D$9:$D$258,D451))</f>
        <v/>
      </c>
      <c r="L451" s="16" t="str">
        <f>IF(A451="","",IF(O451=1,SUMIF(Quotes!$C$9:$C$258,A451,Quotes!$AI$9:$AI$258),0))</f>
        <v/>
      </c>
      <c r="M451" s="16" t="str">
        <f>IF(A451="","",IF(O451=1,SUMIF(Quotes!$C$9:$C$258,A451,Quotes!$AJ$9:$AJ$258),0))</f>
        <v/>
      </c>
      <c r="N451" s="14"/>
      <c r="O451" s="14" t="str">
        <f>IF(A451="","",IF(COUNTIF($A$9:A451,A451)=1,1,0))</f>
        <v/>
      </c>
      <c r="P451" s="14" t="str">
        <f t="shared" si="12"/>
        <v/>
      </c>
      <c r="Q451" s="14" t="str">
        <f t="shared" si="13"/>
        <v/>
      </c>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row>
    <row r="452" spans="1:44" ht="48" customHeight="1" x14ac:dyDescent="0.35">
      <c r="A452" s="18"/>
      <c r="B452" s="15"/>
      <c r="C452" s="15"/>
      <c r="D452" s="18"/>
      <c r="E452" s="15"/>
      <c r="F452" s="15"/>
      <c r="G452" s="36"/>
      <c r="H452" s="15"/>
      <c r="I452" s="15"/>
      <c r="J452" s="18" t="str">
        <f>IF(A452="","",IFERROR(HYPERLINK("#'Supplier Jobs'!A"&amp;(MATCH(A452,'Supplier Jobs'!$N$9:$N$258,0)+8),"JOBS / QUOTES"),"No quotes"))</f>
        <v/>
      </c>
      <c r="K452" s="18" t="str">
        <f>IF(A452="","",COUNTIF(Quotes!$D$9:$D$258,D452))</f>
        <v/>
      </c>
      <c r="L452" s="19" t="str">
        <f>IF(A452="","",IF(O452=1,SUMIF(Quotes!$C$9:$C$258,A452,Quotes!$AI$9:$AI$258),0))</f>
        <v/>
      </c>
      <c r="M452" s="19" t="str">
        <f>IF(A452="","",IF(O452=1,SUMIF(Quotes!$C$9:$C$258,A452,Quotes!$AJ$9:$AJ$258),0))</f>
        <v/>
      </c>
      <c r="N452" s="18"/>
      <c r="O452" s="18" t="str">
        <f>IF(A452="","",IF(COUNTIF($A$9:A452,A452)=1,1,0))</f>
        <v/>
      </c>
      <c r="P452" s="18" t="str">
        <f t="shared" si="12"/>
        <v/>
      </c>
      <c r="Q452" s="18" t="str">
        <f t="shared" si="13"/>
        <v/>
      </c>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row>
    <row r="453" spans="1:44" ht="48" customHeight="1" x14ac:dyDescent="0.35">
      <c r="A453" s="14"/>
      <c r="B453" s="15"/>
      <c r="C453" s="15"/>
      <c r="D453" s="14"/>
      <c r="E453" s="15"/>
      <c r="F453" s="15"/>
      <c r="G453" s="36"/>
      <c r="H453" s="15"/>
      <c r="I453" s="15"/>
      <c r="J453" s="14" t="str">
        <f>IF(A453="","",IFERROR(HYPERLINK("#'Supplier Jobs'!A"&amp;(MATCH(A453,'Supplier Jobs'!$N$9:$N$258,0)+8),"JOBS / QUOTES"),"No quotes"))</f>
        <v/>
      </c>
      <c r="K453" s="14" t="str">
        <f>IF(A453="","",COUNTIF(Quotes!$D$9:$D$258,D453))</f>
        <v/>
      </c>
      <c r="L453" s="16" t="str">
        <f>IF(A453="","",IF(O453=1,SUMIF(Quotes!$C$9:$C$258,A453,Quotes!$AI$9:$AI$258),0))</f>
        <v/>
      </c>
      <c r="M453" s="16" t="str">
        <f>IF(A453="","",IF(O453=1,SUMIF(Quotes!$C$9:$C$258,A453,Quotes!$AJ$9:$AJ$258),0))</f>
        <v/>
      </c>
      <c r="N453" s="14"/>
      <c r="O453" s="14" t="str">
        <f>IF(A453="","",IF(COUNTIF($A$9:A453,A453)=1,1,0))</f>
        <v/>
      </c>
      <c r="P453" s="14" t="str">
        <f t="shared" si="12"/>
        <v/>
      </c>
      <c r="Q453" s="14" t="str">
        <f t="shared" si="13"/>
        <v/>
      </c>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row>
    <row r="454" spans="1:44" ht="48" customHeight="1" x14ac:dyDescent="0.35">
      <c r="A454" s="18"/>
      <c r="B454" s="15"/>
      <c r="C454" s="15"/>
      <c r="D454" s="18"/>
      <c r="E454" s="15"/>
      <c r="F454" s="15"/>
      <c r="G454" s="36"/>
      <c r="H454" s="15"/>
      <c r="I454" s="15"/>
      <c r="J454" s="18" t="str">
        <f>IF(A454="","",IFERROR(HYPERLINK("#'Supplier Jobs'!A"&amp;(MATCH(A454,'Supplier Jobs'!$N$9:$N$258,0)+8),"JOBS / QUOTES"),"No quotes"))</f>
        <v/>
      </c>
      <c r="K454" s="18" t="str">
        <f>IF(A454="","",COUNTIF(Quotes!$D$9:$D$258,D454))</f>
        <v/>
      </c>
      <c r="L454" s="19" t="str">
        <f>IF(A454="","",IF(O454=1,SUMIF(Quotes!$C$9:$C$258,A454,Quotes!$AI$9:$AI$258),0))</f>
        <v/>
      </c>
      <c r="M454" s="19" t="str">
        <f>IF(A454="","",IF(O454=1,SUMIF(Quotes!$C$9:$C$258,A454,Quotes!$AJ$9:$AJ$258),0))</f>
        <v/>
      </c>
      <c r="N454" s="18"/>
      <c r="O454" s="18" t="str">
        <f>IF(A454="","",IF(COUNTIF($A$9:A454,A454)=1,1,0))</f>
        <v/>
      </c>
      <c r="P454" s="18" t="str">
        <f t="shared" si="12"/>
        <v/>
      </c>
      <c r="Q454" s="18" t="str">
        <f t="shared" si="13"/>
        <v/>
      </c>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row>
    <row r="455" spans="1:44" ht="48" customHeight="1" x14ac:dyDescent="0.35">
      <c r="A455" s="14"/>
      <c r="B455" s="15"/>
      <c r="C455" s="15"/>
      <c r="D455" s="14"/>
      <c r="E455" s="15"/>
      <c r="F455" s="15"/>
      <c r="G455" s="36"/>
      <c r="H455" s="15"/>
      <c r="I455" s="15"/>
      <c r="J455" s="14" t="str">
        <f>IF(A455="","",IFERROR(HYPERLINK("#'Supplier Jobs'!A"&amp;(MATCH(A455,'Supplier Jobs'!$N$9:$N$258,0)+8),"JOBS / QUOTES"),"No quotes"))</f>
        <v/>
      </c>
      <c r="K455" s="14" t="str">
        <f>IF(A455="","",COUNTIF(Quotes!$D$9:$D$258,D455))</f>
        <v/>
      </c>
      <c r="L455" s="16" t="str">
        <f>IF(A455="","",IF(O455=1,SUMIF(Quotes!$C$9:$C$258,A455,Quotes!$AI$9:$AI$258),0))</f>
        <v/>
      </c>
      <c r="M455" s="16" t="str">
        <f>IF(A455="","",IF(O455=1,SUMIF(Quotes!$C$9:$C$258,A455,Quotes!$AJ$9:$AJ$258),0))</f>
        <v/>
      </c>
      <c r="N455" s="14"/>
      <c r="O455" s="14" t="str">
        <f>IF(A455="","",IF(COUNTIF($A$9:A455,A455)=1,1,0))</f>
        <v/>
      </c>
      <c r="P455" s="14" t="str">
        <f t="shared" si="12"/>
        <v/>
      </c>
      <c r="Q455" s="14" t="str">
        <f t="shared" si="13"/>
        <v/>
      </c>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row>
    <row r="456" spans="1:44" ht="48" customHeight="1" x14ac:dyDescent="0.35">
      <c r="A456" s="18"/>
      <c r="B456" s="15"/>
      <c r="C456" s="15"/>
      <c r="D456" s="18"/>
      <c r="E456" s="15"/>
      <c r="F456" s="15"/>
      <c r="G456" s="36"/>
      <c r="H456" s="15"/>
      <c r="I456" s="15"/>
      <c r="J456" s="18" t="str">
        <f>IF(A456="","",IFERROR(HYPERLINK("#'Supplier Jobs'!A"&amp;(MATCH(A456,'Supplier Jobs'!$N$9:$N$258,0)+8),"JOBS / QUOTES"),"No quotes"))</f>
        <v/>
      </c>
      <c r="K456" s="18" t="str">
        <f>IF(A456="","",COUNTIF(Quotes!$D$9:$D$258,D456))</f>
        <v/>
      </c>
      <c r="L456" s="19" t="str">
        <f>IF(A456="","",IF(O456=1,SUMIF(Quotes!$C$9:$C$258,A456,Quotes!$AI$9:$AI$258),0))</f>
        <v/>
      </c>
      <c r="M456" s="19" t="str">
        <f>IF(A456="","",IF(O456=1,SUMIF(Quotes!$C$9:$C$258,A456,Quotes!$AJ$9:$AJ$258),0))</f>
        <v/>
      </c>
      <c r="N456" s="18"/>
      <c r="O456" s="18" t="str">
        <f>IF(A456="","",IF(COUNTIF($A$9:A456,A456)=1,1,0))</f>
        <v/>
      </c>
      <c r="P456" s="18" t="str">
        <f t="shared" si="12"/>
        <v/>
      </c>
      <c r="Q456" s="18" t="str">
        <f t="shared" si="13"/>
        <v/>
      </c>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row>
    <row r="457" spans="1:44" ht="48" customHeight="1" x14ac:dyDescent="0.35">
      <c r="A457" s="14"/>
      <c r="B457" s="15"/>
      <c r="C457" s="15"/>
      <c r="D457" s="14"/>
      <c r="E457" s="15"/>
      <c r="F457" s="15"/>
      <c r="G457" s="36"/>
      <c r="H457" s="15"/>
      <c r="I457" s="15"/>
      <c r="J457" s="14" t="str">
        <f>IF(A457="","",IFERROR(HYPERLINK("#'Supplier Jobs'!A"&amp;(MATCH(A457,'Supplier Jobs'!$N$9:$N$258,0)+8),"JOBS / QUOTES"),"No quotes"))</f>
        <v/>
      </c>
      <c r="K457" s="14" t="str">
        <f>IF(A457="","",COUNTIF(Quotes!$D$9:$D$258,D457))</f>
        <v/>
      </c>
      <c r="L457" s="16" t="str">
        <f>IF(A457="","",IF(O457=1,SUMIF(Quotes!$C$9:$C$258,A457,Quotes!$AI$9:$AI$258),0))</f>
        <v/>
      </c>
      <c r="M457" s="16" t="str">
        <f>IF(A457="","",IF(O457=1,SUMIF(Quotes!$C$9:$C$258,A457,Quotes!$AJ$9:$AJ$258),0))</f>
        <v/>
      </c>
      <c r="N457" s="14"/>
      <c r="O457" s="14" t="str">
        <f>IF(A457="","",IF(COUNTIF($A$9:A457,A457)=1,1,0))</f>
        <v/>
      </c>
      <c r="P457" s="14" t="str">
        <f t="shared" ref="P457:P508" si="14">IF(A457="","",D457&amp;" | "&amp;B457&amp;" | "&amp;E457)</f>
        <v/>
      </c>
      <c r="Q457" s="14" t="str">
        <f t="shared" ref="Q457:Q508" si="15">IF(A457="","",A457&amp;" | "&amp;B457)</f>
        <v/>
      </c>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row>
    <row r="458" spans="1:44" ht="48" customHeight="1" x14ac:dyDescent="0.35">
      <c r="A458" s="18"/>
      <c r="B458" s="15"/>
      <c r="C458" s="15"/>
      <c r="D458" s="18"/>
      <c r="E458" s="15"/>
      <c r="F458" s="15"/>
      <c r="G458" s="36"/>
      <c r="H458" s="15"/>
      <c r="I458" s="15"/>
      <c r="J458" s="18" t="str">
        <f>IF(A458="","",IFERROR(HYPERLINK("#'Supplier Jobs'!A"&amp;(MATCH(A458,'Supplier Jobs'!$N$9:$N$258,0)+8),"JOBS / QUOTES"),"No quotes"))</f>
        <v/>
      </c>
      <c r="K458" s="18" t="str">
        <f>IF(A458="","",COUNTIF(Quotes!$D$9:$D$258,D458))</f>
        <v/>
      </c>
      <c r="L458" s="19" t="str">
        <f>IF(A458="","",IF(O458=1,SUMIF(Quotes!$C$9:$C$258,A458,Quotes!$AI$9:$AI$258),0))</f>
        <v/>
      </c>
      <c r="M458" s="19" t="str">
        <f>IF(A458="","",IF(O458=1,SUMIF(Quotes!$C$9:$C$258,A458,Quotes!$AJ$9:$AJ$258),0))</f>
        <v/>
      </c>
      <c r="N458" s="18"/>
      <c r="O458" s="18" t="str">
        <f>IF(A458="","",IF(COUNTIF($A$9:A458,A458)=1,1,0))</f>
        <v/>
      </c>
      <c r="P458" s="18" t="str">
        <f t="shared" si="14"/>
        <v/>
      </c>
      <c r="Q458" s="18" t="str">
        <f t="shared" si="15"/>
        <v/>
      </c>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row>
    <row r="459" spans="1:44" ht="48" customHeight="1" x14ac:dyDescent="0.35">
      <c r="A459" s="14"/>
      <c r="B459" s="15"/>
      <c r="C459" s="15"/>
      <c r="D459" s="14"/>
      <c r="E459" s="15"/>
      <c r="F459" s="15"/>
      <c r="G459" s="36"/>
      <c r="H459" s="15"/>
      <c r="I459" s="15"/>
      <c r="J459" s="14" t="str">
        <f>IF(A459="","",IFERROR(HYPERLINK("#'Supplier Jobs'!A"&amp;(MATCH(A459,'Supplier Jobs'!$N$9:$N$258,0)+8),"JOBS / QUOTES"),"No quotes"))</f>
        <v/>
      </c>
      <c r="K459" s="14" t="str">
        <f>IF(A459="","",COUNTIF(Quotes!$D$9:$D$258,D459))</f>
        <v/>
      </c>
      <c r="L459" s="16" t="str">
        <f>IF(A459="","",IF(O459=1,SUMIF(Quotes!$C$9:$C$258,A459,Quotes!$AI$9:$AI$258),0))</f>
        <v/>
      </c>
      <c r="M459" s="16" t="str">
        <f>IF(A459="","",IF(O459=1,SUMIF(Quotes!$C$9:$C$258,A459,Quotes!$AJ$9:$AJ$258),0))</f>
        <v/>
      </c>
      <c r="N459" s="14"/>
      <c r="O459" s="14" t="str">
        <f>IF(A459="","",IF(COUNTIF($A$9:A459,A459)=1,1,0))</f>
        <v/>
      </c>
      <c r="P459" s="14" t="str">
        <f t="shared" si="14"/>
        <v/>
      </c>
      <c r="Q459" s="14" t="str">
        <f t="shared" si="15"/>
        <v/>
      </c>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row>
    <row r="460" spans="1:44" ht="48" customHeight="1" x14ac:dyDescent="0.35">
      <c r="A460" s="18"/>
      <c r="B460" s="15"/>
      <c r="C460" s="15"/>
      <c r="D460" s="18"/>
      <c r="E460" s="15"/>
      <c r="F460" s="15"/>
      <c r="G460" s="36"/>
      <c r="H460" s="15"/>
      <c r="I460" s="15"/>
      <c r="J460" s="18" t="str">
        <f>IF(A460="","",IFERROR(HYPERLINK("#'Supplier Jobs'!A"&amp;(MATCH(A460,'Supplier Jobs'!$N$9:$N$258,0)+8),"JOBS / QUOTES"),"No quotes"))</f>
        <v/>
      </c>
      <c r="K460" s="18" t="str">
        <f>IF(A460="","",COUNTIF(Quotes!$D$9:$D$258,D460))</f>
        <v/>
      </c>
      <c r="L460" s="19" t="str">
        <f>IF(A460="","",IF(O460=1,SUMIF(Quotes!$C$9:$C$258,A460,Quotes!$AI$9:$AI$258),0))</f>
        <v/>
      </c>
      <c r="M460" s="19" t="str">
        <f>IF(A460="","",IF(O460=1,SUMIF(Quotes!$C$9:$C$258,A460,Quotes!$AJ$9:$AJ$258),0))</f>
        <v/>
      </c>
      <c r="N460" s="18"/>
      <c r="O460" s="18" t="str">
        <f>IF(A460="","",IF(COUNTIF($A$9:A460,A460)=1,1,0))</f>
        <v/>
      </c>
      <c r="P460" s="18" t="str">
        <f t="shared" si="14"/>
        <v/>
      </c>
      <c r="Q460" s="18" t="str">
        <f t="shared" si="15"/>
        <v/>
      </c>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row>
    <row r="461" spans="1:44" ht="48" customHeight="1" x14ac:dyDescent="0.35">
      <c r="A461" s="14"/>
      <c r="B461" s="15"/>
      <c r="C461" s="15"/>
      <c r="D461" s="14"/>
      <c r="E461" s="15"/>
      <c r="F461" s="15"/>
      <c r="G461" s="36"/>
      <c r="H461" s="15"/>
      <c r="I461" s="15"/>
      <c r="J461" s="14" t="str">
        <f>IF(A461="","",IFERROR(HYPERLINK("#'Supplier Jobs'!A"&amp;(MATCH(A461,'Supplier Jobs'!$N$9:$N$258,0)+8),"JOBS / QUOTES"),"No quotes"))</f>
        <v/>
      </c>
      <c r="K461" s="14" t="str">
        <f>IF(A461="","",COUNTIF(Quotes!$D$9:$D$258,D461))</f>
        <v/>
      </c>
      <c r="L461" s="16" t="str">
        <f>IF(A461="","",IF(O461=1,SUMIF(Quotes!$C$9:$C$258,A461,Quotes!$AI$9:$AI$258),0))</f>
        <v/>
      </c>
      <c r="M461" s="16" t="str">
        <f>IF(A461="","",IF(O461=1,SUMIF(Quotes!$C$9:$C$258,A461,Quotes!$AJ$9:$AJ$258),0))</f>
        <v/>
      </c>
      <c r="N461" s="14"/>
      <c r="O461" s="14" t="str">
        <f>IF(A461="","",IF(COUNTIF($A$9:A461,A461)=1,1,0))</f>
        <v/>
      </c>
      <c r="P461" s="14" t="str">
        <f t="shared" si="14"/>
        <v/>
      </c>
      <c r="Q461" s="14" t="str">
        <f t="shared" si="15"/>
        <v/>
      </c>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row>
    <row r="462" spans="1:44" ht="48" customHeight="1" x14ac:dyDescent="0.35">
      <c r="A462" s="18"/>
      <c r="B462" s="15"/>
      <c r="C462" s="15"/>
      <c r="D462" s="18"/>
      <c r="E462" s="15"/>
      <c r="F462" s="15"/>
      <c r="G462" s="36"/>
      <c r="H462" s="15"/>
      <c r="I462" s="15"/>
      <c r="J462" s="18" t="str">
        <f>IF(A462="","",IFERROR(HYPERLINK("#'Supplier Jobs'!A"&amp;(MATCH(A462,'Supplier Jobs'!$N$9:$N$258,0)+8),"JOBS / QUOTES"),"No quotes"))</f>
        <v/>
      </c>
      <c r="K462" s="18" t="str">
        <f>IF(A462="","",COUNTIF(Quotes!$D$9:$D$258,D462))</f>
        <v/>
      </c>
      <c r="L462" s="19" t="str">
        <f>IF(A462="","",IF(O462=1,SUMIF(Quotes!$C$9:$C$258,A462,Quotes!$AI$9:$AI$258),0))</f>
        <v/>
      </c>
      <c r="M462" s="19" t="str">
        <f>IF(A462="","",IF(O462=1,SUMIF(Quotes!$C$9:$C$258,A462,Quotes!$AJ$9:$AJ$258),0))</f>
        <v/>
      </c>
      <c r="N462" s="18"/>
      <c r="O462" s="18" t="str">
        <f>IF(A462="","",IF(COUNTIF($A$9:A462,A462)=1,1,0))</f>
        <v/>
      </c>
      <c r="P462" s="18" t="str">
        <f t="shared" si="14"/>
        <v/>
      </c>
      <c r="Q462" s="18" t="str">
        <f t="shared" si="15"/>
        <v/>
      </c>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row>
    <row r="463" spans="1:44" ht="48" customHeight="1" x14ac:dyDescent="0.35">
      <c r="A463" s="14"/>
      <c r="B463" s="15"/>
      <c r="C463" s="15"/>
      <c r="D463" s="14"/>
      <c r="E463" s="15"/>
      <c r="F463" s="15"/>
      <c r="G463" s="36"/>
      <c r="H463" s="15"/>
      <c r="I463" s="15"/>
      <c r="J463" s="14" t="str">
        <f>IF(A463="","",IFERROR(HYPERLINK("#'Supplier Jobs'!A"&amp;(MATCH(A463,'Supplier Jobs'!$N$9:$N$258,0)+8),"JOBS / QUOTES"),"No quotes"))</f>
        <v/>
      </c>
      <c r="K463" s="14" t="str">
        <f>IF(A463="","",COUNTIF(Quotes!$D$9:$D$258,D463))</f>
        <v/>
      </c>
      <c r="L463" s="16" t="str">
        <f>IF(A463="","",IF(O463=1,SUMIF(Quotes!$C$9:$C$258,A463,Quotes!$AI$9:$AI$258),0))</f>
        <v/>
      </c>
      <c r="M463" s="16" t="str">
        <f>IF(A463="","",IF(O463=1,SUMIF(Quotes!$C$9:$C$258,A463,Quotes!$AJ$9:$AJ$258),0))</f>
        <v/>
      </c>
      <c r="N463" s="14"/>
      <c r="O463" s="14" t="str">
        <f>IF(A463="","",IF(COUNTIF($A$9:A463,A463)=1,1,0))</f>
        <v/>
      </c>
      <c r="P463" s="14" t="str">
        <f t="shared" si="14"/>
        <v/>
      </c>
      <c r="Q463" s="14" t="str">
        <f t="shared" si="15"/>
        <v/>
      </c>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row>
    <row r="464" spans="1:44" ht="48" customHeight="1" x14ac:dyDescent="0.35">
      <c r="A464" s="18"/>
      <c r="B464" s="15"/>
      <c r="C464" s="15"/>
      <c r="D464" s="18"/>
      <c r="E464" s="15"/>
      <c r="F464" s="15"/>
      <c r="G464" s="36"/>
      <c r="H464" s="15"/>
      <c r="I464" s="15"/>
      <c r="J464" s="18" t="str">
        <f>IF(A464="","",IFERROR(HYPERLINK("#'Supplier Jobs'!A"&amp;(MATCH(A464,'Supplier Jobs'!$N$9:$N$258,0)+8),"JOBS / QUOTES"),"No quotes"))</f>
        <v/>
      </c>
      <c r="K464" s="18" t="str">
        <f>IF(A464="","",COUNTIF(Quotes!$D$9:$D$258,D464))</f>
        <v/>
      </c>
      <c r="L464" s="19" t="str">
        <f>IF(A464="","",IF(O464=1,SUMIF(Quotes!$C$9:$C$258,A464,Quotes!$AI$9:$AI$258),0))</f>
        <v/>
      </c>
      <c r="M464" s="19" t="str">
        <f>IF(A464="","",IF(O464=1,SUMIF(Quotes!$C$9:$C$258,A464,Quotes!$AJ$9:$AJ$258),0))</f>
        <v/>
      </c>
      <c r="N464" s="18"/>
      <c r="O464" s="18" t="str">
        <f>IF(A464="","",IF(COUNTIF($A$9:A464,A464)=1,1,0))</f>
        <v/>
      </c>
      <c r="P464" s="18" t="str">
        <f t="shared" si="14"/>
        <v/>
      </c>
      <c r="Q464" s="18" t="str">
        <f t="shared" si="15"/>
        <v/>
      </c>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row>
    <row r="465" spans="1:44" ht="48" customHeight="1" x14ac:dyDescent="0.35">
      <c r="A465" s="14"/>
      <c r="B465" s="15"/>
      <c r="C465" s="15"/>
      <c r="D465" s="14"/>
      <c r="E465" s="15"/>
      <c r="F465" s="15"/>
      <c r="G465" s="36"/>
      <c r="H465" s="15"/>
      <c r="I465" s="15"/>
      <c r="J465" s="14" t="str">
        <f>IF(A465="","",IFERROR(HYPERLINK("#'Supplier Jobs'!A"&amp;(MATCH(A465,'Supplier Jobs'!$N$9:$N$258,0)+8),"JOBS / QUOTES"),"No quotes"))</f>
        <v/>
      </c>
      <c r="K465" s="14" t="str">
        <f>IF(A465="","",COUNTIF(Quotes!$D$9:$D$258,D465))</f>
        <v/>
      </c>
      <c r="L465" s="16" t="str">
        <f>IF(A465="","",IF(O465=1,SUMIF(Quotes!$C$9:$C$258,A465,Quotes!$AI$9:$AI$258),0))</f>
        <v/>
      </c>
      <c r="M465" s="16" t="str">
        <f>IF(A465="","",IF(O465=1,SUMIF(Quotes!$C$9:$C$258,A465,Quotes!$AJ$9:$AJ$258),0))</f>
        <v/>
      </c>
      <c r="N465" s="14"/>
      <c r="O465" s="14" t="str">
        <f>IF(A465="","",IF(COUNTIF($A$9:A465,A465)=1,1,0))</f>
        <v/>
      </c>
      <c r="P465" s="14" t="str">
        <f t="shared" si="14"/>
        <v/>
      </c>
      <c r="Q465" s="14" t="str">
        <f t="shared" si="15"/>
        <v/>
      </c>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row>
    <row r="466" spans="1:44" ht="48" customHeight="1" x14ac:dyDescent="0.35">
      <c r="A466" s="18"/>
      <c r="B466" s="15"/>
      <c r="C466" s="15"/>
      <c r="D466" s="18"/>
      <c r="E466" s="15"/>
      <c r="F466" s="15"/>
      <c r="G466" s="36"/>
      <c r="H466" s="15"/>
      <c r="I466" s="15"/>
      <c r="J466" s="18" t="str">
        <f>IF(A466="","",IFERROR(HYPERLINK("#'Supplier Jobs'!A"&amp;(MATCH(A466,'Supplier Jobs'!$N$9:$N$258,0)+8),"JOBS / QUOTES"),"No quotes"))</f>
        <v/>
      </c>
      <c r="K466" s="18" t="str">
        <f>IF(A466="","",COUNTIF(Quotes!$D$9:$D$258,D466))</f>
        <v/>
      </c>
      <c r="L466" s="19" t="str">
        <f>IF(A466="","",IF(O466=1,SUMIF(Quotes!$C$9:$C$258,A466,Quotes!$AI$9:$AI$258),0))</f>
        <v/>
      </c>
      <c r="M466" s="19" t="str">
        <f>IF(A466="","",IF(O466=1,SUMIF(Quotes!$C$9:$C$258,A466,Quotes!$AJ$9:$AJ$258),0))</f>
        <v/>
      </c>
      <c r="N466" s="18"/>
      <c r="O466" s="18" t="str">
        <f>IF(A466="","",IF(COUNTIF($A$9:A466,A466)=1,1,0))</f>
        <v/>
      </c>
      <c r="P466" s="18" t="str">
        <f t="shared" si="14"/>
        <v/>
      </c>
      <c r="Q466" s="18" t="str">
        <f t="shared" si="15"/>
        <v/>
      </c>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row>
    <row r="467" spans="1:44" ht="48" customHeight="1" x14ac:dyDescent="0.35">
      <c r="A467" s="14"/>
      <c r="B467" s="15"/>
      <c r="C467" s="15"/>
      <c r="D467" s="14"/>
      <c r="E467" s="15"/>
      <c r="F467" s="15"/>
      <c r="G467" s="36"/>
      <c r="H467" s="15"/>
      <c r="I467" s="15"/>
      <c r="J467" s="14" t="str">
        <f>IF(A467="","",IFERROR(HYPERLINK("#'Supplier Jobs'!A"&amp;(MATCH(A467,'Supplier Jobs'!$N$9:$N$258,0)+8),"JOBS / QUOTES"),"No quotes"))</f>
        <v/>
      </c>
      <c r="K467" s="14" t="str">
        <f>IF(A467="","",COUNTIF(Quotes!$D$9:$D$258,D467))</f>
        <v/>
      </c>
      <c r="L467" s="16" t="str">
        <f>IF(A467="","",IF(O467=1,SUMIF(Quotes!$C$9:$C$258,A467,Quotes!$AI$9:$AI$258),0))</f>
        <v/>
      </c>
      <c r="M467" s="16" t="str">
        <f>IF(A467="","",IF(O467=1,SUMIF(Quotes!$C$9:$C$258,A467,Quotes!$AJ$9:$AJ$258),0))</f>
        <v/>
      </c>
      <c r="N467" s="14"/>
      <c r="O467" s="14" t="str">
        <f>IF(A467="","",IF(COUNTIF($A$9:A467,A467)=1,1,0))</f>
        <v/>
      </c>
      <c r="P467" s="14" t="str">
        <f t="shared" si="14"/>
        <v/>
      </c>
      <c r="Q467" s="14" t="str">
        <f t="shared" si="15"/>
        <v/>
      </c>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row>
    <row r="468" spans="1:44" ht="48" customHeight="1" x14ac:dyDescent="0.35">
      <c r="A468" s="18"/>
      <c r="B468" s="15"/>
      <c r="C468" s="15"/>
      <c r="D468" s="18"/>
      <c r="E468" s="15"/>
      <c r="F468" s="15"/>
      <c r="G468" s="36"/>
      <c r="H468" s="15"/>
      <c r="I468" s="15"/>
      <c r="J468" s="18" t="str">
        <f>IF(A468="","",IFERROR(HYPERLINK("#'Supplier Jobs'!A"&amp;(MATCH(A468,'Supplier Jobs'!$N$9:$N$258,0)+8),"JOBS / QUOTES"),"No quotes"))</f>
        <v/>
      </c>
      <c r="K468" s="18" t="str">
        <f>IF(A468="","",COUNTIF(Quotes!$D$9:$D$258,D468))</f>
        <v/>
      </c>
      <c r="L468" s="19" t="str">
        <f>IF(A468="","",IF(O468=1,SUMIF(Quotes!$C$9:$C$258,A468,Quotes!$AI$9:$AI$258),0))</f>
        <v/>
      </c>
      <c r="M468" s="19" t="str">
        <f>IF(A468="","",IF(O468=1,SUMIF(Quotes!$C$9:$C$258,A468,Quotes!$AJ$9:$AJ$258),0))</f>
        <v/>
      </c>
      <c r="N468" s="18"/>
      <c r="O468" s="18" t="str">
        <f>IF(A468="","",IF(COUNTIF($A$9:A468,A468)=1,1,0))</f>
        <v/>
      </c>
      <c r="P468" s="18" t="str">
        <f t="shared" si="14"/>
        <v/>
      </c>
      <c r="Q468" s="18" t="str">
        <f t="shared" si="15"/>
        <v/>
      </c>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row>
    <row r="469" spans="1:44" ht="48" customHeight="1" x14ac:dyDescent="0.35">
      <c r="A469" s="14"/>
      <c r="B469" s="15"/>
      <c r="C469" s="15"/>
      <c r="D469" s="14"/>
      <c r="E469" s="15"/>
      <c r="F469" s="15"/>
      <c r="G469" s="36"/>
      <c r="H469" s="15"/>
      <c r="I469" s="15"/>
      <c r="J469" s="14" t="str">
        <f>IF(A469="","",IFERROR(HYPERLINK("#'Supplier Jobs'!A"&amp;(MATCH(A469,'Supplier Jobs'!$N$9:$N$258,0)+8),"JOBS / QUOTES"),"No quotes"))</f>
        <v/>
      </c>
      <c r="K469" s="14" t="str">
        <f>IF(A469="","",COUNTIF(Quotes!$D$9:$D$258,D469))</f>
        <v/>
      </c>
      <c r="L469" s="16" t="str">
        <f>IF(A469="","",IF(O469=1,SUMIF(Quotes!$C$9:$C$258,A469,Quotes!$AI$9:$AI$258),0))</f>
        <v/>
      </c>
      <c r="M469" s="16" t="str">
        <f>IF(A469="","",IF(O469=1,SUMIF(Quotes!$C$9:$C$258,A469,Quotes!$AJ$9:$AJ$258),0))</f>
        <v/>
      </c>
      <c r="N469" s="14"/>
      <c r="O469" s="14" t="str">
        <f>IF(A469="","",IF(COUNTIF($A$9:A469,A469)=1,1,0))</f>
        <v/>
      </c>
      <c r="P469" s="14" t="str">
        <f t="shared" si="14"/>
        <v/>
      </c>
      <c r="Q469" s="14" t="str">
        <f t="shared" si="15"/>
        <v/>
      </c>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row>
    <row r="470" spans="1:44" ht="48" customHeight="1" x14ac:dyDescent="0.35">
      <c r="A470" s="18"/>
      <c r="B470" s="15"/>
      <c r="C470" s="15"/>
      <c r="D470" s="18"/>
      <c r="E470" s="15"/>
      <c r="F470" s="15"/>
      <c r="G470" s="36"/>
      <c r="H470" s="15"/>
      <c r="I470" s="15"/>
      <c r="J470" s="18" t="str">
        <f>IF(A470="","",IFERROR(HYPERLINK("#'Supplier Jobs'!A"&amp;(MATCH(A470,'Supplier Jobs'!$N$9:$N$258,0)+8),"JOBS / QUOTES"),"No quotes"))</f>
        <v/>
      </c>
      <c r="K470" s="18" t="str">
        <f>IF(A470="","",COUNTIF(Quotes!$D$9:$D$258,D470))</f>
        <v/>
      </c>
      <c r="L470" s="19" t="str">
        <f>IF(A470="","",IF(O470=1,SUMIF(Quotes!$C$9:$C$258,A470,Quotes!$AI$9:$AI$258),0))</f>
        <v/>
      </c>
      <c r="M470" s="19" t="str">
        <f>IF(A470="","",IF(O470=1,SUMIF(Quotes!$C$9:$C$258,A470,Quotes!$AJ$9:$AJ$258),0))</f>
        <v/>
      </c>
      <c r="N470" s="18"/>
      <c r="O470" s="18" t="str">
        <f>IF(A470="","",IF(COUNTIF($A$9:A470,A470)=1,1,0))</f>
        <v/>
      </c>
      <c r="P470" s="18" t="str">
        <f t="shared" si="14"/>
        <v/>
      </c>
      <c r="Q470" s="18" t="str">
        <f t="shared" si="15"/>
        <v/>
      </c>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row>
    <row r="471" spans="1:44" ht="48" customHeight="1" x14ac:dyDescent="0.35">
      <c r="A471" s="14"/>
      <c r="B471" s="15"/>
      <c r="C471" s="15"/>
      <c r="D471" s="14"/>
      <c r="E471" s="15"/>
      <c r="F471" s="15"/>
      <c r="G471" s="36"/>
      <c r="H471" s="15"/>
      <c r="I471" s="15"/>
      <c r="J471" s="14" t="str">
        <f>IF(A471="","",IFERROR(HYPERLINK("#'Supplier Jobs'!A"&amp;(MATCH(A471,'Supplier Jobs'!$N$9:$N$258,0)+8),"JOBS / QUOTES"),"No quotes"))</f>
        <v/>
      </c>
      <c r="K471" s="14" t="str">
        <f>IF(A471="","",COUNTIF(Quotes!$D$9:$D$258,D471))</f>
        <v/>
      </c>
      <c r="L471" s="16" t="str">
        <f>IF(A471="","",IF(O471=1,SUMIF(Quotes!$C$9:$C$258,A471,Quotes!$AI$9:$AI$258),0))</f>
        <v/>
      </c>
      <c r="M471" s="16" t="str">
        <f>IF(A471="","",IF(O471=1,SUMIF(Quotes!$C$9:$C$258,A471,Quotes!$AJ$9:$AJ$258),0))</f>
        <v/>
      </c>
      <c r="N471" s="14"/>
      <c r="O471" s="14" t="str">
        <f>IF(A471="","",IF(COUNTIF($A$9:A471,A471)=1,1,0))</f>
        <v/>
      </c>
      <c r="P471" s="14" t="str">
        <f t="shared" si="14"/>
        <v/>
      </c>
      <c r="Q471" s="14" t="str">
        <f t="shared" si="15"/>
        <v/>
      </c>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14"/>
      <c r="AR471" s="14"/>
    </row>
    <row r="472" spans="1:44" ht="48" customHeight="1" x14ac:dyDescent="0.35">
      <c r="A472" s="18"/>
      <c r="B472" s="15"/>
      <c r="C472" s="15"/>
      <c r="D472" s="18"/>
      <c r="E472" s="15"/>
      <c r="F472" s="15"/>
      <c r="G472" s="36"/>
      <c r="H472" s="15"/>
      <c r="I472" s="15"/>
      <c r="J472" s="18" t="str">
        <f>IF(A472="","",IFERROR(HYPERLINK("#'Supplier Jobs'!A"&amp;(MATCH(A472,'Supplier Jobs'!$N$9:$N$258,0)+8),"JOBS / QUOTES"),"No quotes"))</f>
        <v/>
      </c>
      <c r="K472" s="18" t="str">
        <f>IF(A472="","",COUNTIF(Quotes!$D$9:$D$258,D472))</f>
        <v/>
      </c>
      <c r="L472" s="19" t="str">
        <f>IF(A472="","",IF(O472=1,SUMIF(Quotes!$C$9:$C$258,A472,Quotes!$AI$9:$AI$258),0))</f>
        <v/>
      </c>
      <c r="M472" s="19" t="str">
        <f>IF(A472="","",IF(O472=1,SUMIF(Quotes!$C$9:$C$258,A472,Quotes!$AJ$9:$AJ$258),0))</f>
        <v/>
      </c>
      <c r="N472" s="18"/>
      <c r="O472" s="18" t="str">
        <f>IF(A472="","",IF(COUNTIF($A$9:A472,A472)=1,1,0))</f>
        <v/>
      </c>
      <c r="P472" s="18" t="str">
        <f t="shared" si="14"/>
        <v/>
      </c>
      <c r="Q472" s="18" t="str">
        <f t="shared" si="15"/>
        <v/>
      </c>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row>
    <row r="473" spans="1:44" ht="48" customHeight="1" x14ac:dyDescent="0.35">
      <c r="A473" s="14"/>
      <c r="B473" s="15"/>
      <c r="C473" s="15"/>
      <c r="D473" s="14"/>
      <c r="E473" s="15"/>
      <c r="F473" s="15"/>
      <c r="G473" s="36"/>
      <c r="H473" s="15"/>
      <c r="I473" s="15"/>
      <c r="J473" s="14" t="str">
        <f>IF(A473="","",IFERROR(HYPERLINK("#'Supplier Jobs'!A"&amp;(MATCH(A473,'Supplier Jobs'!$N$9:$N$258,0)+8),"JOBS / QUOTES"),"No quotes"))</f>
        <v/>
      </c>
      <c r="K473" s="14" t="str">
        <f>IF(A473="","",COUNTIF(Quotes!$D$9:$D$258,D473))</f>
        <v/>
      </c>
      <c r="L473" s="16" t="str">
        <f>IF(A473="","",IF(O473=1,SUMIF(Quotes!$C$9:$C$258,A473,Quotes!$AI$9:$AI$258),0))</f>
        <v/>
      </c>
      <c r="M473" s="16" t="str">
        <f>IF(A473="","",IF(O473=1,SUMIF(Quotes!$C$9:$C$258,A473,Quotes!$AJ$9:$AJ$258),0))</f>
        <v/>
      </c>
      <c r="N473" s="14"/>
      <c r="O473" s="14" t="str">
        <f>IF(A473="","",IF(COUNTIF($A$9:A473,A473)=1,1,0))</f>
        <v/>
      </c>
      <c r="P473" s="14" t="str">
        <f t="shared" si="14"/>
        <v/>
      </c>
      <c r="Q473" s="14" t="str">
        <f t="shared" si="15"/>
        <v/>
      </c>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14"/>
      <c r="AR473" s="14"/>
    </row>
    <row r="474" spans="1:44" ht="48" customHeight="1" x14ac:dyDescent="0.35">
      <c r="A474" s="18"/>
      <c r="B474" s="15"/>
      <c r="C474" s="15"/>
      <c r="D474" s="18"/>
      <c r="E474" s="15"/>
      <c r="F474" s="15"/>
      <c r="G474" s="36"/>
      <c r="H474" s="15"/>
      <c r="I474" s="15"/>
      <c r="J474" s="18" t="str">
        <f>IF(A474="","",IFERROR(HYPERLINK("#'Supplier Jobs'!A"&amp;(MATCH(A474,'Supplier Jobs'!$N$9:$N$258,0)+8),"JOBS / QUOTES"),"No quotes"))</f>
        <v/>
      </c>
      <c r="K474" s="18" t="str">
        <f>IF(A474="","",COUNTIF(Quotes!$D$9:$D$258,D474))</f>
        <v/>
      </c>
      <c r="L474" s="19" t="str">
        <f>IF(A474="","",IF(O474=1,SUMIF(Quotes!$C$9:$C$258,A474,Quotes!$AI$9:$AI$258),0))</f>
        <v/>
      </c>
      <c r="M474" s="19" t="str">
        <f>IF(A474="","",IF(O474=1,SUMIF(Quotes!$C$9:$C$258,A474,Quotes!$AJ$9:$AJ$258),0))</f>
        <v/>
      </c>
      <c r="N474" s="18"/>
      <c r="O474" s="18" t="str">
        <f>IF(A474="","",IF(COUNTIF($A$9:A474,A474)=1,1,0))</f>
        <v/>
      </c>
      <c r="P474" s="18" t="str">
        <f t="shared" si="14"/>
        <v/>
      </c>
      <c r="Q474" s="18" t="str">
        <f t="shared" si="15"/>
        <v/>
      </c>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row>
    <row r="475" spans="1:44" ht="48" customHeight="1" x14ac:dyDescent="0.35">
      <c r="A475" s="14"/>
      <c r="B475" s="15"/>
      <c r="C475" s="15"/>
      <c r="D475" s="14"/>
      <c r="E475" s="15"/>
      <c r="F475" s="15"/>
      <c r="G475" s="36"/>
      <c r="H475" s="15"/>
      <c r="I475" s="15"/>
      <c r="J475" s="14" t="str">
        <f>IF(A475="","",IFERROR(HYPERLINK("#'Supplier Jobs'!A"&amp;(MATCH(A475,'Supplier Jobs'!$N$9:$N$258,0)+8),"JOBS / QUOTES"),"No quotes"))</f>
        <v/>
      </c>
      <c r="K475" s="14" t="str">
        <f>IF(A475="","",COUNTIF(Quotes!$D$9:$D$258,D475))</f>
        <v/>
      </c>
      <c r="L475" s="16" t="str">
        <f>IF(A475="","",IF(O475=1,SUMIF(Quotes!$C$9:$C$258,A475,Quotes!$AI$9:$AI$258),0))</f>
        <v/>
      </c>
      <c r="M475" s="16" t="str">
        <f>IF(A475="","",IF(O475=1,SUMIF(Quotes!$C$9:$C$258,A475,Quotes!$AJ$9:$AJ$258),0))</f>
        <v/>
      </c>
      <c r="N475" s="14"/>
      <c r="O475" s="14" t="str">
        <f>IF(A475="","",IF(COUNTIF($A$9:A475,A475)=1,1,0))</f>
        <v/>
      </c>
      <c r="P475" s="14" t="str">
        <f t="shared" si="14"/>
        <v/>
      </c>
      <c r="Q475" s="14" t="str">
        <f t="shared" si="15"/>
        <v/>
      </c>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14"/>
      <c r="AR475" s="14"/>
    </row>
    <row r="476" spans="1:44" ht="48" customHeight="1" x14ac:dyDescent="0.35">
      <c r="A476" s="18"/>
      <c r="B476" s="15"/>
      <c r="C476" s="15"/>
      <c r="D476" s="18"/>
      <c r="E476" s="15"/>
      <c r="F476" s="15"/>
      <c r="G476" s="36"/>
      <c r="H476" s="15"/>
      <c r="I476" s="15"/>
      <c r="J476" s="18" t="str">
        <f>IF(A476="","",IFERROR(HYPERLINK("#'Supplier Jobs'!A"&amp;(MATCH(A476,'Supplier Jobs'!$N$9:$N$258,0)+8),"JOBS / QUOTES"),"No quotes"))</f>
        <v/>
      </c>
      <c r="K476" s="18" t="str">
        <f>IF(A476="","",COUNTIF(Quotes!$D$9:$D$258,D476))</f>
        <v/>
      </c>
      <c r="L476" s="19" t="str">
        <f>IF(A476="","",IF(O476=1,SUMIF(Quotes!$C$9:$C$258,A476,Quotes!$AI$9:$AI$258),0))</f>
        <v/>
      </c>
      <c r="M476" s="19" t="str">
        <f>IF(A476="","",IF(O476=1,SUMIF(Quotes!$C$9:$C$258,A476,Quotes!$AJ$9:$AJ$258),0))</f>
        <v/>
      </c>
      <c r="N476" s="18"/>
      <c r="O476" s="18" t="str">
        <f>IF(A476="","",IF(COUNTIF($A$9:A476,A476)=1,1,0))</f>
        <v/>
      </c>
      <c r="P476" s="18" t="str">
        <f t="shared" si="14"/>
        <v/>
      </c>
      <c r="Q476" s="18" t="str">
        <f t="shared" si="15"/>
        <v/>
      </c>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row>
    <row r="477" spans="1:44" ht="48" customHeight="1" x14ac:dyDescent="0.35">
      <c r="A477" s="14"/>
      <c r="B477" s="15"/>
      <c r="C477" s="15"/>
      <c r="D477" s="14"/>
      <c r="E477" s="15"/>
      <c r="F477" s="15"/>
      <c r="G477" s="36"/>
      <c r="H477" s="15"/>
      <c r="I477" s="15"/>
      <c r="J477" s="14" t="str">
        <f>IF(A477="","",IFERROR(HYPERLINK("#'Supplier Jobs'!A"&amp;(MATCH(A477,'Supplier Jobs'!$N$9:$N$258,0)+8),"JOBS / QUOTES"),"No quotes"))</f>
        <v/>
      </c>
      <c r="K477" s="14" t="str">
        <f>IF(A477="","",COUNTIF(Quotes!$D$9:$D$258,D477))</f>
        <v/>
      </c>
      <c r="L477" s="16" t="str">
        <f>IF(A477="","",IF(O477=1,SUMIF(Quotes!$C$9:$C$258,A477,Quotes!$AI$9:$AI$258),0))</f>
        <v/>
      </c>
      <c r="M477" s="16" t="str">
        <f>IF(A477="","",IF(O477=1,SUMIF(Quotes!$C$9:$C$258,A477,Quotes!$AJ$9:$AJ$258),0))</f>
        <v/>
      </c>
      <c r="N477" s="14"/>
      <c r="O477" s="14" t="str">
        <f>IF(A477="","",IF(COUNTIF($A$9:A477,A477)=1,1,0))</f>
        <v/>
      </c>
      <c r="P477" s="14" t="str">
        <f t="shared" si="14"/>
        <v/>
      </c>
      <c r="Q477" s="14" t="str">
        <f t="shared" si="15"/>
        <v/>
      </c>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14"/>
      <c r="AR477" s="14"/>
    </row>
    <row r="478" spans="1:44" ht="48" customHeight="1" x14ac:dyDescent="0.35">
      <c r="A478" s="18"/>
      <c r="B478" s="15"/>
      <c r="C478" s="15"/>
      <c r="D478" s="18"/>
      <c r="E478" s="15"/>
      <c r="F478" s="15"/>
      <c r="G478" s="36"/>
      <c r="H478" s="15"/>
      <c r="I478" s="15"/>
      <c r="J478" s="18" t="str">
        <f>IF(A478="","",IFERROR(HYPERLINK("#'Supplier Jobs'!A"&amp;(MATCH(A478,'Supplier Jobs'!$N$9:$N$258,0)+8),"JOBS / QUOTES"),"No quotes"))</f>
        <v/>
      </c>
      <c r="K478" s="18" t="str">
        <f>IF(A478="","",COUNTIF(Quotes!$D$9:$D$258,D478))</f>
        <v/>
      </c>
      <c r="L478" s="19" t="str">
        <f>IF(A478="","",IF(O478=1,SUMIF(Quotes!$C$9:$C$258,A478,Quotes!$AI$9:$AI$258),0))</f>
        <v/>
      </c>
      <c r="M478" s="19" t="str">
        <f>IF(A478="","",IF(O478=1,SUMIF(Quotes!$C$9:$C$258,A478,Quotes!$AJ$9:$AJ$258),0))</f>
        <v/>
      </c>
      <c r="N478" s="18"/>
      <c r="O478" s="18" t="str">
        <f>IF(A478="","",IF(COUNTIF($A$9:A478,A478)=1,1,0))</f>
        <v/>
      </c>
      <c r="P478" s="18" t="str">
        <f t="shared" si="14"/>
        <v/>
      </c>
      <c r="Q478" s="18" t="str">
        <f t="shared" si="15"/>
        <v/>
      </c>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row>
    <row r="479" spans="1:44" ht="48" customHeight="1" x14ac:dyDescent="0.35">
      <c r="A479" s="14"/>
      <c r="B479" s="15"/>
      <c r="C479" s="15"/>
      <c r="D479" s="14"/>
      <c r="E479" s="15"/>
      <c r="F479" s="15"/>
      <c r="G479" s="36"/>
      <c r="H479" s="15"/>
      <c r="I479" s="15"/>
      <c r="J479" s="14" t="str">
        <f>IF(A479="","",IFERROR(HYPERLINK("#'Supplier Jobs'!A"&amp;(MATCH(A479,'Supplier Jobs'!$N$9:$N$258,0)+8),"JOBS / QUOTES"),"No quotes"))</f>
        <v/>
      </c>
      <c r="K479" s="14" t="str">
        <f>IF(A479="","",COUNTIF(Quotes!$D$9:$D$258,D479))</f>
        <v/>
      </c>
      <c r="L479" s="16" t="str">
        <f>IF(A479="","",IF(O479=1,SUMIF(Quotes!$C$9:$C$258,A479,Quotes!$AI$9:$AI$258),0))</f>
        <v/>
      </c>
      <c r="M479" s="16" t="str">
        <f>IF(A479="","",IF(O479=1,SUMIF(Quotes!$C$9:$C$258,A479,Quotes!$AJ$9:$AJ$258),0))</f>
        <v/>
      </c>
      <c r="N479" s="14"/>
      <c r="O479" s="14" t="str">
        <f>IF(A479="","",IF(COUNTIF($A$9:A479,A479)=1,1,0))</f>
        <v/>
      </c>
      <c r="P479" s="14" t="str">
        <f t="shared" si="14"/>
        <v/>
      </c>
      <c r="Q479" s="14" t="str">
        <f t="shared" si="15"/>
        <v/>
      </c>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14"/>
      <c r="AR479" s="14"/>
    </row>
    <row r="480" spans="1:44" ht="48" customHeight="1" x14ac:dyDescent="0.35">
      <c r="A480" s="18"/>
      <c r="B480" s="15"/>
      <c r="C480" s="15"/>
      <c r="D480" s="18"/>
      <c r="E480" s="15"/>
      <c r="F480" s="15"/>
      <c r="G480" s="36"/>
      <c r="H480" s="15"/>
      <c r="I480" s="15"/>
      <c r="J480" s="18" t="str">
        <f>IF(A480="","",IFERROR(HYPERLINK("#'Supplier Jobs'!A"&amp;(MATCH(A480,'Supplier Jobs'!$N$9:$N$258,0)+8),"JOBS / QUOTES"),"No quotes"))</f>
        <v/>
      </c>
      <c r="K480" s="18" t="str">
        <f>IF(A480="","",COUNTIF(Quotes!$D$9:$D$258,D480))</f>
        <v/>
      </c>
      <c r="L480" s="19" t="str">
        <f>IF(A480="","",IF(O480=1,SUMIF(Quotes!$C$9:$C$258,A480,Quotes!$AI$9:$AI$258),0))</f>
        <v/>
      </c>
      <c r="M480" s="19" t="str">
        <f>IF(A480="","",IF(O480=1,SUMIF(Quotes!$C$9:$C$258,A480,Quotes!$AJ$9:$AJ$258),0))</f>
        <v/>
      </c>
      <c r="N480" s="18"/>
      <c r="O480" s="18" t="str">
        <f>IF(A480="","",IF(COUNTIF($A$9:A480,A480)=1,1,0))</f>
        <v/>
      </c>
      <c r="P480" s="18" t="str">
        <f t="shared" si="14"/>
        <v/>
      </c>
      <c r="Q480" s="18" t="str">
        <f t="shared" si="15"/>
        <v/>
      </c>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row>
    <row r="481" spans="1:44" ht="48" customHeight="1" x14ac:dyDescent="0.35">
      <c r="A481" s="14"/>
      <c r="B481" s="15"/>
      <c r="C481" s="15"/>
      <c r="D481" s="14"/>
      <c r="E481" s="15"/>
      <c r="F481" s="15"/>
      <c r="G481" s="36"/>
      <c r="H481" s="15"/>
      <c r="I481" s="15"/>
      <c r="J481" s="14" t="str">
        <f>IF(A481="","",IFERROR(HYPERLINK("#'Supplier Jobs'!A"&amp;(MATCH(A481,'Supplier Jobs'!$N$9:$N$258,0)+8),"JOBS / QUOTES"),"No quotes"))</f>
        <v/>
      </c>
      <c r="K481" s="14" t="str">
        <f>IF(A481="","",COUNTIF(Quotes!$D$9:$D$258,D481))</f>
        <v/>
      </c>
      <c r="L481" s="16" t="str">
        <f>IF(A481="","",IF(O481=1,SUMIF(Quotes!$C$9:$C$258,A481,Quotes!$AI$9:$AI$258),0))</f>
        <v/>
      </c>
      <c r="M481" s="16" t="str">
        <f>IF(A481="","",IF(O481=1,SUMIF(Quotes!$C$9:$C$258,A481,Quotes!$AJ$9:$AJ$258),0))</f>
        <v/>
      </c>
      <c r="N481" s="14"/>
      <c r="O481" s="14" t="str">
        <f>IF(A481="","",IF(COUNTIF($A$9:A481,A481)=1,1,0))</f>
        <v/>
      </c>
      <c r="P481" s="14" t="str">
        <f t="shared" si="14"/>
        <v/>
      </c>
      <c r="Q481" s="14" t="str">
        <f t="shared" si="15"/>
        <v/>
      </c>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14"/>
      <c r="AR481" s="14"/>
    </row>
    <row r="482" spans="1:44" ht="48" customHeight="1" x14ac:dyDescent="0.35">
      <c r="A482" s="18"/>
      <c r="B482" s="15"/>
      <c r="C482" s="15"/>
      <c r="D482" s="18"/>
      <c r="E482" s="15"/>
      <c r="F482" s="15"/>
      <c r="G482" s="36"/>
      <c r="H482" s="15"/>
      <c r="I482" s="15"/>
      <c r="J482" s="18" t="str">
        <f>IF(A482="","",IFERROR(HYPERLINK("#'Supplier Jobs'!A"&amp;(MATCH(A482,'Supplier Jobs'!$N$9:$N$258,0)+8),"JOBS / QUOTES"),"No quotes"))</f>
        <v/>
      </c>
      <c r="K482" s="18" t="str">
        <f>IF(A482="","",COUNTIF(Quotes!$D$9:$D$258,D482))</f>
        <v/>
      </c>
      <c r="L482" s="19" t="str">
        <f>IF(A482="","",IF(O482=1,SUMIF(Quotes!$C$9:$C$258,A482,Quotes!$AI$9:$AI$258),0))</f>
        <v/>
      </c>
      <c r="M482" s="19" t="str">
        <f>IF(A482="","",IF(O482=1,SUMIF(Quotes!$C$9:$C$258,A482,Quotes!$AJ$9:$AJ$258),0))</f>
        <v/>
      </c>
      <c r="N482" s="18"/>
      <c r="O482" s="18" t="str">
        <f>IF(A482="","",IF(COUNTIF($A$9:A482,A482)=1,1,0))</f>
        <v/>
      </c>
      <c r="P482" s="18" t="str">
        <f t="shared" si="14"/>
        <v/>
      </c>
      <c r="Q482" s="18" t="str">
        <f t="shared" si="15"/>
        <v/>
      </c>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row>
    <row r="483" spans="1:44" ht="48" customHeight="1" x14ac:dyDescent="0.35">
      <c r="A483" s="14"/>
      <c r="B483" s="15"/>
      <c r="C483" s="15"/>
      <c r="D483" s="14"/>
      <c r="E483" s="15"/>
      <c r="F483" s="15"/>
      <c r="G483" s="36"/>
      <c r="H483" s="15"/>
      <c r="I483" s="15"/>
      <c r="J483" s="14" t="str">
        <f>IF(A483="","",IFERROR(HYPERLINK("#'Supplier Jobs'!A"&amp;(MATCH(A483,'Supplier Jobs'!$N$9:$N$258,0)+8),"JOBS / QUOTES"),"No quotes"))</f>
        <v/>
      </c>
      <c r="K483" s="14" t="str">
        <f>IF(A483="","",COUNTIF(Quotes!$D$9:$D$258,D483))</f>
        <v/>
      </c>
      <c r="L483" s="16" t="str">
        <f>IF(A483="","",IF(O483=1,SUMIF(Quotes!$C$9:$C$258,A483,Quotes!$AI$9:$AI$258),0))</f>
        <v/>
      </c>
      <c r="M483" s="16" t="str">
        <f>IF(A483="","",IF(O483=1,SUMIF(Quotes!$C$9:$C$258,A483,Quotes!$AJ$9:$AJ$258),0))</f>
        <v/>
      </c>
      <c r="N483" s="14"/>
      <c r="O483" s="14" t="str">
        <f>IF(A483="","",IF(COUNTIF($A$9:A483,A483)=1,1,0))</f>
        <v/>
      </c>
      <c r="P483" s="14" t="str">
        <f t="shared" si="14"/>
        <v/>
      </c>
      <c r="Q483" s="14" t="str">
        <f t="shared" si="15"/>
        <v/>
      </c>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14"/>
      <c r="AR483" s="14"/>
    </row>
    <row r="484" spans="1:44" ht="48" customHeight="1" x14ac:dyDescent="0.35">
      <c r="A484" s="18"/>
      <c r="B484" s="15"/>
      <c r="C484" s="15"/>
      <c r="D484" s="18"/>
      <c r="E484" s="15"/>
      <c r="F484" s="15"/>
      <c r="G484" s="36"/>
      <c r="H484" s="15"/>
      <c r="I484" s="15"/>
      <c r="J484" s="18" t="str">
        <f>IF(A484="","",IFERROR(HYPERLINK("#'Supplier Jobs'!A"&amp;(MATCH(A484,'Supplier Jobs'!$N$9:$N$258,0)+8),"JOBS / QUOTES"),"No quotes"))</f>
        <v/>
      </c>
      <c r="K484" s="18" t="str">
        <f>IF(A484="","",COUNTIF(Quotes!$D$9:$D$258,D484))</f>
        <v/>
      </c>
      <c r="L484" s="19" t="str">
        <f>IF(A484="","",IF(O484=1,SUMIF(Quotes!$C$9:$C$258,A484,Quotes!$AI$9:$AI$258),0))</f>
        <v/>
      </c>
      <c r="M484" s="19" t="str">
        <f>IF(A484="","",IF(O484=1,SUMIF(Quotes!$C$9:$C$258,A484,Quotes!$AJ$9:$AJ$258),0))</f>
        <v/>
      </c>
      <c r="N484" s="18"/>
      <c r="O484" s="18" t="str">
        <f>IF(A484="","",IF(COUNTIF($A$9:A484,A484)=1,1,0))</f>
        <v/>
      </c>
      <c r="P484" s="18" t="str">
        <f t="shared" si="14"/>
        <v/>
      </c>
      <c r="Q484" s="18" t="str">
        <f t="shared" si="15"/>
        <v/>
      </c>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row>
    <row r="485" spans="1:44" ht="48" customHeight="1" x14ac:dyDescent="0.35">
      <c r="A485" s="14"/>
      <c r="B485" s="15"/>
      <c r="C485" s="15"/>
      <c r="D485" s="14"/>
      <c r="E485" s="15"/>
      <c r="F485" s="15"/>
      <c r="G485" s="36"/>
      <c r="H485" s="15"/>
      <c r="I485" s="15"/>
      <c r="J485" s="14" t="str">
        <f>IF(A485="","",IFERROR(HYPERLINK("#'Supplier Jobs'!A"&amp;(MATCH(A485,'Supplier Jobs'!$N$9:$N$258,0)+8),"JOBS / QUOTES"),"No quotes"))</f>
        <v/>
      </c>
      <c r="K485" s="14" t="str">
        <f>IF(A485="","",COUNTIF(Quotes!$D$9:$D$258,D485))</f>
        <v/>
      </c>
      <c r="L485" s="16" t="str">
        <f>IF(A485="","",IF(O485=1,SUMIF(Quotes!$C$9:$C$258,A485,Quotes!$AI$9:$AI$258),0))</f>
        <v/>
      </c>
      <c r="M485" s="16" t="str">
        <f>IF(A485="","",IF(O485=1,SUMIF(Quotes!$C$9:$C$258,A485,Quotes!$AJ$9:$AJ$258),0))</f>
        <v/>
      </c>
      <c r="N485" s="14"/>
      <c r="O485" s="14" t="str">
        <f>IF(A485="","",IF(COUNTIF($A$9:A485,A485)=1,1,0))</f>
        <v/>
      </c>
      <c r="P485" s="14" t="str">
        <f t="shared" si="14"/>
        <v/>
      </c>
      <c r="Q485" s="14" t="str">
        <f t="shared" si="15"/>
        <v/>
      </c>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14"/>
      <c r="AR485" s="14"/>
    </row>
    <row r="486" spans="1:44" ht="48" customHeight="1" x14ac:dyDescent="0.35">
      <c r="A486" s="18"/>
      <c r="B486" s="15"/>
      <c r="C486" s="15"/>
      <c r="D486" s="18"/>
      <c r="E486" s="15"/>
      <c r="F486" s="15"/>
      <c r="G486" s="36"/>
      <c r="H486" s="15"/>
      <c r="I486" s="15"/>
      <c r="J486" s="18" t="str">
        <f>IF(A486="","",IFERROR(HYPERLINK("#'Supplier Jobs'!A"&amp;(MATCH(A486,'Supplier Jobs'!$N$9:$N$258,0)+8),"JOBS / QUOTES"),"No quotes"))</f>
        <v/>
      </c>
      <c r="K486" s="18" t="str">
        <f>IF(A486="","",COUNTIF(Quotes!$D$9:$D$258,D486))</f>
        <v/>
      </c>
      <c r="L486" s="19" t="str">
        <f>IF(A486="","",IF(O486=1,SUMIF(Quotes!$C$9:$C$258,A486,Quotes!$AI$9:$AI$258),0))</f>
        <v/>
      </c>
      <c r="M486" s="19" t="str">
        <f>IF(A486="","",IF(O486=1,SUMIF(Quotes!$C$9:$C$258,A486,Quotes!$AJ$9:$AJ$258),0))</f>
        <v/>
      </c>
      <c r="N486" s="18"/>
      <c r="O486" s="18" t="str">
        <f>IF(A486="","",IF(COUNTIF($A$9:A486,A486)=1,1,0))</f>
        <v/>
      </c>
      <c r="P486" s="18" t="str">
        <f t="shared" si="14"/>
        <v/>
      </c>
      <c r="Q486" s="18" t="str">
        <f t="shared" si="15"/>
        <v/>
      </c>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row>
    <row r="487" spans="1:44" ht="48" customHeight="1" x14ac:dyDescent="0.35">
      <c r="A487" s="14"/>
      <c r="B487" s="15"/>
      <c r="C487" s="15"/>
      <c r="D487" s="14"/>
      <c r="E487" s="15"/>
      <c r="F487" s="15"/>
      <c r="G487" s="36"/>
      <c r="H487" s="15"/>
      <c r="I487" s="15"/>
      <c r="J487" s="14" t="str">
        <f>IF(A487="","",IFERROR(HYPERLINK("#'Supplier Jobs'!A"&amp;(MATCH(A487,'Supplier Jobs'!$N$9:$N$258,0)+8),"JOBS / QUOTES"),"No quotes"))</f>
        <v/>
      </c>
      <c r="K487" s="14" t="str">
        <f>IF(A487="","",COUNTIF(Quotes!$D$9:$D$258,D487))</f>
        <v/>
      </c>
      <c r="L487" s="16" t="str">
        <f>IF(A487="","",IF(O487=1,SUMIF(Quotes!$C$9:$C$258,A487,Quotes!$AI$9:$AI$258),0))</f>
        <v/>
      </c>
      <c r="M487" s="16" t="str">
        <f>IF(A487="","",IF(O487=1,SUMIF(Quotes!$C$9:$C$258,A487,Quotes!$AJ$9:$AJ$258),0))</f>
        <v/>
      </c>
      <c r="N487" s="14"/>
      <c r="O487" s="14" t="str">
        <f>IF(A487="","",IF(COUNTIF($A$9:A487,A487)=1,1,0))</f>
        <v/>
      </c>
      <c r="P487" s="14" t="str">
        <f t="shared" si="14"/>
        <v/>
      </c>
      <c r="Q487" s="14" t="str">
        <f t="shared" si="15"/>
        <v/>
      </c>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14"/>
      <c r="AR487" s="14"/>
    </row>
    <row r="488" spans="1:44" ht="48" customHeight="1" x14ac:dyDescent="0.35">
      <c r="A488" s="18"/>
      <c r="B488" s="15"/>
      <c r="C488" s="15"/>
      <c r="D488" s="18"/>
      <c r="E488" s="15"/>
      <c r="F488" s="15"/>
      <c r="G488" s="36"/>
      <c r="H488" s="15"/>
      <c r="I488" s="15"/>
      <c r="J488" s="18" t="str">
        <f>IF(A488="","",IFERROR(HYPERLINK("#'Supplier Jobs'!A"&amp;(MATCH(A488,'Supplier Jobs'!$N$9:$N$258,0)+8),"JOBS / QUOTES"),"No quotes"))</f>
        <v/>
      </c>
      <c r="K488" s="18" t="str">
        <f>IF(A488="","",COUNTIF(Quotes!$D$9:$D$258,D488))</f>
        <v/>
      </c>
      <c r="L488" s="19" t="str">
        <f>IF(A488="","",IF(O488=1,SUMIF(Quotes!$C$9:$C$258,A488,Quotes!$AI$9:$AI$258),0))</f>
        <v/>
      </c>
      <c r="M488" s="19" t="str">
        <f>IF(A488="","",IF(O488=1,SUMIF(Quotes!$C$9:$C$258,A488,Quotes!$AJ$9:$AJ$258),0))</f>
        <v/>
      </c>
      <c r="N488" s="18"/>
      <c r="O488" s="18" t="str">
        <f>IF(A488="","",IF(COUNTIF($A$9:A488,A488)=1,1,0))</f>
        <v/>
      </c>
      <c r="P488" s="18" t="str">
        <f t="shared" si="14"/>
        <v/>
      </c>
      <c r="Q488" s="18" t="str">
        <f t="shared" si="15"/>
        <v/>
      </c>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row>
    <row r="489" spans="1:44" ht="48" customHeight="1" x14ac:dyDescent="0.35">
      <c r="A489" s="14"/>
      <c r="B489" s="15"/>
      <c r="C489" s="15"/>
      <c r="D489" s="14"/>
      <c r="E489" s="15"/>
      <c r="F489" s="15"/>
      <c r="G489" s="36"/>
      <c r="H489" s="15"/>
      <c r="I489" s="15"/>
      <c r="J489" s="14" t="str">
        <f>IF(A489="","",IFERROR(HYPERLINK("#'Supplier Jobs'!A"&amp;(MATCH(A489,'Supplier Jobs'!$N$9:$N$258,0)+8),"JOBS / QUOTES"),"No quotes"))</f>
        <v/>
      </c>
      <c r="K489" s="14" t="str">
        <f>IF(A489="","",COUNTIF(Quotes!$D$9:$D$258,D489))</f>
        <v/>
      </c>
      <c r="L489" s="16" t="str">
        <f>IF(A489="","",IF(O489=1,SUMIF(Quotes!$C$9:$C$258,A489,Quotes!$AI$9:$AI$258),0))</f>
        <v/>
      </c>
      <c r="M489" s="16" t="str">
        <f>IF(A489="","",IF(O489=1,SUMIF(Quotes!$C$9:$C$258,A489,Quotes!$AJ$9:$AJ$258),0))</f>
        <v/>
      </c>
      <c r="N489" s="14"/>
      <c r="O489" s="14" t="str">
        <f>IF(A489="","",IF(COUNTIF($A$9:A489,A489)=1,1,0))</f>
        <v/>
      </c>
      <c r="P489" s="14" t="str">
        <f t="shared" si="14"/>
        <v/>
      </c>
      <c r="Q489" s="14" t="str">
        <f t="shared" si="15"/>
        <v/>
      </c>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14"/>
      <c r="AR489" s="14"/>
    </row>
    <row r="490" spans="1:44" ht="48" customHeight="1" x14ac:dyDescent="0.35">
      <c r="A490" s="18"/>
      <c r="B490" s="15"/>
      <c r="C490" s="15"/>
      <c r="D490" s="18"/>
      <c r="E490" s="15"/>
      <c r="F490" s="15"/>
      <c r="G490" s="36"/>
      <c r="H490" s="15"/>
      <c r="I490" s="15"/>
      <c r="J490" s="18" t="str">
        <f>IF(A490="","",IFERROR(HYPERLINK("#'Supplier Jobs'!A"&amp;(MATCH(A490,'Supplier Jobs'!$N$9:$N$258,0)+8),"JOBS / QUOTES"),"No quotes"))</f>
        <v/>
      </c>
      <c r="K490" s="18" t="str">
        <f>IF(A490="","",COUNTIF(Quotes!$D$9:$D$258,D490))</f>
        <v/>
      </c>
      <c r="L490" s="19" t="str">
        <f>IF(A490="","",IF(O490=1,SUMIF(Quotes!$C$9:$C$258,A490,Quotes!$AI$9:$AI$258),0))</f>
        <v/>
      </c>
      <c r="M490" s="19" t="str">
        <f>IF(A490="","",IF(O490=1,SUMIF(Quotes!$C$9:$C$258,A490,Quotes!$AJ$9:$AJ$258),0))</f>
        <v/>
      </c>
      <c r="N490" s="18"/>
      <c r="O490" s="18" t="str">
        <f>IF(A490="","",IF(COUNTIF($A$9:A490,A490)=1,1,0))</f>
        <v/>
      </c>
      <c r="P490" s="18" t="str">
        <f t="shared" si="14"/>
        <v/>
      </c>
      <c r="Q490" s="18" t="str">
        <f t="shared" si="15"/>
        <v/>
      </c>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row>
    <row r="491" spans="1:44" ht="48" customHeight="1" x14ac:dyDescent="0.35">
      <c r="A491" s="14"/>
      <c r="B491" s="15"/>
      <c r="C491" s="15"/>
      <c r="D491" s="14"/>
      <c r="E491" s="15"/>
      <c r="F491" s="15"/>
      <c r="G491" s="36"/>
      <c r="H491" s="15"/>
      <c r="I491" s="15"/>
      <c r="J491" s="14" t="str">
        <f>IF(A491="","",IFERROR(HYPERLINK("#'Supplier Jobs'!A"&amp;(MATCH(A491,'Supplier Jobs'!$N$9:$N$258,0)+8),"JOBS / QUOTES"),"No quotes"))</f>
        <v/>
      </c>
      <c r="K491" s="14" t="str">
        <f>IF(A491="","",COUNTIF(Quotes!$D$9:$D$258,D491))</f>
        <v/>
      </c>
      <c r="L491" s="16" t="str">
        <f>IF(A491="","",IF(O491=1,SUMIF(Quotes!$C$9:$C$258,A491,Quotes!$AI$9:$AI$258),0))</f>
        <v/>
      </c>
      <c r="M491" s="16" t="str">
        <f>IF(A491="","",IF(O491=1,SUMIF(Quotes!$C$9:$C$258,A491,Quotes!$AJ$9:$AJ$258),0))</f>
        <v/>
      </c>
      <c r="N491" s="14"/>
      <c r="O491" s="14" t="str">
        <f>IF(A491="","",IF(COUNTIF($A$9:A491,A491)=1,1,0))</f>
        <v/>
      </c>
      <c r="P491" s="14" t="str">
        <f t="shared" si="14"/>
        <v/>
      </c>
      <c r="Q491" s="14" t="str">
        <f t="shared" si="15"/>
        <v/>
      </c>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14"/>
      <c r="AR491" s="14"/>
    </row>
    <row r="492" spans="1:44" ht="48" customHeight="1" x14ac:dyDescent="0.35">
      <c r="A492" s="18"/>
      <c r="B492" s="15"/>
      <c r="C492" s="15"/>
      <c r="D492" s="18"/>
      <c r="E492" s="15"/>
      <c r="F492" s="15"/>
      <c r="G492" s="36"/>
      <c r="H492" s="15"/>
      <c r="I492" s="15"/>
      <c r="J492" s="18" t="str">
        <f>IF(A492="","",IFERROR(HYPERLINK("#'Supplier Jobs'!A"&amp;(MATCH(A492,'Supplier Jobs'!$N$9:$N$258,0)+8),"JOBS / QUOTES"),"No quotes"))</f>
        <v/>
      </c>
      <c r="K492" s="18" t="str">
        <f>IF(A492="","",COUNTIF(Quotes!$D$9:$D$258,D492))</f>
        <v/>
      </c>
      <c r="L492" s="19" t="str">
        <f>IF(A492="","",IF(O492=1,SUMIF(Quotes!$C$9:$C$258,A492,Quotes!$AI$9:$AI$258),0))</f>
        <v/>
      </c>
      <c r="M492" s="19" t="str">
        <f>IF(A492="","",IF(O492=1,SUMIF(Quotes!$C$9:$C$258,A492,Quotes!$AJ$9:$AJ$258),0))</f>
        <v/>
      </c>
      <c r="N492" s="18"/>
      <c r="O492" s="18" t="str">
        <f>IF(A492="","",IF(COUNTIF($A$9:A492,A492)=1,1,0))</f>
        <v/>
      </c>
      <c r="P492" s="18" t="str">
        <f t="shared" si="14"/>
        <v/>
      </c>
      <c r="Q492" s="18" t="str">
        <f t="shared" si="15"/>
        <v/>
      </c>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row>
    <row r="493" spans="1:44" ht="48" customHeight="1" x14ac:dyDescent="0.35">
      <c r="A493" s="14"/>
      <c r="B493" s="15"/>
      <c r="C493" s="15"/>
      <c r="D493" s="14"/>
      <c r="E493" s="15"/>
      <c r="F493" s="15"/>
      <c r="G493" s="36"/>
      <c r="H493" s="15"/>
      <c r="I493" s="15"/>
      <c r="J493" s="14" t="str">
        <f>IF(A493="","",IFERROR(HYPERLINK("#'Supplier Jobs'!A"&amp;(MATCH(A493,'Supplier Jobs'!$N$9:$N$258,0)+8),"JOBS / QUOTES"),"No quotes"))</f>
        <v/>
      </c>
      <c r="K493" s="14" t="str">
        <f>IF(A493="","",COUNTIF(Quotes!$D$9:$D$258,D493))</f>
        <v/>
      </c>
      <c r="L493" s="16" t="str">
        <f>IF(A493="","",IF(O493=1,SUMIF(Quotes!$C$9:$C$258,A493,Quotes!$AI$9:$AI$258),0))</f>
        <v/>
      </c>
      <c r="M493" s="16" t="str">
        <f>IF(A493="","",IF(O493=1,SUMIF(Quotes!$C$9:$C$258,A493,Quotes!$AJ$9:$AJ$258),0))</f>
        <v/>
      </c>
      <c r="N493" s="14"/>
      <c r="O493" s="14" t="str">
        <f>IF(A493="","",IF(COUNTIF($A$9:A493,A493)=1,1,0))</f>
        <v/>
      </c>
      <c r="P493" s="14" t="str">
        <f t="shared" si="14"/>
        <v/>
      </c>
      <c r="Q493" s="14" t="str">
        <f t="shared" si="15"/>
        <v/>
      </c>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14"/>
      <c r="AR493" s="14"/>
    </row>
    <row r="494" spans="1:44" ht="48" customHeight="1" x14ac:dyDescent="0.35">
      <c r="A494" s="18"/>
      <c r="B494" s="15"/>
      <c r="C494" s="15"/>
      <c r="D494" s="18"/>
      <c r="E494" s="15"/>
      <c r="F494" s="15"/>
      <c r="G494" s="36"/>
      <c r="H494" s="15"/>
      <c r="I494" s="15"/>
      <c r="J494" s="18" t="str">
        <f>IF(A494="","",IFERROR(HYPERLINK("#'Supplier Jobs'!A"&amp;(MATCH(A494,'Supplier Jobs'!$N$9:$N$258,0)+8),"JOBS / QUOTES"),"No quotes"))</f>
        <v/>
      </c>
      <c r="K494" s="18" t="str">
        <f>IF(A494="","",COUNTIF(Quotes!$D$9:$D$258,D494))</f>
        <v/>
      </c>
      <c r="L494" s="19" t="str">
        <f>IF(A494="","",IF(O494=1,SUMIF(Quotes!$C$9:$C$258,A494,Quotes!$AI$9:$AI$258),0))</f>
        <v/>
      </c>
      <c r="M494" s="19" t="str">
        <f>IF(A494="","",IF(O494=1,SUMIF(Quotes!$C$9:$C$258,A494,Quotes!$AJ$9:$AJ$258),0))</f>
        <v/>
      </c>
      <c r="N494" s="18"/>
      <c r="O494" s="18" t="str">
        <f>IF(A494="","",IF(COUNTIF($A$9:A494,A494)=1,1,0))</f>
        <v/>
      </c>
      <c r="P494" s="18" t="str">
        <f t="shared" si="14"/>
        <v/>
      </c>
      <c r="Q494" s="18" t="str">
        <f t="shared" si="15"/>
        <v/>
      </c>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row>
    <row r="495" spans="1:44" ht="48" customHeight="1" x14ac:dyDescent="0.35">
      <c r="A495" s="14"/>
      <c r="B495" s="15"/>
      <c r="C495" s="15"/>
      <c r="D495" s="14"/>
      <c r="E495" s="15"/>
      <c r="F495" s="15"/>
      <c r="G495" s="36"/>
      <c r="H495" s="15"/>
      <c r="I495" s="15"/>
      <c r="J495" s="14" t="str">
        <f>IF(A495="","",IFERROR(HYPERLINK("#'Supplier Jobs'!A"&amp;(MATCH(A495,'Supplier Jobs'!$N$9:$N$258,0)+8),"JOBS / QUOTES"),"No quotes"))</f>
        <v/>
      </c>
      <c r="K495" s="14" t="str">
        <f>IF(A495="","",COUNTIF(Quotes!$D$9:$D$258,D495))</f>
        <v/>
      </c>
      <c r="L495" s="16" t="str">
        <f>IF(A495="","",IF(O495=1,SUMIF(Quotes!$C$9:$C$258,A495,Quotes!$AI$9:$AI$258),0))</f>
        <v/>
      </c>
      <c r="M495" s="16" t="str">
        <f>IF(A495="","",IF(O495=1,SUMIF(Quotes!$C$9:$C$258,A495,Quotes!$AJ$9:$AJ$258),0))</f>
        <v/>
      </c>
      <c r="N495" s="14"/>
      <c r="O495" s="14" t="str">
        <f>IF(A495="","",IF(COUNTIF($A$9:A495,A495)=1,1,0))</f>
        <v/>
      </c>
      <c r="P495" s="14" t="str">
        <f t="shared" si="14"/>
        <v/>
      </c>
      <c r="Q495" s="14" t="str">
        <f t="shared" si="15"/>
        <v/>
      </c>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14"/>
      <c r="AR495" s="14"/>
    </row>
    <row r="496" spans="1:44" ht="48" customHeight="1" x14ac:dyDescent="0.35">
      <c r="A496" s="18"/>
      <c r="B496" s="15"/>
      <c r="C496" s="15"/>
      <c r="D496" s="18"/>
      <c r="E496" s="15"/>
      <c r="F496" s="15"/>
      <c r="G496" s="36"/>
      <c r="H496" s="15"/>
      <c r="I496" s="15"/>
      <c r="J496" s="18" t="str">
        <f>IF(A496="","",IFERROR(HYPERLINK("#'Supplier Jobs'!A"&amp;(MATCH(A496,'Supplier Jobs'!$N$9:$N$258,0)+8),"JOBS / QUOTES"),"No quotes"))</f>
        <v/>
      </c>
      <c r="K496" s="18" t="str">
        <f>IF(A496="","",COUNTIF(Quotes!$D$9:$D$258,D496))</f>
        <v/>
      </c>
      <c r="L496" s="19" t="str">
        <f>IF(A496="","",IF(O496=1,SUMIF(Quotes!$C$9:$C$258,A496,Quotes!$AI$9:$AI$258),0))</f>
        <v/>
      </c>
      <c r="M496" s="19" t="str">
        <f>IF(A496="","",IF(O496=1,SUMIF(Quotes!$C$9:$C$258,A496,Quotes!$AJ$9:$AJ$258),0))</f>
        <v/>
      </c>
      <c r="N496" s="18"/>
      <c r="O496" s="18" t="str">
        <f>IF(A496="","",IF(COUNTIF($A$9:A496,A496)=1,1,0))</f>
        <v/>
      </c>
      <c r="P496" s="18" t="str">
        <f t="shared" si="14"/>
        <v/>
      </c>
      <c r="Q496" s="18" t="str">
        <f t="shared" si="15"/>
        <v/>
      </c>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row>
    <row r="497" spans="1:44" ht="48" customHeight="1" x14ac:dyDescent="0.35">
      <c r="A497" s="14"/>
      <c r="B497" s="15"/>
      <c r="C497" s="15"/>
      <c r="D497" s="14"/>
      <c r="E497" s="15"/>
      <c r="F497" s="15"/>
      <c r="G497" s="36"/>
      <c r="H497" s="15"/>
      <c r="I497" s="15"/>
      <c r="J497" s="14" t="str">
        <f>IF(A497="","",IFERROR(HYPERLINK("#'Supplier Jobs'!A"&amp;(MATCH(A497,'Supplier Jobs'!$N$9:$N$258,0)+8),"JOBS / QUOTES"),"No quotes"))</f>
        <v/>
      </c>
      <c r="K497" s="14" t="str">
        <f>IF(A497="","",COUNTIF(Quotes!$D$9:$D$258,D497))</f>
        <v/>
      </c>
      <c r="L497" s="16" t="str">
        <f>IF(A497="","",IF(O497=1,SUMIF(Quotes!$C$9:$C$258,A497,Quotes!$AI$9:$AI$258),0))</f>
        <v/>
      </c>
      <c r="M497" s="16" t="str">
        <f>IF(A497="","",IF(O497=1,SUMIF(Quotes!$C$9:$C$258,A497,Quotes!$AJ$9:$AJ$258),0))</f>
        <v/>
      </c>
      <c r="N497" s="14"/>
      <c r="O497" s="14" t="str">
        <f>IF(A497="","",IF(COUNTIF($A$9:A497,A497)=1,1,0))</f>
        <v/>
      </c>
      <c r="P497" s="14" t="str">
        <f t="shared" si="14"/>
        <v/>
      </c>
      <c r="Q497" s="14" t="str">
        <f t="shared" si="15"/>
        <v/>
      </c>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14"/>
      <c r="AR497" s="14"/>
    </row>
    <row r="498" spans="1:44" ht="48" customHeight="1" x14ac:dyDescent="0.35">
      <c r="A498" s="18"/>
      <c r="B498" s="15"/>
      <c r="C498" s="15"/>
      <c r="D498" s="18"/>
      <c r="E498" s="15"/>
      <c r="F498" s="15"/>
      <c r="G498" s="36"/>
      <c r="H498" s="15"/>
      <c r="I498" s="15"/>
      <c r="J498" s="18" t="str">
        <f>IF(A498="","",IFERROR(HYPERLINK("#'Supplier Jobs'!A"&amp;(MATCH(A498,'Supplier Jobs'!$N$9:$N$258,0)+8),"JOBS / QUOTES"),"No quotes"))</f>
        <v/>
      </c>
      <c r="K498" s="18" t="str">
        <f>IF(A498="","",COUNTIF(Quotes!$D$9:$D$258,D498))</f>
        <v/>
      </c>
      <c r="L498" s="19" t="str">
        <f>IF(A498="","",IF(O498=1,SUMIF(Quotes!$C$9:$C$258,A498,Quotes!$AI$9:$AI$258),0))</f>
        <v/>
      </c>
      <c r="M498" s="19" t="str">
        <f>IF(A498="","",IF(O498=1,SUMIF(Quotes!$C$9:$C$258,A498,Quotes!$AJ$9:$AJ$258),0))</f>
        <v/>
      </c>
      <c r="N498" s="18"/>
      <c r="O498" s="18" t="str">
        <f>IF(A498="","",IF(COUNTIF($A$9:A498,A498)=1,1,0))</f>
        <v/>
      </c>
      <c r="P498" s="18" t="str">
        <f t="shared" si="14"/>
        <v/>
      </c>
      <c r="Q498" s="18" t="str">
        <f t="shared" si="15"/>
        <v/>
      </c>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row>
    <row r="499" spans="1:44" ht="48" customHeight="1" x14ac:dyDescent="0.35">
      <c r="A499" s="14"/>
      <c r="B499" s="15"/>
      <c r="C499" s="15"/>
      <c r="D499" s="14"/>
      <c r="E499" s="15"/>
      <c r="F499" s="15"/>
      <c r="G499" s="36"/>
      <c r="H499" s="15"/>
      <c r="I499" s="15"/>
      <c r="J499" s="14" t="str">
        <f>IF(A499="","",IFERROR(HYPERLINK("#'Supplier Jobs'!A"&amp;(MATCH(A499,'Supplier Jobs'!$N$9:$N$258,0)+8),"JOBS / QUOTES"),"No quotes"))</f>
        <v/>
      </c>
      <c r="K499" s="14" t="str">
        <f>IF(A499="","",COUNTIF(Quotes!$D$9:$D$258,D499))</f>
        <v/>
      </c>
      <c r="L499" s="16" t="str">
        <f>IF(A499="","",IF(O499=1,SUMIF(Quotes!$C$9:$C$258,A499,Quotes!$AI$9:$AI$258),0))</f>
        <v/>
      </c>
      <c r="M499" s="16" t="str">
        <f>IF(A499="","",IF(O499=1,SUMIF(Quotes!$C$9:$C$258,A499,Quotes!$AJ$9:$AJ$258),0))</f>
        <v/>
      </c>
      <c r="N499" s="14"/>
      <c r="O499" s="14" t="str">
        <f>IF(A499="","",IF(COUNTIF($A$9:A499,A499)=1,1,0))</f>
        <v/>
      </c>
      <c r="P499" s="14" t="str">
        <f t="shared" si="14"/>
        <v/>
      </c>
      <c r="Q499" s="14" t="str">
        <f t="shared" si="15"/>
        <v/>
      </c>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14"/>
      <c r="AR499" s="14"/>
    </row>
    <row r="500" spans="1:44" ht="48" customHeight="1" x14ac:dyDescent="0.35">
      <c r="A500" s="18"/>
      <c r="B500" s="15"/>
      <c r="C500" s="15"/>
      <c r="D500" s="18"/>
      <c r="E500" s="15"/>
      <c r="F500" s="15"/>
      <c r="G500" s="36"/>
      <c r="H500" s="15"/>
      <c r="I500" s="15"/>
      <c r="J500" s="18" t="str">
        <f>IF(A500="","",IFERROR(HYPERLINK("#'Supplier Jobs'!A"&amp;(MATCH(A500,'Supplier Jobs'!$N$9:$N$258,0)+8),"JOBS / QUOTES"),"No quotes"))</f>
        <v/>
      </c>
      <c r="K500" s="18" t="str">
        <f>IF(A500="","",COUNTIF(Quotes!$D$9:$D$258,D500))</f>
        <v/>
      </c>
      <c r="L500" s="19" t="str">
        <f>IF(A500="","",IF(O500=1,SUMIF(Quotes!$C$9:$C$258,A500,Quotes!$AI$9:$AI$258),0))</f>
        <v/>
      </c>
      <c r="M500" s="19" t="str">
        <f>IF(A500="","",IF(O500=1,SUMIF(Quotes!$C$9:$C$258,A500,Quotes!$AJ$9:$AJ$258),0))</f>
        <v/>
      </c>
      <c r="N500" s="18"/>
      <c r="O500" s="18" t="str">
        <f>IF(A500="","",IF(COUNTIF($A$9:A500,A500)=1,1,0))</f>
        <v/>
      </c>
      <c r="P500" s="18" t="str">
        <f t="shared" si="14"/>
        <v/>
      </c>
      <c r="Q500" s="18" t="str">
        <f t="shared" si="15"/>
        <v/>
      </c>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row>
    <row r="501" spans="1:44" ht="48" customHeight="1" x14ac:dyDescent="0.35">
      <c r="A501" s="14"/>
      <c r="B501" s="15"/>
      <c r="C501" s="15"/>
      <c r="D501" s="14"/>
      <c r="E501" s="15"/>
      <c r="F501" s="15"/>
      <c r="G501" s="36"/>
      <c r="H501" s="15"/>
      <c r="I501" s="15"/>
      <c r="J501" s="14" t="str">
        <f>IF(A501="","",IFERROR(HYPERLINK("#'Supplier Jobs'!A"&amp;(MATCH(A501,'Supplier Jobs'!$N$9:$N$258,0)+8),"JOBS / QUOTES"),"No quotes"))</f>
        <v/>
      </c>
      <c r="K501" s="14" t="str">
        <f>IF(A501="","",COUNTIF(Quotes!$D$9:$D$258,D501))</f>
        <v/>
      </c>
      <c r="L501" s="16" t="str">
        <f>IF(A501="","",IF(O501=1,SUMIF(Quotes!$C$9:$C$258,A501,Quotes!$AI$9:$AI$258),0))</f>
        <v/>
      </c>
      <c r="M501" s="16" t="str">
        <f>IF(A501="","",IF(O501=1,SUMIF(Quotes!$C$9:$C$258,A501,Quotes!$AJ$9:$AJ$258),0))</f>
        <v/>
      </c>
      <c r="N501" s="14"/>
      <c r="O501" s="14" t="str">
        <f>IF(A501="","",IF(COUNTIF($A$9:A501,A501)=1,1,0))</f>
        <v/>
      </c>
      <c r="P501" s="14" t="str">
        <f t="shared" si="14"/>
        <v/>
      </c>
      <c r="Q501" s="14" t="str">
        <f t="shared" si="15"/>
        <v/>
      </c>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14"/>
      <c r="AR501" s="14"/>
    </row>
    <row r="502" spans="1:44" ht="48" customHeight="1" x14ac:dyDescent="0.35">
      <c r="A502" s="18"/>
      <c r="B502" s="15"/>
      <c r="C502" s="15"/>
      <c r="D502" s="18"/>
      <c r="E502" s="15"/>
      <c r="F502" s="15"/>
      <c r="G502" s="36"/>
      <c r="H502" s="15"/>
      <c r="I502" s="15"/>
      <c r="J502" s="18" t="str">
        <f>IF(A502="","",IFERROR(HYPERLINK("#'Supplier Jobs'!A"&amp;(MATCH(A502,'Supplier Jobs'!$N$9:$N$258,0)+8),"JOBS / QUOTES"),"No quotes"))</f>
        <v/>
      </c>
      <c r="K502" s="18" t="str">
        <f>IF(A502="","",COUNTIF(Quotes!$D$9:$D$258,D502))</f>
        <v/>
      </c>
      <c r="L502" s="19" t="str">
        <f>IF(A502="","",IF(O502=1,SUMIF(Quotes!$C$9:$C$258,A502,Quotes!$AI$9:$AI$258),0))</f>
        <v/>
      </c>
      <c r="M502" s="19" t="str">
        <f>IF(A502="","",IF(O502=1,SUMIF(Quotes!$C$9:$C$258,A502,Quotes!$AJ$9:$AJ$258),0))</f>
        <v/>
      </c>
      <c r="N502" s="18"/>
      <c r="O502" s="18" t="str">
        <f>IF(A502="","",IF(COUNTIF($A$9:A502,A502)=1,1,0))</f>
        <v/>
      </c>
      <c r="P502" s="18" t="str">
        <f t="shared" si="14"/>
        <v/>
      </c>
      <c r="Q502" s="18" t="str">
        <f t="shared" si="15"/>
        <v/>
      </c>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row>
    <row r="503" spans="1:44" ht="48" customHeight="1" x14ac:dyDescent="0.35">
      <c r="A503" s="14"/>
      <c r="B503" s="15"/>
      <c r="C503" s="15"/>
      <c r="D503" s="14"/>
      <c r="E503" s="15"/>
      <c r="F503" s="15"/>
      <c r="G503" s="36"/>
      <c r="H503" s="15"/>
      <c r="I503" s="15"/>
      <c r="J503" s="14" t="str">
        <f>IF(A503="","",IFERROR(HYPERLINK("#'Supplier Jobs'!A"&amp;(MATCH(A503,'Supplier Jobs'!$N$9:$N$258,0)+8),"JOBS / QUOTES"),"No quotes"))</f>
        <v/>
      </c>
      <c r="K503" s="14" t="str">
        <f>IF(A503="","",COUNTIF(Quotes!$D$9:$D$258,D503))</f>
        <v/>
      </c>
      <c r="L503" s="16" t="str">
        <f>IF(A503="","",IF(O503=1,SUMIF(Quotes!$C$9:$C$258,A503,Quotes!$AI$9:$AI$258),0))</f>
        <v/>
      </c>
      <c r="M503" s="16" t="str">
        <f>IF(A503="","",IF(O503=1,SUMIF(Quotes!$C$9:$C$258,A503,Quotes!$AJ$9:$AJ$258),0))</f>
        <v/>
      </c>
      <c r="N503" s="14"/>
      <c r="O503" s="14" t="str">
        <f>IF(A503="","",IF(COUNTIF($A$9:A503,A503)=1,1,0))</f>
        <v/>
      </c>
      <c r="P503" s="14" t="str">
        <f t="shared" si="14"/>
        <v/>
      </c>
      <c r="Q503" s="14" t="str">
        <f t="shared" si="15"/>
        <v/>
      </c>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14"/>
      <c r="AR503" s="14"/>
    </row>
    <row r="504" spans="1:44" ht="48" customHeight="1" x14ac:dyDescent="0.35">
      <c r="A504" s="18"/>
      <c r="B504" s="15"/>
      <c r="C504" s="15"/>
      <c r="D504" s="18"/>
      <c r="E504" s="15"/>
      <c r="F504" s="15"/>
      <c r="G504" s="36"/>
      <c r="H504" s="15"/>
      <c r="I504" s="15"/>
      <c r="J504" s="18" t="str">
        <f>IF(A504="","",IFERROR(HYPERLINK("#'Supplier Jobs'!A"&amp;(MATCH(A504,'Supplier Jobs'!$N$9:$N$258,0)+8),"JOBS / QUOTES"),"No quotes"))</f>
        <v/>
      </c>
      <c r="K504" s="18" t="str">
        <f>IF(A504="","",COUNTIF(Quotes!$D$9:$D$258,D504))</f>
        <v/>
      </c>
      <c r="L504" s="19" t="str">
        <f>IF(A504="","",IF(O504=1,SUMIF(Quotes!$C$9:$C$258,A504,Quotes!$AI$9:$AI$258),0))</f>
        <v/>
      </c>
      <c r="M504" s="19" t="str">
        <f>IF(A504="","",IF(O504=1,SUMIF(Quotes!$C$9:$C$258,A504,Quotes!$AJ$9:$AJ$258),0))</f>
        <v/>
      </c>
      <c r="N504" s="18"/>
      <c r="O504" s="18" t="str">
        <f>IF(A504="","",IF(COUNTIF($A$9:A504,A504)=1,1,0))</f>
        <v/>
      </c>
      <c r="P504" s="18" t="str">
        <f t="shared" si="14"/>
        <v/>
      </c>
      <c r="Q504" s="18" t="str">
        <f t="shared" si="15"/>
        <v/>
      </c>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row>
    <row r="505" spans="1:44" ht="48" customHeight="1" x14ac:dyDescent="0.35">
      <c r="A505" s="14"/>
      <c r="B505" s="15"/>
      <c r="C505" s="15"/>
      <c r="D505" s="14"/>
      <c r="E505" s="15"/>
      <c r="F505" s="15"/>
      <c r="G505" s="36"/>
      <c r="H505" s="15"/>
      <c r="I505" s="15"/>
      <c r="J505" s="14" t="str">
        <f>IF(A505="","",IFERROR(HYPERLINK("#'Supplier Jobs'!A"&amp;(MATCH(A505,'Supplier Jobs'!$N$9:$N$258,0)+8),"JOBS / QUOTES"),"No quotes"))</f>
        <v/>
      </c>
      <c r="K505" s="14" t="str">
        <f>IF(A505="","",COUNTIF(Quotes!$D$9:$D$258,D505))</f>
        <v/>
      </c>
      <c r="L505" s="16" t="str">
        <f>IF(A505="","",IF(O505=1,SUMIF(Quotes!$C$9:$C$258,A505,Quotes!$AI$9:$AI$258),0))</f>
        <v/>
      </c>
      <c r="M505" s="16" t="str">
        <f>IF(A505="","",IF(O505=1,SUMIF(Quotes!$C$9:$C$258,A505,Quotes!$AJ$9:$AJ$258),0))</f>
        <v/>
      </c>
      <c r="N505" s="14"/>
      <c r="O505" s="14" t="str">
        <f>IF(A505="","",IF(COUNTIF($A$9:A505,A505)=1,1,0))</f>
        <v/>
      </c>
      <c r="P505" s="14" t="str">
        <f t="shared" si="14"/>
        <v/>
      </c>
      <c r="Q505" s="14" t="str">
        <f t="shared" si="15"/>
        <v/>
      </c>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14"/>
      <c r="AR505" s="14"/>
    </row>
    <row r="506" spans="1:44" ht="48" customHeight="1" x14ac:dyDescent="0.35">
      <c r="A506" s="18"/>
      <c r="B506" s="15"/>
      <c r="C506" s="15"/>
      <c r="D506" s="18"/>
      <c r="E506" s="15"/>
      <c r="F506" s="15"/>
      <c r="G506" s="36"/>
      <c r="H506" s="15"/>
      <c r="I506" s="15"/>
      <c r="J506" s="18" t="str">
        <f>IF(A506="","",IFERROR(HYPERLINK("#'Supplier Jobs'!A"&amp;(MATCH(A506,'Supplier Jobs'!$N$9:$N$258,0)+8),"JOBS / QUOTES"),"No quotes"))</f>
        <v/>
      </c>
      <c r="K506" s="18" t="str">
        <f>IF(A506="","",COUNTIF(Quotes!$D$9:$D$258,D506))</f>
        <v/>
      </c>
      <c r="L506" s="19" t="str">
        <f>IF(A506="","",IF(O506=1,SUMIF(Quotes!$C$9:$C$258,A506,Quotes!$AI$9:$AI$258),0))</f>
        <v/>
      </c>
      <c r="M506" s="19" t="str">
        <f>IF(A506="","",IF(O506=1,SUMIF(Quotes!$C$9:$C$258,A506,Quotes!$AJ$9:$AJ$258),0))</f>
        <v/>
      </c>
      <c r="N506" s="18"/>
      <c r="O506" s="18" t="str">
        <f>IF(A506="","",IF(COUNTIF($A$9:A506,A506)=1,1,0))</f>
        <v/>
      </c>
      <c r="P506" s="18" t="str">
        <f t="shared" si="14"/>
        <v/>
      </c>
      <c r="Q506" s="18" t="str">
        <f t="shared" si="15"/>
        <v/>
      </c>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row>
    <row r="507" spans="1:44" ht="48" customHeight="1" x14ac:dyDescent="0.35">
      <c r="A507" s="14"/>
      <c r="B507" s="15"/>
      <c r="C507" s="15"/>
      <c r="D507" s="14"/>
      <c r="E507" s="15"/>
      <c r="F507" s="15"/>
      <c r="G507" s="36"/>
      <c r="H507" s="15"/>
      <c r="I507" s="15"/>
      <c r="J507" s="14" t="str">
        <f>IF(A507="","",IFERROR(HYPERLINK("#'Supplier Jobs'!A"&amp;(MATCH(A507,'Supplier Jobs'!$N$9:$N$258,0)+8),"JOBS / QUOTES"),"No quotes"))</f>
        <v/>
      </c>
      <c r="K507" s="14" t="str">
        <f>IF(A507="","",COUNTIF(Quotes!$D$9:$D$258,D507))</f>
        <v/>
      </c>
      <c r="L507" s="16" t="str">
        <f>IF(A507="","",IF(O507=1,SUMIF(Quotes!$C$9:$C$258,A507,Quotes!$AI$9:$AI$258),0))</f>
        <v/>
      </c>
      <c r="M507" s="16" t="str">
        <f>IF(A507="","",IF(O507=1,SUMIF(Quotes!$C$9:$C$258,A507,Quotes!$AJ$9:$AJ$258),0))</f>
        <v/>
      </c>
      <c r="N507" s="14"/>
      <c r="O507" s="14" t="str">
        <f>IF(A507="","",IF(COUNTIF($A$9:A507,A507)=1,1,0))</f>
        <v/>
      </c>
      <c r="P507" s="14" t="str">
        <f t="shared" si="14"/>
        <v/>
      </c>
      <c r="Q507" s="14" t="str">
        <f t="shared" si="15"/>
        <v/>
      </c>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14"/>
      <c r="AR507" s="14"/>
    </row>
    <row r="508" spans="1:44" ht="48" customHeight="1" x14ac:dyDescent="0.35">
      <c r="A508" s="18"/>
      <c r="B508" s="15"/>
      <c r="C508" s="15"/>
      <c r="D508" s="18"/>
      <c r="E508" s="15"/>
      <c r="F508" s="15"/>
      <c r="G508" s="36"/>
      <c r="H508" s="15"/>
      <c r="I508" s="15"/>
      <c r="J508" s="18" t="str">
        <f>IF(A508="","",IFERROR(HYPERLINK("#'Supplier Jobs'!A"&amp;(MATCH(A508,'Supplier Jobs'!$N$9:$N$258,0)+8),"JOBS / QUOTES"),"No quotes"))</f>
        <v/>
      </c>
      <c r="K508" s="18" t="str">
        <f>IF(A508="","",COUNTIF(Quotes!$D$9:$D$258,D508))</f>
        <v/>
      </c>
      <c r="L508" s="19" t="str">
        <f>IF(A508="","",IF(O508=1,SUMIF(Quotes!$C$9:$C$258,A508,Quotes!$AI$9:$AI$258),0))</f>
        <v/>
      </c>
      <c r="M508" s="19" t="str">
        <f>IF(A508="","",IF(O508=1,SUMIF(Quotes!$C$9:$C$258,A508,Quotes!$AJ$9:$AJ$258),0))</f>
        <v/>
      </c>
      <c r="N508" s="18"/>
      <c r="O508" s="18" t="str">
        <f>IF(A508="","",IF(COUNTIF($A$9:A508,A508)=1,1,0))</f>
        <v/>
      </c>
      <c r="P508" s="18" t="str">
        <f t="shared" si="14"/>
        <v/>
      </c>
      <c r="Q508" s="18" t="str">
        <f t="shared" si="15"/>
        <v/>
      </c>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row>
  </sheetData>
  <sheetProtection password="8651" sheet="1" autoFilter="0"/>
  <mergeCells count="5">
    <mergeCell ref="A1:M2"/>
    <mergeCell ref="E6:H6"/>
    <mergeCell ref="A3:M3"/>
    <mergeCell ref="J6:M6"/>
    <mergeCell ref="A6:B6"/>
  </mergeCells>
  <dataValidations count="1">
    <dataValidation type="list" allowBlank="1" showErrorMessage="1" errorTitle="Choose a listed value" error="Select one of the shared dropdown values." sqref="N9:N508" xr:uid="{00000000-0002-0000-0300-000000000000}">
      <formula1>lstYesNo</formula1>
    </dataValidation>
  </dataValidations>
  <hyperlinks>
    <hyperlink ref="A4" location="'Overview'!A1" display="Overview" xr:uid="{00000000-0004-0000-0300-000000000000}"/>
    <hyperlink ref="B4" location="'Jobs'!A1" display="Jobs" xr:uid="{00000000-0004-0000-0300-000001000000}"/>
    <hyperlink ref="E4" location="'Suppliers'!A1" display="Suppliers" xr:uid="{00000000-0004-0000-0300-000002000000}"/>
    <hyperlink ref="F4" location="'Budget'!A1" display="Budget" xr:uid="{00000000-0004-0000-0300-000003000000}"/>
    <hyperlink ref="G4" location="'Quotes'!A1" display="Quotes" xr:uid="{00000000-0004-0000-0300-000004000000}"/>
    <hyperlink ref="H4" location="'Print Summary'!A1" display="Print summary" xr:uid="{00000000-0004-0000-0300-000005000000}"/>
    <hyperlink ref="J4" location="'Read Me'!A1" display="Guide" xr:uid="{00000000-0004-0000-0300-000006000000}"/>
    <hyperlink ref="A6" location="'Create Job'!A1" display="+ ADD VIA A JOB" xr:uid="{00000000-0004-0000-0300-000007000000}"/>
    <hyperlink ref="J6" location="'Supplier Jobs'!A1" display="ALL SUPPLIER JOBS" xr:uid="{00000000-0004-0000-0300-000008000000}"/>
    <hyperlink ref="J9" location="'Supplier Jobs'!A1" display="Jobs / quotes" xr:uid="{00000000-0004-0000-0300-000009000000}"/>
    <hyperlink ref="J10" location="'Supplier Jobs'!A1" display="Jobs / quotes" xr:uid="{00000000-0004-0000-0300-00000A000000}"/>
    <hyperlink ref="J11" location="'Supplier Jobs'!A1" display="Jobs / quotes" xr:uid="{00000000-0004-0000-0300-00000B000000}"/>
    <hyperlink ref="J12" location="'Supplier Jobs'!A1" display="Jobs / quotes" xr:uid="{00000000-0004-0000-0300-00000C000000}"/>
    <hyperlink ref="J13" location="'Supplier Jobs'!A1" display="Jobs / quotes" xr:uid="{00000000-0004-0000-0300-00000D000000}"/>
    <hyperlink ref="J14" location="'Supplier Jobs'!A1" display="Jobs / quotes" xr:uid="{00000000-0004-0000-0300-00000E000000}"/>
    <hyperlink ref="J15" location="'Supplier Jobs'!A1" display="Jobs / quotes" xr:uid="{00000000-0004-0000-0300-00000F000000}"/>
    <hyperlink ref="J16" location="'Supplier Jobs'!A1" display="Jobs / quotes" xr:uid="{00000000-0004-0000-0300-000010000000}"/>
    <hyperlink ref="J17" location="'Supplier Jobs'!A1" display="Jobs / quotes" xr:uid="{00000000-0004-0000-0300-000011000000}"/>
    <hyperlink ref="J18" location="'Supplier Jobs'!A1" display="Jobs / quotes" xr:uid="{00000000-0004-0000-0300-000012000000}"/>
    <hyperlink ref="J19" location="'Supplier Jobs'!A1" display="Jobs / quotes" xr:uid="{00000000-0004-0000-0300-000013000000}"/>
    <hyperlink ref="J20" location="'Supplier Jobs'!A1" display="Jobs / quotes" xr:uid="{00000000-0004-0000-0300-000014000000}"/>
    <hyperlink ref="J21" location="'Supplier Jobs'!A1" display="Jobs / quotes" xr:uid="{00000000-0004-0000-0300-000015000000}"/>
    <hyperlink ref="J22" location="'Supplier Jobs'!A1" display="Jobs / quotes" xr:uid="{00000000-0004-0000-0300-000016000000}"/>
    <hyperlink ref="J23" location="'Supplier Jobs'!A1" display="Jobs / quotes" xr:uid="{00000000-0004-0000-0300-000017000000}"/>
    <hyperlink ref="J24" location="'Supplier Jobs'!A1" display="Jobs / quotes" xr:uid="{00000000-0004-0000-0300-000018000000}"/>
  </hyperlinks>
  <pageMargins left="0.25" right="0.25" top="0.4" bottom="0.4" header="0.5" footer="0.5"/>
  <pageSetup paperSize="9" fitToHeight="0" orientation="landscape"/>
  <headerFooter>
    <oddFooter>&amp;LKERRY | DRYDOCK 2027&amp;CKERRY | Drydock 2027&amp;RPage &amp;P of &amp;N</oddFooter>
  </headerFooter>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69A5"/>
    <pageSetUpPr fitToPage="1"/>
  </sheetPr>
  <dimension ref="A1:AR258"/>
  <sheetViews>
    <sheetView showGridLines="0" zoomScale="80" workbookViewId="0">
      <pane xSplit="2" ySplit="8" topLeftCell="C9" activePane="bottomRight" state="frozen"/>
      <selection pane="topRight"/>
      <selection pane="bottomLeft"/>
      <selection pane="bottomRight"/>
    </sheetView>
  </sheetViews>
  <sheetFormatPr defaultRowHeight="14.5" outlineLevelCol="1" x14ac:dyDescent="0.35"/>
  <cols>
    <col min="1" max="1" width="17" customWidth="1"/>
    <col min="2" max="2" width="24" customWidth="1"/>
    <col min="3" max="3" width="34" customWidth="1"/>
    <col min="4" max="4" width="20" customWidth="1"/>
    <col min="5" max="5" width="13" customWidth="1"/>
    <col min="6" max="6" width="19" customWidth="1"/>
    <col min="7" max="8" width="16" customWidth="1"/>
    <col min="9" max="9" width="10" customWidth="1"/>
    <col min="10" max="10" width="17" customWidth="1"/>
    <col min="11" max="11" width="16" customWidth="1"/>
    <col min="12" max="12" width="21" customWidth="1"/>
    <col min="13" max="13" width="15" customWidth="1"/>
    <col min="14" max="14" width="12" hidden="1" customWidth="1" outlineLevel="1"/>
    <col min="15" max="18" width="11" hidden="1" customWidth="1" outlineLevel="1"/>
    <col min="19" max="44" width="13" customWidth="1"/>
  </cols>
  <sheetData>
    <row r="1" spans="1:44" ht="27" customHeight="1" x14ac:dyDescent="0.35">
      <c r="A1" s="71" t="s">
        <v>463</v>
      </c>
      <c r="B1" s="39"/>
      <c r="C1" s="39"/>
      <c r="D1" s="39"/>
      <c r="E1" s="39"/>
      <c r="F1" s="39"/>
      <c r="G1" s="39"/>
      <c r="H1" s="39"/>
      <c r="I1" s="39"/>
      <c r="J1" s="39"/>
      <c r="K1" s="39"/>
      <c r="L1" s="39"/>
      <c r="M1" s="39"/>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row>
    <row r="2" spans="1:44" ht="20" customHeight="1" x14ac:dyDescent="0.35">
      <c r="A2" s="39"/>
      <c r="B2" s="39"/>
      <c r="C2" s="39"/>
      <c r="D2" s="39"/>
      <c r="E2" s="39"/>
      <c r="F2" s="39"/>
      <c r="G2" s="39"/>
      <c r="H2" s="39"/>
      <c r="I2" s="39"/>
      <c r="J2" s="39"/>
      <c r="K2" s="39"/>
      <c r="L2" s="39"/>
      <c r="M2" s="39"/>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row>
    <row r="3" spans="1:44" ht="21" customHeight="1" x14ac:dyDescent="0.35">
      <c r="A3" s="69" t="s">
        <v>464</v>
      </c>
      <c r="B3" s="39"/>
      <c r="C3" s="39"/>
      <c r="D3" s="39"/>
      <c r="E3" s="39"/>
      <c r="F3" s="39"/>
      <c r="G3" s="39"/>
      <c r="H3" s="39"/>
      <c r="I3" s="39"/>
      <c r="J3" s="39"/>
      <c r="K3" s="39"/>
      <c r="L3" s="39"/>
      <c r="M3" s="39"/>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44" ht="29" customHeight="1" x14ac:dyDescent="0.35">
      <c r="A4" s="11" t="s">
        <v>3</v>
      </c>
      <c r="B4" s="11" t="s">
        <v>4</v>
      </c>
      <c r="C4" s="11" t="s">
        <v>5</v>
      </c>
      <c r="D4" s="11" t="s">
        <v>6</v>
      </c>
      <c r="E4" s="11" t="s">
        <v>7</v>
      </c>
      <c r="F4" s="11" t="s">
        <v>8</v>
      </c>
      <c r="G4" s="11" t="s">
        <v>53</v>
      </c>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row>
    <row r="5" spans="1:44" ht="10" customHeight="1" x14ac:dyDescent="0.3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44" ht="30" customHeight="1" x14ac:dyDescent="0.35">
      <c r="A6" s="21" t="s">
        <v>465</v>
      </c>
      <c r="B6" s="73" t="s">
        <v>466</v>
      </c>
      <c r="C6" s="74"/>
      <c r="D6" s="74"/>
      <c r="E6" s="72" t="s">
        <v>467</v>
      </c>
      <c r="F6" s="39"/>
      <c r="G6" s="39"/>
      <c r="H6" s="39"/>
      <c r="I6" s="39"/>
      <c r="J6" s="69" t="s">
        <v>468</v>
      </c>
      <c r="K6" s="39"/>
      <c r="L6" s="39"/>
      <c r="M6" s="39"/>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row>
    <row r="7" spans="1:44" ht="11" customHeight="1" x14ac:dyDescent="0.3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row>
    <row r="8" spans="1:44" ht="34" customHeight="1" x14ac:dyDescent="0.35">
      <c r="A8" s="13" t="s">
        <v>469</v>
      </c>
      <c r="B8" s="13" t="s">
        <v>470</v>
      </c>
      <c r="C8" s="13" t="s">
        <v>471</v>
      </c>
      <c r="D8" s="13" t="s">
        <v>472</v>
      </c>
      <c r="E8" s="13" t="s">
        <v>59</v>
      </c>
      <c r="F8" s="13" t="s">
        <v>473</v>
      </c>
      <c r="G8" s="13" t="s">
        <v>474</v>
      </c>
      <c r="H8" s="13" t="s">
        <v>475</v>
      </c>
      <c r="I8" s="13" t="s">
        <v>476</v>
      </c>
      <c r="J8" s="13" t="s">
        <v>477</v>
      </c>
      <c r="K8" s="13" t="s">
        <v>62</v>
      </c>
      <c r="L8" s="13" t="s">
        <v>347</v>
      </c>
      <c r="M8" s="13" t="s">
        <v>478</v>
      </c>
      <c r="N8" s="13" t="s">
        <v>343</v>
      </c>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row>
    <row r="9" spans="1:44" ht="40" customHeight="1" x14ac:dyDescent="0.35">
      <c r="A9" s="14" t="str">
        <f>IF(Quotes!$A9="","",IF(Quotes!A9="","",Quotes!A9))</f>
        <v>3103.01-Q1</v>
      </c>
      <c r="B9" s="14" t="str">
        <f>IF(Quotes!$A9="","",IF(Quotes!U9="","",Quotes!U9))</f>
        <v>RENK</v>
      </c>
      <c r="C9" s="14" t="str">
        <f>IF(Quotes!$A9="","",IF(Quotes!Z9="","",Quotes!Z9))</f>
        <v>Service of reduction gears STB/PS</v>
      </c>
      <c r="D9" s="22" t="str">
        <f>IF(Quotes!$A9="","",IF(Quotes!E9="","",Quotes!E9))</f>
        <v>Main scope</v>
      </c>
      <c r="E9" s="14" t="str">
        <f>IFERROR(IF(INDEX(Jobs!$P$9:$P$258,MATCH(Quotes!B9,Jobs!$A$9:$A$258,0))="","",HYPERLINK("#'"&amp;INDEX(Jobs!$P$9:$P$258,MATCH(Quotes!B9,Jobs!$A$9:$A$258,0))&amp;"'!A1","OPEN JOB")),"")</f>
        <v>OPEN JOB</v>
      </c>
      <c r="F9" s="22" t="str">
        <f>IF(Quotes!$A9="","",IF(Quotes!F9="","",Quotes!F9))</f>
        <v>Selected</v>
      </c>
      <c r="G9" s="23">
        <f>IF(Quotes!$A9="","",IF(Quotes!G9="","",Quotes!G9))</f>
        <v>44800</v>
      </c>
      <c r="H9" s="23" t="str">
        <f>IF(Quotes!$A9="","",IF(Quotes!H9="","",Quotes!H9))</f>
        <v/>
      </c>
      <c r="I9" s="22" t="str">
        <f>IF(Quotes!$A9="","",IF(Quotes!I9="","",Quotes!I9))</f>
        <v>EUR</v>
      </c>
      <c r="J9" s="16">
        <f>IF(Quotes!$A9="","",IF(Quotes!AD9="","",Quotes!AD9))</f>
        <v>44800</v>
      </c>
      <c r="K9" s="16" t="str">
        <f>IF(Quotes!$A9="","",IF(Quotes!AF9="","",Quotes!AF9))</f>
        <v/>
      </c>
      <c r="L9" s="14" t="str">
        <f>IF(Quotes!$A9="","",IF(Quotes!V9="","",Quotes!V9))</f>
        <v>RENKINFO</v>
      </c>
      <c r="M9" s="14" t="str">
        <f>IF(A9="","",HYPERLINK("#'Quotes'!A9","EDIT QUOTE"))</f>
        <v>EDIT QUOTE</v>
      </c>
      <c r="N9" s="14" t="str">
        <f>IF(Quotes!$A9="","",IF(Quotes!C9="","",Quotes!C9))</f>
        <v>A1</v>
      </c>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row>
    <row r="10" spans="1:44" ht="40" customHeight="1" x14ac:dyDescent="0.35">
      <c r="A10" s="18" t="str">
        <f>IF(Quotes!$A10="","",IF(Quotes!A10="","",Quotes!A10))</f>
        <v>1001.02-Q1</v>
      </c>
      <c r="B10" s="18" t="str">
        <f>IF(Quotes!$A10="","",IF(Quotes!U10="","",Quotes!U10))</f>
        <v>BAC IMPALLOY</v>
      </c>
      <c r="C10" s="18" t="str">
        <f>IF(Quotes!$A10="","",IF(Quotes!Z10="","",Quotes!Z10))</f>
        <v>Corrosion prevention anodes</v>
      </c>
      <c r="D10" s="22" t="str">
        <f>IF(Quotes!$A10="","",IF(Quotes!E10="","",Quotes!E10))</f>
        <v>Main scope</v>
      </c>
      <c r="E10" s="18" t="str">
        <f>IFERROR(IF(INDEX(Jobs!$P$9:$P$258,MATCH(Quotes!B10,Jobs!$A$9:$A$258,0))="","",HYPERLINK("#'"&amp;INDEX(Jobs!$P$9:$P$258,MATCH(Quotes!B10,Jobs!$A$9:$A$258,0))&amp;"'!A1","OPEN JOB")),"")</f>
        <v>OPEN JOB</v>
      </c>
      <c r="F10" s="22" t="str">
        <f>IF(Quotes!$A10="","",IF(Quotes!F10="","",Quotes!F10))</f>
        <v>Selected</v>
      </c>
      <c r="G10" s="23">
        <f>IF(Quotes!$A10="","",IF(Quotes!G10="","",Quotes!G10))</f>
        <v>62994.38</v>
      </c>
      <c r="H10" s="23" t="str">
        <f>IF(Quotes!$A10="","",IF(Quotes!H10="","",Quotes!H10))</f>
        <v/>
      </c>
      <c r="I10" s="22" t="str">
        <f>IF(Quotes!$A10="","",IF(Quotes!I10="","",Quotes!I10))</f>
        <v>DKK</v>
      </c>
      <c r="J10" s="19">
        <f>IF(Quotes!$A10="","",IF(Quotes!AD10="","",Quotes!AD10))</f>
        <v>8426.7781419303046</v>
      </c>
      <c r="K10" s="19" t="str">
        <f>IF(Quotes!$A10="","",IF(Quotes!AF10="","",Quotes!AF10))</f>
        <v/>
      </c>
      <c r="L10" s="18" t="str">
        <f>IF(Quotes!$A10="","",IF(Quotes!V10="","",Quotes!V10))</f>
        <v>Ole Elrum</v>
      </c>
      <c r="M10" s="18" t="str">
        <f>IF(A10="","",HYPERLINK("#'Quotes'!A10","EDIT QUOTE"))</f>
        <v>EDIT QUOTE</v>
      </c>
      <c r="N10" s="18" t="str">
        <f>IF(Quotes!$A10="","",IF(Quotes!C10="","",Quotes!C10))</f>
        <v>A2</v>
      </c>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row>
    <row r="11" spans="1:44" ht="40" customHeight="1" x14ac:dyDescent="0.35">
      <c r="A11" s="14" t="str">
        <f>IF(Quotes!$A11="","",IF(Quotes!A11="","",Quotes!A11))</f>
        <v>1001.03-Q1</v>
      </c>
      <c r="B11" s="14" t="str">
        <f>IF(Quotes!$A11="","",IF(Quotes!U11="","",Quotes!U11))</f>
        <v>HEMPEL</v>
      </c>
      <c r="C11" s="14" t="str">
        <f>IF(Quotes!$A11="","",IF(Quotes!Z11="","",Quotes!Z11))</f>
        <v>Bottom treatment and paint</v>
      </c>
      <c r="D11" s="22" t="str">
        <f>IF(Quotes!$A11="","",IF(Quotes!E11="","",Quotes!E11))</f>
        <v>Main scope</v>
      </c>
      <c r="E11" s="14" t="str">
        <f>IFERROR(IF(INDEX(Jobs!$P$9:$P$258,MATCH(Quotes!B11,Jobs!$A$9:$A$258,0))="","",HYPERLINK("#'"&amp;INDEX(Jobs!$P$9:$P$258,MATCH(Quotes!B11,Jobs!$A$9:$A$258,0))&amp;"'!A1","OPEN JOB")),"")</f>
        <v>OPEN JOB</v>
      </c>
      <c r="F11" s="22" t="str">
        <f>IF(Quotes!$A11="","",IF(Quotes!F11="","",Quotes!F11))</f>
        <v>Quote received</v>
      </c>
      <c r="G11" s="23">
        <f>IF(Quotes!$A11="","",IF(Quotes!G11="","",Quotes!G11))</f>
        <v>30832.74</v>
      </c>
      <c r="H11" s="23" t="str">
        <f>IF(Quotes!$A11="","",IF(Quotes!H11="","",Quotes!H11))</f>
        <v/>
      </c>
      <c r="I11" s="22" t="str">
        <f>IF(Quotes!$A11="","",IF(Quotes!I11="","",Quotes!I11))</f>
        <v>EUR</v>
      </c>
      <c r="J11" s="16">
        <f>IF(Quotes!$A11="","",IF(Quotes!AD11="","",Quotes!AD11))</f>
        <v>30832.74</v>
      </c>
      <c r="K11" s="16" t="str">
        <f>IF(Quotes!$A11="","",IF(Quotes!AF11="","",Quotes!AF11))</f>
        <v/>
      </c>
      <c r="L11" s="14" t="str">
        <f>IF(Quotes!$A11="","",IF(Quotes!V11="","",Quotes!V11))</f>
        <v>Björn Smit</v>
      </c>
      <c r="M11" s="14" t="str">
        <f>IF(A11="","",HYPERLINK("#'Quotes'!A11","EDIT QUOTE"))</f>
        <v>EDIT QUOTE</v>
      </c>
      <c r="N11" s="14" t="str">
        <f>IF(Quotes!$A11="","",IF(Quotes!C11="","",Quotes!C11))</f>
        <v>A3</v>
      </c>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row>
    <row r="12" spans="1:44" ht="40" customHeight="1" x14ac:dyDescent="0.35">
      <c r="A12" s="18" t="str">
        <f>IF(Quotes!$A12="","",IF(Quotes!A12="","",Quotes!A12))</f>
        <v>1001.03-Q2</v>
      </c>
      <c r="B12" s="18" t="str">
        <f>IF(Quotes!$A12="","",IF(Quotes!U12="","",Quotes!U12))</f>
        <v>Chugoku paints</v>
      </c>
      <c r="C12" s="18" t="str">
        <f>IF(Quotes!$A12="","",IF(Quotes!Z12="","",Quotes!Z12))</f>
        <v>Bottom treatment and paint</v>
      </c>
      <c r="D12" s="22" t="str">
        <f>IF(Quotes!$A12="","",IF(Quotes!E12="","",Quotes!E12))</f>
        <v>Main scope</v>
      </c>
      <c r="E12" s="18" t="str">
        <f>IFERROR(IF(INDEX(Jobs!$P$9:$P$258,MATCH(Quotes!B12,Jobs!$A$9:$A$258,0))="","",HYPERLINK("#'"&amp;INDEX(Jobs!$P$9:$P$258,MATCH(Quotes!B12,Jobs!$A$9:$A$258,0))&amp;"'!A1","OPEN JOB")),"")</f>
        <v>OPEN JOB</v>
      </c>
      <c r="F12" s="22" t="str">
        <f>IF(Quotes!$A12="","",IF(Quotes!F12="","",Quotes!F12))</f>
        <v>Quote received</v>
      </c>
      <c r="G12" s="23">
        <f>IF(Quotes!$A12="","",IF(Quotes!G12="","",Quotes!G12))</f>
        <v>66843.320000000007</v>
      </c>
      <c r="H12" s="23" t="str">
        <f>IF(Quotes!$A12="","",IF(Quotes!H12="","",Quotes!H12))</f>
        <v/>
      </c>
      <c r="I12" s="22" t="str">
        <f>IF(Quotes!$A12="","",IF(Quotes!I12="","",Quotes!I12))</f>
        <v>EUR</v>
      </c>
      <c r="J12" s="19">
        <f>IF(Quotes!$A12="","",IF(Quotes!AD12="","",Quotes!AD12))</f>
        <v>66843.320000000007</v>
      </c>
      <c r="K12" s="19" t="str">
        <f>IF(Quotes!$A12="","",IF(Quotes!AF12="","",Quotes!AF12))</f>
        <v/>
      </c>
      <c r="L12" s="18" t="str">
        <f>IF(Quotes!$A12="","",IF(Quotes!V12="","",Quotes!V12))</f>
        <v xml:space="preserve">Peter </v>
      </c>
      <c r="M12" s="18" t="str">
        <f>IF(A12="","",HYPERLINK("#'Quotes'!A12","EDIT QUOTE"))</f>
        <v>EDIT QUOTE</v>
      </c>
      <c r="N12" s="18" t="str">
        <f>IF(Quotes!$A12="","",IF(Quotes!C12="","",Quotes!C12))</f>
        <v>A4</v>
      </c>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row>
    <row r="13" spans="1:44" ht="40" customHeight="1" x14ac:dyDescent="0.35">
      <c r="A13" s="14" t="str">
        <f>IF(Quotes!$A13="","",IF(Quotes!A13="","",Quotes!A13))</f>
        <v>3149.01-Q1</v>
      </c>
      <c r="B13" s="14" t="str">
        <f>IF(Quotes!$A13="","",IF(Quotes!U13="","",Quotes!U13))</f>
        <v>MAN</v>
      </c>
      <c r="C13" s="14" t="str">
        <f>IF(Quotes!$A13="","",IF(Quotes!Z13="","",Quotes!Z13))</f>
        <v>Main engine overhaul</v>
      </c>
      <c r="D13" s="22" t="str">
        <f>IF(Quotes!$A13="","",IF(Quotes!E13="","",Quotes!E13))</f>
        <v>Main scope</v>
      </c>
      <c r="E13" s="14" t="str">
        <f>IFERROR(IF(INDEX(Jobs!$P$9:$P$258,MATCH(Quotes!B13,Jobs!$A$9:$A$258,0))="","",HYPERLINK("#'"&amp;INDEX(Jobs!$P$9:$P$258,MATCH(Quotes!B13,Jobs!$A$9:$A$258,0))&amp;"'!A1","OPEN JOB")),"")</f>
        <v>OPEN JOB</v>
      </c>
      <c r="F13" s="22" t="str">
        <f>IF(Quotes!$A13="","",IF(Quotes!F13="","",Quotes!F13))</f>
        <v>RFQ sent</v>
      </c>
      <c r="G13" s="23" t="str">
        <f>IF(Quotes!$A13="","",IF(Quotes!G13="","",Quotes!G13))</f>
        <v/>
      </c>
      <c r="H13" s="23" t="str">
        <f>IF(Quotes!$A13="","",IF(Quotes!H13="","",Quotes!H13))</f>
        <v/>
      </c>
      <c r="I13" s="22" t="str">
        <f>IF(Quotes!$A13="","",IF(Quotes!I13="","",Quotes!I13))</f>
        <v/>
      </c>
      <c r="J13" s="16" t="str">
        <f>IF(Quotes!$A13="","",IF(Quotes!AD13="","",Quotes!AD13))</f>
        <v/>
      </c>
      <c r="K13" s="16" t="str">
        <f>IF(Quotes!$A13="","",IF(Quotes!AF13="","",Quotes!AF13))</f>
        <v/>
      </c>
      <c r="L13" s="14" t="str">
        <f>IF(Quotes!$A13="","",IF(Quotes!V13="","",Quotes!V13))</f>
        <v>N/A</v>
      </c>
      <c r="M13" s="14" t="str">
        <f>IF(A13="","",HYPERLINK("#'Quotes'!A13","EDIT QUOTE"))</f>
        <v>EDIT QUOTE</v>
      </c>
      <c r="N13" s="14" t="str">
        <f>IF(Quotes!$A13="","",IF(Quotes!C13="","",Quotes!C13))</f>
        <v>A5</v>
      </c>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row>
    <row r="14" spans="1:44" ht="40" customHeight="1" x14ac:dyDescent="0.35">
      <c r="A14" s="18" t="str">
        <f>IF(Quotes!$A14="","",IF(Quotes!A14="","",Quotes!A14))</f>
        <v>3812.01-Q1</v>
      </c>
      <c r="B14" s="18" t="str">
        <f>IF(Quotes!$A14="","",IF(Quotes!U14="","",Quotes!U14))</f>
        <v>PINNFABB</v>
      </c>
      <c r="C14" s="18" t="str">
        <f>IF(Quotes!$A14="","",IF(Quotes!Z14="","",Quotes!Z14))</f>
        <v>Stabilizers</v>
      </c>
      <c r="D14" s="22" t="str">
        <f>IF(Quotes!$A14="","",IF(Quotes!E14="","",Quotes!E14))</f>
        <v>Main scope</v>
      </c>
      <c r="E14" s="18" t="str">
        <f>IFERROR(IF(INDEX(Jobs!$P$9:$P$258,MATCH(Quotes!B14,Jobs!$A$9:$A$258,0))="","",HYPERLINK("#'"&amp;INDEX(Jobs!$P$9:$P$258,MATCH(Quotes!B14,Jobs!$A$9:$A$258,0))&amp;"'!A1","OPEN JOB")),"")</f>
        <v>OPEN JOB</v>
      </c>
      <c r="F14" s="22" t="str">
        <f>IF(Quotes!$A14="","",IF(Quotes!F14="","",Quotes!F14))</f>
        <v>Selected</v>
      </c>
      <c r="G14" s="23">
        <f>IF(Quotes!$A14="","",IF(Quotes!G14="","",Quotes!G14))</f>
        <v>250000</v>
      </c>
      <c r="H14" s="23" t="str">
        <f>IF(Quotes!$A14="","",IF(Quotes!H14="","",Quotes!H14))</f>
        <v/>
      </c>
      <c r="I14" s="22" t="str">
        <f>IF(Quotes!$A14="","",IF(Quotes!I14="","",Quotes!I14))</f>
        <v>EUR</v>
      </c>
      <c r="J14" s="19">
        <f>IF(Quotes!$A14="","",IF(Quotes!AD14="","",Quotes!AD14))</f>
        <v>250000</v>
      </c>
      <c r="K14" s="19" t="str">
        <f>IF(Quotes!$A14="","",IF(Quotes!AF14="","",Quotes!AF14))</f>
        <v/>
      </c>
      <c r="L14" s="18" t="str">
        <f>IF(Quotes!$A14="","",IF(Quotes!V14="","",Quotes!V14))</f>
        <v xml:space="preserve">MATT </v>
      </c>
      <c r="M14" s="18" t="str">
        <f>IF(A14="","",HYPERLINK("#'Quotes'!A14","EDIT QUOTE"))</f>
        <v>EDIT QUOTE</v>
      </c>
      <c r="N14" s="18" t="str">
        <f>IF(Quotes!$A14="","",IF(Quotes!C14="","",Quotes!C14))</f>
        <v>A6</v>
      </c>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row>
    <row r="15" spans="1:44" ht="40" customHeight="1" x14ac:dyDescent="0.35">
      <c r="A15" s="14" t="str">
        <f>IF(Quotes!$A15="","",IF(Quotes!A15="","",Quotes!A15))</f>
        <v>3149.02-Q1</v>
      </c>
      <c r="B15" s="14" t="str">
        <f>IF(Quotes!$A15="","",IF(Quotes!U15="","",Quotes!U15))</f>
        <v>PJCircular</v>
      </c>
      <c r="C15" s="14" t="str">
        <f>IF(Quotes!$A15="","",IF(Quotes!Z15="","",Quotes!Z15))</f>
        <v>Governor overhaul</v>
      </c>
      <c r="D15" s="22" t="str">
        <f>IF(Quotes!$A15="","",IF(Quotes!E15="","",Quotes!E15))</f>
        <v>Main scope</v>
      </c>
      <c r="E15" s="14" t="str">
        <f>IFERROR(IF(INDEX(Jobs!$P$9:$P$258,MATCH(Quotes!B15,Jobs!$A$9:$A$258,0))="","",HYPERLINK("#'"&amp;INDEX(Jobs!$P$9:$P$258,MATCH(Quotes!B15,Jobs!$A$9:$A$258,0))&amp;"'!A1","OPEN JOB")),"")</f>
        <v>OPEN JOB</v>
      </c>
      <c r="F15" s="22" t="str">
        <f>IF(Quotes!$A15="","",IF(Quotes!F15="","",Quotes!F15))</f>
        <v>Quote received</v>
      </c>
      <c r="G15" s="23">
        <f>IF(Quotes!$A15="","",IF(Quotes!G15="","",Quotes!G15))</f>
        <v>5970</v>
      </c>
      <c r="H15" s="23" t="str">
        <f>IF(Quotes!$A15="","",IF(Quotes!H15="","",Quotes!H15))</f>
        <v/>
      </c>
      <c r="I15" s="22" t="str">
        <f>IF(Quotes!$A15="","",IF(Quotes!I15="","",Quotes!I15))</f>
        <v>EUR</v>
      </c>
      <c r="J15" s="16">
        <f>IF(Quotes!$A15="","",IF(Quotes!AD15="","",Quotes!AD15))</f>
        <v>5970</v>
      </c>
      <c r="K15" s="16" t="str">
        <f>IF(Quotes!$A15="","",IF(Quotes!AF15="","",Quotes!AF15))</f>
        <v/>
      </c>
      <c r="L15" s="14" t="str">
        <f>IF(Quotes!$A15="","",IF(Quotes!V15="","",Quotes!V15))</f>
        <v/>
      </c>
      <c r="M15" s="14" t="str">
        <f>IF(A15="","",HYPERLINK("#'Quotes'!A15","EDIT QUOTE"))</f>
        <v>EDIT QUOTE</v>
      </c>
      <c r="N15" s="14" t="str">
        <f>IF(Quotes!$A15="","",IF(Quotes!C15="","",Quotes!C15))</f>
        <v>A8</v>
      </c>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row>
    <row r="16" spans="1:44" ht="40" customHeight="1" x14ac:dyDescent="0.35">
      <c r="A16" s="18" t="str">
        <f>IF(Quotes!$A16="","",IF(Quotes!A16="","",Quotes!A16))</f>
        <v>3149.02-Q2</v>
      </c>
      <c r="B16" s="18" t="str">
        <f>IF(Quotes!$A16="","",IF(Quotes!U16="","",Quotes!U16))</f>
        <v xml:space="preserve">TURNER </v>
      </c>
      <c r="C16" s="18" t="str">
        <f>IF(Quotes!$A16="","",IF(Quotes!Z16="","",Quotes!Z16))</f>
        <v>Governor overhaul</v>
      </c>
      <c r="D16" s="22" t="str">
        <f>IF(Quotes!$A16="","",IF(Quotes!E16="","",Quotes!E16))</f>
        <v>Main scope</v>
      </c>
      <c r="E16" s="18" t="str">
        <f>IFERROR(IF(INDEX(Jobs!$P$9:$P$258,MATCH(Quotes!B16,Jobs!$A$9:$A$258,0))="","",HYPERLINK("#'"&amp;INDEX(Jobs!$P$9:$P$258,MATCH(Quotes!B16,Jobs!$A$9:$A$258,0))&amp;"'!A1","OPEN JOB")),"")</f>
        <v>OPEN JOB</v>
      </c>
      <c r="F16" s="22" t="str">
        <f>IF(Quotes!$A16="","",IF(Quotes!F16="","",Quotes!F16))</f>
        <v>Quote received</v>
      </c>
      <c r="G16" s="23">
        <f>IF(Quotes!$A16="","",IF(Quotes!G16="","",Quotes!G16))</f>
        <v>9195.52</v>
      </c>
      <c r="H16" s="23" t="str">
        <f>IF(Quotes!$A16="","",IF(Quotes!H16="","",Quotes!H16))</f>
        <v/>
      </c>
      <c r="I16" s="22" t="str">
        <f>IF(Quotes!$A16="","",IF(Quotes!I16="","",Quotes!I16))</f>
        <v>EUR</v>
      </c>
      <c r="J16" s="19">
        <f>IF(Quotes!$A16="","",IF(Quotes!AD16="","",Quotes!AD16))</f>
        <v>9195.52</v>
      </c>
      <c r="K16" s="19" t="str">
        <f>IF(Quotes!$A16="","",IF(Quotes!AF16="","",Quotes!AF16))</f>
        <v/>
      </c>
      <c r="L16" s="18" t="str">
        <f>IF(Quotes!$A16="","",IF(Quotes!V16="","",Quotes!V16))</f>
        <v>N/A</v>
      </c>
      <c r="M16" s="18" t="str">
        <f>IF(A16="","",HYPERLINK("#'Quotes'!A16","EDIT QUOTE"))</f>
        <v>EDIT QUOTE</v>
      </c>
      <c r="N16" s="18" t="str">
        <f>IF(Quotes!$A16="","",IF(Quotes!C16="","",Quotes!C16))</f>
        <v>A8.1</v>
      </c>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row>
    <row r="17" spans="1:44" ht="40" customHeight="1" x14ac:dyDescent="0.35">
      <c r="A17" s="14" t="str">
        <f>IF(Quotes!$A17="","",IF(Quotes!A17="","",Quotes!A17))</f>
        <v>1500.01-Q1</v>
      </c>
      <c r="B17" s="14" t="str">
        <f>IF(Quotes!$A17="","",IF(Quotes!U17="","",Quotes!U17))</f>
        <v>Autronica Fire and Security AS</v>
      </c>
      <c r="C17" s="14" t="str">
        <f>IF(Quotes!$A17="","",IF(Quotes!Z17="","",Quotes!Z17))</f>
        <v>Fire detection system</v>
      </c>
      <c r="D17" s="22" t="str">
        <f>IF(Quotes!$A17="","",IF(Quotes!E17="","",Quotes!E17))</f>
        <v>Main scope</v>
      </c>
      <c r="E17" s="14" t="str">
        <f>IFERROR(IF(INDEX(Jobs!$P$9:$P$258,MATCH(Quotes!B17,Jobs!$A$9:$A$258,0))="","",HYPERLINK("#'"&amp;INDEX(Jobs!$P$9:$P$258,MATCH(Quotes!B17,Jobs!$A$9:$A$258,0))&amp;"'!A1","OPEN JOB")),"")</f>
        <v>OPEN JOB</v>
      </c>
      <c r="F17" s="22" t="str">
        <f>IF(Quotes!$A17="","",IF(Quotes!F17="","",Quotes!F17))</f>
        <v>Quote received</v>
      </c>
      <c r="G17" s="23">
        <f>IF(Quotes!$A17="","",IF(Quotes!G17="","",Quotes!G17))</f>
        <v>79618</v>
      </c>
      <c r="H17" s="23" t="str">
        <f>IF(Quotes!$A17="","",IF(Quotes!H17="","",Quotes!H17))</f>
        <v/>
      </c>
      <c r="I17" s="22" t="str">
        <f>IF(Quotes!$A17="","",IF(Quotes!I17="","",Quotes!I17))</f>
        <v>EUR</v>
      </c>
      <c r="J17" s="16">
        <f>IF(Quotes!$A17="","",IF(Quotes!AD17="","",Quotes!AD17))</f>
        <v>79618</v>
      </c>
      <c r="K17" s="16" t="str">
        <f>IF(Quotes!$A17="","",IF(Quotes!AF17="","",Quotes!AF17))</f>
        <v/>
      </c>
      <c r="L17" s="14" t="str">
        <f>IF(Quotes!$A17="","",IF(Quotes!V17="","",Quotes!V17))</f>
        <v>Stian Hilde</v>
      </c>
      <c r="M17" s="14" t="str">
        <f>IF(A17="","",HYPERLINK("#'Quotes'!A17","EDIT QUOTE"))</f>
        <v>EDIT QUOTE</v>
      </c>
      <c r="N17" s="14" t="str">
        <f>IF(Quotes!$A17="","",IF(Quotes!C17="","",Quotes!C17))</f>
        <v>F1</v>
      </c>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row>
    <row r="18" spans="1:44" ht="40" customHeight="1" x14ac:dyDescent="0.35">
      <c r="A18" s="18" t="str">
        <f>IF(Quotes!$A18="","",IF(Quotes!A18="","",Quotes!A18))</f>
        <v>1500.01-Q2</v>
      </c>
      <c r="B18" s="18" t="str">
        <f>IF(Quotes!$A18="","",IF(Quotes!U18="","",Quotes!U18))</f>
        <v>Consillium</v>
      </c>
      <c r="C18" s="18" t="str">
        <f>IF(Quotes!$A18="","",IF(Quotes!Z18="","",Quotes!Z18))</f>
        <v>Fire detection system</v>
      </c>
      <c r="D18" s="22" t="str">
        <f>IF(Quotes!$A18="","",IF(Quotes!E18="","",Quotes!E18))</f>
        <v>Main scope</v>
      </c>
      <c r="E18" s="18" t="str">
        <f>IFERROR(IF(INDEX(Jobs!$P$9:$P$258,MATCH(Quotes!B18,Jobs!$A$9:$A$258,0))="","",HYPERLINK("#'"&amp;INDEX(Jobs!$P$9:$P$258,MATCH(Quotes!B18,Jobs!$A$9:$A$258,0))&amp;"'!A1","OPEN JOB")),"")</f>
        <v>OPEN JOB</v>
      </c>
      <c r="F18" s="22" t="str">
        <f>IF(Quotes!$A18="","",IF(Quotes!F18="","",Quotes!F18))</f>
        <v>Clarification</v>
      </c>
      <c r="G18" s="23" t="str">
        <f>IF(Quotes!$A18="","",IF(Quotes!G18="","",Quotes!G18))</f>
        <v/>
      </c>
      <c r="H18" s="23" t="str">
        <f>IF(Quotes!$A18="","",IF(Quotes!H18="","",Quotes!H18))</f>
        <v/>
      </c>
      <c r="I18" s="22" t="str">
        <f>IF(Quotes!$A18="","",IF(Quotes!I18="","",Quotes!I18))</f>
        <v/>
      </c>
      <c r="J18" s="19" t="str">
        <f>IF(Quotes!$A18="","",IF(Quotes!AD18="","",Quotes!AD18))</f>
        <v/>
      </c>
      <c r="K18" s="19" t="str">
        <f>IF(Quotes!$A18="","",IF(Quotes!AF18="","",Quotes!AF18))</f>
        <v/>
      </c>
      <c r="L18" s="18" t="str">
        <f>IF(Quotes!$A18="","",IF(Quotes!V18="","",Quotes!V18))</f>
        <v>Martin</v>
      </c>
      <c r="M18" s="18" t="str">
        <f>IF(A18="","",HYPERLINK("#'Quotes'!A18","EDIT QUOTE"))</f>
        <v>EDIT QUOTE</v>
      </c>
      <c r="N18" s="18" t="str">
        <f>IF(Quotes!$A18="","",IF(Quotes!C18="","",Quotes!C18))</f>
        <v>F2</v>
      </c>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row>
    <row r="19" spans="1:44" ht="40" customHeight="1" x14ac:dyDescent="0.35">
      <c r="A19" s="14" t="str">
        <f>IF(Quotes!$A19="","",IF(Quotes!A19="","",Quotes!A19))</f>
        <v>3811.02-Q1</v>
      </c>
      <c r="B19" s="14" t="str">
        <f>IF(Quotes!$A19="","",IF(Quotes!U19="","",Quotes!U19))</f>
        <v>BRUNVOLL</v>
      </c>
      <c r="C19" s="14" t="str">
        <f>IF(Quotes!$A19="","",IF(Quotes!Z19="","",Quotes!Z19))</f>
        <v>Thruster PLC upgrade - YARD INFO ONLY</v>
      </c>
      <c r="D19" s="22" t="str">
        <f>IF(Quotes!$A19="","",IF(Quotes!E19="","",Quotes!E19))</f>
        <v>Main scope</v>
      </c>
      <c r="E19" s="14" t="str">
        <f>IFERROR(IF(INDEX(Jobs!$P$9:$P$258,MATCH(Quotes!B19,Jobs!$A$9:$A$258,0))="","",HYPERLINK("#'"&amp;INDEX(Jobs!$P$9:$P$258,MATCH(Quotes!B19,Jobs!$A$9:$A$258,0))&amp;"'!A1","OPEN JOB")),"")</f>
        <v>OPEN JOB</v>
      </c>
      <c r="F19" s="22" t="str">
        <f>IF(Quotes!$A19="","",IF(Quotes!F19="","",Quotes!F19))</f>
        <v>Quote received</v>
      </c>
      <c r="G19" s="23">
        <f>IF(Quotes!$A19="","",IF(Quotes!G19="","",Quotes!G19))</f>
        <v>525692</v>
      </c>
      <c r="H19" s="23" t="str">
        <f>IF(Quotes!$A19="","",IF(Quotes!H19="","",Quotes!H19))</f>
        <v/>
      </c>
      <c r="I19" s="22" t="str">
        <f>IF(Quotes!$A19="","",IF(Quotes!I19="","",Quotes!I19))</f>
        <v>NOK</v>
      </c>
      <c r="J19" s="16">
        <f>IF(Quotes!$A19="","",IF(Quotes!AD19="","",Quotes!AD19))</f>
        <v>48495.571955719555</v>
      </c>
      <c r="K19" s="16" t="str">
        <f>IF(Quotes!$A19="","",IF(Quotes!AF19="","",Quotes!AF19))</f>
        <v/>
      </c>
      <c r="L19" s="14" t="str">
        <f>IF(Quotes!$A19="","",IF(Quotes!V19="","",Quotes!V19))</f>
        <v/>
      </c>
      <c r="M19" s="14" t="str">
        <f>IF(A19="","",HYPERLINK("#'Quotes'!A19","EDIT QUOTE"))</f>
        <v>EDIT QUOTE</v>
      </c>
      <c r="N19" s="14" t="str">
        <f>IF(Quotes!$A19="","",IF(Quotes!C19="","",Quotes!C19))</f>
        <v>A9</v>
      </c>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row>
    <row r="20" spans="1:44" ht="40" customHeight="1" x14ac:dyDescent="0.35">
      <c r="A20" s="18" t="str">
        <f>IF(Quotes!$A20="","",IF(Quotes!A20="","",Quotes!A20))</f>
        <v>3811.01-Q1</v>
      </c>
      <c r="B20" s="18" t="str">
        <f>IF(Quotes!$A20="","",IF(Quotes!U20="","",Quotes!U20))</f>
        <v>BRUNVOLL</v>
      </c>
      <c r="C20" s="18" t="str">
        <f>IF(Quotes!$A20="","",IF(Quotes!Z20="","",Quotes!Z20))</f>
        <v>Bow thrusters overhaul</v>
      </c>
      <c r="D20" s="22" t="str">
        <f>IF(Quotes!$A20="","",IF(Quotes!E20="","",Quotes!E20))</f>
        <v>Service</v>
      </c>
      <c r="E20" s="18" t="str">
        <f>IFERROR(IF(INDEX(Jobs!$P$9:$P$258,MATCH(Quotes!B20,Jobs!$A$9:$A$258,0))="","",HYPERLINK("#'"&amp;INDEX(Jobs!$P$9:$P$258,MATCH(Quotes!B20,Jobs!$A$9:$A$258,0))&amp;"'!A1","OPEN JOB")),"")</f>
        <v>OPEN JOB</v>
      </c>
      <c r="F20" s="22" t="str">
        <f>IF(Quotes!$A20="","",IF(Quotes!F20="","",Quotes!F20))</f>
        <v>Selected</v>
      </c>
      <c r="G20" s="23">
        <f>IF(Quotes!$A20="","",IF(Quotes!G20="","",Quotes!G20))</f>
        <v>392210</v>
      </c>
      <c r="H20" s="23" t="str">
        <f>IF(Quotes!$A20="","",IF(Quotes!H20="","",Quotes!H20))</f>
        <v/>
      </c>
      <c r="I20" s="22" t="str">
        <f>IF(Quotes!$A20="","",IF(Quotes!I20="","",Quotes!I20))</f>
        <v>NOK</v>
      </c>
      <c r="J20" s="19">
        <f>IF(Quotes!$A20="","",IF(Quotes!AD20="","",Quotes!AD20))</f>
        <v>36181.734317343173</v>
      </c>
      <c r="K20" s="19" t="str">
        <f>IF(Quotes!$A20="","",IF(Quotes!AF20="","",Quotes!AF20))</f>
        <v/>
      </c>
      <c r="L20" s="18" t="str">
        <f>IF(Quotes!$A20="","",IF(Quotes!V20="","",Quotes!V20))</f>
        <v/>
      </c>
      <c r="M20" s="18" t="str">
        <f>IF(A20="","",HYPERLINK("#'Quotes'!A20","EDIT QUOTE"))</f>
        <v>EDIT QUOTE</v>
      </c>
      <c r="N20" s="18" t="str">
        <f>IF(Quotes!$A20="","",IF(Quotes!C20="","",Quotes!C20))</f>
        <v>A9</v>
      </c>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row>
    <row r="21" spans="1:44" ht="40" customHeight="1" x14ac:dyDescent="0.35">
      <c r="A21" s="14" t="str">
        <f>IF(Quotes!$A21="","",IF(Quotes!A21="","",Quotes!A21))</f>
        <v>1303.01-Q1</v>
      </c>
      <c r="B21" s="14" t="str">
        <f>IF(Quotes!$A21="","",IF(Quotes!U21="","",Quotes!U21))</f>
        <v xml:space="preserve">Neuver maritime </v>
      </c>
      <c r="C21" s="14" t="str">
        <f>IF(Quotes!$A21="","",IF(Quotes!Z21="","",Quotes!Z21))</f>
        <v>Steering gears overhaul</v>
      </c>
      <c r="D21" s="22" t="str">
        <f>IF(Quotes!$A21="","",IF(Quotes!E21="","",Quotes!E21))</f>
        <v>Main scope</v>
      </c>
      <c r="E21" s="14" t="str">
        <f>IFERROR(IF(INDEX(Jobs!$P$9:$P$258,MATCH(Quotes!B21,Jobs!$A$9:$A$258,0))="","",HYPERLINK("#'"&amp;INDEX(Jobs!$P$9:$P$258,MATCH(Quotes!B21,Jobs!$A$9:$A$258,0))&amp;"'!A1","OPEN JOB")),"")</f>
        <v>OPEN JOB</v>
      </c>
      <c r="F21" s="22" t="str">
        <f>IF(Quotes!$A21="","",IF(Quotes!F21="","",Quotes!F21))</f>
        <v>Selected</v>
      </c>
      <c r="G21" s="23">
        <f>IF(Quotes!$A21="","",IF(Quotes!G21="","",Quotes!G21))</f>
        <v>42681</v>
      </c>
      <c r="H21" s="23" t="str">
        <f>IF(Quotes!$A21="","",IF(Quotes!H21="","",Quotes!H21))</f>
        <v/>
      </c>
      <c r="I21" s="22" t="str">
        <f>IF(Quotes!$A21="","",IF(Quotes!I21="","",Quotes!I21))</f>
        <v>EUR</v>
      </c>
      <c r="J21" s="16">
        <f>IF(Quotes!$A21="","",IF(Quotes!AD21="","",Quotes!AD21))</f>
        <v>42681</v>
      </c>
      <c r="K21" s="16" t="str">
        <f>IF(Quotes!$A21="","",IF(Quotes!AF21="","",Quotes!AF21))</f>
        <v/>
      </c>
      <c r="L21" s="14" t="str">
        <f>IF(Quotes!$A21="","",IF(Quotes!V21="","",Quotes!V21))</f>
        <v>Hilde Omvik Kyte</v>
      </c>
      <c r="M21" s="14" t="str">
        <f>IF(A21="","",HYPERLINK("#'Quotes'!A21","EDIT QUOTE"))</f>
        <v>EDIT QUOTE</v>
      </c>
      <c r="N21" s="14" t="str">
        <f>IF(Quotes!$A21="","",IF(Quotes!C21="","",Quotes!C21))</f>
        <v>A10</v>
      </c>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row>
    <row r="22" spans="1:44" ht="40" customHeight="1" x14ac:dyDescent="0.35">
      <c r="A22" s="18" t="str">
        <f>IF(Quotes!$A22="","",IF(Quotes!A22="","",Quotes!A22))</f>
        <v>1303.01-Q2</v>
      </c>
      <c r="B22" s="18" t="str">
        <f>IF(Quotes!$A22="","",IF(Quotes!U22="","",Quotes!U22))</f>
        <v xml:space="preserve">Neuver maritime </v>
      </c>
      <c r="C22" s="18" t="str">
        <f>IF(Quotes!$A22="","",IF(Quotes!Z22="","",Quotes!Z22))</f>
        <v>Steering gears overhaul</v>
      </c>
      <c r="D22" s="22" t="str">
        <f>IF(Quotes!$A22="","",IF(Quotes!E22="","",Quotes!E22))</f>
        <v>Main scope</v>
      </c>
      <c r="E22" s="18" t="str">
        <f>IFERROR(IF(INDEX(Jobs!$P$9:$P$258,MATCH(Quotes!B22,Jobs!$A$9:$A$258,0))="","",HYPERLINK("#'"&amp;INDEX(Jobs!$P$9:$P$258,MATCH(Quotes!B22,Jobs!$A$9:$A$258,0))&amp;"'!A1","OPEN JOB")),"")</f>
        <v>OPEN JOB</v>
      </c>
      <c r="F22" s="22" t="str">
        <f>IF(Quotes!$A22="","",IF(Quotes!F22="","",Quotes!F22))</f>
        <v>Quote received</v>
      </c>
      <c r="G22" s="23">
        <f>IF(Quotes!$A22="","",IF(Quotes!G22="","",Quotes!G22))</f>
        <v>54778.2</v>
      </c>
      <c r="H22" s="23" t="str">
        <f>IF(Quotes!$A22="","",IF(Quotes!H22="","",Quotes!H22))</f>
        <v/>
      </c>
      <c r="I22" s="22" t="str">
        <f>IF(Quotes!$A22="","",IF(Quotes!I22="","",Quotes!I22))</f>
        <v>EUR</v>
      </c>
      <c r="J22" s="19">
        <f>IF(Quotes!$A22="","",IF(Quotes!AD22="","",Quotes!AD22))</f>
        <v>54778.2</v>
      </c>
      <c r="K22" s="19" t="str">
        <f>IF(Quotes!$A22="","",IF(Quotes!AF22="","",Quotes!AF22))</f>
        <v/>
      </c>
      <c r="L22" s="18" t="str">
        <f>IF(Quotes!$A22="","",IF(Quotes!V22="","",Quotes!V22))</f>
        <v>Hilde Omvik Kyte</v>
      </c>
      <c r="M22" s="18" t="str">
        <f>IF(A22="","",HYPERLINK("#'Quotes'!A22","EDIT QUOTE"))</f>
        <v>EDIT QUOTE</v>
      </c>
      <c r="N22" s="18" t="str">
        <f>IF(Quotes!$A22="","",IF(Quotes!C22="","",Quotes!C22))</f>
        <v>A10</v>
      </c>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row>
    <row r="23" spans="1:44" ht="40" customHeight="1" x14ac:dyDescent="0.35">
      <c r="A23" s="14" t="str">
        <f>IF(Quotes!$A23="","",IF(Quotes!A23="","",Quotes!A23))</f>
        <v>3811.01-Q2</v>
      </c>
      <c r="B23" s="14" t="str">
        <f>IF(Quotes!$A23="","",IF(Quotes!U23="","",Quotes!U23))</f>
        <v>BRUNVOLL</v>
      </c>
      <c r="C23" s="14" t="str">
        <f>IF(Quotes!$A23="","",IF(Quotes!Z23="","",Quotes!Z23))</f>
        <v>Bow thrusters overhaul</v>
      </c>
      <c r="D23" s="22" t="str">
        <f>IF(Quotes!$A23="","",IF(Quotes!E23="","",Quotes!E23))</f>
        <v>Spares</v>
      </c>
      <c r="E23" s="14" t="str">
        <f>IFERROR(IF(INDEX(Jobs!$P$9:$P$258,MATCH(Quotes!B23,Jobs!$A$9:$A$258,0))="","",HYPERLINK("#'"&amp;INDEX(Jobs!$P$9:$P$258,MATCH(Quotes!B23,Jobs!$A$9:$A$258,0))&amp;"'!A1","OPEN JOB")),"")</f>
        <v>OPEN JOB</v>
      </c>
      <c r="F23" s="22" t="str">
        <f>IF(Quotes!$A23="","",IF(Quotes!F23="","",Quotes!F23))</f>
        <v>Selected</v>
      </c>
      <c r="G23" s="23">
        <f>IF(Quotes!$A23="","",IF(Quotes!G23="","",Quotes!G23))</f>
        <v>1171237.3999999999</v>
      </c>
      <c r="H23" s="23" t="str">
        <f>IF(Quotes!$A23="","",IF(Quotes!H23="","",Quotes!H23))</f>
        <v/>
      </c>
      <c r="I23" s="22" t="str">
        <f>IF(Quotes!$A23="","",IF(Quotes!I23="","",Quotes!I23))</f>
        <v>NOK</v>
      </c>
      <c r="J23" s="16">
        <f>IF(Quotes!$A23="","",IF(Quotes!AD23="","",Quotes!AD23))</f>
        <v>108047.73062730627</v>
      </c>
      <c r="K23" s="16" t="str">
        <f>IF(Quotes!$A23="","",IF(Quotes!AF23="","",Quotes!AF23))</f>
        <v/>
      </c>
      <c r="L23" s="14" t="str">
        <f>IF(Quotes!$A23="","",IF(Quotes!V23="","",Quotes!V23))</f>
        <v/>
      </c>
      <c r="M23" s="14" t="str">
        <f>IF(A23="","",HYPERLINK("#'Quotes'!A23","EDIT QUOTE"))</f>
        <v>EDIT QUOTE</v>
      </c>
      <c r="N23" s="14" t="str">
        <f>IF(Quotes!$A23="","",IF(Quotes!C23="","",Quotes!C23))</f>
        <v>A9</v>
      </c>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row>
    <row r="24" spans="1:44" ht="40" customHeight="1" x14ac:dyDescent="0.35">
      <c r="A24" s="18" t="str">
        <f>IF(Quotes!$A24="","",IF(Quotes!A24="","",Quotes!A24))</f>
        <v>3802.01-Q1</v>
      </c>
      <c r="B24" s="18" t="str">
        <f>IF(Quotes!$A24="","",IF(Quotes!U24="","",Quotes!U24))</f>
        <v>WÀRTSILA</v>
      </c>
      <c r="C24" s="18" t="str">
        <f>IF(Quotes!$A24="","",IF(Quotes!Z24="","",Quotes!Z24))</f>
        <v>Stern tube seals</v>
      </c>
      <c r="D24" s="22" t="str">
        <f>IF(Quotes!$A24="","",IF(Quotes!E24="","",Quotes!E24))</f>
        <v>Main scope</v>
      </c>
      <c r="E24" s="18" t="str">
        <f>IFERROR(IF(INDEX(Jobs!$P$9:$P$258,MATCH(Quotes!B24,Jobs!$A$9:$A$258,0))="","",HYPERLINK("#'"&amp;INDEX(Jobs!$P$9:$P$258,MATCH(Quotes!B24,Jobs!$A$9:$A$258,0))&amp;"'!A1","OPEN JOB")),"")</f>
        <v>OPEN JOB</v>
      </c>
      <c r="F24" s="22" t="str">
        <f>IF(Quotes!$A24="","",IF(Quotes!F24="","",Quotes!F24))</f>
        <v>Quote received</v>
      </c>
      <c r="G24" s="23">
        <f>IF(Quotes!$A24="","",IF(Quotes!G24="","",Quotes!G24))</f>
        <v>290637.58</v>
      </c>
      <c r="H24" s="23" t="str">
        <f>IF(Quotes!$A24="","",IF(Quotes!H24="","",Quotes!H24))</f>
        <v/>
      </c>
      <c r="I24" s="22" t="str">
        <f>IF(Quotes!$A24="","",IF(Quotes!I24="","",Quotes!I24))</f>
        <v>DKK</v>
      </c>
      <c r="J24" s="19">
        <f>IF(Quotes!$A24="","",IF(Quotes!AD24="","",Quotes!AD24))</f>
        <v>38878.681024680627</v>
      </c>
      <c r="K24" s="19" t="str">
        <f>IF(Quotes!$A24="","",IF(Quotes!AF24="","",Quotes!AF24))</f>
        <v/>
      </c>
      <c r="L24" s="18" t="str">
        <f>IF(Quotes!$A24="","",IF(Quotes!V24="","",Quotes!V24))</f>
        <v>N/A</v>
      </c>
      <c r="M24" s="18" t="str">
        <f>IF(A24="","",HYPERLINK("#'Quotes'!A24","EDIT QUOTE"))</f>
        <v>EDIT QUOTE</v>
      </c>
      <c r="N24" s="18" t="str">
        <f>IF(Quotes!$A24="","",IF(Quotes!C24="","",Quotes!C24))</f>
        <v>A7</v>
      </c>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row>
    <row r="25" spans="1:44" ht="40" customHeight="1" x14ac:dyDescent="0.35">
      <c r="A25" s="14" t="str">
        <f>IF(Quotes!$A25="","",IF(Quotes!A25="","",Quotes!A25))</f>
        <v>3802.01-Q2</v>
      </c>
      <c r="B25" s="14" t="str">
        <f>IF(Quotes!$A25="","",IF(Quotes!U25="","",Quotes!U25))</f>
        <v>WÀRTSILA</v>
      </c>
      <c r="C25" s="14" t="str">
        <f>IF(Quotes!$A25="","",IF(Quotes!Z25="","",Quotes!Z25))</f>
        <v>Stern tube seals</v>
      </c>
      <c r="D25" s="22" t="str">
        <f>IF(Quotes!$A25="","",IF(Quotes!E25="","",Quotes!E25))</f>
        <v>Main scope</v>
      </c>
      <c r="E25" s="14" t="str">
        <f>IFERROR(IF(INDEX(Jobs!$P$9:$P$258,MATCH(Quotes!B25,Jobs!$A$9:$A$258,0))="","",HYPERLINK("#'"&amp;INDEX(Jobs!$P$9:$P$258,MATCH(Quotes!B25,Jobs!$A$9:$A$258,0))&amp;"'!A1","OPEN JOB")),"")</f>
        <v>OPEN JOB</v>
      </c>
      <c r="F25" s="22" t="str">
        <f>IF(Quotes!$A25="","",IF(Quotes!F25="","",Quotes!F25))</f>
        <v>Quote received</v>
      </c>
      <c r="G25" s="23">
        <f>IF(Quotes!$A25="","",IF(Quotes!G25="","",Quotes!G25))</f>
        <v>34420</v>
      </c>
      <c r="H25" s="23" t="str">
        <f>IF(Quotes!$A25="","",IF(Quotes!H25="","",Quotes!H25))</f>
        <v/>
      </c>
      <c r="I25" s="22" t="str">
        <f>IF(Quotes!$A25="","",IF(Quotes!I25="","",Quotes!I25))</f>
        <v>EUR</v>
      </c>
      <c r="J25" s="16">
        <f>IF(Quotes!$A25="","",IF(Quotes!AD25="","",Quotes!AD25))</f>
        <v>34420</v>
      </c>
      <c r="K25" s="16" t="str">
        <f>IF(Quotes!$A25="","",IF(Quotes!AF25="","",Quotes!AF25))</f>
        <v/>
      </c>
      <c r="L25" s="14" t="str">
        <f>IF(Quotes!$A25="","",IF(Quotes!V25="","",Quotes!V25))</f>
        <v>N/A</v>
      </c>
      <c r="M25" s="14" t="str">
        <f>IF(A25="","",HYPERLINK("#'Quotes'!A25","EDIT QUOTE"))</f>
        <v>EDIT QUOTE</v>
      </c>
      <c r="N25" s="14" t="str">
        <f>IF(Quotes!$A25="","",IF(Quotes!C25="","",Quotes!C25))</f>
        <v>A7</v>
      </c>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row>
    <row r="26" spans="1:44" ht="40" customHeight="1" x14ac:dyDescent="0.35">
      <c r="A26" s="18" t="str">
        <f>IF(Quotes!$A26="","",IF(Quotes!A26="","",Quotes!A26))</f>
        <v>3805.02-Q1</v>
      </c>
      <c r="B26" s="18" t="str">
        <f>IF(Quotes!$A26="","",IF(Quotes!U26="","",Quotes!U26))</f>
        <v>WÀRTSILA</v>
      </c>
      <c r="C26" s="18" t="str">
        <f>IF(Quotes!$A26="","",IF(Quotes!Z26="","",Quotes!Z26))</f>
        <v>Main propeller OD box overhaul</v>
      </c>
      <c r="D26" s="22" t="str">
        <f>IF(Quotes!$A26="","",IF(Quotes!E26="","",Quotes!E26))</f>
        <v>Main scope</v>
      </c>
      <c r="E26" s="18" t="str">
        <f>IFERROR(IF(INDEX(Jobs!$P$9:$P$258,MATCH(Quotes!B26,Jobs!$A$9:$A$258,0))="","",HYPERLINK("#'"&amp;INDEX(Jobs!$P$9:$P$258,MATCH(Quotes!B26,Jobs!$A$9:$A$258,0))&amp;"'!A1","OPEN JOB")),"")</f>
        <v>OPEN JOB</v>
      </c>
      <c r="F26" s="22" t="str">
        <f>IF(Quotes!$A26="","",IF(Quotes!F26="","",Quotes!F26))</f>
        <v>Quote received</v>
      </c>
      <c r="G26" s="23">
        <f>IF(Quotes!$A26="","",IF(Quotes!G26="","",Quotes!G26))</f>
        <v>401719.08</v>
      </c>
      <c r="H26" s="23" t="str">
        <f>IF(Quotes!$A26="","",IF(Quotes!H26="","",Quotes!H26))</f>
        <v/>
      </c>
      <c r="I26" s="22" t="str">
        <f>IF(Quotes!$A26="","",IF(Quotes!I26="","",Quotes!I26))</f>
        <v>EUR</v>
      </c>
      <c r="J26" s="19">
        <f>IF(Quotes!$A26="","",IF(Quotes!AD26="","",Quotes!AD26))</f>
        <v>401719.08</v>
      </c>
      <c r="K26" s="19" t="str">
        <f>IF(Quotes!$A26="","",IF(Quotes!AF26="","",Quotes!AF26))</f>
        <v/>
      </c>
      <c r="L26" s="18" t="str">
        <f>IF(Quotes!$A26="","",IF(Quotes!V26="","",Quotes!V26))</f>
        <v>N/A</v>
      </c>
      <c r="M26" s="18" t="str">
        <f>IF(A26="","",HYPERLINK("#'Quotes'!A26","EDIT QUOTE"))</f>
        <v>EDIT QUOTE</v>
      </c>
      <c r="N26" s="18" t="str">
        <f>IF(Quotes!$A26="","",IF(Quotes!C26="","",Quotes!C26))</f>
        <v>A7</v>
      </c>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row>
    <row r="27" spans="1:44" ht="40" customHeight="1" x14ac:dyDescent="0.35">
      <c r="A27" s="14" t="str">
        <f>IF(Quotes!$A27="","",IF(Quotes!A27="","",Quotes!A27))</f>
        <v>3812.01-Q2</v>
      </c>
      <c r="B27" s="14" t="str">
        <f>IF(Quotes!$A27="","",IF(Quotes!U27="","",Quotes!U27))</f>
        <v>PINNFABB</v>
      </c>
      <c r="C27" s="14" t="str">
        <f>IF(Quotes!$A27="","",IF(Quotes!Z27="","",Quotes!Z27))</f>
        <v>Stabilizers</v>
      </c>
      <c r="D27" s="22" t="str">
        <f>IF(Quotes!$A27="","",IF(Quotes!E27="","",Quotes!E27))</f>
        <v>Main scope</v>
      </c>
      <c r="E27" s="14" t="str">
        <f>IFERROR(IF(INDEX(Jobs!$P$9:$P$258,MATCH(Quotes!B27,Jobs!$A$9:$A$258,0))="","",HYPERLINK("#'"&amp;INDEX(Jobs!$P$9:$P$258,MATCH(Quotes!B27,Jobs!$A$9:$A$258,0))&amp;"'!A1","OPEN JOB")),"")</f>
        <v>OPEN JOB</v>
      </c>
      <c r="F27" s="22" t="str">
        <f>IF(Quotes!$A27="","",IF(Quotes!F27="","",Quotes!F27))</f>
        <v>Quote received</v>
      </c>
      <c r="G27" s="23">
        <f>IF(Quotes!$A27="","",IF(Quotes!G27="","",Quotes!G27))</f>
        <v>57705</v>
      </c>
      <c r="H27" s="23" t="str">
        <f>IF(Quotes!$A27="","",IF(Quotes!H27="","",Quotes!H27))</f>
        <v/>
      </c>
      <c r="I27" s="22" t="str">
        <f>IF(Quotes!$A27="","",IF(Quotes!I27="","",Quotes!I27))</f>
        <v>EUR</v>
      </c>
      <c r="J27" s="16">
        <f>IF(Quotes!$A27="","",IF(Quotes!AD27="","",Quotes!AD27))</f>
        <v>57705</v>
      </c>
      <c r="K27" s="16" t="str">
        <f>IF(Quotes!$A27="","",IF(Quotes!AF27="","",Quotes!AF27))</f>
        <v/>
      </c>
      <c r="L27" s="14" t="str">
        <f>IF(Quotes!$A27="","",IF(Quotes!V27="","",Quotes!V27))</f>
        <v xml:space="preserve">MATT </v>
      </c>
      <c r="M27" s="14" t="str">
        <f>IF(A27="","",HYPERLINK("#'Quotes'!A27","EDIT QUOTE"))</f>
        <v>EDIT QUOTE</v>
      </c>
      <c r="N27" s="14" t="str">
        <f>IF(Quotes!$A27="","",IF(Quotes!C27="","",Quotes!C27))</f>
        <v>A6</v>
      </c>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row>
    <row r="28" spans="1:44" ht="40" customHeight="1" x14ac:dyDescent="0.35">
      <c r="A28" s="18" t="str">
        <f>IF(Quotes!$A28="","",IF(Quotes!A28="","",Quotes!A28))</f>
        <v>3812.01-Q3</v>
      </c>
      <c r="B28" s="18" t="str">
        <f>IF(Quotes!$A28="","",IF(Quotes!U28="","",Quotes!U28))</f>
        <v>PINNFABB</v>
      </c>
      <c r="C28" s="18" t="str">
        <f>IF(Quotes!$A28="","",IF(Quotes!Z28="","",Quotes!Z28))</f>
        <v>Stabilizers</v>
      </c>
      <c r="D28" s="22" t="str">
        <f>IF(Quotes!$A28="","",IF(Quotes!E28="","",Quotes!E28))</f>
        <v>Main scope</v>
      </c>
      <c r="E28" s="18" t="str">
        <f>IFERROR(IF(INDEX(Jobs!$P$9:$P$258,MATCH(Quotes!B28,Jobs!$A$9:$A$258,0))="","",HYPERLINK("#'"&amp;INDEX(Jobs!$P$9:$P$258,MATCH(Quotes!B28,Jobs!$A$9:$A$258,0))&amp;"'!A1","OPEN JOB")),"")</f>
        <v>OPEN JOB</v>
      </c>
      <c r="F28" s="22" t="str">
        <f>IF(Quotes!$A28="","",IF(Quotes!F28="","",Quotes!F28))</f>
        <v>Quote received</v>
      </c>
      <c r="G28" s="23">
        <f>IF(Quotes!$A28="","",IF(Quotes!G28="","",Quotes!G28))</f>
        <v>95922</v>
      </c>
      <c r="H28" s="23" t="str">
        <f>IF(Quotes!$A28="","",IF(Quotes!H28="","",Quotes!H28))</f>
        <v/>
      </c>
      <c r="I28" s="22" t="str">
        <f>IF(Quotes!$A28="","",IF(Quotes!I28="","",Quotes!I28))</f>
        <v>EUR</v>
      </c>
      <c r="J28" s="19">
        <f>IF(Quotes!$A28="","",IF(Quotes!AD28="","",Quotes!AD28))</f>
        <v>95922</v>
      </c>
      <c r="K28" s="19" t="str">
        <f>IF(Quotes!$A28="","",IF(Quotes!AF28="","",Quotes!AF28))</f>
        <v/>
      </c>
      <c r="L28" s="18" t="str">
        <f>IF(Quotes!$A28="","",IF(Quotes!V28="","",Quotes!V28))</f>
        <v xml:space="preserve">MATT </v>
      </c>
      <c r="M28" s="18" t="str">
        <f>IF(A28="","",HYPERLINK("#'Quotes'!A28","EDIT QUOTE"))</f>
        <v>EDIT QUOTE</v>
      </c>
      <c r="N28" s="18" t="str">
        <f>IF(Quotes!$A28="","",IF(Quotes!C28="","",Quotes!C28))</f>
        <v>A6</v>
      </c>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row>
    <row r="29" spans="1:44" ht="40" customHeight="1" x14ac:dyDescent="0.35">
      <c r="A29" s="14" t="str">
        <f>IF(Quotes!$A29="","",IF(Quotes!A29="","",Quotes!A29))</f>
        <v>1001.03-Q3</v>
      </c>
      <c r="B29" s="14" t="str">
        <f>IF(Quotes!$A29="","",IF(Quotes!U29="","",Quotes!U29))</f>
        <v>NIPPON</v>
      </c>
      <c r="C29" s="14" t="str">
        <f>IF(Quotes!$A29="","",IF(Quotes!Z29="","",Quotes!Z29))</f>
        <v>Bottom treatment and paint</v>
      </c>
      <c r="D29" s="22" t="str">
        <f>IF(Quotes!$A29="","",IF(Quotes!E29="","",Quotes!E29))</f>
        <v>Main scope</v>
      </c>
      <c r="E29" s="14" t="str">
        <f>IFERROR(IF(INDEX(Jobs!$P$9:$P$258,MATCH(Quotes!B29,Jobs!$A$9:$A$258,0))="","",HYPERLINK("#'"&amp;INDEX(Jobs!$P$9:$P$258,MATCH(Quotes!B29,Jobs!$A$9:$A$258,0))&amp;"'!A1","OPEN JOB")),"")</f>
        <v>OPEN JOB</v>
      </c>
      <c r="F29" s="22" t="str">
        <f>IF(Quotes!$A29="","",IF(Quotes!F29="","",Quotes!F29))</f>
        <v>Quote received</v>
      </c>
      <c r="G29" s="23">
        <f>IF(Quotes!$A29="","",IF(Quotes!G29="","",Quotes!G29))</f>
        <v>92498.47</v>
      </c>
      <c r="H29" s="23" t="str">
        <f>IF(Quotes!$A29="","",IF(Quotes!H29="","",Quotes!H29))</f>
        <v/>
      </c>
      <c r="I29" s="22" t="str">
        <f>IF(Quotes!$A29="","",IF(Quotes!I29="","",Quotes!I29))</f>
        <v>EUR</v>
      </c>
      <c r="J29" s="16">
        <f>IF(Quotes!$A29="","",IF(Quotes!AD29="","",Quotes!AD29))</f>
        <v>92498.47</v>
      </c>
      <c r="K29" s="16" t="str">
        <f>IF(Quotes!$A29="","",IF(Quotes!AF29="","",Quotes!AF29))</f>
        <v/>
      </c>
      <c r="L29" s="14" t="str">
        <f>IF(Quotes!$A29="","",IF(Quotes!V29="","",Quotes!V29))</f>
        <v>Alex Uuetalu</v>
      </c>
      <c r="M29" s="14" t="str">
        <f>IF(A29="","",HYPERLINK("#'Quotes'!A29","EDIT QUOTE"))</f>
        <v>EDIT QUOTE</v>
      </c>
      <c r="N29" s="14" t="str">
        <f>IF(Quotes!$A29="","",IF(Quotes!C29="","",Quotes!C29))</f>
        <v>A11</v>
      </c>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row>
    <row r="30" spans="1:44" ht="40" customHeight="1" x14ac:dyDescent="0.35">
      <c r="A30" s="18" t="str">
        <f>IF(Quotes!$A30="","",IF(Quotes!A30="","",Quotes!A30))</f>
        <v>3812.01-Q4</v>
      </c>
      <c r="B30" s="18" t="str">
        <f>IF(Quotes!$A30="","",IF(Quotes!U30="","",Quotes!U30))</f>
        <v>PINNFABB</v>
      </c>
      <c r="C30" s="18" t="str">
        <f>IF(Quotes!$A30="","",IF(Quotes!Z30="","",Quotes!Z30))</f>
        <v>Stabilizers</v>
      </c>
      <c r="D30" s="22" t="str">
        <f>IF(Quotes!$A30="","",IF(Quotes!E30="","",Quotes!E30))</f>
        <v>Main scope</v>
      </c>
      <c r="E30" s="18" t="str">
        <f>IFERROR(IF(INDEX(Jobs!$P$9:$P$258,MATCH(Quotes!B30,Jobs!$A$9:$A$258,0))="","",HYPERLINK("#'"&amp;INDEX(Jobs!$P$9:$P$258,MATCH(Quotes!B30,Jobs!$A$9:$A$258,0))&amp;"'!A1","OPEN JOB")),"")</f>
        <v>OPEN JOB</v>
      </c>
      <c r="F30" s="22" t="str">
        <f>IF(Quotes!$A30="","",IF(Quotes!F30="","",Quotes!F30))</f>
        <v/>
      </c>
      <c r="G30" s="23" t="str">
        <f>IF(Quotes!$A30="","",IF(Quotes!G30="","",Quotes!G30))</f>
        <v/>
      </c>
      <c r="H30" s="23" t="str">
        <f>IF(Quotes!$A30="","",IF(Quotes!H30="","",Quotes!H30))</f>
        <v/>
      </c>
      <c r="I30" s="22" t="str">
        <f>IF(Quotes!$A30="","",IF(Quotes!I30="","",Quotes!I30))</f>
        <v/>
      </c>
      <c r="J30" s="19" t="str">
        <f>IF(Quotes!$A30="","",IF(Quotes!AD30="","",Quotes!AD30))</f>
        <v/>
      </c>
      <c r="K30" s="19" t="str">
        <f>IF(Quotes!$A30="","",IF(Quotes!AF30="","",Quotes!AF30))</f>
        <v/>
      </c>
      <c r="L30" s="18" t="str">
        <f>IF(Quotes!$A30="","",IF(Quotes!V30="","",Quotes!V30))</f>
        <v xml:space="preserve">MATT </v>
      </c>
      <c r="M30" s="18" t="str">
        <f>IF(A30="","",HYPERLINK("#'Quotes'!A30","EDIT QUOTE"))</f>
        <v>EDIT QUOTE</v>
      </c>
      <c r="N30" s="18" t="str">
        <f>IF(Quotes!$A30="","",IF(Quotes!C30="","",Quotes!C30))</f>
        <v>A6</v>
      </c>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row>
    <row r="31" spans="1:44" ht="40" customHeight="1" x14ac:dyDescent="0.35">
      <c r="A31" s="14" t="str">
        <f>IF(Quotes!$A31="","",IF(Quotes!A31="","",Quotes!A31))</f>
        <v/>
      </c>
      <c r="B31" s="14" t="str">
        <f>IF(Quotes!$A31="","",IF(Quotes!U31="","",Quotes!U31))</f>
        <v/>
      </c>
      <c r="C31" s="14" t="str">
        <f>IF(Quotes!$A31="","",IF(Quotes!Z31="","",Quotes!Z31))</f>
        <v/>
      </c>
      <c r="D31" s="22" t="str">
        <f>IF(Quotes!$A31="","",IF(Quotes!E31="","",Quotes!E31))</f>
        <v/>
      </c>
      <c r="E31" s="14" t="str">
        <f>IFERROR(IF(INDEX(Jobs!$P$9:$P$258,MATCH(Quotes!B31,Jobs!$A$9:$A$258,0))="","",HYPERLINK("#'"&amp;INDEX(Jobs!$P$9:$P$258,MATCH(Quotes!B31,Jobs!$A$9:$A$258,0))&amp;"'!A1","OPEN JOB")),"")</f>
        <v/>
      </c>
      <c r="F31" s="22" t="str">
        <f>IF(Quotes!$A31="","",IF(Quotes!F31="","",Quotes!F31))</f>
        <v/>
      </c>
      <c r="G31" s="23" t="str">
        <f>IF(Quotes!$A31="","",IF(Quotes!G31="","",Quotes!G31))</f>
        <v/>
      </c>
      <c r="H31" s="23" t="str">
        <f>IF(Quotes!$A31="","",IF(Quotes!H31="","",Quotes!H31))</f>
        <v/>
      </c>
      <c r="I31" s="22" t="str">
        <f>IF(Quotes!$A31="","",IF(Quotes!I31="","",Quotes!I31))</f>
        <v/>
      </c>
      <c r="J31" s="16" t="str">
        <f>IF(Quotes!$A31="","",IF(Quotes!AD31="","",Quotes!AD31))</f>
        <v/>
      </c>
      <c r="K31" s="16" t="str">
        <f>IF(Quotes!$A31="","",IF(Quotes!AF31="","",Quotes!AF31))</f>
        <v/>
      </c>
      <c r="L31" s="14" t="str">
        <f>IF(Quotes!$A31="","",IF(Quotes!V31="","",Quotes!V31))</f>
        <v/>
      </c>
      <c r="M31" s="14" t="str">
        <f>IF(A31="","",HYPERLINK("#'Quotes'!A31","EDIT QUOTE"))</f>
        <v/>
      </c>
      <c r="N31" s="14" t="str">
        <f>IF(Quotes!$A31="","",IF(Quotes!C31="","",Quotes!C31))</f>
        <v/>
      </c>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row>
    <row r="32" spans="1:44" ht="40" customHeight="1" x14ac:dyDescent="0.35">
      <c r="A32" s="18" t="str">
        <f>IF(Quotes!$A32="","",IF(Quotes!A32="","",Quotes!A32))</f>
        <v/>
      </c>
      <c r="B32" s="18" t="str">
        <f>IF(Quotes!$A32="","",IF(Quotes!U32="","",Quotes!U32))</f>
        <v/>
      </c>
      <c r="C32" s="18" t="str">
        <f>IF(Quotes!$A32="","",IF(Quotes!Z32="","",Quotes!Z32))</f>
        <v/>
      </c>
      <c r="D32" s="22" t="str">
        <f>IF(Quotes!$A32="","",IF(Quotes!E32="","",Quotes!E32))</f>
        <v/>
      </c>
      <c r="E32" s="18" t="str">
        <f>IFERROR(IF(INDEX(Jobs!$P$9:$P$258,MATCH(Quotes!B32,Jobs!$A$9:$A$258,0))="","",HYPERLINK("#'"&amp;INDEX(Jobs!$P$9:$P$258,MATCH(Quotes!B32,Jobs!$A$9:$A$258,0))&amp;"'!A1","OPEN JOB")),"")</f>
        <v/>
      </c>
      <c r="F32" s="22" t="str">
        <f>IF(Quotes!$A32="","",IF(Quotes!F32="","",Quotes!F32))</f>
        <v/>
      </c>
      <c r="G32" s="23" t="str">
        <f>IF(Quotes!$A32="","",IF(Quotes!G32="","",Quotes!G32))</f>
        <v/>
      </c>
      <c r="H32" s="23" t="str">
        <f>IF(Quotes!$A32="","",IF(Quotes!H32="","",Quotes!H32))</f>
        <v/>
      </c>
      <c r="I32" s="22" t="str">
        <f>IF(Quotes!$A32="","",IF(Quotes!I32="","",Quotes!I32))</f>
        <v/>
      </c>
      <c r="J32" s="19" t="str">
        <f>IF(Quotes!$A32="","",IF(Quotes!AD32="","",Quotes!AD32))</f>
        <v/>
      </c>
      <c r="K32" s="19" t="str">
        <f>IF(Quotes!$A32="","",IF(Quotes!AF32="","",Quotes!AF32))</f>
        <v/>
      </c>
      <c r="L32" s="18" t="str">
        <f>IF(Quotes!$A32="","",IF(Quotes!V32="","",Quotes!V32))</f>
        <v/>
      </c>
      <c r="M32" s="18" t="str">
        <f>IF(A32="","",HYPERLINK("#'Quotes'!A32","EDIT QUOTE"))</f>
        <v/>
      </c>
      <c r="N32" s="18" t="str">
        <f>IF(Quotes!$A32="","",IF(Quotes!C32="","",Quotes!C32))</f>
        <v/>
      </c>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row>
    <row r="33" spans="1:44" ht="40" customHeight="1" x14ac:dyDescent="0.35">
      <c r="A33" s="14" t="str">
        <f>IF(Quotes!$A33="","",IF(Quotes!A33="","",Quotes!A33))</f>
        <v/>
      </c>
      <c r="B33" s="14" t="str">
        <f>IF(Quotes!$A33="","",IF(Quotes!U33="","",Quotes!U33))</f>
        <v/>
      </c>
      <c r="C33" s="14" t="str">
        <f>IF(Quotes!$A33="","",IF(Quotes!Z33="","",Quotes!Z33))</f>
        <v/>
      </c>
      <c r="D33" s="22" t="str">
        <f>IF(Quotes!$A33="","",IF(Quotes!E33="","",Quotes!E33))</f>
        <v/>
      </c>
      <c r="E33" s="14" t="str">
        <f>IFERROR(IF(INDEX(Jobs!$P$9:$P$258,MATCH(Quotes!B33,Jobs!$A$9:$A$258,0))="","",HYPERLINK("#'"&amp;INDEX(Jobs!$P$9:$P$258,MATCH(Quotes!B33,Jobs!$A$9:$A$258,0))&amp;"'!A1","OPEN JOB")),"")</f>
        <v/>
      </c>
      <c r="F33" s="22" t="str">
        <f>IF(Quotes!$A33="","",IF(Quotes!F33="","",Quotes!F33))</f>
        <v/>
      </c>
      <c r="G33" s="23" t="str">
        <f>IF(Quotes!$A33="","",IF(Quotes!G33="","",Quotes!G33))</f>
        <v/>
      </c>
      <c r="H33" s="23" t="str">
        <f>IF(Quotes!$A33="","",IF(Quotes!H33="","",Quotes!H33))</f>
        <v/>
      </c>
      <c r="I33" s="22" t="str">
        <f>IF(Quotes!$A33="","",IF(Quotes!I33="","",Quotes!I33))</f>
        <v/>
      </c>
      <c r="J33" s="16" t="str">
        <f>IF(Quotes!$A33="","",IF(Quotes!AD33="","",Quotes!AD33))</f>
        <v/>
      </c>
      <c r="K33" s="16" t="str">
        <f>IF(Quotes!$A33="","",IF(Quotes!AF33="","",Quotes!AF33))</f>
        <v/>
      </c>
      <c r="L33" s="14" t="str">
        <f>IF(Quotes!$A33="","",IF(Quotes!V33="","",Quotes!V33))</f>
        <v/>
      </c>
      <c r="M33" s="14" t="str">
        <f>IF(A33="","",HYPERLINK("#'Quotes'!A33","EDIT QUOTE"))</f>
        <v/>
      </c>
      <c r="N33" s="14" t="str">
        <f>IF(Quotes!$A33="","",IF(Quotes!C33="","",Quotes!C33))</f>
        <v/>
      </c>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row>
    <row r="34" spans="1:44" ht="40" customHeight="1" x14ac:dyDescent="0.35">
      <c r="A34" s="18" t="str">
        <f>IF(Quotes!$A34="","",IF(Quotes!A34="","",Quotes!A34))</f>
        <v/>
      </c>
      <c r="B34" s="18" t="str">
        <f>IF(Quotes!$A34="","",IF(Quotes!U34="","",Quotes!U34))</f>
        <v/>
      </c>
      <c r="C34" s="18" t="str">
        <f>IF(Quotes!$A34="","",IF(Quotes!Z34="","",Quotes!Z34))</f>
        <v/>
      </c>
      <c r="D34" s="22" t="str">
        <f>IF(Quotes!$A34="","",IF(Quotes!E34="","",Quotes!E34))</f>
        <v/>
      </c>
      <c r="E34" s="18" t="str">
        <f>IFERROR(IF(INDEX(Jobs!$P$9:$P$258,MATCH(Quotes!B34,Jobs!$A$9:$A$258,0))="","",HYPERLINK("#'"&amp;INDEX(Jobs!$P$9:$P$258,MATCH(Quotes!B34,Jobs!$A$9:$A$258,0))&amp;"'!A1","OPEN JOB")),"")</f>
        <v/>
      </c>
      <c r="F34" s="22" t="str">
        <f>IF(Quotes!$A34="","",IF(Quotes!F34="","",Quotes!F34))</f>
        <v/>
      </c>
      <c r="G34" s="23" t="str">
        <f>IF(Quotes!$A34="","",IF(Quotes!G34="","",Quotes!G34))</f>
        <v/>
      </c>
      <c r="H34" s="23" t="str">
        <f>IF(Quotes!$A34="","",IF(Quotes!H34="","",Quotes!H34))</f>
        <v/>
      </c>
      <c r="I34" s="22" t="str">
        <f>IF(Quotes!$A34="","",IF(Quotes!I34="","",Quotes!I34))</f>
        <v/>
      </c>
      <c r="J34" s="19" t="str">
        <f>IF(Quotes!$A34="","",IF(Quotes!AD34="","",Quotes!AD34))</f>
        <v/>
      </c>
      <c r="K34" s="19" t="str">
        <f>IF(Quotes!$A34="","",IF(Quotes!AF34="","",Quotes!AF34))</f>
        <v/>
      </c>
      <c r="L34" s="18" t="str">
        <f>IF(Quotes!$A34="","",IF(Quotes!V34="","",Quotes!V34))</f>
        <v/>
      </c>
      <c r="M34" s="18" t="str">
        <f>IF(A34="","",HYPERLINK("#'Quotes'!A34","EDIT QUOTE"))</f>
        <v/>
      </c>
      <c r="N34" s="18" t="str">
        <f>IF(Quotes!$A34="","",IF(Quotes!C34="","",Quotes!C34))</f>
        <v/>
      </c>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row>
    <row r="35" spans="1:44" ht="40" customHeight="1" x14ac:dyDescent="0.35">
      <c r="A35" s="14" t="str">
        <f>IF(Quotes!$A35="","",IF(Quotes!A35="","",Quotes!A35))</f>
        <v/>
      </c>
      <c r="B35" s="14" t="str">
        <f>IF(Quotes!$A35="","",IF(Quotes!U35="","",Quotes!U35))</f>
        <v/>
      </c>
      <c r="C35" s="14" t="str">
        <f>IF(Quotes!$A35="","",IF(Quotes!Z35="","",Quotes!Z35))</f>
        <v/>
      </c>
      <c r="D35" s="22" t="str">
        <f>IF(Quotes!$A35="","",IF(Quotes!E35="","",Quotes!E35))</f>
        <v/>
      </c>
      <c r="E35" s="14" t="str">
        <f>IFERROR(IF(INDEX(Jobs!$P$9:$P$258,MATCH(Quotes!B35,Jobs!$A$9:$A$258,0))="","",HYPERLINK("#'"&amp;INDEX(Jobs!$P$9:$P$258,MATCH(Quotes!B35,Jobs!$A$9:$A$258,0))&amp;"'!A1","OPEN JOB")),"")</f>
        <v/>
      </c>
      <c r="F35" s="22" t="str">
        <f>IF(Quotes!$A35="","",IF(Quotes!F35="","",Quotes!F35))</f>
        <v/>
      </c>
      <c r="G35" s="23" t="str">
        <f>IF(Quotes!$A35="","",IF(Quotes!G35="","",Quotes!G35))</f>
        <v/>
      </c>
      <c r="H35" s="23" t="str">
        <f>IF(Quotes!$A35="","",IF(Quotes!H35="","",Quotes!H35))</f>
        <v/>
      </c>
      <c r="I35" s="22" t="str">
        <f>IF(Quotes!$A35="","",IF(Quotes!I35="","",Quotes!I35))</f>
        <v/>
      </c>
      <c r="J35" s="16" t="str">
        <f>IF(Quotes!$A35="","",IF(Quotes!AD35="","",Quotes!AD35))</f>
        <v/>
      </c>
      <c r="K35" s="16" t="str">
        <f>IF(Quotes!$A35="","",IF(Quotes!AF35="","",Quotes!AF35))</f>
        <v/>
      </c>
      <c r="L35" s="14" t="str">
        <f>IF(Quotes!$A35="","",IF(Quotes!V35="","",Quotes!V35))</f>
        <v/>
      </c>
      <c r="M35" s="14" t="str">
        <f>IF(A35="","",HYPERLINK("#'Quotes'!A35","EDIT QUOTE"))</f>
        <v/>
      </c>
      <c r="N35" s="14" t="str">
        <f>IF(Quotes!$A35="","",IF(Quotes!C35="","",Quotes!C35))</f>
        <v/>
      </c>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row>
    <row r="36" spans="1:44" ht="40" customHeight="1" x14ac:dyDescent="0.35">
      <c r="A36" s="18" t="str">
        <f>IF(Quotes!$A36="","",IF(Quotes!A36="","",Quotes!A36))</f>
        <v/>
      </c>
      <c r="B36" s="18" t="str">
        <f>IF(Quotes!$A36="","",IF(Quotes!U36="","",Quotes!U36))</f>
        <v/>
      </c>
      <c r="C36" s="18" t="str">
        <f>IF(Quotes!$A36="","",IF(Quotes!Z36="","",Quotes!Z36))</f>
        <v/>
      </c>
      <c r="D36" s="22" t="str">
        <f>IF(Quotes!$A36="","",IF(Quotes!E36="","",Quotes!E36))</f>
        <v/>
      </c>
      <c r="E36" s="18" t="str">
        <f>IFERROR(IF(INDEX(Jobs!$P$9:$P$258,MATCH(Quotes!B36,Jobs!$A$9:$A$258,0))="","",HYPERLINK("#'"&amp;INDEX(Jobs!$P$9:$P$258,MATCH(Quotes!B36,Jobs!$A$9:$A$258,0))&amp;"'!A1","OPEN JOB")),"")</f>
        <v/>
      </c>
      <c r="F36" s="22" t="str">
        <f>IF(Quotes!$A36="","",IF(Quotes!F36="","",Quotes!F36))</f>
        <v/>
      </c>
      <c r="G36" s="23" t="str">
        <f>IF(Quotes!$A36="","",IF(Quotes!G36="","",Quotes!G36))</f>
        <v/>
      </c>
      <c r="H36" s="23" t="str">
        <f>IF(Quotes!$A36="","",IF(Quotes!H36="","",Quotes!H36))</f>
        <v/>
      </c>
      <c r="I36" s="22" t="str">
        <f>IF(Quotes!$A36="","",IF(Quotes!I36="","",Quotes!I36))</f>
        <v/>
      </c>
      <c r="J36" s="19" t="str">
        <f>IF(Quotes!$A36="","",IF(Quotes!AD36="","",Quotes!AD36))</f>
        <v/>
      </c>
      <c r="K36" s="19" t="str">
        <f>IF(Quotes!$A36="","",IF(Quotes!AF36="","",Quotes!AF36))</f>
        <v/>
      </c>
      <c r="L36" s="18" t="str">
        <f>IF(Quotes!$A36="","",IF(Quotes!V36="","",Quotes!V36))</f>
        <v/>
      </c>
      <c r="M36" s="18" t="str">
        <f>IF(A36="","",HYPERLINK("#'Quotes'!A36","EDIT QUOTE"))</f>
        <v/>
      </c>
      <c r="N36" s="18" t="str">
        <f>IF(Quotes!$A36="","",IF(Quotes!C36="","",Quotes!C36))</f>
        <v/>
      </c>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row>
    <row r="37" spans="1:44" ht="40" customHeight="1" x14ac:dyDescent="0.35">
      <c r="A37" s="14" t="str">
        <f>IF(Quotes!$A37="","",IF(Quotes!A37="","",Quotes!A37))</f>
        <v/>
      </c>
      <c r="B37" s="14" t="str">
        <f>IF(Quotes!$A37="","",IF(Quotes!U37="","",Quotes!U37))</f>
        <v/>
      </c>
      <c r="C37" s="14" t="str">
        <f>IF(Quotes!$A37="","",IF(Quotes!Z37="","",Quotes!Z37))</f>
        <v/>
      </c>
      <c r="D37" s="22" t="str">
        <f>IF(Quotes!$A37="","",IF(Quotes!E37="","",Quotes!E37))</f>
        <v/>
      </c>
      <c r="E37" s="14" t="str">
        <f>IFERROR(IF(INDEX(Jobs!$P$9:$P$258,MATCH(Quotes!B37,Jobs!$A$9:$A$258,0))="","",HYPERLINK("#'"&amp;INDEX(Jobs!$P$9:$P$258,MATCH(Quotes!B37,Jobs!$A$9:$A$258,0))&amp;"'!A1","OPEN JOB")),"")</f>
        <v/>
      </c>
      <c r="F37" s="22" t="str">
        <f>IF(Quotes!$A37="","",IF(Quotes!F37="","",Quotes!F37))</f>
        <v/>
      </c>
      <c r="G37" s="23" t="str">
        <f>IF(Quotes!$A37="","",IF(Quotes!G37="","",Quotes!G37))</f>
        <v/>
      </c>
      <c r="H37" s="23" t="str">
        <f>IF(Quotes!$A37="","",IF(Quotes!H37="","",Quotes!H37))</f>
        <v/>
      </c>
      <c r="I37" s="22" t="str">
        <f>IF(Quotes!$A37="","",IF(Quotes!I37="","",Quotes!I37))</f>
        <v/>
      </c>
      <c r="J37" s="16" t="str">
        <f>IF(Quotes!$A37="","",IF(Quotes!AD37="","",Quotes!AD37))</f>
        <v/>
      </c>
      <c r="K37" s="16" t="str">
        <f>IF(Quotes!$A37="","",IF(Quotes!AF37="","",Quotes!AF37))</f>
        <v/>
      </c>
      <c r="L37" s="14" t="str">
        <f>IF(Quotes!$A37="","",IF(Quotes!V37="","",Quotes!V37))</f>
        <v/>
      </c>
      <c r="M37" s="14" t="str">
        <f>IF(A37="","",HYPERLINK("#'Quotes'!A37","EDIT QUOTE"))</f>
        <v/>
      </c>
      <c r="N37" s="14" t="str">
        <f>IF(Quotes!$A37="","",IF(Quotes!C37="","",Quotes!C37))</f>
        <v/>
      </c>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row>
    <row r="38" spans="1:44" ht="40" customHeight="1" x14ac:dyDescent="0.35">
      <c r="A38" s="18" t="str">
        <f>IF(Quotes!$A38="","",IF(Quotes!A38="","",Quotes!A38))</f>
        <v/>
      </c>
      <c r="B38" s="18" t="str">
        <f>IF(Quotes!$A38="","",IF(Quotes!U38="","",Quotes!U38))</f>
        <v/>
      </c>
      <c r="C38" s="18" t="str">
        <f>IF(Quotes!$A38="","",IF(Quotes!Z38="","",Quotes!Z38))</f>
        <v/>
      </c>
      <c r="D38" s="22" t="str">
        <f>IF(Quotes!$A38="","",IF(Quotes!E38="","",Quotes!E38))</f>
        <v/>
      </c>
      <c r="E38" s="18" t="str">
        <f>IFERROR(IF(INDEX(Jobs!$P$9:$P$258,MATCH(Quotes!B38,Jobs!$A$9:$A$258,0))="","",HYPERLINK("#'"&amp;INDEX(Jobs!$P$9:$P$258,MATCH(Quotes!B38,Jobs!$A$9:$A$258,0))&amp;"'!A1","OPEN JOB")),"")</f>
        <v/>
      </c>
      <c r="F38" s="22" t="str">
        <f>IF(Quotes!$A38="","",IF(Quotes!F38="","",Quotes!F38))</f>
        <v/>
      </c>
      <c r="G38" s="23" t="str">
        <f>IF(Quotes!$A38="","",IF(Quotes!G38="","",Quotes!G38))</f>
        <v/>
      </c>
      <c r="H38" s="23" t="str">
        <f>IF(Quotes!$A38="","",IF(Quotes!H38="","",Quotes!H38))</f>
        <v/>
      </c>
      <c r="I38" s="22" t="str">
        <f>IF(Quotes!$A38="","",IF(Quotes!I38="","",Quotes!I38))</f>
        <v/>
      </c>
      <c r="J38" s="19" t="str">
        <f>IF(Quotes!$A38="","",IF(Quotes!AD38="","",Quotes!AD38))</f>
        <v/>
      </c>
      <c r="K38" s="19" t="str">
        <f>IF(Quotes!$A38="","",IF(Quotes!AF38="","",Quotes!AF38))</f>
        <v/>
      </c>
      <c r="L38" s="18" t="str">
        <f>IF(Quotes!$A38="","",IF(Quotes!V38="","",Quotes!V38))</f>
        <v/>
      </c>
      <c r="M38" s="18" t="str">
        <f>IF(A38="","",HYPERLINK("#'Quotes'!A38","EDIT QUOTE"))</f>
        <v/>
      </c>
      <c r="N38" s="18" t="str">
        <f>IF(Quotes!$A38="","",IF(Quotes!C38="","",Quotes!C38))</f>
        <v/>
      </c>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row>
    <row r="39" spans="1:44" ht="40" customHeight="1" x14ac:dyDescent="0.35">
      <c r="A39" s="14" t="str">
        <f>IF(Quotes!$A39="","",IF(Quotes!A39="","",Quotes!A39))</f>
        <v/>
      </c>
      <c r="B39" s="14" t="str">
        <f>IF(Quotes!$A39="","",IF(Quotes!U39="","",Quotes!U39))</f>
        <v/>
      </c>
      <c r="C39" s="14" t="str">
        <f>IF(Quotes!$A39="","",IF(Quotes!Z39="","",Quotes!Z39))</f>
        <v/>
      </c>
      <c r="D39" s="22" t="str">
        <f>IF(Quotes!$A39="","",IF(Quotes!E39="","",Quotes!E39))</f>
        <v/>
      </c>
      <c r="E39" s="14" t="str">
        <f>IFERROR(IF(INDEX(Jobs!$P$9:$P$258,MATCH(Quotes!B39,Jobs!$A$9:$A$258,0))="","",HYPERLINK("#'"&amp;INDEX(Jobs!$P$9:$P$258,MATCH(Quotes!B39,Jobs!$A$9:$A$258,0))&amp;"'!A1","OPEN JOB")),"")</f>
        <v/>
      </c>
      <c r="F39" s="22" t="str">
        <f>IF(Quotes!$A39="","",IF(Quotes!F39="","",Quotes!F39))</f>
        <v/>
      </c>
      <c r="G39" s="23" t="str">
        <f>IF(Quotes!$A39="","",IF(Quotes!G39="","",Quotes!G39))</f>
        <v/>
      </c>
      <c r="H39" s="23" t="str">
        <f>IF(Quotes!$A39="","",IF(Quotes!H39="","",Quotes!H39))</f>
        <v/>
      </c>
      <c r="I39" s="22" t="str">
        <f>IF(Quotes!$A39="","",IF(Quotes!I39="","",Quotes!I39))</f>
        <v/>
      </c>
      <c r="J39" s="16" t="str">
        <f>IF(Quotes!$A39="","",IF(Quotes!AD39="","",Quotes!AD39))</f>
        <v/>
      </c>
      <c r="K39" s="16" t="str">
        <f>IF(Quotes!$A39="","",IF(Quotes!AF39="","",Quotes!AF39))</f>
        <v/>
      </c>
      <c r="L39" s="14" t="str">
        <f>IF(Quotes!$A39="","",IF(Quotes!V39="","",Quotes!V39))</f>
        <v/>
      </c>
      <c r="M39" s="14" t="str">
        <f>IF(A39="","",HYPERLINK("#'Quotes'!A39","EDIT QUOTE"))</f>
        <v/>
      </c>
      <c r="N39" s="14" t="str">
        <f>IF(Quotes!$A39="","",IF(Quotes!C39="","",Quotes!C39))</f>
        <v/>
      </c>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row>
    <row r="40" spans="1:44" ht="40" customHeight="1" x14ac:dyDescent="0.35">
      <c r="A40" s="18" t="str">
        <f>IF(Quotes!$A40="","",IF(Quotes!A40="","",Quotes!A40))</f>
        <v/>
      </c>
      <c r="B40" s="18" t="str">
        <f>IF(Quotes!$A40="","",IF(Quotes!U40="","",Quotes!U40))</f>
        <v/>
      </c>
      <c r="C40" s="18" t="str">
        <f>IF(Quotes!$A40="","",IF(Quotes!Z40="","",Quotes!Z40))</f>
        <v/>
      </c>
      <c r="D40" s="22" t="str">
        <f>IF(Quotes!$A40="","",IF(Quotes!E40="","",Quotes!E40))</f>
        <v/>
      </c>
      <c r="E40" s="18" t="str">
        <f>IFERROR(IF(INDEX(Jobs!$P$9:$P$258,MATCH(Quotes!B40,Jobs!$A$9:$A$258,0))="","",HYPERLINK("#'"&amp;INDEX(Jobs!$P$9:$P$258,MATCH(Quotes!B40,Jobs!$A$9:$A$258,0))&amp;"'!A1","OPEN JOB")),"")</f>
        <v/>
      </c>
      <c r="F40" s="22" t="str">
        <f>IF(Quotes!$A40="","",IF(Quotes!F40="","",Quotes!F40))</f>
        <v/>
      </c>
      <c r="G40" s="23" t="str">
        <f>IF(Quotes!$A40="","",IF(Quotes!G40="","",Quotes!G40))</f>
        <v/>
      </c>
      <c r="H40" s="23" t="str">
        <f>IF(Quotes!$A40="","",IF(Quotes!H40="","",Quotes!H40))</f>
        <v/>
      </c>
      <c r="I40" s="22" t="str">
        <f>IF(Quotes!$A40="","",IF(Quotes!I40="","",Quotes!I40))</f>
        <v/>
      </c>
      <c r="J40" s="19" t="str">
        <f>IF(Quotes!$A40="","",IF(Quotes!AD40="","",Quotes!AD40))</f>
        <v/>
      </c>
      <c r="K40" s="19" t="str">
        <f>IF(Quotes!$A40="","",IF(Quotes!AF40="","",Quotes!AF40))</f>
        <v/>
      </c>
      <c r="L40" s="18" t="str">
        <f>IF(Quotes!$A40="","",IF(Quotes!V40="","",Quotes!V40))</f>
        <v/>
      </c>
      <c r="M40" s="18" t="str">
        <f>IF(A40="","",HYPERLINK("#'Quotes'!A40","EDIT QUOTE"))</f>
        <v/>
      </c>
      <c r="N40" s="18" t="str">
        <f>IF(Quotes!$A40="","",IF(Quotes!C40="","",Quotes!C40))</f>
        <v/>
      </c>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row>
    <row r="41" spans="1:44" ht="40" customHeight="1" x14ac:dyDescent="0.35">
      <c r="A41" s="14" t="str">
        <f>IF(Quotes!$A41="","",IF(Quotes!A41="","",Quotes!A41))</f>
        <v/>
      </c>
      <c r="B41" s="14" t="str">
        <f>IF(Quotes!$A41="","",IF(Quotes!U41="","",Quotes!U41))</f>
        <v/>
      </c>
      <c r="C41" s="14" t="str">
        <f>IF(Quotes!$A41="","",IF(Quotes!Z41="","",Quotes!Z41))</f>
        <v/>
      </c>
      <c r="D41" s="22" t="str">
        <f>IF(Quotes!$A41="","",IF(Quotes!E41="","",Quotes!E41))</f>
        <v/>
      </c>
      <c r="E41" s="14" t="str">
        <f>IFERROR(IF(INDEX(Jobs!$P$9:$P$258,MATCH(Quotes!B41,Jobs!$A$9:$A$258,0))="","",HYPERLINK("#'"&amp;INDEX(Jobs!$P$9:$P$258,MATCH(Quotes!B41,Jobs!$A$9:$A$258,0))&amp;"'!A1","OPEN JOB")),"")</f>
        <v/>
      </c>
      <c r="F41" s="22" t="str">
        <f>IF(Quotes!$A41="","",IF(Quotes!F41="","",Quotes!F41))</f>
        <v/>
      </c>
      <c r="G41" s="23" t="str">
        <f>IF(Quotes!$A41="","",IF(Quotes!G41="","",Quotes!G41))</f>
        <v/>
      </c>
      <c r="H41" s="23" t="str">
        <f>IF(Quotes!$A41="","",IF(Quotes!H41="","",Quotes!H41))</f>
        <v/>
      </c>
      <c r="I41" s="22" t="str">
        <f>IF(Quotes!$A41="","",IF(Quotes!I41="","",Quotes!I41))</f>
        <v/>
      </c>
      <c r="J41" s="16" t="str">
        <f>IF(Quotes!$A41="","",IF(Quotes!AD41="","",Quotes!AD41))</f>
        <v/>
      </c>
      <c r="K41" s="16" t="str">
        <f>IF(Quotes!$A41="","",IF(Quotes!AF41="","",Quotes!AF41))</f>
        <v/>
      </c>
      <c r="L41" s="14" t="str">
        <f>IF(Quotes!$A41="","",IF(Quotes!V41="","",Quotes!V41))</f>
        <v/>
      </c>
      <c r="M41" s="14" t="str">
        <f>IF(A41="","",HYPERLINK("#'Quotes'!A41","EDIT QUOTE"))</f>
        <v/>
      </c>
      <c r="N41" s="14" t="str">
        <f>IF(Quotes!$A41="","",IF(Quotes!C41="","",Quotes!C41))</f>
        <v/>
      </c>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row>
    <row r="42" spans="1:44" ht="40" customHeight="1" x14ac:dyDescent="0.35">
      <c r="A42" s="18" t="str">
        <f>IF(Quotes!$A42="","",IF(Quotes!A42="","",Quotes!A42))</f>
        <v/>
      </c>
      <c r="B42" s="18" t="str">
        <f>IF(Quotes!$A42="","",IF(Quotes!U42="","",Quotes!U42))</f>
        <v/>
      </c>
      <c r="C42" s="18" t="str">
        <f>IF(Quotes!$A42="","",IF(Quotes!Z42="","",Quotes!Z42))</f>
        <v/>
      </c>
      <c r="D42" s="22" t="str">
        <f>IF(Quotes!$A42="","",IF(Quotes!E42="","",Quotes!E42))</f>
        <v/>
      </c>
      <c r="E42" s="18" t="str">
        <f>IFERROR(IF(INDEX(Jobs!$P$9:$P$258,MATCH(Quotes!B42,Jobs!$A$9:$A$258,0))="","",HYPERLINK("#'"&amp;INDEX(Jobs!$P$9:$P$258,MATCH(Quotes!B42,Jobs!$A$9:$A$258,0))&amp;"'!A1","OPEN JOB")),"")</f>
        <v/>
      </c>
      <c r="F42" s="22" t="str">
        <f>IF(Quotes!$A42="","",IF(Quotes!F42="","",Quotes!F42))</f>
        <v/>
      </c>
      <c r="G42" s="23" t="str">
        <f>IF(Quotes!$A42="","",IF(Quotes!G42="","",Quotes!G42))</f>
        <v/>
      </c>
      <c r="H42" s="23" t="str">
        <f>IF(Quotes!$A42="","",IF(Quotes!H42="","",Quotes!H42))</f>
        <v/>
      </c>
      <c r="I42" s="22" t="str">
        <f>IF(Quotes!$A42="","",IF(Quotes!I42="","",Quotes!I42))</f>
        <v/>
      </c>
      <c r="J42" s="19" t="str">
        <f>IF(Quotes!$A42="","",IF(Quotes!AD42="","",Quotes!AD42))</f>
        <v/>
      </c>
      <c r="K42" s="19" t="str">
        <f>IF(Quotes!$A42="","",IF(Quotes!AF42="","",Quotes!AF42))</f>
        <v/>
      </c>
      <c r="L42" s="18" t="str">
        <f>IF(Quotes!$A42="","",IF(Quotes!V42="","",Quotes!V42))</f>
        <v/>
      </c>
      <c r="M42" s="18" t="str">
        <f>IF(A42="","",HYPERLINK("#'Quotes'!A42","EDIT QUOTE"))</f>
        <v/>
      </c>
      <c r="N42" s="18" t="str">
        <f>IF(Quotes!$A42="","",IF(Quotes!C42="","",Quotes!C42))</f>
        <v/>
      </c>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row>
    <row r="43" spans="1:44" ht="40" customHeight="1" x14ac:dyDescent="0.35">
      <c r="A43" s="14" t="str">
        <f>IF(Quotes!$A43="","",IF(Quotes!A43="","",Quotes!A43))</f>
        <v/>
      </c>
      <c r="B43" s="14" t="str">
        <f>IF(Quotes!$A43="","",IF(Quotes!U43="","",Quotes!U43))</f>
        <v/>
      </c>
      <c r="C43" s="14" t="str">
        <f>IF(Quotes!$A43="","",IF(Quotes!Z43="","",Quotes!Z43))</f>
        <v/>
      </c>
      <c r="D43" s="22" t="str">
        <f>IF(Quotes!$A43="","",IF(Quotes!E43="","",Quotes!E43))</f>
        <v/>
      </c>
      <c r="E43" s="14" t="str">
        <f>IFERROR(IF(INDEX(Jobs!$P$9:$P$258,MATCH(Quotes!B43,Jobs!$A$9:$A$258,0))="","",HYPERLINK("#'"&amp;INDEX(Jobs!$P$9:$P$258,MATCH(Quotes!B43,Jobs!$A$9:$A$258,0))&amp;"'!A1","OPEN JOB")),"")</f>
        <v/>
      </c>
      <c r="F43" s="22" t="str">
        <f>IF(Quotes!$A43="","",IF(Quotes!F43="","",Quotes!F43))</f>
        <v/>
      </c>
      <c r="G43" s="23" t="str">
        <f>IF(Quotes!$A43="","",IF(Quotes!G43="","",Quotes!G43))</f>
        <v/>
      </c>
      <c r="H43" s="23" t="str">
        <f>IF(Quotes!$A43="","",IF(Quotes!H43="","",Quotes!H43))</f>
        <v/>
      </c>
      <c r="I43" s="22" t="str">
        <f>IF(Quotes!$A43="","",IF(Quotes!I43="","",Quotes!I43))</f>
        <v/>
      </c>
      <c r="J43" s="16" t="str">
        <f>IF(Quotes!$A43="","",IF(Quotes!AD43="","",Quotes!AD43))</f>
        <v/>
      </c>
      <c r="K43" s="16" t="str">
        <f>IF(Quotes!$A43="","",IF(Quotes!AF43="","",Quotes!AF43))</f>
        <v/>
      </c>
      <c r="L43" s="14" t="str">
        <f>IF(Quotes!$A43="","",IF(Quotes!V43="","",Quotes!V43))</f>
        <v/>
      </c>
      <c r="M43" s="14" t="str">
        <f>IF(A43="","",HYPERLINK("#'Quotes'!A43","EDIT QUOTE"))</f>
        <v/>
      </c>
      <c r="N43" s="14" t="str">
        <f>IF(Quotes!$A43="","",IF(Quotes!C43="","",Quotes!C43))</f>
        <v/>
      </c>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row>
    <row r="44" spans="1:44" ht="40" customHeight="1" x14ac:dyDescent="0.35">
      <c r="A44" s="18" t="str">
        <f>IF(Quotes!$A44="","",IF(Quotes!A44="","",Quotes!A44))</f>
        <v/>
      </c>
      <c r="B44" s="18" t="str">
        <f>IF(Quotes!$A44="","",IF(Quotes!U44="","",Quotes!U44))</f>
        <v/>
      </c>
      <c r="C44" s="18" t="str">
        <f>IF(Quotes!$A44="","",IF(Quotes!Z44="","",Quotes!Z44))</f>
        <v/>
      </c>
      <c r="D44" s="22" t="str">
        <f>IF(Quotes!$A44="","",IF(Quotes!E44="","",Quotes!E44))</f>
        <v/>
      </c>
      <c r="E44" s="18" t="str">
        <f>IFERROR(IF(INDEX(Jobs!$P$9:$P$258,MATCH(Quotes!B44,Jobs!$A$9:$A$258,0))="","",HYPERLINK("#'"&amp;INDEX(Jobs!$P$9:$P$258,MATCH(Quotes!B44,Jobs!$A$9:$A$258,0))&amp;"'!A1","OPEN JOB")),"")</f>
        <v/>
      </c>
      <c r="F44" s="22" t="str">
        <f>IF(Quotes!$A44="","",IF(Quotes!F44="","",Quotes!F44))</f>
        <v/>
      </c>
      <c r="G44" s="23" t="str">
        <f>IF(Quotes!$A44="","",IF(Quotes!G44="","",Quotes!G44))</f>
        <v/>
      </c>
      <c r="H44" s="23" t="str">
        <f>IF(Quotes!$A44="","",IF(Quotes!H44="","",Quotes!H44))</f>
        <v/>
      </c>
      <c r="I44" s="22" t="str">
        <f>IF(Quotes!$A44="","",IF(Quotes!I44="","",Quotes!I44))</f>
        <v/>
      </c>
      <c r="J44" s="19" t="str">
        <f>IF(Quotes!$A44="","",IF(Quotes!AD44="","",Quotes!AD44))</f>
        <v/>
      </c>
      <c r="K44" s="19" t="str">
        <f>IF(Quotes!$A44="","",IF(Quotes!AF44="","",Quotes!AF44))</f>
        <v/>
      </c>
      <c r="L44" s="18" t="str">
        <f>IF(Quotes!$A44="","",IF(Quotes!V44="","",Quotes!V44))</f>
        <v/>
      </c>
      <c r="M44" s="18" t="str">
        <f>IF(A44="","",HYPERLINK("#'Quotes'!A44","EDIT QUOTE"))</f>
        <v/>
      </c>
      <c r="N44" s="18" t="str">
        <f>IF(Quotes!$A44="","",IF(Quotes!C44="","",Quotes!C44))</f>
        <v/>
      </c>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row>
    <row r="45" spans="1:44" ht="40" customHeight="1" x14ac:dyDescent="0.35">
      <c r="A45" s="14" t="str">
        <f>IF(Quotes!$A45="","",IF(Quotes!A45="","",Quotes!A45))</f>
        <v/>
      </c>
      <c r="B45" s="14" t="str">
        <f>IF(Quotes!$A45="","",IF(Quotes!U45="","",Quotes!U45))</f>
        <v/>
      </c>
      <c r="C45" s="14" t="str">
        <f>IF(Quotes!$A45="","",IF(Quotes!Z45="","",Quotes!Z45))</f>
        <v/>
      </c>
      <c r="D45" s="22" t="str">
        <f>IF(Quotes!$A45="","",IF(Quotes!E45="","",Quotes!E45))</f>
        <v/>
      </c>
      <c r="E45" s="14" t="str">
        <f>IFERROR(IF(INDEX(Jobs!$P$9:$P$258,MATCH(Quotes!B45,Jobs!$A$9:$A$258,0))="","",HYPERLINK("#'"&amp;INDEX(Jobs!$P$9:$P$258,MATCH(Quotes!B45,Jobs!$A$9:$A$258,0))&amp;"'!A1","OPEN JOB")),"")</f>
        <v/>
      </c>
      <c r="F45" s="22" t="str">
        <f>IF(Quotes!$A45="","",IF(Quotes!F45="","",Quotes!F45))</f>
        <v/>
      </c>
      <c r="G45" s="23" t="str">
        <f>IF(Quotes!$A45="","",IF(Quotes!G45="","",Quotes!G45))</f>
        <v/>
      </c>
      <c r="H45" s="23" t="str">
        <f>IF(Quotes!$A45="","",IF(Quotes!H45="","",Quotes!H45))</f>
        <v/>
      </c>
      <c r="I45" s="22" t="str">
        <f>IF(Quotes!$A45="","",IF(Quotes!I45="","",Quotes!I45))</f>
        <v/>
      </c>
      <c r="J45" s="16" t="str">
        <f>IF(Quotes!$A45="","",IF(Quotes!AD45="","",Quotes!AD45))</f>
        <v/>
      </c>
      <c r="K45" s="16" t="str">
        <f>IF(Quotes!$A45="","",IF(Quotes!AF45="","",Quotes!AF45))</f>
        <v/>
      </c>
      <c r="L45" s="14" t="str">
        <f>IF(Quotes!$A45="","",IF(Quotes!V45="","",Quotes!V45))</f>
        <v/>
      </c>
      <c r="M45" s="14" t="str">
        <f>IF(A45="","",HYPERLINK("#'Quotes'!A45","EDIT QUOTE"))</f>
        <v/>
      </c>
      <c r="N45" s="14" t="str">
        <f>IF(Quotes!$A45="","",IF(Quotes!C45="","",Quotes!C45))</f>
        <v/>
      </c>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row>
    <row r="46" spans="1:44" ht="40" customHeight="1" x14ac:dyDescent="0.35">
      <c r="A46" s="18" t="str">
        <f>IF(Quotes!$A46="","",IF(Quotes!A46="","",Quotes!A46))</f>
        <v/>
      </c>
      <c r="B46" s="18" t="str">
        <f>IF(Quotes!$A46="","",IF(Quotes!U46="","",Quotes!U46))</f>
        <v/>
      </c>
      <c r="C46" s="18" t="str">
        <f>IF(Quotes!$A46="","",IF(Quotes!Z46="","",Quotes!Z46))</f>
        <v/>
      </c>
      <c r="D46" s="22" t="str">
        <f>IF(Quotes!$A46="","",IF(Quotes!E46="","",Quotes!E46))</f>
        <v/>
      </c>
      <c r="E46" s="18" t="str">
        <f>IFERROR(IF(INDEX(Jobs!$P$9:$P$258,MATCH(Quotes!B46,Jobs!$A$9:$A$258,0))="","",HYPERLINK("#'"&amp;INDEX(Jobs!$P$9:$P$258,MATCH(Quotes!B46,Jobs!$A$9:$A$258,0))&amp;"'!A1","OPEN JOB")),"")</f>
        <v/>
      </c>
      <c r="F46" s="22" t="str">
        <f>IF(Quotes!$A46="","",IF(Quotes!F46="","",Quotes!F46))</f>
        <v/>
      </c>
      <c r="G46" s="23" t="str">
        <f>IF(Quotes!$A46="","",IF(Quotes!G46="","",Quotes!G46))</f>
        <v/>
      </c>
      <c r="H46" s="23" t="str">
        <f>IF(Quotes!$A46="","",IF(Quotes!H46="","",Quotes!H46))</f>
        <v/>
      </c>
      <c r="I46" s="22" t="str">
        <f>IF(Quotes!$A46="","",IF(Quotes!I46="","",Quotes!I46))</f>
        <v/>
      </c>
      <c r="J46" s="19" t="str">
        <f>IF(Quotes!$A46="","",IF(Quotes!AD46="","",Quotes!AD46))</f>
        <v/>
      </c>
      <c r="K46" s="19" t="str">
        <f>IF(Quotes!$A46="","",IF(Quotes!AF46="","",Quotes!AF46))</f>
        <v/>
      </c>
      <c r="L46" s="18" t="str">
        <f>IF(Quotes!$A46="","",IF(Quotes!V46="","",Quotes!V46))</f>
        <v/>
      </c>
      <c r="M46" s="18" t="str">
        <f>IF(A46="","",HYPERLINK("#'Quotes'!A46","EDIT QUOTE"))</f>
        <v/>
      </c>
      <c r="N46" s="18" t="str">
        <f>IF(Quotes!$A46="","",IF(Quotes!C46="","",Quotes!C46))</f>
        <v/>
      </c>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row>
    <row r="47" spans="1:44" ht="40" customHeight="1" x14ac:dyDescent="0.35">
      <c r="A47" s="14" t="str">
        <f>IF(Quotes!$A47="","",IF(Quotes!A47="","",Quotes!A47))</f>
        <v/>
      </c>
      <c r="B47" s="14" t="str">
        <f>IF(Quotes!$A47="","",IF(Quotes!U47="","",Quotes!U47))</f>
        <v/>
      </c>
      <c r="C47" s="14" t="str">
        <f>IF(Quotes!$A47="","",IF(Quotes!Z47="","",Quotes!Z47))</f>
        <v/>
      </c>
      <c r="D47" s="22" t="str">
        <f>IF(Quotes!$A47="","",IF(Quotes!E47="","",Quotes!E47))</f>
        <v/>
      </c>
      <c r="E47" s="14" t="str">
        <f>IFERROR(IF(INDEX(Jobs!$P$9:$P$258,MATCH(Quotes!B47,Jobs!$A$9:$A$258,0))="","",HYPERLINK("#'"&amp;INDEX(Jobs!$P$9:$P$258,MATCH(Quotes!B47,Jobs!$A$9:$A$258,0))&amp;"'!A1","OPEN JOB")),"")</f>
        <v/>
      </c>
      <c r="F47" s="22" t="str">
        <f>IF(Quotes!$A47="","",IF(Quotes!F47="","",Quotes!F47))</f>
        <v/>
      </c>
      <c r="G47" s="23" t="str">
        <f>IF(Quotes!$A47="","",IF(Quotes!G47="","",Quotes!G47))</f>
        <v/>
      </c>
      <c r="H47" s="23" t="str">
        <f>IF(Quotes!$A47="","",IF(Quotes!H47="","",Quotes!H47))</f>
        <v/>
      </c>
      <c r="I47" s="22" t="str">
        <f>IF(Quotes!$A47="","",IF(Quotes!I47="","",Quotes!I47))</f>
        <v/>
      </c>
      <c r="J47" s="16" t="str">
        <f>IF(Quotes!$A47="","",IF(Quotes!AD47="","",Quotes!AD47))</f>
        <v/>
      </c>
      <c r="K47" s="16" t="str">
        <f>IF(Quotes!$A47="","",IF(Quotes!AF47="","",Quotes!AF47))</f>
        <v/>
      </c>
      <c r="L47" s="14" t="str">
        <f>IF(Quotes!$A47="","",IF(Quotes!V47="","",Quotes!V47))</f>
        <v/>
      </c>
      <c r="M47" s="14" t="str">
        <f>IF(A47="","",HYPERLINK("#'Quotes'!A47","EDIT QUOTE"))</f>
        <v/>
      </c>
      <c r="N47" s="14" t="str">
        <f>IF(Quotes!$A47="","",IF(Quotes!C47="","",Quotes!C47))</f>
        <v/>
      </c>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row>
    <row r="48" spans="1:44" ht="40" customHeight="1" x14ac:dyDescent="0.35">
      <c r="A48" s="18" t="str">
        <f>IF(Quotes!$A48="","",IF(Quotes!A48="","",Quotes!A48))</f>
        <v/>
      </c>
      <c r="B48" s="18" t="str">
        <f>IF(Quotes!$A48="","",IF(Quotes!U48="","",Quotes!U48))</f>
        <v/>
      </c>
      <c r="C48" s="18" t="str">
        <f>IF(Quotes!$A48="","",IF(Quotes!Z48="","",Quotes!Z48))</f>
        <v/>
      </c>
      <c r="D48" s="22" t="str">
        <f>IF(Quotes!$A48="","",IF(Quotes!E48="","",Quotes!E48))</f>
        <v/>
      </c>
      <c r="E48" s="18" t="str">
        <f>IFERROR(IF(INDEX(Jobs!$P$9:$P$258,MATCH(Quotes!B48,Jobs!$A$9:$A$258,0))="","",HYPERLINK("#'"&amp;INDEX(Jobs!$P$9:$P$258,MATCH(Quotes!B48,Jobs!$A$9:$A$258,0))&amp;"'!A1","OPEN JOB")),"")</f>
        <v/>
      </c>
      <c r="F48" s="22" t="str">
        <f>IF(Quotes!$A48="","",IF(Quotes!F48="","",Quotes!F48))</f>
        <v/>
      </c>
      <c r="G48" s="23" t="str">
        <f>IF(Quotes!$A48="","",IF(Quotes!G48="","",Quotes!G48))</f>
        <v/>
      </c>
      <c r="H48" s="23" t="str">
        <f>IF(Quotes!$A48="","",IF(Quotes!H48="","",Quotes!H48))</f>
        <v/>
      </c>
      <c r="I48" s="22" t="str">
        <f>IF(Quotes!$A48="","",IF(Quotes!I48="","",Quotes!I48))</f>
        <v/>
      </c>
      <c r="J48" s="19" t="str">
        <f>IF(Quotes!$A48="","",IF(Quotes!AD48="","",Quotes!AD48))</f>
        <v/>
      </c>
      <c r="K48" s="19" t="str">
        <f>IF(Quotes!$A48="","",IF(Quotes!AF48="","",Quotes!AF48))</f>
        <v/>
      </c>
      <c r="L48" s="18" t="str">
        <f>IF(Quotes!$A48="","",IF(Quotes!V48="","",Quotes!V48))</f>
        <v/>
      </c>
      <c r="M48" s="18" t="str">
        <f>IF(A48="","",HYPERLINK("#'Quotes'!A48","EDIT QUOTE"))</f>
        <v/>
      </c>
      <c r="N48" s="18" t="str">
        <f>IF(Quotes!$A48="","",IF(Quotes!C48="","",Quotes!C48))</f>
        <v/>
      </c>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row>
    <row r="49" spans="1:44" ht="40" customHeight="1" x14ac:dyDescent="0.35">
      <c r="A49" s="14" t="str">
        <f>IF(Quotes!$A49="","",IF(Quotes!A49="","",Quotes!A49))</f>
        <v/>
      </c>
      <c r="B49" s="14" t="str">
        <f>IF(Quotes!$A49="","",IF(Quotes!U49="","",Quotes!U49))</f>
        <v/>
      </c>
      <c r="C49" s="14" t="str">
        <f>IF(Quotes!$A49="","",IF(Quotes!Z49="","",Quotes!Z49))</f>
        <v/>
      </c>
      <c r="D49" s="22" t="str">
        <f>IF(Quotes!$A49="","",IF(Quotes!E49="","",Quotes!E49))</f>
        <v/>
      </c>
      <c r="E49" s="14" t="str">
        <f>IFERROR(IF(INDEX(Jobs!$P$9:$P$258,MATCH(Quotes!B49,Jobs!$A$9:$A$258,0))="","",HYPERLINK("#'"&amp;INDEX(Jobs!$P$9:$P$258,MATCH(Quotes!B49,Jobs!$A$9:$A$258,0))&amp;"'!A1","OPEN JOB")),"")</f>
        <v/>
      </c>
      <c r="F49" s="22" t="str">
        <f>IF(Quotes!$A49="","",IF(Quotes!F49="","",Quotes!F49))</f>
        <v/>
      </c>
      <c r="G49" s="23" t="str">
        <f>IF(Quotes!$A49="","",IF(Quotes!G49="","",Quotes!G49))</f>
        <v/>
      </c>
      <c r="H49" s="23" t="str">
        <f>IF(Quotes!$A49="","",IF(Quotes!H49="","",Quotes!H49))</f>
        <v/>
      </c>
      <c r="I49" s="22" t="str">
        <f>IF(Quotes!$A49="","",IF(Quotes!I49="","",Quotes!I49))</f>
        <v/>
      </c>
      <c r="J49" s="16" t="str">
        <f>IF(Quotes!$A49="","",IF(Quotes!AD49="","",Quotes!AD49))</f>
        <v/>
      </c>
      <c r="K49" s="16" t="str">
        <f>IF(Quotes!$A49="","",IF(Quotes!AF49="","",Quotes!AF49))</f>
        <v/>
      </c>
      <c r="L49" s="14" t="str">
        <f>IF(Quotes!$A49="","",IF(Quotes!V49="","",Quotes!V49))</f>
        <v/>
      </c>
      <c r="M49" s="14" t="str">
        <f>IF(A49="","",HYPERLINK("#'Quotes'!A49","EDIT QUOTE"))</f>
        <v/>
      </c>
      <c r="N49" s="14" t="str">
        <f>IF(Quotes!$A49="","",IF(Quotes!C49="","",Quotes!C49))</f>
        <v/>
      </c>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row>
    <row r="50" spans="1:44" ht="40" customHeight="1" x14ac:dyDescent="0.35">
      <c r="A50" s="18" t="str">
        <f>IF(Quotes!$A50="","",IF(Quotes!A50="","",Quotes!A50))</f>
        <v/>
      </c>
      <c r="B50" s="18" t="str">
        <f>IF(Quotes!$A50="","",IF(Quotes!U50="","",Quotes!U50))</f>
        <v/>
      </c>
      <c r="C50" s="18" t="str">
        <f>IF(Quotes!$A50="","",IF(Quotes!Z50="","",Quotes!Z50))</f>
        <v/>
      </c>
      <c r="D50" s="22" t="str">
        <f>IF(Quotes!$A50="","",IF(Quotes!E50="","",Quotes!E50))</f>
        <v/>
      </c>
      <c r="E50" s="18" t="str">
        <f>IFERROR(IF(INDEX(Jobs!$P$9:$P$258,MATCH(Quotes!B50,Jobs!$A$9:$A$258,0))="","",HYPERLINK("#'"&amp;INDEX(Jobs!$P$9:$P$258,MATCH(Quotes!B50,Jobs!$A$9:$A$258,0))&amp;"'!A1","OPEN JOB")),"")</f>
        <v/>
      </c>
      <c r="F50" s="22" t="str">
        <f>IF(Quotes!$A50="","",IF(Quotes!F50="","",Quotes!F50))</f>
        <v/>
      </c>
      <c r="G50" s="23" t="str">
        <f>IF(Quotes!$A50="","",IF(Quotes!G50="","",Quotes!G50))</f>
        <v/>
      </c>
      <c r="H50" s="23" t="str">
        <f>IF(Quotes!$A50="","",IF(Quotes!H50="","",Quotes!H50))</f>
        <v/>
      </c>
      <c r="I50" s="22" t="str">
        <f>IF(Quotes!$A50="","",IF(Quotes!I50="","",Quotes!I50))</f>
        <v/>
      </c>
      <c r="J50" s="19" t="str">
        <f>IF(Quotes!$A50="","",IF(Quotes!AD50="","",Quotes!AD50))</f>
        <v/>
      </c>
      <c r="K50" s="19" t="str">
        <f>IF(Quotes!$A50="","",IF(Quotes!AF50="","",Quotes!AF50))</f>
        <v/>
      </c>
      <c r="L50" s="18" t="str">
        <f>IF(Quotes!$A50="","",IF(Quotes!V50="","",Quotes!V50))</f>
        <v/>
      </c>
      <c r="M50" s="18" t="str">
        <f>IF(A50="","",HYPERLINK("#'Quotes'!A50","EDIT QUOTE"))</f>
        <v/>
      </c>
      <c r="N50" s="18" t="str">
        <f>IF(Quotes!$A50="","",IF(Quotes!C50="","",Quotes!C50))</f>
        <v/>
      </c>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row>
    <row r="51" spans="1:44" ht="40" customHeight="1" x14ac:dyDescent="0.35">
      <c r="A51" s="14" t="str">
        <f>IF(Quotes!$A51="","",IF(Quotes!A51="","",Quotes!A51))</f>
        <v/>
      </c>
      <c r="B51" s="14" t="str">
        <f>IF(Quotes!$A51="","",IF(Quotes!U51="","",Quotes!U51))</f>
        <v/>
      </c>
      <c r="C51" s="14" t="str">
        <f>IF(Quotes!$A51="","",IF(Quotes!Z51="","",Quotes!Z51))</f>
        <v/>
      </c>
      <c r="D51" s="22" t="str">
        <f>IF(Quotes!$A51="","",IF(Quotes!E51="","",Quotes!E51))</f>
        <v/>
      </c>
      <c r="E51" s="14" t="str">
        <f>IFERROR(IF(INDEX(Jobs!$P$9:$P$258,MATCH(Quotes!B51,Jobs!$A$9:$A$258,0))="","",HYPERLINK("#'"&amp;INDEX(Jobs!$P$9:$P$258,MATCH(Quotes!B51,Jobs!$A$9:$A$258,0))&amp;"'!A1","OPEN JOB")),"")</f>
        <v/>
      </c>
      <c r="F51" s="22" t="str">
        <f>IF(Quotes!$A51="","",IF(Quotes!F51="","",Quotes!F51))</f>
        <v/>
      </c>
      <c r="G51" s="23" t="str">
        <f>IF(Quotes!$A51="","",IF(Quotes!G51="","",Quotes!G51))</f>
        <v/>
      </c>
      <c r="H51" s="23" t="str">
        <f>IF(Quotes!$A51="","",IF(Quotes!H51="","",Quotes!H51))</f>
        <v/>
      </c>
      <c r="I51" s="22" t="str">
        <f>IF(Quotes!$A51="","",IF(Quotes!I51="","",Quotes!I51))</f>
        <v/>
      </c>
      <c r="J51" s="16" t="str">
        <f>IF(Quotes!$A51="","",IF(Quotes!AD51="","",Quotes!AD51))</f>
        <v/>
      </c>
      <c r="K51" s="16" t="str">
        <f>IF(Quotes!$A51="","",IF(Quotes!AF51="","",Quotes!AF51))</f>
        <v/>
      </c>
      <c r="L51" s="14" t="str">
        <f>IF(Quotes!$A51="","",IF(Quotes!V51="","",Quotes!V51))</f>
        <v/>
      </c>
      <c r="M51" s="14" t="str">
        <f>IF(A51="","",HYPERLINK("#'Quotes'!A51","EDIT QUOTE"))</f>
        <v/>
      </c>
      <c r="N51" s="14" t="str">
        <f>IF(Quotes!$A51="","",IF(Quotes!C51="","",Quotes!C51))</f>
        <v/>
      </c>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row>
    <row r="52" spans="1:44" ht="40" customHeight="1" x14ac:dyDescent="0.35">
      <c r="A52" s="18" t="str">
        <f>IF(Quotes!$A52="","",IF(Quotes!A52="","",Quotes!A52))</f>
        <v/>
      </c>
      <c r="B52" s="18" t="str">
        <f>IF(Quotes!$A52="","",IF(Quotes!U52="","",Quotes!U52))</f>
        <v/>
      </c>
      <c r="C52" s="18" t="str">
        <f>IF(Quotes!$A52="","",IF(Quotes!Z52="","",Quotes!Z52))</f>
        <v/>
      </c>
      <c r="D52" s="22" t="str">
        <f>IF(Quotes!$A52="","",IF(Quotes!E52="","",Quotes!E52))</f>
        <v/>
      </c>
      <c r="E52" s="18" t="str">
        <f>IFERROR(IF(INDEX(Jobs!$P$9:$P$258,MATCH(Quotes!B52,Jobs!$A$9:$A$258,0))="","",HYPERLINK("#'"&amp;INDEX(Jobs!$P$9:$P$258,MATCH(Quotes!B52,Jobs!$A$9:$A$258,0))&amp;"'!A1","OPEN JOB")),"")</f>
        <v/>
      </c>
      <c r="F52" s="22" t="str">
        <f>IF(Quotes!$A52="","",IF(Quotes!F52="","",Quotes!F52))</f>
        <v/>
      </c>
      <c r="G52" s="23" t="str">
        <f>IF(Quotes!$A52="","",IF(Quotes!G52="","",Quotes!G52))</f>
        <v/>
      </c>
      <c r="H52" s="23" t="str">
        <f>IF(Quotes!$A52="","",IF(Quotes!H52="","",Quotes!H52))</f>
        <v/>
      </c>
      <c r="I52" s="22" t="str">
        <f>IF(Quotes!$A52="","",IF(Quotes!I52="","",Quotes!I52))</f>
        <v/>
      </c>
      <c r="J52" s="19" t="str">
        <f>IF(Quotes!$A52="","",IF(Quotes!AD52="","",Quotes!AD52))</f>
        <v/>
      </c>
      <c r="K52" s="19" t="str">
        <f>IF(Quotes!$A52="","",IF(Quotes!AF52="","",Quotes!AF52))</f>
        <v/>
      </c>
      <c r="L52" s="18" t="str">
        <f>IF(Quotes!$A52="","",IF(Quotes!V52="","",Quotes!V52))</f>
        <v/>
      </c>
      <c r="M52" s="18" t="str">
        <f>IF(A52="","",HYPERLINK("#'Quotes'!A52","EDIT QUOTE"))</f>
        <v/>
      </c>
      <c r="N52" s="18" t="str">
        <f>IF(Quotes!$A52="","",IF(Quotes!C52="","",Quotes!C52))</f>
        <v/>
      </c>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row>
    <row r="53" spans="1:44" ht="40" customHeight="1" x14ac:dyDescent="0.35">
      <c r="A53" s="14" t="str">
        <f>IF(Quotes!$A53="","",IF(Quotes!A53="","",Quotes!A53))</f>
        <v/>
      </c>
      <c r="B53" s="14" t="str">
        <f>IF(Quotes!$A53="","",IF(Quotes!U53="","",Quotes!U53))</f>
        <v/>
      </c>
      <c r="C53" s="14" t="str">
        <f>IF(Quotes!$A53="","",IF(Quotes!Z53="","",Quotes!Z53))</f>
        <v/>
      </c>
      <c r="D53" s="22" t="str">
        <f>IF(Quotes!$A53="","",IF(Quotes!E53="","",Quotes!E53))</f>
        <v/>
      </c>
      <c r="E53" s="14" t="str">
        <f>IFERROR(IF(INDEX(Jobs!$P$9:$P$258,MATCH(Quotes!B53,Jobs!$A$9:$A$258,0))="","",HYPERLINK("#'"&amp;INDEX(Jobs!$P$9:$P$258,MATCH(Quotes!B53,Jobs!$A$9:$A$258,0))&amp;"'!A1","OPEN JOB")),"")</f>
        <v/>
      </c>
      <c r="F53" s="22" t="str">
        <f>IF(Quotes!$A53="","",IF(Quotes!F53="","",Quotes!F53))</f>
        <v/>
      </c>
      <c r="G53" s="23" t="str">
        <f>IF(Quotes!$A53="","",IF(Quotes!G53="","",Quotes!G53))</f>
        <v/>
      </c>
      <c r="H53" s="23" t="str">
        <f>IF(Quotes!$A53="","",IF(Quotes!H53="","",Quotes!H53))</f>
        <v/>
      </c>
      <c r="I53" s="22" t="str">
        <f>IF(Quotes!$A53="","",IF(Quotes!I53="","",Quotes!I53))</f>
        <v/>
      </c>
      <c r="J53" s="16" t="str">
        <f>IF(Quotes!$A53="","",IF(Quotes!AD53="","",Quotes!AD53))</f>
        <v/>
      </c>
      <c r="K53" s="16" t="str">
        <f>IF(Quotes!$A53="","",IF(Quotes!AF53="","",Quotes!AF53))</f>
        <v/>
      </c>
      <c r="L53" s="14" t="str">
        <f>IF(Quotes!$A53="","",IF(Quotes!V53="","",Quotes!V53))</f>
        <v/>
      </c>
      <c r="M53" s="14" t="str">
        <f>IF(A53="","",HYPERLINK("#'Quotes'!A53","EDIT QUOTE"))</f>
        <v/>
      </c>
      <c r="N53" s="14" t="str">
        <f>IF(Quotes!$A53="","",IF(Quotes!C53="","",Quotes!C53))</f>
        <v/>
      </c>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row>
    <row r="54" spans="1:44" ht="40" customHeight="1" x14ac:dyDescent="0.35">
      <c r="A54" s="18" t="str">
        <f>IF(Quotes!$A54="","",IF(Quotes!A54="","",Quotes!A54))</f>
        <v/>
      </c>
      <c r="B54" s="18" t="str">
        <f>IF(Quotes!$A54="","",IF(Quotes!U54="","",Quotes!U54))</f>
        <v/>
      </c>
      <c r="C54" s="18" t="str">
        <f>IF(Quotes!$A54="","",IF(Quotes!Z54="","",Quotes!Z54))</f>
        <v/>
      </c>
      <c r="D54" s="22" t="str">
        <f>IF(Quotes!$A54="","",IF(Quotes!E54="","",Quotes!E54))</f>
        <v/>
      </c>
      <c r="E54" s="18" t="str">
        <f>IFERROR(IF(INDEX(Jobs!$P$9:$P$258,MATCH(Quotes!B54,Jobs!$A$9:$A$258,0))="","",HYPERLINK("#'"&amp;INDEX(Jobs!$P$9:$P$258,MATCH(Quotes!B54,Jobs!$A$9:$A$258,0))&amp;"'!A1","OPEN JOB")),"")</f>
        <v/>
      </c>
      <c r="F54" s="22" t="str">
        <f>IF(Quotes!$A54="","",IF(Quotes!F54="","",Quotes!F54))</f>
        <v/>
      </c>
      <c r="G54" s="23" t="str">
        <f>IF(Quotes!$A54="","",IF(Quotes!G54="","",Quotes!G54))</f>
        <v/>
      </c>
      <c r="H54" s="23" t="str">
        <f>IF(Quotes!$A54="","",IF(Quotes!H54="","",Quotes!H54))</f>
        <v/>
      </c>
      <c r="I54" s="22" t="str">
        <f>IF(Quotes!$A54="","",IF(Quotes!I54="","",Quotes!I54))</f>
        <v/>
      </c>
      <c r="J54" s="19" t="str">
        <f>IF(Quotes!$A54="","",IF(Quotes!AD54="","",Quotes!AD54))</f>
        <v/>
      </c>
      <c r="K54" s="19" t="str">
        <f>IF(Quotes!$A54="","",IF(Quotes!AF54="","",Quotes!AF54))</f>
        <v/>
      </c>
      <c r="L54" s="18" t="str">
        <f>IF(Quotes!$A54="","",IF(Quotes!V54="","",Quotes!V54))</f>
        <v/>
      </c>
      <c r="M54" s="18" t="str">
        <f>IF(A54="","",HYPERLINK("#'Quotes'!A54","EDIT QUOTE"))</f>
        <v/>
      </c>
      <c r="N54" s="18" t="str">
        <f>IF(Quotes!$A54="","",IF(Quotes!C54="","",Quotes!C54))</f>
        <v/>
      </c>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row>
    <row r="55" spans="1:44" ht="40" customHeight="1" x14ac:dyDescent="0.35">
      <c r="A55" s="14" t="str">
        <f>IF(Quotes!$A55="","",IF(Quotes!A55="","",Quotes!A55))</f>
        <v/>
      </c>
      <c r="B55" s="14" t="str">
        <f>IF(Quotes!$A55="","",IF(Quotes!U55="","",Quotes!U55))</f>
        <v/>
      </c>
      <c r="C55" s="14" t="str">
        <f>IF(Quotes!$A55="","",IF(Quotes!Z55="","",Quotes!Z55))</f>
        <v/>
      </c>
      <c r="D55" s="22" t="str">
        <f>IF(Quotes!$A55="","",IF(Quotes!E55="","",Quotes!E55))</f>
        <v/>
      </c>
      <c r="E55" s="14" t="str">
        <f>IFERROR(IF(INDEX(Jobs!$P$9:$P$258,MATCH(Quotes!B55,Jobs!$A$9:$A$258,0))="","",HYPERLINK("#'"&amp;INDEX(Jobs!$P$9:$P$258,MATCH(Quotes!B55,Jobs!$A$9:$A$258,0))&amp;"'!A1","OPEN JOB")),"")</f>
        <v/>
      </c>
      <c r="F55" s="22" t="str">
        <f>IF(Quotes!$A55="","",IF(Quotes!F55="","",Quotes!F55))</f>
        <v/>
      </c>
      <c r="G55" s="23" t="str">
        <f>IF(Quotes!$A55="","",IF(Quotes!G55="","",Quotes!G55))</f>
        <v/>
      </c>
      <c r="H55" s="23" t="str">
        <f>IF(Quotes!$A55="","",IF(Quotes!H55="","",Quotes!H55))</f>
        <v/>
      </c>
      <c r="I55" s="22" t="str">
        <f>IF(Quotes!$A55="","",IF(Quotes!I55="","",Quotes!I55))</f>
        <v/>
      </c>
      <c r="J55" s="16" t="str">
        <f>IF(Quotes!$A55="","",IF(Quotes!AD55="","",Quotes!AD55))</f>
        <v/>
      </c>
      <c r="K55" s="16" t="str">
        <f>IF(Quotes!$A55="","",IF(Quotes!AF55="","",Quotes!AF55))</f>
        <v/>
      </c>
      <c r="L55" s="14" t="str">
        <f>IF(Quotes!$A55="","",IF(Quotes!V55="","",Quotes!V55))</f>
        <v/>
      </c>
      <c r="M55" s="14" t="str">
        <f>IF(A55="","",HYPERLINK("#'Quotes'!A55","EDIT QUOTE"))</f>
        <v/>
      </c>
      <c r="N55" s="14" t="str">
        <f>IF(Quotes!$A55="","",IF(Quotes!C55="","",Quotes!C55))</f>
        <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row>
    <row r="56" spans="1:44" ht="40" customHeight="1" x14ac:dyDescent="0.35">
      <c r="A56" s="18" t="str">
        <f>IF(Quotes!$A56="","",IF(Quotes!A56="","",Quotes!A56))</f>
        <v/>
      </c>
      <c r="B56" s="18" t="str">
        <f>IF(Quotes!$A56="","",IF(Quotes!U56="","",Quotes!U56))</f>
        <v/>
      </c>
      <c r="C56" s="18" t="str">
        <f>IF(Quotes!$A56="","",IF(Quotes!Z56="","",Quotes!Z56))</f>
        <v/>
      </c>
      <c r="D56" s="22" t="str">
        <f>IF(Quotes!$A56="","",IF(Quotes!E56="","",Quotes!E56))</f>
        <v/>
      </c>
      <c r="E56" s="18" t="str">
        <f>IFERROR(IF(INDEX(Jobs!$P$9:$P$258,MATCH(Quotes!B56,Jobs!$A$9:$A$258,0))="","",HYPERLINK("#'"&amp;INDEX(Jobs!$P$9:$P$258,MATCH(Quotes!B56,Jobs!$A$9:$A$258,0))&amp;"'!A1","OPEN JOB")),"")</f>
        <v/>
      </c>
      <c r="F56" s="22" t="str">
        <f>IF(Quotes!$A56="","",IF(Quotes!F56="","",Quotes!F56))</f>
        <v/>
      </c>
      <c r="G56" s="23" t="str">
        <f>IF(Quotes!$A56="","",IF(Quotes!G56="","",Quotes!G56))</f>
        <v/>
      </c>
      <c r="H56" s="23" t="str">
        <f>IF(Quotes!$A56="","",IF(Quotes!H56="","",Quotes!H56))</f>
        <v/>
      </c>
      <c r="I56" s="22" t="str">
        <f>IF(Quotes!$A56="","",IF(Quotes!I56="","",Quotes!I56))</f>
        <v/>
      </c>
      <c r="J56" s="19" t="str">
        <f>IF(Quotes!$A56="","",IF(Quotes!AD56="","",Quotes!AD56))</f>
        <v/>
      </c>
      <c r="K56" s="19" t="str">
        <f>IF(Quotes!$A56="","",IF(Quotes!AF56="","",Quotes!AF56))</f>
        <v/>
      </c>
      <c r="L56" s="18" t="str">
        <f>IF(Quotes!$A56="","",IF(Quotes!V56="","",Quotes!V56))</f>
        <v/>
      </c>
      <c r="M56" s="18" t="str">
        <f>IF(A56="","",HYPERLINK("#'Quotes'!A56","EDIT QUOTE"))</f>
        <v/>
      </c>
      <c r="N56" s="18" t="str">
        <f>IF(Quotes!$A56="","",IF(Quotes!C56="","",Quotes!C56))</f>
        <v/>
      </c>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row>
    <row r="57" spans="1:44" ht="40" customHeight="1" x14ac:dyDescent="0.35">
      <c r="A57" s="14" t="str">
        <f>IF(Quotes!$A57="","",IF(Quotes!A57="","",Quotes!A57))</f>
        <v/>
      </c>
      <c r="B57" s="14" t="str">
        <f>IF(Quotes!$A57="","",IF(Quotes!U57="","",Quotes!U57))</f>
        <v/>
      </c>
      <c r="C57" s="14" t="str">
        <f>IF(Quotes!$A57="","",IF(Quotes!Z57="","",Quotes!Z57))</f>
        <v/>
      </c>
      <c r="D57" s="22" t="str">
        <f>IF(Quotes!$A57="","",IF(Quotes!E57="","",Quotes!E57))</f>
        <v/>
      </c>
      <c r="E57" s="14" t="str">
        <f>IFERROR(IF(INDEX(Jobs!$P$9:$P$258,MATCH(Quotes!B57,Jobs!$A$9:$A$258,0))="","",HYPERLINK("#'"&amp;INDEX(Jobs!$P$9:$P$258,MATCH(Quotes!B57,Jobs!$A$9:$A$258,0))&amp;"'!A1","OPEN JOB")),"")</f>
        <v/>
      </c>
      <c r="F57" s="22" t="str">
        <f>IF(Quotes!$A57="","",IF(Quotes!F57="","",Quotes!F57))</f>
        <v/>
      </c>
      <c r="G57" s="23" t="str">
        <f>IF(Quotes!$A57="","",IF(Quotes!G57="","",Quotes!G57))</f>
        <v/>
      </c>
      <c r="H57" s="23" t="str">
        <f>IF(Quotes!$A57="","",IF(Quotes!H57="","",Quotes!H57))</f>
        <v/>
      </c>
      <c r="I57" s="22" t="str">
        <f>IF(Quotes!$A57="","",IF(Quotes!I57="","",Quotes!I57))</f>
        <v/>
      </c>
      <c r="J57" s="16" t="str">
        <f>IF(Quotes!$A57="","",IF(Quotes!AD57="","",Quotes!AD57))</f>
        <v/>
      </c>
      <c r="K57" s="16" t="str">
        <f>IF(Quotes!$A57="","",IF(Quotes!AF57="","",Quotes!AF57))</f>
        <v/>
      </c>
      <c r="L57" s="14" t="str">
        <f>IF(Quotes!$A57="","",IF(Quotes!V57="","",Quotes!V57))</f>
        <v/>
      </c>
      <c r="M57" s="14" t="str">
        <f>IF(A57="","",HYPERLINK("#'Quotes'!A57","EDIT QUOTE"))</f>
        <v/>
      </c>
      <c r="N57" s="14" t="str">
        <f>IF(Quotes!$A57="","",IF(Quotes!C57="","",Quotes!C57))</f>
        <v/>
      </c>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row>
    <row r="58" spans="1:44" ht="40" customHeight="1" x14ac:dyDescent="0.35">
      <c r="A58" s="18" t="str">
        <f>IF(Quotes!$A58="","",IF(Quotes!A58="","",Quotes!A58))</f>
        <v/>
      </c>
      <c r="B58" s="18" t="str">
        <f>IF(Quotes!$A58="","",IF(Quotes!U58="","",Quotes!U58))</f>
        <v/>
      </c>
      <c r="C58" s="18" t="str">
        <f>IF(Quotes!$A58="","",IF(Quotes!Z58="","",Quotes!Z58))</f>
        <v/>
      </c>
      <c r="D58" s="22" t="str">
        <f>IF(Quotes!$A58="","",IF(Quotes!E58="","",Quotes!E58))</f>
        <v/>
      </c>
      <c r="E58" s="18" t="str">
        <f>IFERROR(IF(INDEX(Jobs!$P$9:$P$258,MATCH(Quotes!B58,Jobs!$A$9:$A$258,0))="","",HYPERLINK("#'"&amp;INDEX(Jobs!$P$9:$P$258,MATCH(Quotes!B58,Jobs!$A$9:$A$258,0))&amp;"'!A1","OPEN JOB")),"")</f>
        <v/>
      </c>
      <c r="F58" s="22" t="str">
        <f>IF(Quotes!$A58="","",IF(Quotes!F58="","",Quotes!F58))</f>
        <v/>
      </c>
      <c r="G58" s="23" t="str">
        <f>IF(Quotes!$A58="","",IF(Quotes!G58="","",Quotes!G58))</f>
        <v/>
      </c>
      <c r="H58" s="23" t="str">
        <f>IF(Quotes!$A58="","",IF(Quotes!H58="","",Quotes!H58))</f>
        <v/>
      </c>
      <c r="I58" s="22" t="str">
        <f>IF(Quotes!$A58="","",IF(Quotes!I58="","",Quotes!I58))</f>
        <v/>
      </c>
      <c r="J58" s="19" t="str">
        <f>IF(Quotes!$A58="","",IF(Quotes!AD58="","",Quotes!AD58))</f>
        <v/>
      </c>
      <c r="K58" s="19" t="str">
        <f>IF(Quotes!$A58="","",IF(Quotes!AF58="","",Quotes!AF58))</f>
        <v/>
      </c>
      <c r="L58" s="18" t="str">
        <f>IF(Quotes!$A58="","",IF(Quotes!V58="","",Quotes!V58))</f>
        <v/>
      </c>
      <c r="M58" s="18" t="str">
        <f>IF(A58="","",HYPERLINK("#'Quotes'!A58","EDIT QUOTE"))</f>
        <v/>
      </c>
      <c r="N58" s="18" t="str">
        <f>IF(Quotes!$A58="","",IF(Quotes!C58="","",Quotes!C58))</f>
        <v/>
      </c>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row>
    <row r="59" spans="1:44" ht="40" customHeight="1" x14ac:dyDescent="0.35">
      <c r="A59" s="14" t="str">
        <f>IF(Quotes!$A59="","",IF(Quotes!A59="","",Quotes!A59))</f>
        <v/>
      </c>
      <c r="B59" s="14" t="str">
        <f>IF(Quotes!$A59="","",IF(Quotes!U59="","",Quotes!U59))</f>
        <v/>
      </c>
      <c r="C59" s="14" t="str">
        <f>IF(Quotes!$A59="","",IF(Quotes!Z59="","",Quotes!Z59))</f>
        <v/>
      </c>
      <c r="D59" s="22" t="str">
        <f>IF(Quotes!$A59="","",IF(Quotes!E59="","",Quotes!E59))</f>
        <v/>
      </c>
      <c r="E59" s="14" t="str">
        <f>IFERROR(IF(INDEX(Jobs!$P$9:$P$258,MATCH(Quotes!B59,Jobs!$A$9:$A$258,0))="","",HYPERLINK("#'"&amp;INDEX(Jobs!$P$9:$P$258,MATCH(Quotes!B59,Jobs!$A$9:$A$258,0))&amp;"'!A1","OPEN JOB")),"")</f>
        <v/>
      </c>
      <c r="F59" s="22" t="str">
        <f>IF(Quotes!$A59="","",IF(Quotes!F59="","",Quotes!F59))</f>
        <v/>
      </c>
      <c r="G59" s="23" t="str">
        <f>IF(Quotes!$A59="","",IF(Quotes!G59="","",Quotes!G59))</f>
        <v/>
      </c>
      <c r="H59" s="23" t="str">
        <f>IF(Quotes!$A59="","",IF(Quotes!H59="","",Quotes!H59))</f>
        <v/>
      </c>
      <c r="I59" s="22" t="str">
        <f>IF(Quotes!$A59="","",IF(Quotes!I59="","",Quotes!I59))</f>
        <v/>
      </c>
      <c r="J59" s="16" t="str">
        <f>IF(Quotes!$A59="","",IF(Quotes!AD59="","",Quotes!AD59))</f>
        <v/>
      </c>
      <c r="K59" s="16" t="str">
        <f>IF(Quotes!$A59="","",IF(Quotes!AF59="","",Quotes!AF59))</f>
        <v/>
      </c>
      <c r="L59" s="14" t="str">
        <f>IF(Quotes!$A59="","",IF(Quotes!V59="","",Quotes!V59))</f>
        <v/>
      </c>
      <c r="M59" s="14" t="str">
        <f>IF(A59="","",HYPERLINK("#'Quotes'!A59","EDIT QUOTE"))</f>
        <v/>
      </c>
      <c r="N59" s="14" t="str">
        <f>IF(Quotes!$A59="","",IF(Quotes!C59="","",Quotes!C59))</f>
        <v/>
      </c>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row>
    <row r="60" spans="1:44" ht="40" customHeight="1" x14ac:dyDescent="0.35">
      <c r="A60" s="18" t="str">
        <f>IF(Quotes!$A60="","",IF(Quotes!A60="","",Quotes!A60))</f>
        <v/>
      </c>
      <c r="B60" s="18" t="str">
        <f>IF(Quotes!$A60="","",IF(Quotes!U60="","",Quotes!U60))</f>
        <v/>
      </c>
      <c r="C60" s="18" t="str">
        <f>IF(Quotes!$A60="","",IF(Quotes!Z60="","",Quotes!Z60))</f>
        <v/>
      </c>
      <c r="D60" s="22" t="str">
        <f>IF(Quotes!$A60="","",IF(Quotes!E60="","",Quotes!E60))</f>
        <v/>
      </c>
      <c r="E60" s="18" t="str">
        <f>IFERROR(IF(INDEX(Jobs!$P$9:$P$258,MATCH(Quotes!B60,Jobs!$A$9:$A$258,0))="","",HYPERLINK("#'"&amp;INDEX(Jobs!$P$9:$P$258,MATCH(Quotes!B60,Jobs!$A$9:$A$258,0))&amp;"'!A1","OPEN JOB")),"")</f>
        <v/>
      </c>
      <c r="F60" s="22" t="str">
        <f>IF(Quotes!$A60="","",IF(Quotes!F60="","",Quotes!F60))</f>
        <v/>
      </c>
      <c r="G60" s="23" t="str">
        <f>IF(Quotes!$A60="","",IF(Quotes!G60="","",Quotes!G60))</f>
        <v/>
      </c>
      <c r="H60" s="23" t="str">
        <f>IF(Quotes!$A60="","",IF(Quotes!H60="","",Quotes!H60))</f>
        <v/>
      </c>
      <c r="I60" s="22" t="str">
        <f>IF(Quotes!$A60="","",IF(Quotes!I60="","",Quotes!I60))</f>
        <v/>
      </c>
      <c r="J60" s="19" t="str">
        <f>IF(Quotes!$A60="","",IF(Quotes!AD60="","",Quotes!AD60))</f>
        <v/>
      </c>
      <c r="K60" s="19" t="str">
        <f>IF(Quotes!$A60="","",IF(Quotes!AF60="","",Quotes!AF60))</f>
        <v/>
      </c>
      <c r="L60" s="18" t="str">
        <f>IF(Quotes!$A60="","",IF(Quotes!V60="","",Quotes!V60))</f>
        <v/>
      </c>
      <c r="M60" s="18" t="str">
        <f>IF(A60="","",HYPERLINK("#'Quotes'!A60","EDIT QUOTE"))</f>
        <v/>
      </c>
      <c r="N60" s="18" t="str">
        <f>IF(Quotes!$A60="","",IF(Quotes!C60="","",Quotes!C60))</f>
        <v/>
      </c>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row>
    <row r="61" spans="1:44" ht="40" customHeight="1" x14ac:dyDescent="0.35">
      <c r="A61" s="14" t="str">
        <f>IF(Quotes!$A61="","",IF(Quotes!A61="","",Quotes!A61))</f>
        <v/>
      </c>
      <c r="B61" s="14" t="str">
        <f>IF(Quotes!$A61="","",IF(Quotes!U61="","",Quotes!U61))</f>
        <v/>
      </c>
      <c r="C61" s="14" t="str">
        <f>IF(Quotes!$A61="","",IF(Quotes!Z61="","",Quotes!Z61))</f>
        <v/>
      </c>
      <c r="D61" s="22" t="str">
        <f>IF(Quotes!$A61="","",IF(Quotes!E61="","",Quotes!E61))</f>
        <v/>
      </c>
      <c r="E61" s="14" t="str">
        <f>IFERROR(IF(INDEX(Jobs!$P$9:$P$258,MATCH(Quotes!B61,Jobs!$A$9:$A$258,0))="","",HYPERLINK("#'"&amp;INDEX(Jobs!$P$9:$P$258,MATCH(Quotes!B61,Jobs!$A$9:$A$258,0))&amp;"'!A1","OPEN JOB")),"")</f>
        <v/>
      </c>
      <c r="F61" s="22" t="str">
        <f>IF(Quotes!$A61="","",IF(Quotes!F61="","",Quotes!F61))</f>
        <v/>
      </c>
      <c r="G61" s="23" t="str">
        <f>IF(Quotes!$A61="","",IF(Quotes!G61="","",Quotes!G61))</f>
        <v/>
      </c>
      <c r="H61" s="23" t="str">
        <f>IF(Quotes!$A61="","",IF(Quotes!H61="","",Quotes!H61))</f>
        <v/>
      </c>
      <c r="I61" s="22" t="str">
        <f>IF(Quotes!$A61="","",IF(Quotes!I61="","",Quotes!I61))</f>
        <v/>
      </c>
      <c r="J61" s="16" t="str">
        <f>IF(Quotes!$A61="","",IF(Quotes!AD61="","",Quotes!AD61))</f>
        <v/>
      </c>
      <c r="K61" s="16" t="str">
        <f>IF(Quotes!$A61="","",IF(Quotes!AF61="","",Quotes!AF61))</f>
        <v/>
      </c>
      <c r="L61" s="14" t="str">
        <f>IF(Quotes!$A61="","",IF(Quotes!V61="","",Quotes!V61))</f>
        <v/>
      </c>
      <c r="M61" s="14" t="str">
        <f>IF(A61="","",HYPERLINK("#'Quotes'!A61","EDIT QUOTE"))</f>
        <v/>
      </c>
      <c r="N61" s="14" t="str">
        <f>IF(Quotes!$A61="","",IF(Quotes!C61="","",Quotes!C61))</f>
        <v/>
      </c>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row>
    <row r="62" spans="1:44" ht="40" customHeight="1" x14ac:dyDescent="0.35">
      <c r="A62" s="18" t="str">
        <f>IF(Quotes!$A62="","",IF(Quotes!A62="","",Quotes!A62))</f>
        <v/>
      </c>
      <c r="B62" s="18" t="str">
        <f>IF(Quotes!$A62="","",IF(Quotes!U62="","",Quotes!U62))</f>
        <v/>
      </c>
      <c r="C62" s="18" t="str">
        <f>IF(Quotes!$A62="","",IF(Quotes!Z62="","",Quotes!Z62))</f>
        <v/>
      </c>
      <c r="D62" s="22" t="str">
        <f>IF(Quotes!$A62="","",IF(Quotes!E62="","",Quotes!E62))</f>
        <v/>
      </c>
      <c r="E62" s="18" t="str">
        <f>IFERROR(IF(INDEX(Jobs!$P$9:$P$258,MATCH(Quotes!B62,Jobs!$A$9:$A$258,0))="","",HYPERLINK("#'"&amp;INDEX(Jobs!$P$9:$P$258,MATCH(Quotes!B62,Jobs!$A$9:$A$258,0))&amp;"'!A1","OPEN JOB")),"")</f>
        <v/>
      </c>
      <c r="F62" s="22" t="str">
        <f>IF(Quotes!$A62="","",IF(Quotes!F62="","",Quotes!F62))</f>
        <v/>
      </c>
      <c r="G62" s="23" t="str">
        <f>IF(Quotes!$A62="","",IF(Quotes!G62="","",Quotes!G62))</f>
        <v/>
      </c>
      <c r="H62" s="23" t="str">
        <f>IF(Quotes!$A62="","",IF(Quotes!H62="","",Quotes!H62))</f>
        <v/>
      </c>
      <c r="I62" s="22" t="str">
        <f>IF(Quotes!$A62="","",IF(Quotes!I62="","",Quotes!I62))</f>
        <v/>
      </c>
      <c r="J62" s="19" t="str">
        <f>IF(Quotes!$A62="","",IF(Quotes!AD62="","",Quotes!AD62))</f>
        <v/>
      </c>
      <c r="K62" s="19" t="str">
        <f>IF(Quotes!$A62="","",IF(Quotes!AF62="","",Quotes!AF62))</f>
        <v/>
      </c>
      <c r="L62" s="18" t="str">
        <f>IF(Quotes!$A62="","",IF(Quotes!V62="","",Quotes!V62))</f>
        <v/>
      </c>
      <c r="M62" s="18" t="str">
        <f>IF(A62="","",HYPERLINK("#'Quotes'!A62","EDIT QUOTE"))</f>
        <v/>
      </c>
      <c r="N62" s="18" t="str">
        <f>IF(Quotes!$A62="","",IF(Quotes!C62="","",Quotes!C62))</f>
        <v/>
      </c>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row>
    <row r="63" spans="1:44" ht="40" customHeight="1" x14ac:dyDescent="0.35">
      <c r="A63" s="14" t="str">
        <f>IF(Quotes!$A63="","",IF(Quotes!A63="","",Quotes!A63))</f>
        <v/>
      </c>
      <c r="B63" s="14" t="str">
        <f>IF(Quotes!$A63="","",IF(Quotes!U63="","",Quotes!U63))</f>
        <v/>
      </c>
      <c r="C63" s="14" t="str">
        <f>IF(Quotes!$A63="","",IF(Quotes!Z63="","",Quotes!Z63))</f>
        <v/>
      </c>
      <c r="D63" s="22" t="str">
        <f>IF(Quotes!$A63="","",IF(Quotes!E63="","",Quotes!E63))</f>
        <v/>
      </c>
      <c r="E63" s="14" t="str">
        <f>IFERROR(IF(INDEX(Jobs!$P$9:$P$258,MATCH(Quotes!B63,Jobs!$A$9:$A$258,0))="","",HYPERLINK("#'"&amp;INDEX(Jobs!$P$9:$P$258,MATCH(Quotes!B63,Jobs!$A$9:$A$258,0))&amp;"'!A1","OPEN JOB")),"")</f>
        <v/>
      </c>
      <c r="F63" s="22" t="str">
        <f>IF(Quotes!$A63="","",IF(Quotes!F63="","",Quotes!F63))</f>
        <v/>
      </c>
      <c r="G63" s="23" t="str">
        <f>IF(Quotes!$A63="","",IF(Quotes!G63="","",Quotes!G63))</f>
        <v/>
      </c>
      <c r="H63" s="23" t="str">
        <f>IF(Quotes!$A63="","",IF(Quotes!H63="","",Quotes!H63))</f>
        <v/>
      </c>
      <c r="I63" s="22" t="str">
        <f>IF(Quotes!$A63="","",IF(Quotes!I63="","",Quotes!I63))</f>
        <v/>
      </c>
      <c r="J63" s="16" t="str">
        <f>IF(Quotes!$A63="","",IF(Quotes!AD63="","",Quotes!AD63))</f>
        <v/>
      </c>
      <c r="K63" s="16" t="str">
        <f>IF(Quotes!$A63="","",IF(Quotes!AF63="","",Quotes!AF63))</f>
        <v/>
      </c>
      <c r="L63" s="14" t="str">
        <f>IF(Quotes!$A63="","",IF(Quotes!V63="","",Quotes!V63))</f>
        <v/>
      </c>
      <c r="M63" s="14" t="str">
        <f>IF(A63="","",HYPERLINK("#'Quotes'!A63","EDIT QUOTE"))</f>
        <v/>
      </c>
      <c r="N63" s="14" t="str">
        <f>IF(Quotes!$A63="","",IF(Quotes!C63="","",Quotes!C63))</f>
        <v/>
      </c>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row>
    <row r="64" spans="1:44" ht="40" customHeight="1" x14ac:dyDescent="0.35">
      <c r="A64" s="18" t="str">
        <f>IF(Quotes!$A64="","",IF(Quotes!A64="","",Quotes!A64))</f>
        <v/>
      </c>
      <c r="B64" s="18" t="str">
        <f>IF(Quotes!$A64="","",IF(Quotes!U64="","",Quotes!U64))</f>
        <v/>
      </c>
      <c r="C64" s="18" t="str">
        <f>IF(Quotes!$A64="","",IF(Quotes!Z64="","",Quotes!Z64))</f>
        <v/>
      </c>
      <c r="D64" s="22" t="str">
        <f>IF(Quotes!$A64="","",IF(Quotes!E64="","",Quotes!E64))</f>
        <v/>
      </c>
      <c r="E64" s="18" t="str">
        <f>IFERROR(IF(INDEX(Jobs!$P$9:$P$258,MATCH(Quotes!B64,Jobs!$A$9:$A$258,0))="","",HYPERLINK("#'"&amp;INDEX(Jobs!$P$9:$P$258,MATCH(Quotes!B64,Jobs!$A$9:$A$258,0))&amp;"'!A1","OPEN JOB")),"")</f>
        <v/>
      </c>
      <c r="F64" s="22" t="str">
        <f>IF(Quotes!$A64="","",IF(Quotes!F64="","",Quotes!F64))</f>
        <v/>
      </c>
      <c r="G64" s="23" t="str">
        <f>IF(Quotes!$A64="","",IF(Quotes!G64="","",Quotes!G64))</f>
        <v/>
      </c>
      <c r="H64" s="23" t="str">
        <f>IF(Quotes!$A64="","",IF(Quotes!H64="","",Quotes!H64))</f>
        <v/>
      </c>
      <c r="I64" s="22" t="str">
        <f>IF(Quotes!$A64="","",IF(Quotes!I64="","",Quotes!I64))</f>
        <v/>
      </c>
      <c r="J64" s="19" t="str">
        <f>IF(Quotes!$A64="","",IF(Quotes!AD64="","",Quotes!AD64))</f>
        <v/>
      </c>
      <c r="K64" s="19" t="str">
        <f>IF(Quotes!$A64="","",IF(Quotes!AF64="","",Quotes!AF64))</f>
        <v/>
      </c>
      <c r="L64" s="18" t="str">
        <f>IF(Quotes!$A64="","",IF(Quotes!V64="","",Quotes!V64))</f>
        <v/>
      </c>
      <c r="M64" s="18" t="str">
        <f>IF(A64="","",HYPERLINK("#'Quotes'!A64","EDIT QUOTE"))</f>
        <v/>
      </c>
      <c r="N64" s="18" t="str">
        <f>IF(Quotes!$A64="","",IF(Quotes!C64="","",Quotes!C64))</f>
        <v/>
      </c>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row>
    <row r="65" spans="1:44" ht="40" customHeight="1" x14ac:dyDescent="0.35">
      <c r="A65" s="14" t="str">
        <f>IF(Quotes!$A65="","",IF(Quotes!A65="","",Quotes!A65))</f>
        <v/>
      </c>
      <c r="B65" s="14" t="str">
        <f>IF(Quotes!$A65="","",IF(Quotes!U65="","",Quotes!U65))</f>
        <v/>
      </c>
      <c r="C65" s="14" t="str">
        <f>IF(Quotes!$A65="","",IF(Quotes!Z65="","",Quotes!Z65))</f>
        <v/>
      </c>
      <c r="D65" s="22" t="str">
        <f>IF(Quotes!$A65="","",IF(Quotes!E65="","",Quotes!E65))</f>
        <v/>
      </c>
      <c r="E65" s="14" t="str">
        <f>IFERROR(IF(INDEX(Jobs!$P$9:$P$258,MATCH(Quotes!B65,Jobs!$A$9:$A$258,0))="","",HYPERLINK("#'"&amp;INDEX(Jobs!$P$9:$P$258,MATCH(Quotes!B65,Jobs!$A$9:$A$258,0))&amp;"'!A1","OPEN JOB")),"")</f>
        <v/>
      </c>
      <c r="F65" s="22" t="str">
        <f>IF(Quotes!$A65="","",IF(Quotes!F65="","",Quotes!F65))</f>
        <v/>
      </c>
      <c r="G65" s="23" t="str">
        <f>IF(Quotes!$A65="","",IF(Quotes!G65="","",Quotes!G65))</f>
        <v/>
      </c>
      <c r="H65" s="23" t="str">
        <f>IF(Quotes!$A65="","",IF(Quotes!H65="","",Quotes!H65))</f>
        <v/>
      </c>
      <c r="I65" s="22" t="str">
        <f>IF(Quotes!$A65="","",IF(Quotes!I65="","",Quotes!I65))</f>
        <v/>
      </c>
      <c r="J65" s="16" t="str">
        <f>IF(Quotes!$A65="","",IF(Quotes!AD65="","",Quotes!AD65))</f>
        <v/>
      </c>
      <c r="K65" s="16" t="str">
        <f>IF(Quotes!$A65="","",IF(Quotes!AF65="","",Quotes!AF65))</f>
        <v/>
      </c>
      <c r="L65" s="14" t="str">
        <f>IF(Quotes!$A65="","",IF(Quotes!V65="","",Quotes!V65))</f>
        <v/>
      </c>
      <c r="M65" s="14" t="str">
        <f>IF(A65="","",HYPERLINK("#'Quotes'!A65","EDIT QUOTE"))</f>
        <v/>
      </c>
      <c r="N65" s="14" t="str">
        <f>IF(Quotes!$A65="","",IF(Quotes!C65="","",Quotes!C65))</f>
        <v/>
      </c>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row>
    <row r="66" spans="1:44" ht="40" customHeight="1" x14ac:dyDescent="0.35">
      <c r="A66" s="18" t="str">
        <f>IF(Quotes!$A66="","",IF(Quotes!A66="","",Quotes!A66))</f>
        <v/>
      </c>
      <c r="B66" s="18" t="str">
        <f>IF(Quotes!$A66="","",IF(Quotes!U66="","",Quotes!U66))</f>
        <v/>
      </c>
      <c r="C66" s="18" t="str">
        <f>IF(Quotes!$A66="","",IF(Quotes!Z66="","",Quotes!Z66))</f>
        <v/>
      </c>
      <c r="D66" s="22" t="str">
        <f>IF(Quotes!$A66="","",IF(Quotes!E66="","",Quotes!E66))</f>
        <v/>
      </c>
      <c r="E66" s="18" t="str">
        <f>IFERROR(IF(INDEX(Jobs!$P$9:$P$258,MATCH(Quotes!B66,Jobs!$A$9:$A$258,0))="","",HYPERLINK("#'"&amp;INDEX(Jobs!$P$9:$P$258,MATCH(Quotes!B66,Jobs!$A$9:$A$258,0))&amp;"'!A1","OPEN JOB")),"")</f>
        <v/>
      </c>
      <c r="F66" s="22" t="str">
        <f>IF(Quotes!$A66="","",IF(Quotes!F66="","",Quotes!F66))</f>
        <v/>
      </c>
      <c r="G66" s="23" t="str">
        <f>IF(Quotes!$A66="","",IF(Quotes!G66="","",Quotes!G66))</f>
        <v/>
      </c>
      <c r="H66" s="23" t="str">
        <f>IF(Quotes!$A66="","",IF(Quotes!H66="","",Quotes!H66))</f>
        <v/>
      </c>
      <c r="I66" s="22" t="str">
        <f>IF(Quotes!$A66="","",IF(Quotes!I66="","",Quotes!I66))</f>
        <v/>
      </c>
      <c r="J66" s="19" t="str">
        <f>IF(Quotes!$A66="","",IF(Quotes!AD66="","",Quotes!AD66))</f>
        <v/>
      </c>
      <c r="K66" s="19" t="str">
        <f>IF(Quotes!$A66="","",IF(Quotes!AF66="","",Quotes!AF66))</f>
        <v/>
      </c>
      <c r="L66" s="18" t="str">
        <f>IF(Quotes!$A66="","",IF(Quotes!V66="","",Quotes!V66))</f>
        <v/>
      </c>
      <c r="M66" s="18" t="str">
        <f>IF(A66="","",HYPERLINK("#'Quotes'!A66","EDIT QUOTE"))</f>
        <v/>
      </c>
      <c r="N66" s="18" t="str">
        <f>IF(Quotes!$A66="","",IF(Quotes!C66="","",Quotes!C66))</f>
        <v/>
      </c>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row>
    <row r="67" spans="1:44" ht="40" customHeight="1" x14ac:dyDescent="0.35">
      <c r="A67" s="14" t="str">
        <f>IF(Quotes!$A67="","",IF(Quotes!A67="","",Quotes!A67))</f>
        <v/>
      </c>
      <c r="B67" s="14" t="str">
        <f>IF(Quotes!$A67="","",IF(Quotes!U67="","",Quotes!U67))</f>
        <v/>
      </c>
      <c r="C67" s="14" t="str">
        <f>IF(Quotes!$A67="","",IF(Quotes!Z67="","",Quotes!Z67))</f>
        <v/>
      </c>
      <c r="D67" s="22" t="str">
        <f>IF(Quotes!$A67="","",IF(Quotes!E67="","",Quotes!E67))</f>
        <v/>
      </c>
      <c r="E67" s="14" t="str">
        <f>IFERROR(IF(INDEX(Jobs!$P$9:$P$258,MATCH(Quotes!B67,Jobs!$A$9:$A$258,0))="","",HYPERLINK("#'"&amp;INDEX(Jobs!$P$9:$P$258,MATCH(Quotes!B67,Jobs!$A$9:$A$258,0))&amp;"'!A1","OPEN JOB")),"")</f>
        <v/>
      </c>
      <c r="F67" s="22" t="str">
        <f>IF(Quotes!$A67="","",IF(Quotes!F67="","",Quotes!F67))</f>
        <v/>
      </c>
      <c r="G67" s="23" t="str">
        <f>IF(Quotes!$A67="","",IF(Quotes!G67="","",Quotes!G67))</f>
        <v/>
      </c>
      <c r="H67" s="23" t="str">
        <f>IF(Quotes!$A67="","",IF(Quotes!H67="","",Quotes!H67))</f>
        <v/>
      </c>
      <c r="I67" s="22" t="str">
        <f>IF(Quotes!$A67="","",IF(Quotes!I67="","",Quotes!I67))</f>
        <v/>
      </c>
      <c r="J67" s="16" t="str">
        <f>IF(Quotes!$A67="","",IF(Quotes!AD67="","",Quotes!AD67))</f>
        <v/>
      </c>
      <c r="K67" s="16" t="str">
        <f>IF(Quotes!$A67="","",IF(Quotes!AF67="","",Quotes!AF67))</f>
        <v/>
      </c>
      <c r="L67" s="14" t="str">
        <f>IF(Quotes!$A67="","",IF(Quotes!V67="","",Quotes!V67))</f>
        <v/>
      </c>
      <c r="M67" s="14" t="str">
        <f>IF(A67="","",HYPERLINK("#'Quotes'!A67","EDIT QUOTE"))</f>
        <v/>
      </c>
      <c r="N67" s="14" t="str">
        <f>IF(Quotes!$A67="","",IF(Quotes!C67="","",Quotes!C67))</f>
        <v/>
      </c>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row>
    <row r="68" spans="1:44" ht="40" customHeight="1" x14ac:dyDescent="0.35">
      <c r="A68" s="18" t="str">
        <f>IF(Quotes!$A68="","",IF(Quotes!A68="","",Quotes!A68))</f>
        <v/>
      </c>
      <c r="B68" s="18" t="str">
        <f>IF(Quotes!$A68="","",IF(Quotes!U68="","",Quotes!U68))</f>
        <v/>
      </c>
      <c r="C68" s="18" t="str">
        <f>IF(Quotes!$A68="","",IF(Quotes!Z68="","",Quotes!Z68))</f>
        <v/>
      </c>
      <c r="D68" s="22" t="str">
        <f>IF(Quotes!$A68="","",IF(Quotes!E68="","",Quotes!E68))</f>
        <v/>
      </c>
      <c r="E68" s="18" t="str">
        <f>IFERROR(IF(INDEX(Jobs!$P$9:$P$258,MATCH(Quotes!B68,Jobs!$A$9:$A$258,0))="","",HYPERLINK("#'"&amp;INDEX(Jobs!$P$9:$P$258,MATCH(Quotes!B68,Jobs!$A$9:$A$258,0))&amp;"'!A1","OPEN JOB")),"")</f>
        <v/>
      </c>
      <c r="F68" s="22" t="str">
        <f>IF(Quotes!$A68="","",IF(Quotes!F68="","",Quotes!F68))</f>
        <v/>
      </c>
      <c r="G68" s="23" t="str">
        <f>IF(Quotes!$A68="","",IF(Quotes!G68="","",Quotes!G68))</f>
        <v/>
      </c>
      <c r="H68" s="23" t="str">
        <f>IF(Quotes!$A68="","",IF(Quotes!H68="","",Quotes!H68))</f>
        <v/>
      </c>
      <c r="I68" s="22" t="str">
        <f>IF(Quotes!$A68="","",IF(Quotes!I68="","",Quotes!I68))</f>
        <v/>
      </c>
      <c r="J68" s="19" t="str">
        <f>IF(Quotes!$A68="","",IF(Quotes!AD68="","",Quotes!AD68))</f>
        <v/>
      </c>
      <c r="K68" s="19" t="str">
        <f>IF(Quotes!$A68="","",IF(Quotes!AF68="","",Quotes!AF68))</f>
        <v/>
      </c>
      <c r="L68" s="18" t="str">
        <f>IF(Quotes!$A68="","",IF(Quotes!V68="","",Quotes!V68))</f>
        <v/>
      </c>
      <c r="M68" s="18" t="str">
        <f>IF(A68="","",HYPERLINK("#'Quotes'!A68","EDIT QUOTE"))</f>
        <v/>
      </c>
      <c r="N68" s="18" t="str">
        <f>IF(Quotes!$A68="","",IF(Quotes!C68="","",Quotes!C68))</f>
        <v/>
      </c>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row>
    <row r="69" spans="1:44" ht="40" customHeight="1" x14ac:dyDescent="0.35">
      <c r="A69" s="14" t="str">
        <f>IF(Quotes!$A69="","",IF(Quotes!A69="","",Quotes!A69))</f>
        <v/>
      </c>
      <c r="B69" s="14" t="str">
        <f>IF(Quotes!$A69="","",IF(Quotes!U69="","",Quotes!U69))</f>
        <v/>
      </c>
      <c r="C69" s="14" t="str">
        <f>IF(Quotes!$A69="","",IF(Quotes!Z69="","",Quotes!Z69))</f>
        <v/>
      </c>
      <c r="D69" s="22" t="str">
        <f>IF(Quotes!$A69="","",IF(Quotes!E69="","",Quotes!E69))</f>
        <v/>
      </c>
      <c r="E69" s="14" t="str">
        <f>IFERROR(IF(INDEX(Jobs!$P$9:$P$258,MATCH(Quotes!B69,Jobs!$A$9:$A$258,0))="","",HYPERLINK("#'"&amp;INDEX(Jobs!$P$9:$P$258,MATCH(Quotes!B69,Jobs!$A$9:$A$258,0))&amp;"'!A1","OPEN JOB")),"")</f>
        <v/>
      </c>
      <c r="F69" s="22" t="str">
        <f>IF(Quotes!$A69="","",IF(Quotes!F69="","",Quotes!F69))</f>
        <v/>
      </c>
      <c r="G69" s="23" t="str">
        <f>IF(Quotes!$A69="","",IF(Quotes!G69="","",Quotes!G69))</f>
        <v/>
      </c>
      <c r="H69" s="23" t="str">
        <f>IF(Quotes!$A69="","",IF(Quotes!H69="","",Quotes!H69))</f>
        <v/>
      </c>
      <c r="I69" s="22" t="str">
        <f>IF(Quotes!$A69="","",IF(Quotes!I69="","",Quotes!I69))</f>
        <v/>
      </c>
      <c r="J69" s="16" t="str">
        <f>IF(Quotes!$A69="","",IF(Quotes!AD69="","",Quotes!AD69))</f>
        <v/>
      </c>
      <c r="K69" s="16" t="str">
        <f>IF(Quotes!$A69="","",IF(Quotes!AF69="","",Quotes!AF69))</f>
        <v/>
      </c>
      <c r="L69" s="14" t="str">
        <f>IF(Quotes!$A69="","",IF(Quotes!V69="","",Quotes!V69))</f>
        <v/>
      </c>
      <c r="M69" s="14" t="str">
        <f>IF(A69="","",HYPERLINK("#'Quotes'!A69","EDIT QUOTE"))</f>
        <v/>
      </c>
      <c r="N69" s="14" t="str">
        <f>IF(Quotes!$A69="","",IF(Quotes!C69="","",Quotes!C69))</f>
        <v/>
      </c>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row>
    <row r="70" spans="1:44" ht="40" customHeight="1" x14ac:dyDescent="0.35">
      <c r="A70" s="18" t="str">
        <f>IF(Quotes!$A70="","",IF(Quotes!A70="","",Quotes!A70))</f>
        <v/>
      </c>
      <c r="B70" s="18" t="str">
        <f>IF(Quotes!$A70="","",IF(Quotes!U70="","",Quotes!U70))</f>
        <v/>
      </c>
      <c r="C70" s="18" t="str">
        <f>IF(Quotes!$A70="","",IF(Quotes!Z70="","",Quotes!Z70))</f>
        <v/>
      </c>
      <c r="D70" s="22" t="str">
        <f>IF(Quotes!$A70="","",IF(Quotes!E70="","",Quotes!E70))</f>
        <v/>
      </c>
      <c r="E70" s="18" t="str">
        <f>IFERROR(IF(INDEX(Jobs!$P$9:$P$258,MATCH(Quotes!B70,Jobs!$A$9:$A$258,0))="","",HYPERLINK("#'"&amp;INDEX(Jobs!$P$9:$P$258,MATCH(Quotes!B70,Jobs!$A$9:$A$258,0))&amp;"'!A1","OPEN JOB")),"")</f>
        <v/>
      </c>
      <c r="F70" s="22" t="str">
        <f>IF(Quotes!$A70="","",IF(Quotes!F70="","",Quotes!F70))</f>
        <v/>
      </c>
      <c r="G70" s="23" t="str">
        <f>IF(Quotes!$A70="","",IF(Quotes!G70="","",Quotes!G70))</f>
        <v/>
      </c>
      <c r="H70" s="23" t="str">
        <f>IF(Quotes!$A70="","",IF(Quotes!H70="","",Quotes!H70))</f>
        <v/>
      </c>
      <c r="I70" s="22" t="str">
        <f>IF(Quotes!$A70="","",IF(Quotes!I70="","",Quotes!I70))</f>
        <v/>
      </c>
      <c r="J70" s="19" t="str">
        <f>IF(Quotes!$A70="","",IF(Quotes!AD70="","",Quotes!AD70))</f>
        <v/>
      </c>
      <c r="K70" s="19" t="str">
        <f>IF(Quotes!$A70="","",IF(Quotes!AF70="","",Quotes!AF70))</f>
        <v/>
      </c>
      <c r="L70" s="18" t="str">
        <f>IF(Quotes!$A70="","",IF(Quotes!V70="","",Quotes!V70))</f>
        <v/>
      </c>
      <c r="M70" s="18" t="str">
        <f>IF(A70="","",HYPERLINK("#'Quotes'!A70","EDIT QUOTE"))</f>
        <v/>
      </c>
      <c r="N70" s="18" t="str">
        <f>IF(Quotes!$A70="","",IF(Quotes!C70="","",Quotes!C70))</f>
        <v/>
      </c>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row>
    <row r="71" spans="1:44" ht="40" customHeight="1" x14ac:dyDescent="0.35">
      <c r="A71" s="14" t="str">
        <f>IF(Quotes!$A71="","",IF(Quotes!A71="","",Quotes!A71))</f>
        <v/>
      </c>
      <c r="B71" s="14" t="str">
        <f>IF(Quotes!$A71="","",IF(Quotes!U71="","",Quotes!U71))</f>
        <v/>
      </c>
      <c r="C71" s="14" t="str">
        <f>IF(Quotes!$A71="","",IF(Quotes!Z71="","",Quotes!Z71))</f>
        <v/>
      </c>
      <c r="D71" s="22" t="str">
        <f>IF(Quotes!$A71="","",IF(Quotes!E71="","",Quotes!E71))</f>
        <v/>
      </c>
      <c r="E71" s="14" t="str">
        <f>IFERROR(IF(INDEX(Jobs!$P$9:$P$258,MATCH(Quotes!B71,Jobs!$A$9:$A$258,0))="","",HYPERLINK("#'"&amp;INDEX(Jobs!$P$9:$P$258,MATCH(Quotes!B71,Jobs!$A$9:$A$258,0))&amp;"'!A1","OPEN JOB")),"")</f>
        <v/>
      </c>
      <c r="F71" s="22" t="str">
        <f>IF(Quotes!$A71="","",IF(Quotes!F71="","",Quotes!F71))</f>
        <v/>
      </c>
      <c r="G71" s="23" t="str">
        <f>IF(Quotes!$A71="","",IF(Quotes!G71="","",Quotes!G71))</f>
        <v/>
      </c>
      <c r="H71" s="23" t="str">
        <f>IF(Quotes!$A71="","",IF(Quotes!H71="","",Quotes!H71))</f>
        <v/>
      </c>
      <c r="I71" s="22" t="str">
        <f>IF(Quotes!$A71="","",IF(Quotes!I71="","",Quotes!I71))</f>
        <v/>
      </c>
      <c r="J71" s="16" t="str">
        <f>IF(Quotes!$A71="","",IF(Quotes!AD71="","",Quotes!AD71))</f>
        <v/>
      </c>
      <c r="K71" s="16" t="str">
        <f>IF(Quotes!$A71="","",IF(Quotes!AF71="","",Quotes!AF71))</f>
        <v/>
      </c>
      <c r="L71" s="14" t="str">
        <f>IF(Quotes!$A71="","",IF(Quotes!V71="","",Quotes!V71))</f>
        <v/>
      </c>
      <c r="M71" s="14" t="str">
        <f>IF(A71="","",HYPERLINK("#'Quotes'!A71","EDIT QUOTE"))</f>
        <v/>
      </c>
      <c r="N71" s="14" t="str">
        <f>IF(Quotes!$A71="","",IF(Quotes!C71="","",Quotes!C71))</f>
        <v/>
      </c>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row>
    <row r="72" spans="1:44" ht="40" customHeight="1" x14ac:dyDescent="0.35">
      <c r="A72" s="18" t="str">
        <f>IF(Quotes!$A72="","",IF(Quotes!A72="","",Quotes!A72))</f>
        <v/>
      </c>
      <c r="B72" s="18" t="str">
        <f>IF(Quotes!$A72="","",IF(Quotes!U72="","",Quotes!U72))</f>
        <v/>
      </c>
      <c r="C72" s="18" t="str">
        <f>IF(Quotes!$A72="","",IF(Quotes!Z72="","",Quotes!Z72))</f>
        <v/>
      </c>
      <c r="D72" s="22" t="str">
        <f>IF(Quotes!$A72="","",IF(Quotes!E72="","",Quotes!E72))</f>
        <v/>
      </c>
      <c r="E72" s="18" t="str">
        <f>IFERROR(IF(INDEX(Jobs!$P$9:$P$258,MATCH(Quotes!B72,Jobs!$A$9:$A$258,0))="","",HYPERLINK("#'"&amp;INDEX(Jobs!$P$9:$P$258,MATCH(Quotes!B72,Jobs!$A$9:$A$258,0))&amp;"'!A1","OPEN JOB")),"")</f>
        <v/>
      </c>
      <c r="F72" s="22" t="str">
        <f>IF(Quotes!$A72="","",IF(Quotes!F72="","",Quotes!F72))</f>
        <v/>
      </c>
      <c r="G72" s="23" t="str">
        <f>IF(Quotes!$A72="","",IF(Quotes!G72="","",Quotes!G72))</f>
        <v/>
      </c>
      <c r="H72" s="23" t="str">
        <f>IF(Quotes!$A72="","",IF(Quotes!H72="","",Quotes!H72))</f>
        <v/>
      </c>
      <c r="I72" s="22" t="str">
        <f>IF(Quotes!$A72="","",IF(Quotes!I72="","",Quotes!I72))</f>
        <v/>
      </c>
      <c r="J72" s="19" t="str">
        <f>IF(Quotes!$A72="","",IF(Quotes!AD72="","",Quotes!AD72))</f>
        <v/>
      </c>
      <c r="K72" s="19" t="str">
        <f>IF(Quotes!$A72="","",IF(Quotes!AF72="","",Quotes!AF72))</f>
        <v/>
      </c>
      <c r="L72" s="18" t="str">
        <f>IF(Quotes!$A72="","",IF(Quotes!V72="","",Quotes!V72))</f>
        <v/>
      </c>
      <c r="M72" s="18" t="str">
        <f>IF(A72="","",HYPERLINK("#'Quotes'!A72","EDIT QUOTE"))</f>
        <v/>
      </c>
      <c r="N72" s="18" t="str">
        <f>IF(Quotes!$A72="","",IF(Quotes!C72="","",Quotes!C72))</f>
        <v/>
      </c>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row>
    <row r="73" spans="1:44" ht="40" customHeight="1" x14ac:dyDescent="0.35">
      <c r="A73" s="14" t="str">
        <f>IF(Quotes!$A73="","",IF(Quotes!A73="","",Quotes!A73))</f>
        <v/>
      </c>
      <c r="B73" s="14" t="str">
        <f>IF(Quotes!$A73="","",IF(Quotes!U73="","",Quotes!U73))</f>
        <v/>
      </c>
      <c r="C73" s="14" t="str">
        <f>IF(Quotes!$A73="","",IF(Quotes!Z73="","",Quotes!Z73))</f>
        <v/>
      </c>
      <c r="D73" s="22" t="str">
        <f>IF(Quotes!$A73="","",IF(Quotes!E73="","",Quotes!E73))</f>
        <v/>
      </c>
      <c r="E73" s="14" t="str">
        <f>IFERROR(IF(INDEX(Jobs!$P$9:$P$258,MATCH(Quotes!B73,Jobs!$A$9:$A$258,0))="","",HYPERLINK("#'"&amp;INDEX(Jobs!$P$9:$P$258,MATCH(Quotes!B73,Jobs!$A$9:$A$258,0))&amp;"'!A1","OPEN JOB")),"")</f>
        <v/>
      </c>
      <c r="F73" s="22" t="str">
        <f>IF(Quotes!$A73="","",IF(Quotes!F73="","",Quotes!F73))</f>
        <v/>
      </c>
      <c r="G73" s="23" t="str">
        <f>IF(Quotes!$A73="","",IF(Quotes!G73="","",Quotes!G73))</f>
        <v/>
      </c>
      <c r="H73" s="23" t="str">
        <f>IF(Quotes!$A73="","",IF(Quotes!H73="","",Quotes!H73))</f>
        <v/>
      </c>
      <c r="I73" s="22" t="str">
        <f>IF(Quotes!$A73="","",IF(Quotes!I73="","",Quotes!I73))</f>
        <v/>
      </c>
      <c r="J73" s="16" t="str">
        <f>IF(Quotes!$A73="","",IF(Quotes!AD73="","",Quotes!AD73))</f>
        <v/>
      </c>
      <c r="K73" s="16" t="str">
        <f>IF(Quotes!$A73="","",IF(Quotes!AF73="","",Quotes!AF73))</f>
        <v/>
      </c>
      <c r="L73" s="14" t="str">
        <f>IF(Quotes!$A73="","",IF(Quotes!V73="","",Quotes!V73))</f>
        <v/>
      </c>
      <c r="M73" s="14" t="str">
        <f>IF(A73="","",HYPERLINK("#'Quotes'!A73","EDIT QUOTE"))</f>
        <v/>
      </c>
      <c r="N73" s="14" t="str">
        <f>IF(Quotes!$A73="","",IF(Quotes!C73="","",Quotes!C73))</f>
        <v/>
      </c>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row>
    <row r="74" spans="1:44" ht="40" customHeight="1" x14ac:dyDescent="0.35">
      <c r="A74" s="18" t="str">
        <f>IF(Quotes!$A74="","",IF(Quotes!A74="","",Quotes!A74))</f>
        <v/>
      </c>
      <c r="B74" s="18" t="str">
        <f>IF(Quotes!$A74="","",IF(Quotes!U74="","",Quotes!U74))</f>
        <v/>
      </c>
      <c r="C74" s="18" t="str">
        <f>IF(Quotes!$A74="","",IF(Quotes!Z74="","",Quotes!Z74))</f>
        <v/>
      </c>
      <c r="D74" s="22" t="str">
        <f>IF(Quotes!$A74="","",IF(Quotes!E74="","",Quotes!E74))</f>
        <v/>
      </c>
      <c r="E74" s="18" t="str">
        <f>IFERROR(IF(INDEX(Jobs!$P$9:$P$258,MATCH(Quotes!B74,Jobs!$A$9:$A$258,0))="","",HYPERLINK("#'"&amp;INDEX(Jobs!$P$9:$P$258,MATCH(Quotes!B74,Jobs!$A$9:$A$258,0))&amp;"'!A1","OPEN JOB")),"")</f>
        <v/>
      </c>
      <c r="F74" s="22" t="str">
        <f>IF(Quotes!$A74="","",IF(Quotes!F74="","",Quotes!F74))</f>
        <v/>
      </c>
      <c r="G74" s="23" t="str">
        <f>IF(Quotes!$A74="","",IF(Quotes!G74="","",Quotes!G74))</f>
        <v/>
      </c>
      <c r="H74" s="23" t="str">
        <f>IF(Quotes!$A74="","",IF(Quotes!H74="","",Quotes!H74))</f>
        <v/>
      </c>
      <c r="I74" s="22" t="str">
        <f>IF(Quotes!$A74="","",IF(Quotes!I74="","",Quotes!I74))</f>
        <v/>
      </c>
      <c r="J74" s="19" t="str">
        <f>IF(Quotes!$A74="","",IF(Quotes!AD74="","",Quotes!AD74))</f>
        <v/>
      </c>
      <c r="K74" s="19" t="str">
        <f>IF(Quotes!$A74="","",IF(Quotes!AF74="","",Quotes!AF74))</f>
        <v/>
      </c>
      <c r="L74" s="18" t="str">
        <f>IF(Quotes!$A74="","",IF(Quotes!V74="","",Quotes!V74))</f>
        <v/>
      </c>
      <c r="M74" s="18" t="str">
        <f>IF(A74="","",HYPERLINK("#'Quotes'!A74","EDIT QUOTE"))</f>
        <v/>
      </c>
      <c r="N74" s="18" t="str">
        <f>IF(Quotes!$A74="","",IF(Quotes!C74="","",Quotes!C74))</f>
        <v/>
      </c>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row>
    <row r="75" spans="1:44" ht="40" customHeight="1" x14ac:dyDescent="0.35">
      <c r="A75" s="14" t="str">
        <f>IF(Quotes!$A75="","",IF(Quotes!A75="","",Quotes!A75))</f>
        <v/>
      </c>
      <c r="B75" s="14" t="str">
        <f>IF(Quotes!$A75="","",IF(Quotes!U75="","",Quotes!U75))</f>
        <v/>
      </c>
      <c r="C75" s="14" t="str">
        <f>IF(Quotes!$A75="","",IF(Quotes!Z75="","",Quotes!Z75))</f>
        <v/>
      </c>
      <c r="D75" s="22" t="str">
        <f>IF(Quotes!$A75="","",IF(Quotes!E75="","",Quotes!E75))</f>
        <v/>
      </c>
      <c r="E75" s="14" t="str">
        <f>IFERROR(IF(INDEX(Jobs!$P$9:$P$258,MATCH(Quotes!B75,Jobs!$A$9:$A$258,0))="","",HYPERLINK("#'"&amp;INDEX(Jobs!$P$9:$P$258,MATCH(Quotes!B75,Jobs!$A$9:$A$258,0))&amp;"'!A1","OPEN JOB")),"")</f>
        <v/>
      </c>
      <c r="F75" s="22" t="str">
        <f>IF(Quotes!$A75="","",IF(Quotes!F75="","",Quotes!F75))</f>
        <v/>
      </c>
      <c r="G75" s="23" t="str">
        <f>IF(Quotes!$A75="","",IF(Quotes!G75="","",Quotes!G75))</f>
        <v/>
      </c>
      <c r="H75" s="23" t="str">
        <f>IF(Quotes!$A75="","",IF(Quotes!H75="","",Quotes!H75))</f>
        <v/>
      </c>
      <c r="I75" s="22" t="str">
        <f>IF(Quotes!$A75="","",IF(Quotes!I75="","",Quotes!I75))</f>
        <v/>
      </c>
      <c r="J75" s="16" t="str">
        <f>IF(Quotes!$A75="","",IF(Quotes!AD75="","",Quotes!AD75))</f>
        <v/>
      </c>
      <c r="K75" s="16" t="str">
        <f>IF(Quotes!$A75="","",IF(Quotes!AF75="","",Quotes!AF75))</f>
        <v/>
      </c>
      <c r="L75" s="14" t="str">
        <f>IF(Quotes!$A75="","",IF(Quotes!V75="","",Quotes!V75))</f>
        <v/>
      </c>
      <c r="M75" s="14" t="str">
        <f>IF(A75="","",HYPERLINK("#'Quotes'!A75","EDIT QUOTE"))</f>
        <v/>
      </c>
      <c r="N75" s="14" t="str">
        <f>IF(Quotes!$A75="","",IF(Quotes!C75="","",Quotes!C75))</f>
        <v/>
      </c>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row>
    <row r="76" spans="1:44" ht="40" customHeight="1" x14ac:dyDescent="0.35">
      <c r="A76" s="18" t="str">
        <f>IF(Quotes!$A76="","",IF(Quotes!A76="","",Quotes!A76))</f>
        <v/>
      </c>
      <c r="B76" s="18" t="str">
        <f>IF(Quotes!$A76="","",IF(Quotes!U76="","",Quotes!U76))</f>
        <v/>
      </c>
      <c r="C76" s="18" t="str">
        <f>IF(Quotes!$A76="","",IF(Quotes!Z76="","",Quotes!Z76))</f>
        <v/>
      </c>
      <c r="D76" s="22" t="str">
        <f>IF(Quotes!$A76="","",IF(Quotes!E76="","",Quotes!E76))</f>
        <v/>
      </c>
      <c r="E76" s="18" t="str">
        <f>IFERROR(IF(INDEX(Jobs!$P$9:$P$258,MATCH(Quotes!B76,Jobs!$A$9:$A$258,0))="","",HYPERLINK("#'"&amp;INDEX(Jobs!$P$9:$P$258,MATCH(Quotes!B76,Jobs!$A$9:$A$258,0))&amp;"'!A1","OPEN JOB")),"")</f>
        <v/>
      </c>
      <c r="F76" s="22" t="str">
        <f>IF(Quotes!$A76="","",IF(Quotes!F76="","",Quotes!F76))</f>
        <v/>
      </c>
      <c r="G76" s="23" t="str">
        <f>IF(Quotes!$A76="","",IF(Quotes!G76="","",Quotes!G76))</f>
        <v/>
      </c>
      <c r="H76" s="23" t="str">
        <f>IF(Quotes!$A76="","",IF(Quotes!H76="","",Quotes!H76))</f>
        <v/>
      </c>
      <c r="I76" s="22" t="str">
        <f>IF(Quotes!$A76="","",IF(Quotes!I76="","",Quotes!I76))</f>
        <v/>
      </c>
      <c r="J76" s="19" t="str">
        <f>IF(Quotes!$A76="","",IF(Quotes!AD76="","",Quotes!AD76))</f>
        <v/>
      </c>
      <c r="K76" s="19" t="str">
        <f>IF(Quotes!$A76="","",IF(Quotes!AF76="","",Quotes!AF76))</f>
        <v/>
      </c>
      <c r="L76" s="18" t="str">
        <f>IF(Quotes!$A76="","",IF(Quotes!V76="","",Quotes!V76))</f>
        <v/>
      </c>
      <c r="M76" s="18" t="str">
        <f>IF(A76="","",HYPERLINK("#'Quotes'!A76","EDIT QUOTE"))</f>
        <v/>
      </c>
      <c r="N76" s="18" t="str">
        <f>IF(Quotes!$A76="","",IF(Quotes!C76="","",Quotes!C76))</f>
        <v/>
      </c>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row>
    <row r="77" spans="1:44" ht="40" customHeight="1" x14ac:dyDescent="0.35">
      <c r="A77" s="14" t="str">
        <f>IF(Quotes!$A77="","",IF(Quotes!A77="","",Quotes!A77))</f>
        <v/>
      </c>
      <c r="B77" s="14" t="str">
        <f>IF(Quotes!$A77="","",IF(Quotes!U77="","",Quotes!U77))</f>
        <v/>
      </c>
      <c r="C77" s="14" t="str">
        <f>IF(Quotes!$A77="","",IF(Quotes!Z77="","",Quotes!Z77))</f>
        <v/>
      </c>
      <c r="D77" s="22" t="str">
        <f>IF(Quotes!$A77="","",IF(Quotes!E77="","",Quotes!E77))</f>
        <v/>
      </c>
      <c r="E77" s="14" t="str">
        <f>IFERROR(IF(INDEX(Jobs!$P$9:$P$258,MATCH(Quotes!B77,Jobs!$A$9:$A$258,0))="","",HYPERLINK("#'"&amp;INDEX(Jobs!$P$9:$P$258,MATCH(Quotes!B77,Jobs!$A$9:$A$258,0))&amp;"'!A1","OPEN JOB")),"")</f>
        <v/>
      </c>
      <c r="F77" s="22" t="str">
        <f>IF(Quotes!$A77="","",IF(Quotes!F77="","",Quotes!F77))</f>
        <v/>
      </c>
      <c r="G77" s="23" t="str">
        <f>IF(Quotes!$A77="","",IF(Quotes!G77="","",Quotes!G77))</f>
        <v/>
      </c>
      <c r="H77" s="23" t="str">
        <f>IF(Quotes!$A77="","",IF(Quotes!H77="","",Quotes!H77))</f>
        <v/>
      </c>
      <c r="I77" s="22" t="str">
        <f>IF(Quotes!$A77="","",IF(Quotes!I77="","",Quotes!I77))</f>
        <v/>
      </c>
      <c r="J77" s="16" t="str">
        <f>IF(Quotes!$A77="","",IF(Quotes!AD77="","",Quotes!AD77))</f>
        <v/>
      </c>
      <c r="K77" s="16" t="str">
        <f>IF(Quotes!$A77="","",IF(Quotes!AF77="","",Quotes!AF77))</f>
        <v/>
      </c>
      <c r="L77" s="14" t="str">
        <f>IF(Quotes!$A77="","",IF(Quotes!V77="","",Quotes!V77))</f>
        <v/>
      </c>
      <c r="M77" s="14" t="str">
        <f>IF(A77="","",HYPERLINK("#'Quotes'!A77","EDIT QUOTE"))</f>
        <v/>
      </c>
      <c r="N77" s="14" t="str">
        <f>IF(Quotes!$A77="","",IF(Quotes!C77="","",Quotes!C77))</f>
        <v/>
      </c>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row>
    <row r="78" spans="1:44" ht="40" customHeight="1" x14ac:dyDescent="0.35">
      <c r="A78" s="18" t="str">
        <f>IF(Quotes!$A78="","",IF(Quotes!A78="","",Quotes!A78))</f>
        <v/>
      </c>
      <c r="B78" s="18" t="str">
        <f>IF(Quotes!$A78="","",IF(Quotes!U78="","",Quotes!U78))</f>
        <v/>
      </c>
      <c r="C78" s="18" t="str">
        <f>IF(Quotes!$A78="","",IF(Quotes!Z78="","",Quotes!Z78))</f>
        <v/>
      </c>
      <c r="D78" s="22" t="str">
        <f>IF(Quotes!$A78="","",IF(Quotes!E78="","",Quotes!E78))</f>
        <v/>
      </c>
      <c r="E78" s="18" t="str">
        <f>IFERROR(IF(INDEX(Jobs!$P$9:$P$258,MATCH(Quotes!B78,Jobs!$A$9:$A$258,0))="","",HYPERLINK("#'"&amp;INDEX(Jobs!$P$9:$P$258,MATCH(Quotes!B78,Jobs!$A$9:$A$258,0))&amp;"'!A1","OPEN JOB")),"")</f>
        <v/>
      </c>
      <c r="F78" s="22" t="str">
        <f>IF(Quotes!$A78="","",IF(Quotes!F78="","",Quotes!F78))</f>
        <v/>
      </c>
      <c r="G78" s="23" t="str">
        <f>IF(Quotes!$A78="","",IF(Quotes!G78="","",Quotes!G78))</f>
        <v/>
      </c>
      <c r="H78" s="23" t="str">
        <f>IF(Quotes!$A78="","",IF(Quotes!H78="","",Quotes!H78))</f>
        <v/>
      </c>
      <c r="I78" s="22" t="str">
        <f>IF(Quotes!$A78="","",IF(Quotes!I78="","",Quotes!I78))</f>
        <v/>
      </c>
      <c r="J78" s="19" t="str">
        <f>IF(Quotes!$A78="","",IF(Quotes!AD78="","",Quotes!AD78))</f>
        <v/>
      </c>
      <c r="K78" s="19" t="str">
        <f>IF(Quotes!$A78="","",IF(Quotes!AF78="","",Quotes!AF78))</f>
        <v/>
      </c>
      <c r="L78" s="18" t="str">
        <f>IF(Quotes!$A78="","",IF(Quotes!V78="","",Quotes!V78))</f>
        <v/>
      </c>
      <c r="M78" s="18" t="str">
        <f>IF(A78="","",HYPERLINK("#'Quotes'!A78","EDIT QUOTE"))</f>
        <v/>
      </c>
      <c r="N78" s="18" t="str">
        <f>IF(Quotes!$A78="","",IF(Quotes!C78="","",Quotes!C78))</f>
        <v/>
      </c>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row>
    <row r="79" spans="1:44" ht="40" customHeight="1" x14ac:dyDescent="0.35">
      <c r="A79" s="14" t="str">
        <f>IF(Quotes!$A79="","",IF(Quotes!A79="","",Quotes!A79))</f>
        <v/>
      </c>
      <c r="B79" s="14" t="str">
        <f>IF(Quotes!$A79="","",IF(Quotes!U79="","",Quotes!U79))</f>
        <v/>
      </c>
      <c r="C79" s="14" t="str">
        <f>IF(Quotes!$A79="","",IF(Quotes!Z79="","",Quotes!Z79))</f>
        <v/>
      </c>
      <c r="D79" s="22" t="str">
        <f>IF(Quotes!$A79="","",IF(Quotes!E79="","",Quotes!E79))</f>
        <v/>
      </c>
      <c r="E79" s="14" t="str">
        <f>IFERROR(IF(INDEX(Jobs!$P$9:$P$258,MATCH(Quotes!B79,Jobs!$A$9:$A$258,0))="","",HYPERLINK("#'"&amp;INDEX(Jobs!$P$9:$P$258,MATCH(Quotes!B79,Jobs!$A$9:$A$258,0))&amp;"'!A1","OPEN JOB")),"")</f>
        <v/>
      </c>
      <c r="F79" s="22" t="str">
        <f>IF(Quotes!$A79="","",IF(Quotes!F79="","",Quotes!F79))</f>
        <v/>
      </c>
      <c r="G79" s="23" t="str">
        <f>IF(Quotes!$A79="","",IF(Quotes!G79="","",Quotes!G79))</f>
        <v/>
      </c>
      <c r="H79" s="23" t="str">
        <f>IF(Quotes!$A79="","",IF(Quotes!H79="","",Quotes!H79))</f>
        <v/>
      </c>
      <c r="I79" s="22" t="str">
        <f>IF(Quotes!$A79="","",IF(Quotes!I79="","",Quotes!I79))</f>
        <v/>
      </c>
      <c r="J79" s="16" t="str">
        <f>IF(Quotes!$A79="","",IF(Quotes!AD79="","",Quotes!AD79))</f>
        <v/>
      </c>
      <c r="K79" s="16" t="str">
        <f>IF(Quotes!$A79="","",IF(Quotes!AF79="","",Quotes!AF79))</f>
        <v/>
      </c>
      <c r="L79" s="14" t="str">
        <f>IF(Quotes!$A79="","",IF(Quotes!V79="","",Quotes!V79))</f>
        <v/>
      </c>
      <c r="M79" s="14" t="str">
        <f>IF(A79="","",HYPERLINK("#'Quotes'!A79","EDIT QUOTE"))</f>
        <v/>
      </c>
      <c r="N79" s="14" t="str">
        <f>IF(Quotes!$A79="","",IF(Quotes!C79="","",Quotes!C79))</f>
        <v/>
      </c>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row>
    <row r="80" spans="1:44" ht="40" customHeight="1" x14ac:dyDescent="0.35">
      <c r="A80" s="18" t="str">
        <f>IF(Quotes!$A80="","",IF(Quotes!A80="","",Quotes!A80))</f>
        <v/>
      </c>
      <c r="B80" s="18" t="str">
        <f>IF(Quotes!$A80="","",IF(Quotes!U80="","",Quotes!U80))</f>
        <v/>
      </c>
      <c r="C80" s="18" t="str">
        <f>IF(Quotes!$A80="","",IF(Quotes!Z80="","",Quotes!Z80))</f>
        <v/>
      </c>
      <c r="D80" s="22" t="str">
        <f>IF(Quotes!$A80="","",IF(Quotes!E80="","",Quotes!E80))</f>
        <v/>
      </c>
      <c r="E80" s="18" t="str">
        <f>IFERROR(IF(INDEX(Jobs!$P$9:$P$258,MATCH(Quotes!B80,Jobs!$A$9:$A$258,0))="","",HYPERLINK("#'"&amp;INDEX(Jobs!$P$9:$P$258,MATCH(Quotes!B80,Jobs!$A$9:$A$258,0))&amp;"'!A1","OPEN JOB")),"")</f>
        <v/>
      </c>
      <c r="F80" s="22" t="str">
        <f>IF(Quotes!$A80="","",IF(Quotes!F80="","",Quotes!F80))</f>
        <v/>
      </c>
      <c r="G80" s="23" t="str">
        <f>IF(Quotes!$A80="","",IF(Quotes!G80="","",Quotes!G80))</f>
        <v/>
      </c>
      <c r="H80" s="23" t="str">
        <f>IF(Quotes!$A80="","",IF(Quotes!H80="","",Quotes!H80))</f>
        <v/>
      </c>
      <c r="I80" s="22" t="str">
        <f>IF(Quotes!$A80="","",IF(Quotes!I80="","",Quotes!I80))</f>
        <v/>
      </c>
      <c r="J80" s="19" t="str">
        <f>IF(Quotes!$A80="","",IF(Quotes!AD80="","",Quotes!AD80))</f>
        <v/>
      </c>
      <c r="K80" s="19" t="str">
        <f>IF(Quotes!$A80="","",IF(Quotes!AF80="","",Quotes!AF80))</f>
        <v/>
      </c>
      <c r="L80" s="18" t="str">
        <f>IF(Quotes!$A80="","",IF(Quotes!V80="","",Quotes!V80))</f>
        <v/>
      </c>
      <c r="M80" s="18" t="str">
        <f>IF(A80="","",HYPERLINK("#'Quotes'!A80","EDIT QUOTE"))</f>
        <v/>
      </c>
      <c r="N80" s="18" t="str">
        <f>IF(Quotes!$A80="","",IF(Quotes!C80="","",Quotes!C80))</f>
        <v/>
      </c>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row>
    <row r="81" spans="1:44" ht="40" customHeight="1" x14ac:dyDescent="0.35">
      <c r="A81" s="14" t="str">
        <f>IF(Quotes!$A81="","",IF(Quotes!A81="","",Quotes!A81))</f>
        <v/>
      </c>
      <c r="B81" s="14" t="str">
        <f>IF(Quotes!$A81="","",IF(Quotes!U81="","",Quotes!U81))</f>
        <v/>
      </c>
      <c r="C81" s="14" t="str">
        <f>IF(Quotes!$A81="","",IF(Quotes!Z81="","",Quotes!Z81))</f>
        <v/>
      </c>
      <c r="D81" s="22" t="str">
        <f>IF(Quotes!$A81="","",IF(Quotes!E81="","",Quotes!E81))</f>
        <v/>
      </c>
      <c r="E81" s="14" t="str">
        <f>IFERROR(IF(INDEX(Jobs!$P$9:$P$258,MATCH(Quotes!B81,Jobs!$A$9:$A$258,0))="","",HYPERLINK("#'"&amp;INDEX(Jobs!$P$9:$P$258,MATCH(Quotes!B81,Jobs!$A$9:$A$258,0))&amp;"'!A1","OPEN JOB")),"")</f>
        <v/>
      </c>
      <c r="F81" s="22" t="str">
        <f>IF(Quotes!$A81="","",IF(Quotes!F81="","",Quotes!F81))</f>
        <v/>
      </c>
      <c r="G81" s="23" t="str">
        <f>IF(Quotes!$A81="","",IF(Quotes!G81="","",Quotes!G81))</f>
        <v/>
      </c>
      <c r="H81" s="23" t="str">
        <f>IF(Quotes!$A81="","",IF(Quotes!H81="","",Quotes!H81))</f>
        <v/>
      </c>
      <c r="I81" s="22" t="str">
        <f>IF(Quotes!$A81="","",IF(Quotes!I81="","",Quotes!I81))</f>
        <v/>
      </c>
      <c r="J81" s="16" t="str">
        <f>IF(Quotes!$A81="","",IF(Quotes!AD81="","",Quotes!AD81))</f>
        <v/>
      </c>
      <c r="K81" s="16" t="str">
        <f>IF(Quotes!$A81="","",IF(Quotes!AF81="","",Quotes!AF81))</f>
        <v/>
      </c>
      <c r="L81" s="14" t="str">
        <f>IF(Quotes!$A81="","",IF(Quotes!V81="","",Quotes!V81))</f>
        <v/>
      </c>
      <c r="M81" s="14" t="str">
        <f>IF(A81="","",HYPERLINK("#'Quotes'!A81","EDIT QUOTE"))</f>
        <v/>
      </c>
      <c r="N81" s="14" t="str">
        <f>IF(Quotes!$A81="","",IF(Quotes!C81="","",Quotes!C81))</f>
        <v/>
      </c>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row>
    <row r="82" spans="1:44" ht="40" customHeight="1" x14ac:dyDescent="0.35">
      <c r="A82" s="18" t="str">
        <f>IF(Quotes!$A82="","",IF(Quotes!A82="","",Quotes!A82))</f>
        <v/>
      </c>
      <c r="B82" s="18" t="str">
        <f>IF(Quotes!$A82="","",IF(Quotes!U82="","",Quotes!U82))</f>
        <v/>
      </c>
      <c r="C82" s="18" t="str">
        <f>IF(Quotes!$A82="","",IF(Quotes!Z82="","",Quotes!Z82))</f>
        <v/>
      </c>
      <c r="D82" s="22" t="str">
        <f>IF(Quotes!$A82="","",IF(Quotes!E82="","",Quotes!E82))</f>
        <v/>
      </c>
      <c r="E82" s="18" t="str">
        <f>IFERROR(IF(INDEX(Jobs!$P$9:$P$258,MATCH(Quotes!B82,Jobs!$A$9:$A$258,0))="","",HYPERLINK("#'"&amp;INDEX(Jobs!$P$9:$P$258,MATCH(Quotes!B82,Jobs!$A$9:$A$258,0))&amp;"'!A1","OPEN JOB")),"")</f>
        <v/>
      </c>
      <c r="F82" s="22" t="str">
        <f>IF(Quotes!$A82="","",IF(Quotes!F82="","",Quotes!F82))</f>
        <v/>
      </c>
      <c r="G82" s="23" t="str">
        <f>IF(Quotes!$A82="","",IF(Quotes!G82="","",Quotes!G82))</f>
        <v/>
      </c>
      <c r="H82" s="23" t="str">
        <f>IF(Quotes!$A82="","",IF(Quotes!H82="","",Quotes!H82))</f>
        <v/>
      </c>
      <c r="I82" s="22" t="str">
        <f>IF(Quotes!$A82="","",IF(Quotes!I82="","",Quotes!I82))</f>
        <v/>
      </c>
      <c r="J82" s="19" t="str">
        <f>IF(Quotes!$A82="","",IF(Quotes!AD82="","",Quotes!AD82))</f>
        <v/>
      </c>
      <c r="K82" s="19" t="str">
        <f>IF(Quotes!$A82="","",IF(Quotes!AF82="","",Quotes!AF82))</f>
        <v/>
      </c>
      <c r="L82" s="18" t="str">
        <f>IF(Quotes!$A82="","",IF(Quotes!V82="","",Quotes!V82))</f>
        <v/>
      </c>
      <c r="M82" s="18" t="str">
        <f>IF(A82="","",HYPERLINK("#'Quotes'!A82","EDIT QUOTE"))</f>
        <v/>
      </c>
      <c r="N82" s="18" t="str">
        <f>IF(Quotes!$A82="","",IF(Quotes!C82="","",Quotes!C82))</f>
        <v/>
      </c>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row>
    <row r="83" spans="1:44" ht="40" customHeight="1" x14ac:dyDescent="0.35">
      <c r="A83" s="14" t="str">
        <f>IF(Quotes!$A83="","",IF(Quotes!A83="","",Quotes!A83))</f>
        <v/>
      </c>
      <c r="B83" s="14" t="str">
        <f>IF(Quotes!$A83="","",IF(Quotes!U83="","",Quotes!U83))</f>
        <v/>
      </c>
      <c r="C83" s="14" t="str">
        <f>IF(Quotes!$A83="","",IF(Quotes!Z83="","",Quotes!Z83))</f>
        <v/>
      </c>
      <c r="D83" s="22" t="str">
        <f>IF(Quotes!$A83="","",IF(Quotes!E83="","",Quotes!E83))</f>
        <v/>
      </c>
      <c r="E83" s="14" t="str">
        <f>IFERROR(IF(INDEX(Jobs!$P$9:$P$258,MATCH(Quotes!B83,Jobs!$A$9:$A$258,0))="","",HYPERLINK("#'"&amp;INDEX(Jobs!$P$9:$P$258,MATCH(Quotes!B83,Jobs!$A$9:$A$258,0))&amp;"'!A1","OPEN JOB")),"")</f>
        <v/>
      </c>
      <c r="F83" s="22" t="str">
        <f>IF(Quotes!$A83="","",IF(Quotes!F83="","",Quotes!F83))</f>
        <v/>
      </c>
      <c r="G83" s="23" t="str">
        <f>IF(Quotes!$A83="","",IF(Quotes!G83="","",Quotes!G83))</f>
        <v/>
      </c>
      <c r="H83" s="23" t="str">
        <f>IF(Quotes!$A83="","",IF(Quotes!H83="","",Quotes!H83))</f>
        <v/>
      </c>
      <c r="I83" s="22" t="str">
        <f>IF(Quotes!$A83="","",IF(Quotes!I83="","",Quotes!I83))</f>
        <v/>
      </c>
      <c r="J83" s="16" t="str">
        <f>IF(Quotes!$A83="","",IF(Quotes!AD83="","",Quotes!AD83))</f>
        <v/>
      </c>
      <c r="K83" s="16" t="str">
        <f>IF(Quotes!$A83="","",IF(Quotes!AF83="","",Quotes!AF83))</f>
        <v/>
      </c>
      <c r="L83" s="14" t="str">
        <f>IF(Quotes!$A83="","",IF(Quotes!V83="","",Quotes!V83))</f>
        <v/>
      </c>
      <c r="M83" s="14" t="str">
        <f>IF(A83="","",HYPERLINK("#'Quotes'!A83","EDIT QUOTE"))</f>
        <v/>
      </c>
      <c r="N83" s="14" t="str">
        <f>IF(Quotes!$A83="","",IF(Quotes!C83="","",Quotes!C83))</f>
        <v/>
      </c>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row>
    <row r="84" spans="1:44" ht="40" customHeight="1" x14ac:dyDescent="0.35">
      <c r="A84" s="18" t="str">
        <f>IF(Quotes!$A84="","",IF(Quotes!A84="","",Quotes!A84))</f>
        <v/>
      </c>
      <c r="B84" s="18" t="str">
        <f>IF(Quotes!$A84="","",IF(Quotes!U84="","",Quotes!U84))</f>
        <v/>
      </c>
      <c r="C84" s="18" t="str">
        <f>IF(Quotes!$A84="","",IF(Quotes!Z84="","",Quotes!Z84))</f>
        <v/>
      </c>
      <c r="D84" s="22" t="str">
        <f>IF(Quotes!$A84="","",IF(Quotes!E84="","",Quotes!E84))</f>
        <v/>
      </c>
      <c r="E84" s="18" t="str">
        <f>IFERROR(IF(INDEX(Jobs!$P$9:$P$258,MATCH(Quotes!B84,Jobs!$A$9:$A$258,0))="","",HYPERLINK("#'"&amp;INDEX(Jobs!$P$9:$P$258,MATCH(Quotes!B84,Jobs!$A$9:$A$258,0))&amp;"'!A1","OPEN JOB")),"")</f>
        <v/>
      </c>
      <c r="F84" s="22" t="str">
        <f>IF(Quotes!$A84="","",IF(Quotes!F84="","",Quotes!F84))</f>
        <v/>
      </c>
      <c r="G84" s="23" t="str">
        <f>IF(Quotes!$A84="","",IF(Quotes!G84="","",Quotes!G84))</f>
        <v/>
      </c>
      <c r="H84" s="23" t="str">
        <f>IF(Quotes!$A84="","",IF(Quotes!H84="","",Quotes!H84))</f>
        <v/>
      </c>
      <c r="I84" s="22" t="str">
        <f>IF(Quotes!$A84="","",IF(Quotes!I84="","",Quotes!I84))</f>
        <v/>
      </c>
      <c r="J84" s="19" t="str">
        <f>IF(Quotes!$A84="","",IF(Quotes!AD84="","",Quotes!AD84))</f>
        <v/>
      </c>
      <c r="K84" s="19" t="str">
        <f>IF(Quotes!$A84="","",IF(Quotes!AF84="","",Quotes!AF84))</f>
        <v/>
      </c>
      <c r="L84" s="18" t="str">
        <f>IF(Quotes!$A84="","",IF(Quotes!V84="","",Quotes!V84))</f>
        <v/>
      </c>
      <c r="M84" s="18" t="str">
        <f>IF(A84="","",HYPERLINK("#'Quotes'!A84","EDIT QUOTE"))</f>
        <v/>
      </c>
      <c r="N84" s="18" t="str">
        <f>IF(Quotes!$A84="","",IF(Quotes!C84="","",Quotes!C84))</f>
        <v/>
      </c>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row>
    <row r="85" spans="1:44" ht="40" customHeight="1" x14ac:dyDescent="0.35">
      <c r="A85" s="14" t="str">
        <f>IF(Quotes!$A85="","",IF(Quotes!A85="","",Quotes!A85))</f>
        <v/>
      </c>
      <c r="B85" s="14" t="str">
        <f>IF(Quotes!$A85="","",IF(Quotes!U85="","",Quotes!U85))</f>
        <v/>
      </c>
      <c r="C85" s="14" t="str">
        <f>IF(Quotes!$A85="","",IF(Quotes!Z85="","",Quotes!Z85))</f>
        <v/>
      </c>
      <c r="D85" s="22" t="str">
        <f>IF(Quotes!$A85="","",IF(Quotes!E85="","",Quotes!E85))</f>
        <v/>
      </c>
      <c r="E85" s="14" t="str">
        <f>IFERROR(IF(INDEX(Jobs!$P$9:$P$258,MATCH(Quotes!B85,Jobs!$A$9:$A$258,0))="","",HYPERLINK("#'"&amp;INDEX(Jobs!$P$9:$P$258,MATCH(Quotes!B85,Jobs!$A$9:$A$258,0))&amp;"'!A1","OPEN JOB")),"")</f>
        <v/>
      </c>
      <c r="F85" s="22" t="str">
        <f>IF(Quotes!$A85="","",IF(Quotes!F85="","",Quotes!F85))</f>
        <v/>
      </c>
      <c r="G85" s="23" t="str">
        <f>IF(Quotes!$A85="","",IF(Quotes!G85="","",Quotes!G85))</f>
        <v/>
      </c>
      <c r="H85" s="23" t="str">
        <f>IF(Quotes!$A85="","",IF(Quotes!H85="","",Quotes!H85))</f>
        <v/>
      </c>
      <c r="I85" s="22" t="str">
        <f>IF(Quotes!$A85="","",IF(Quotes!I85="","",Quotes!I85))</f>
        <v/>
      </c>
      <c r="J85" s="16" t="str">
        <f>IF(Quotes!$A85="","",IF(Quotes!AD85="","",Quotes!AD85))</f>
        <v/>
      </c>
      <c r="K85" s="16" t="str">
        <f>IF(Quotes!$A85="","",IF(Quotes!AF85="","",Quotes!AF85))</f>
        <v/>
      </c>
      <c r="L85" s="14" t="str">
        <f>IF(Quotes!$A85="","",IF(Quotes!V85="","",Quotes!V85))</f>
        <v/>
      </c>
      <c r="M85" s="14" t="str">
        <f>IF(A85="","",HYPERLINK("#'Quotes'!A85","EDIT QUOTE"))</f>
        <v/>
      </c>
      <c r="N85" s="14" t="str">
        <f>IF(Quotes!$A85="","",IF(Quotes!C85="","",Quotes!C85))</f>
        <v/>
      </c>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row>
    <row r="86" spans="1:44" ht="40" customHeight="1" x14ac:dyDescent="0.35">
      <c r="A86" s="18" t="str">
        <f>IF(Quotes!$A86="","",IF(Quotes!A86="","",Quotes!A86))</f>
        <v/>
      </c>
      <c r="B86" s="18" t="str">
        <f>IF(Quotes!$A86="","",IF(Quotes!U86="","",Quotes!U86))</f>
        <v/>
      </c>
      <c r="C86" s="18" t="str">
        <f>IF(Quotes!$A86="","",IF(Quotes!Z86="","",Quotes!Z86))</f>
        <v/>
      </c>
      <c r="D86" s="22" t="str">
        <f>IF(Quotes!$A86="","",IF(Quotes!E86="","",Quotes!E86))</f>
        <v/>
      </c>
      <c r="E86" s="18" t="str">
        <f>IFERROR(IF(INDEX(Jobs!$P$9:$P$258,MATCH(Quotes!B86,Jobs!$A$9:$A$258,0))="","",HYPERLINK("#'"&amp;INDEX(Jobs!$P$9:$P$258,MATCH(Quotes!B86,Jobs!$A$9:$A$258,0))&amp;"'!A1","OPEN JOB")),"")</f>
        <v/>
      </c>
      <c r="F86" s="22" t="str">
        <f>IF(Quotes!$A86="","",IF(Quotes!F86="","",Quotes!F86))</f>
        <v/>
      </c>
      <c r="G86" s="23" t="str">
        <f>IF(Quotes!$A86="","",IF(Quotes!G86="","",Quotes!G86))</f>
        <v/>
      </c>
      <c r="H86" s="23" t="str">
        <f>IF(Quotes!$A86="","",IF(Quotes!H86="","",Quotes!H86))</f>
        <v/>
      </c>
      <c r="I86" s="22" t="str">
        <f>IF(Quotes!$A86="","",IF(Quotes!I86="","",Quotes!I86))</f>
        <v/>
      </c>
      <c r="J86" s="19" t="str">
        <f>IF(Quotes!$A86="","",IF(Quotes!AD86="","",Quotes!AD86))</f>
        <v/>
      </c>
      <c r="K86" s="19" t="str">
        <f>IF(Quotes!$A86="","",IF(Quotes!AF86="","",Quotes!AF86))</f>
        <v/>
      </c>
      <c r="L86" s="18" t="str">
        <f>IF(Quotes!$A86="","",IF(Quotes!V86="","",Quotes!V86))</f>
        <v/>
      </c>
      <c r="M86" s="18" t="str">
        <f>IF(A86="","",HYPERLINK("#'Quotes'!A86","EDIT QUOTE"))</f>
        <v/>
      </c>
      <c r="N86" s="18" t="str">
        <f>IF(Quotes!$A86="","",IF(Quotes!C86="","",Quotes!C86))</f>
        <v/>
      </c>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row>
    <row r="87" spans="1:44" ht="40" customHeight="1" x14ac:dyDescent="0.35">
      <c r="A87" s="14" t="str">
        <f>IF(Quotes!$A87="","",IF(Quotes!A87="","",Quotes!A87))</f>
        <v/>
      </c>
      <c r="B87" s="14" t="str">
        <f>IF(Quotes!$A87="","",IF(Quotes!U87="","",Quotes!U87))</f>
        <v/>
      </c>
      <c r="C87" s="14" t="str">
        <f>IF(Quotes!$A87="","",IF(Quotes!Z87="","",Quotes!Z87))</f>
        <v/>
      </c>
      <c r="D87" s="22" t="str">
        <f>IF(Quotes!$A87="","",IF(Quotes!E87="","",Quotes!E87))</f>
        <v/>
      </c>
      <c r="E87" s="14" t="str">
        <f>IFERROR(IF(INDEX(Jobs!$P$9:$P$258,MATCH(Quotes!B87,Jobs!$A$9:$A$258,0))="","",HYPERLINK("#'"&amp;INDEX(Jobs!$P$9:$P$258,MATCH(Quotes!B87,Jobs!$A$9:$A$258,0))&amp;"'!A1","OPEN JOB")),"")</f>
        <v/>
      </c>
      <c r="F87" s="22" t="str">
        <f>IF(Quotes!$A87="","",IF(Quotes!F87="","",Quotes!F87))</f>
        <v/>
      </c>
      <c r="G87" s="23" t="str">
        <f>IF(Quotes!$A87="","",IF(Quotes!G87="","",Quotes!G87))</f>
        <v/>
      </c>
      <c r="H87" s="23" t="str">
        <f>IF(Quotes!$A87="","",IF(Quotes!H87="","",Quotes!H87))</f>
        <v/>
      </c>
      <c r="I87" s="22" t="str">
        <f>IF(Quotes!$A87="","",IF(Quotes!I87="","",Quotes!I87))</f>
        <v/>
      </c>
      <c r="J87" s="16" t="str">
        <f>IF(Quotes!$A87="","",IF(Quotes!AD87="","",Quotes!AD87))</f>
        <v/>
      </c>
      <c r="K87" s="16" t="str">
        <f>IF(Quotes!$A87="","",IF(Quotes!AF87="","",Quotes!AF87))</f>
        <v/>
      </c>
      <c r="L87" s="14" t="str">
        <f>IF(Quotes!$A87="","",IF(Quotes!V87="","",Quotes!V87))</f>
        <v/>
      </c>
      <c r="M87" s="14" t="str">
        <f>IF(A87="","",HYPERLINK("#'Quotes'!A87","EDIT QUOTE"))</f>
        <v/>
      </c>
      <c r="N87" s="14" t="str">
        <f>IF(Quotes!$A87="","",IF(Quotes!C87="","",Quotes!C87))</f>
        <v/>
      </c>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row>
    <row r="88" spans="1:44" ht="40" customHeight="1" x14ac:dyDescent="0.35">
      <c r="A88" s="18" t="str">
        <f>IF(Quotes!$A88="","",IF(Quotes!A88="","",Quotes!A88))</f>
        <v/>
      </c>
      <c r="B88" s="18" t="str">
        <f>IF(Quotes!$A88="","",IF(Quotes!U88="","",Quotes!U88))</f>
        <v/>
      </c>
      <c r="C88" s="18" t="str">
        <f>IF(Quotes!$A88="","",IF(Quotes!Z88="","",Quotes!Z88))</f>
        <v/>
      </c>
      <c r="D88" s="22" t="str">
        <f>IF(Quotes!$A88="","",IF(Quotes!E88="","",Quotes!E88))</f>
        <v/>
      </c>
      <c r="E88" s="18" t="str">
        <f>IFERROR(IF(INDEX(Jobs!$P$9:$P$258,MATCH(Quotes!B88,Jobs!$A$9:$A$258,0))="","",HYPERLINK("#'"&amp;INDEX(Jobs!$P$9:$P$258,MATCH(Quotes!B88,Jobs!$A$9:$A$258,0))&amp;"'!A1","OPEN JOB")),"")</f>
        <v/>
      </c>
      <c r="F88" s="22" t="str">
        <f>IF(Quotes!$A88="","",IF(Quotes!F88="","",Quotes!F88))</f>
        <v/>
      </c>
      <c r="G88" s="23" t="str">
        <f>IF(Quotes!$A88="","",IF(Quotes!G88="","",Quotes!G88))</f>
        <v/>
      </c>
      <c r="H88" s="23" t="str">
        <f>IF(Quotes!$A88="","",IF(Quotes!H88="","",Quotes!H88))</f>
        <v/>
      </c>
      <c r="I88" s="22" t="str">
        <f>IF(Quotes!$A88="","",IF(Quotes!I88="","",Quotes!I88))</f>
        <v/>
      </c>
      <c r="J88" s="19" t="str">
        <f>IF(Quotes!$A88="","",IF(Quotes!AD88="","",Quotes!AD88))</f>
        <v/>
      </c>
      <c r="K88" s="19" t="str">
        <f>IF(Quotes!$A88="","",IF(Quotes!AF88="","",Quotes!AF88))</f>
        <v/>
      </c>
      <c r="L88" s="18" t="str">
        <f>IF(Quotes!$A88="","",IF(Quotes!V88="","",Quotes!V88))</f>
        <v/>
      </c>
      <c r="M88" s="18" t="str">
        <f>IF(A88="","",HYPERLINK("#'Quotes'!A88","EDIT QUOTE"))</f>
        <v/>
      </c>
      <c r="N88" s="18" t="str">
        <f>IF(Quotes!$A88="","",IF(Quotes!C88="","",Quotes!C88))</f>
        <v/>
      </c>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row>
    <row r="89" spans="1:44" ht="40" customHeight="1" x14ac:dyDescent="0.35">
      <c r="A89" s="14" t="str">
        <f>IF(Quotes!$A89="","",IF(Quotes!A89="","",Quotes!A89))</f>
        <v/>
      </c>
      <c r="B89" s="14" t="str">
        <f>IF(Quotes!$A89="","",IF(Quotes!U89="","",Quotes!U89))</f>
        <v/>
      </c>
      <c r="C89" s="14" t="str">
        <f>IF(Quotes!$A89="","",IF(Quotes!Z89="","",Quotes!Z89))</f>
        <v/>
      </c>
      <c r="D89" s="22" t="str">
        <f>IF(Quotes!$A89="","",IF(Quotes!E89="","",Quotes!E89))</f>
        <v/>
      </c>
      <c r="E89" s="14" t="str">
        <f>IFERROR(IF(INDEX(Jobs!$P$9:$P$258,MATCH(Quotes!B89,Jobs!$A$9:$A$258,0))="","",HYPERLINK("#'"&amp;INDEX(Jobs!$P$9:$P$258,MATCH(Quotes!B89,Jobs!$A$9:$A$258,0))&amp;"'!A1","OPEN JOB")),"")</f>
        <v/>
      </c>
      <c r="F89" s="22" t="str">
        <f>IF(Quotes!$A89="","",IF(Quotes!F89="","",Quotes!F89))</f>
        <v/>
      </c>
      <c r="G89" s="23" t="str">
        <f>IF(Quotes!$A89="","",IF(Quotes!G89="","",Quotes!G89))</f>
        <v/>
      </c>
      <c r="H89" s="23" t="str">
        <f>IF(Quotes!$A89="","",IF(Quotes!H89="","",Quotes!H89))</f>
        <v/>
      </c>
      <c r="I89" s="22" t="str">
        <f>IF(Quotes!$A89="","",IF(Quotes!I89="","",Quotes!I89))</f>
        <v/>
      </c>
      <c r="J89" s="16" t="str">
        <f>IF(Quotes!$A89="","",IF(Quotes!AD89="","",Quotes!AD89))</f>
        <v/>
      </c>
      <c r="K89" s="16" t="str">
        <f>IF(Quotes!$A89="","",IF(Quotes!AF89="","",Quotes!AF89))</f>
        <v/>
      </c>
      <c r="L89" s="14" t="str">
        <f>IF(Quotes!$A89="","",IF(Quotes!V89="","",Quotes!V89))</f>
        <v/>
      </c>
      <c r="M89" s="14" t="str">
        <f>IF(A89="","",HYPERLINK("#'Quotes'!A89","EDIT QUOTE"))</f>
        <v/>
      </c>
      <c r="N89" s="14" t="str">
        <f>IF(Quotes!$A89="","",IF(Quotes!C89="","",Quotes!C89))</f>
        <v/>
      </c>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row>
    <row r="90" spans="1:44" ht="40" customHeight="1" x14ac:dyDescent="0.35">
      <c r="A90" s="18" t="str">
        <f>IF(Quotes!$A90="","",IF(Quotes!A90="","",Quotes!A90))</f>
        <v/>
      </c>
      <c r="B90" s="18" t="str">
        <f>IF(Quotes!$A90="","",IF(Quotes!U90="","",Quotes!U90))</f>
        <v/>
      </c>
      <c r="C90" s="18" t="str">
        <f>IF(Quotes!$A90="","",IF(Quotes!Z90="","",Quotes!Z90))</f>
        <v/>
      </c>
      <c r="D90" s="22" t="str">
        <f>IF(Quotes!$A90="","",IF(Quotes!E90="","",Quotes!E90))</f>
        <v/>
      </c>
      <c r="E90" s="18" t="str">
        <f>IFERROR(IF(INDEX(Jobs!$P$9:$P$258,MATCH(Quotes!B90,Jobs!$A$9:$A$258,0))="","",HYPERLINK("#'"&amp;INDEX(Jobs!$P$9:$P$258,MATCH(Quotes!B90,Jobs!$A$9:$A$258,0))&amp;"'!A1","OPEN JOB")),"")</f>
        <v/>
      </c>
      <c r="F90" s="22" t="str">
        <f>IF(Quotes!$A90="","",IF(Quotes!F90="","",Quotes!F90))</f>
        <v/>
      </c>
      <c r="G90" s="23" t="str">
        <f>IF(Quotes!$A90="","",IF(Quotes!G90="","",Quotes!G90))</f>
        <v/>
      </c>
      <c r="H90" s="23" t="str">
        <f>IF(Quotes!$A90="","",IF(Quotes!H90="","",Quotes!H90))</f>
        <v/>
      </c>
      <c r="I90" s="22" t="str">
        <f>IF(Quotes!$A90="","",IF(Quotes!I90="","",Quotes!I90))</f>
        <v/>
      </c>
      <c r="J90" s="19" t="str">
        <f>IF(Quotes!$A90="","",IF(Quotes!AD90="","",Quotes!AD90))</f>
        <v/>
      </c>
      <c r="K90" s="19" t="str">
        <f>IF(Quotes!$A90="","",IF(Quotes!AF90="","",Quotes!AF90))</f>
        <v/>
      </c>
      <c r="L90" s="18" t="str">
        <f>IF(Quotes!$A90="","",IF(Quotes!V90="","",Quotes!V90))</f>
        <v/>
      </c>
      <c r="M90" s="18" t="str">
        <f>IF(A90="","",HYPERLINK("#'Quotes'!A90","EDIT QUOTE"))</f>
        <v/>
      </c>
      <c r="N90" s="18" t="str">
        <f>IF(Quotes!$A90="","",IF(Quotes!C90="","",Quotes!C90))</f>
        <v/>
      </c>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row>
    <row r="91" spans="1:44" ht="40" customHeight="1" x14ac:dyDescent="0.35">
      <c r="A91" s="14" t="str">
        <f>IF(Quotes!$A91="","",IF(Quotes!A91="","",Quotes!A91))</f>
        <v/>
      </c>
      <c r="B91" s="14" t="str">
        <f>IF(Quotes!$A91="","",IF(Quotes!U91="","",Quotes!U91))</f>
        <v/>
      </c>
      <c r="C91" s="14" t="str">
        <f>IF(Quotes!$A91="","",IF(Quotes!Z91="","",Quotes!Z91))</f>
        <v/>
      </c>
      <c r="D91" s="22" t="str">
        <f>IF(Quotes!$A91="","",IF(Quotes!E91="","",Quotes!E91))</f>
        <v/>
      </c>
      <c r="E91" s="14" t="str">
        <f>IFERROR(IF(INDEX(Jobs!$P$9:$P$258,MATCH(Quotes!B91,Jobs!$A$9:$A$258,0))="","",HYPERLINK("#'"&amp;INDEX(Jobs!$P$9:$P$258,MATCH(Quotes!B91,Jobs!$A$9:$A$258,0))&amp;"'!A1","OPEN JOB")),"")</f>
        <v/>
      </c>
      <c r="F91" s="22" t="str">
        <f>IF(Quotes!$A91="","",IF(Quotes!F91="","",Quotes!F91))</f>
        <v/>
      </c>
      <c r="G91" s="23" t="str">
        <f>IF(Quotes!$A91="","",IF(Quotes!G91="","",Quotes!G91))</f>
        <v/>
      </c>
      <c r="H91" s="23" t="str">
        <f>IF(Quotes!$A91="","",IF(Quotes!H91="","",Quotes!H91))</f>
        <v/>
      </c>
      <c r="I91" s="22" t="str">
        <f>IF(Quotes!$A91="","",IF(Quotes!I91="","",Quotes!I91))</f>
        <v/>
      </c>
      <c r="J91" s="16" t="str">
        <f>IF(Quotes!$A91="","",IF(Quotes!AD91="","",Quotes!AD91))</f>
        <v/>
      </c>
      <c r="K91" s="16" t="str">
        <f>IF(Quotes!$A91="","",IF(Quotes!AF91="","",Quotes!AF91))</f>
        <v/>
      </c>
      <c r="L91" s="14" t="str">
        <f>IF(Quotes!$A91="","",IF(Quotes!V91="","",Quotes!V91))</f>
        <v/>
      </c>
      <c r="M91" s="14" t="str">
        <f>IF(A91="","",HYPERLINK("#'Quotes'!A91","EDIT QUOTE"))</f>
        <v/>
      </c>
      <c r="N91" s="14" t="str">
        <f>IF(Quotes!$A91="","",IF(Quotes!C91="","",Quotes!C91))</f>
        <v/>
      </c>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row>
    <row r="92" spans="1:44" ht="40" customHeight="1" x14ac:dyDescent="0.35">
      <c r="A92" s="18" t="str">
        <f>IF(Quotes!$A92="","",IF(Quotes!A92="","",Quotes!A92))</f>
        <v/>
      </c>
      <c r="B92" s="18" t="str">
        <f>IF(Quotes!$A92="","",IF(Quotes!U92="","",Quotes!U92))</f>
        <v/>
      </c>
      <c r="C92" s="18" t="str">
        <f>IF(Quotes!$A92="","",IF(Quotes!Z92="","",Quotes!Z92))</f>
        <v/>
      </c>
      <c r="D92" s="22" t="str">
        <f>IF(Quotes!$A92="","",IF(Quotes!E92="","",Quotes!E92))</f>
        <v/>
      </c>
      <c r="E92" s="18" t="str">
        <f>IFERROR(IF(INDEX(Jobs!$P$9:$P$258,MATCH(Quotes!B92,Jobs!$A$9:$A$258,0))="","",HYPERLINK("#'"&amp;INDEX(Jobs!$P$9:$P$258,MATCH(Quotes!B92,Jobs!$A$9:$A$258,0))&amp;"'!A1","OPEN JOB")),"")</f>
        <v/>
      </c>
      <c r="F92" s="22" t="str">
        <f>IF(Quotes!$A92="","",IF(Quotes!F92="","",Quotes!F92))</f>
        <v/>
      </c>
      <c r="G92" s="23" t="str">
        <f>IF(Quotes!$A92="","",IF(Quotes!G92="","",Quotes!G92))</f>
        <v/>
      </c>
      <c r="H92" s="23" t="str">
        <f>IF(Quotes!$A92="","",IF(Quotes!H92="","",Quotes!H92))</f>
        <v/>
      </c>
      <c r="I92" s="22" t="str">
        <f>IF(Quotes!$A92="","",IF(Quotes!I92="","",Quotes!I92))</f>
        <v/>
      </c>
      <c r="J92" s="19" t="str">
        <f>IF(Quotes!$A92="","",IF(Quotes!AD92="","",Quotes!AD92))</f>
        <v/>
      </c>
      <c r="K92" s="19" t="str">
        <f>IF(Quotes!$A92="","",IF(Quotes!AF92="","",Quotes!AF92))</f>
        <v/>
      </c>
      <c r="L92" s="18" t="str">
        <f>IF(Quotes!$A92="","",IF(Quotes!V92="","",Quotes!V92))</f>
        <v/>
      </c>
      <c r="M92" s="18" t="str">
        <f>IF(A92="","",HYPERLINK("#'Quotes'!A92","EDIT QUOTE"))</f>
        <v/>
      </c>
      <c r="N92" s="18" t="str">
        <f>IF(Quotes!$A92="","",IF(Quotes!C92="","",Quotes!C92))</f>
        <v/>
      </c>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row>
    <row r="93" spans="1:44" ht="40" customHeight="1" x14ac:dyDescent="0.35">
      <c r="A93" s="14" t="str">
        <f>IF(Quotes!$A93="","",IF(Quotes!A93="","",Quotes!A93))</f>
        <v/>
      </c>
      <c r="B93" s="14" t="str">
        <f>IF(Quotes!$A93="","",IF(Quotes!U93="","",Quotes!U93))</f>
        <v/>
      </c>
      <c r="C93" s="14" t="str">
        <f>IF(Quotes!$A93="","",IF(Quotes!Z93="","",Quotes!Z93))</f>
        <v/>
      </c>
      <c r="D93" s="22" t="str">
        <f>IF(Quotes!$A93="","",IF(Quotes!E93="","",Quotes!E93))</f>
        <v/>
      </c>
      <c r="E93" s="14" t="str">
        <f>IFERROR(IF(INDEX(Jobs!$P$9:$P$258,MATCH(Quotes!B93,Jobs!$A$9:$A$258,0))="","",HYPERLINK("#'"&amp;INDEX(Jobs!$P$9:$P$258,MATCH(Quotes!B93,Jobs!$A$9:$A$258,0))&amp;"'!A1","OPEN JOB")),"")</f>
        <v/>
      </c>
      <c r="F93" s="22" t="str">
        <f>IF(Quotes!$A93="","",IF(Quotes!F93="","",Quotes!F93))</f>
        <v/>
      </c>
      <c r="G93" s="23" t="str">
        <f>IF(Quotes!$A93="","",IF(Quotes!G93="","",Quotes!G93))</f>
        <v/>
      </c>
      <c r="H93" s="23" t="str">
        <f>IF(Quotes!$A93="","",IF(Quotes!H93="","",Quotes!H93))</f>
        <v/>
      </c>
      <c r="I93" s="22" t="str">
        <f>IF(Quotes!$A93="","",IF(Quotes!I93="","",Quotes!I93))</f>
        <v/>
      </c>
      <c r="J93" s="16" t="str">
        <f>IF(Quotes!$A93="","",IF(Quotes!AD93="","",Quotes!AD93))</f>
        <v/>
      </c>
      <c r="K93" s="16" t="str">
        <f>IF(Quotes!$A93="","",IF(Quotes!AF93="","",Quotes!AF93))</f>
        <v/>
      </c>
      <c r="L93" s="14" t="str">
        <f>IF(Quotes!$A93="","",IF(Quotes!V93="","",Quotes!V93))</f>
        <v/>
      </c>
      <c r="M93" s="14" t="str">
        <f>IF(A93="","",HYPERLINK("#'Quotes'!A93","EDIT QUOTE"))</f>
        <v/>
      </c>
      <c r="N93" s="14" t="str">
        <f>IF(Quotes!$A93="","",IF(Quotes!C93="","",Quotes!C93))</f>
        <v/>
      </c>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row>
    <row r="94" spans="1:44" ht="40" customHeight="1" x14ac:dyDescent="0.35">
      <c r="A94" s="18" t="str">
        <f>IF(Quotes!$A94="","",IF(Quotes!A94="","",Quotes!A94))</f>
        <v/>
      </c>
      <c r="B94" s="18" t="str">
        <f>IF(Quotes!$A94="","",IF(Quotes!U94="","",Quotes!U94))</f>
        <v/>
      </c>
      <c r="C94" s="18" t="str">
        <f>IF(Quotes!$A94="","",IF(Quotes!Z94="","",Quotes!Z94))</f>
        <v/>
      </c>
      <c r="D94" s="22" t="str">
        <f>IF(Quotes!$A94="","",IF(Quotes!E94="","",Quotes!E94))</f>
        <v/>
      </c>
      <c r="E94" s="18" t="str">
        <f>IFERROR(IF(INDEX(Jobs!$P$9:$P$258,MATCH(Quotes!B94,Jobs!$A$9:$A$258,0))="","",HYPERLINK("#'"&amp;INDEX(Jobs!$P$9:$P$258,MATCH(Quotes!B94,Jobs!$A$9:$A$258,0))&amp;"'!A1","OPEN JOB")),"")</f>
        <v/>
      </c>
      <c r="F94" s="22" t="str">
        <f>IF(Quotes!$A94="","",IF(Quotes!F94="","",Quotes!F94))</f>
        <v/>
      </c>
      <c r="G94" s="23" t="str">
        <f>IF(Quotes!$A94="","",IF(Quotes!G94="","",Quotes!G94))</f>
        <v/>
      </c>
      <c r="H94" s="23" t="str">
        <f>IF(Quotes!$A94="","",IF(Quotes!H94="","",Quotes!H94))</f>
        <v/>
      </c>
      <c r="I94" s="22" t="str">
        <f>IF(Quotes!$A94="","",IF(Quotes!I94="","",Quotes!I94))</f>
        <v/>
      </c>
      <c r="J94" s="19" t="str">
        <f>IF(Quotes!$A94="","",IF(Quotes!AD94="","",Quotes!AD94))</f>
        <v/>
      </c>
      <c r="K94" s="19" t="str">
        <f>IF(Quotes!$A94="","",IF(Quotes!AF94="","",Quotes!AF94))</f>
        <v/>
      </c>
      <c r="L94" s="18" t="str">
        <f>IF(Quotes!$A94="","",IF(Quotes!V94="","",Quotes!V94))</f>
        <v/>
      </c>
      <c r="M94" s="18" t="str">
        <f>IF(A94="","",HYPERLINK("#'Quotes'!A94","EDIT QUOTE"))</f>
        <v/>
      </c>
      <c r="N94" s="18" t="str">
        <f>IF(Quotes!$A94="","",IF(Quotes!C94="","",Quotes!C94))</f>
        <v/>
      </c>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row>
    <row r="95" spans="1:44" ht="40" customHeight="1" x14ac:dyDescent="0.35">
      <c r="A95" s="14" t="str">
        <f>IF(Quotes!$A95="","",IF(Quotes!A95="","",Quotes!A95))</f>
        <v/>
      </c>
      <c r="B95" s="14" t="str">
        <f>IF(Quotes!$A95="","",IF(Quotes!U95="","",Quotes!U95))</f>
        <v/>
      </c>
      <c r="C95" s="14" t="str">
        <f>IF(Quotes!$A95="","",IF(Quotes!Z95="","",Quotes!Z95))</f>
        <v/>
      </c>
      <c r="D95" s="22" t="str">
        <f>IF(Quotes!$A95="","",IF(Quotes!E95="","",Quotes!E95))</f>
        <v/>
      </c>
      <c r="E95" s="14" t="str">
        <f>IFERROR(IF(INDEX(Jobs!$P$9:$P$258,MATCH(Quotes!B95,Jobs!$A$9:$A$258,0))="","",HYPERLINK("#'"&amp;INDEX(Jobs!$P$9:$P$258,MATCH(Quotes!B95,Jobs!$A$9:$A$258,0))&amp;"'!A1","OPEN JOB")),"")</f>
        <v/>
      </c>
      <c r="F95" s="22" t="str">
        <f>IF(Quotes!$A95="","",IF(Quotes!F95="","",Quotes!F95))</f>
        <v/>
      </c>
      <c r="G95" s="23" t="str">
        <f>IF(Quotes!$A95="","",IF(Quotes!G95="","",Quotes!G95))</f>
        <v/>
      </c>
      <c r="H95" s="23" t="str">
        <f>IF(Quotes!$A95="","",IF(Quotes!H95="","",Quotes!H95))</f>
        <v/>
      </c>
      <c r="I95" s="22" t="str">
        <f>IF(Quotes!$A95="","",IF(Quotes!I95="","",Quotes!I95))</f>
        <v/>
      </c>
      <c r="J95" s="16" t="str">
        <f>IF(Quotes!$A95="","",IF(Quotes!AD95="","",Quotes!AD95))</f>
        <v/>
      </c>
      <c r="K95" s="16" t="str">
        <f>IF(Quotes!$A95="","",IF(Quotes!AF95="","",Quotes!AF95))</f>
        <v/>
      </c>
      <c r="L95" s="14" t="str">
        <f>IF(Quotes!$A95="","",IF(Quotes!V95="","",Quotes!V95))</f>
        <v/>
      </c>
      <c r="M95" s="14" t="str">
        <f>IF(A95="","",HYPERLINK("#'Quotes'!A95","EDIT QUOTE"))</f>
        <v/>
      </c>
      <c r="N95" s="14" t="str">
        <f>IF(Quotes!$A95="","",IF(Quotes!C95="","",Quotes!C95))</f>
        <v/>
      </c>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row>
    <row r="96" spans="1:44" ht="40" customHeight="1" x14ac:dyDescent="0.35">
      <c r="A96" s="18" t="str">
        <f>IF(Quotes!$A96="","",IF(Quotes!A96="","",Quotes!A96))</f>
        <v/>
      </c>
      <c r="B96" s="18" t="str">
        <f>IF(Quotes!$A96="","",IF(Quotes!U96="","",Quotes!U96))</f>
        <v/>
      </c>
      <c r="C96" s="18" t="str">
        <f>IF(Quotes!$A96="","",IF(Quotes!Z96="","",Quotes!Z96))</f>
        <v/>
      </c>
      <c r="D96" s="22" t="str">
        <f>IF(Quotes!$A96="","",IF(Quotes!E96="","",Quotes!E96))</f>
        <v/>
      </c>
      <c r="E96" s="18" t="str">
        <f>IFERROR(IF(INDEX(Jobs!$P$9:$P$258,MATCH(Quotes!B96,Jobs!$A$9:$A$258,0))="","",HYPERLINK("#'"&amp;INDEX(Jobs!$P$9:$P$258,MATCH(Quotes!B96,Jobs!$A$9:$A$258,0))&amp;"'!A1","OPEN JOB")),"")</f>
        <v/>
      </c>
      <c r="F96" s="22" t="str">
        <f>IF(Quotes!$A96="","",IF(Quotes!F96="","",Quotes!F96))</f>
        <v/>
      </c>
      <c r="G96" s="23" t="str">
        <f>IF(Quotes!$A96="","",IF(Quotes!G96="","",Quotes!G96))</f>
        <v/>
      </c>
      <c r="H96" s="23" t="str">
        <f>IF(Quotes!$A96="","",IF(Quotes!H96="","",Quotes!H96))</f>
        <v/>
      </c>
      <c r="I96" s="22" t="str">
        <f>IF(Quotes!$A96="","",IF(Quotes!I96="","",Quotes!I96))</f>
        <v/>
      </c>
      <c r="J96" s="19" t="str">
        <f>IF(Quotes!$A96="","",IF(Quotes!AD96="","",Quotes!AD96))</f>
        <v/>
      </c>
      <c r="K96" s="19" t="str">
        <f>IF(Quotes!$A96="","",IF(Quotes!AF96="","",Quotes!AF96))</f>
        <v/>
      </c>
      <c r="L96" s="18" t="str">
        <f>IF(Quotes!$A96="","",IF(Quotes!V96="","",Quotes!V96))</f>
        <v/>
      </c>
      <c r="M96" s="18" t="str">
        <f>IF(A96="","",HYPERLINK("#'Quotes'!A96","EDIT QUOTE"))</f>
        <v/>
      </c>
      <c r="N96" s="18" t="str">
        <f>IF(Quotes!$A96="","",IF(Quotes!C96="","",Quotes!C96))</f>
        <v/>
      </c>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row>
    <row r="97" spans="1:44" ht="40" customHeight="1" x14ac:dyDescent="0.35">
      <c r="A97" s="14" t="str">
        <f>IF(Quotes!$A97="","",IF(Quotes!A97="","",Quotes!A97))</f>
        <v/>
      </c>
      <c r="B97" s="14" t="str">
        <f>IF(Quotes!$A97="","",IF(Quotes!U97="","",Quotes!U97))</f>
        <v/>
      </c>
      <c r="C97" s="14" t="str">
        <f>IF(Quotes!$A97="","",IF(Quotes!Z97="","",Quotes!Z97))</f>
        <v/>
      </c>
      <c r="D97" s="22" t="str">
        <f>IF(Quotes!$A97="","",IF(Quotes!E97="","",Quotes!E97))</f>
        <v/>
      </c>
      <c r="E97" s="14" t="str">
        <f>IFERROR(IF(INDEX(Jobs!$P$9:$P$258,MATCH(Quotes!B97,Jobs!$A$9:$A$258,0))="","",HYPERLINK("#'"&amp;INDEX(Jobs!$P$9:$P$258,MATCH(Quotes!B97,Jobs!$A$9:$A$258,0))&amp;"'!A1","OPEN JOB")),"")</f>
        <v/>
      </c>
      <c r="F97" s="22" t="str">
        <f>IF(Quotes!$A97="","",IF(Quotes!F97="","",Quotes!F97))</f>
        <v/>
      </c>
      <c r="G97" s="23" t="str">
        <f>IF(Quotes!$A97="","",IF(Quotes!G97="","",Quotes!G97))</f>
        <v/>
      </c>
      <c r="H97" s="23" t="str">
        <f>IF(Quotes!$A97="","",IF(Quotes!H97="","",Quotes!H97))</f>
        <v/>
      </c>
      <c r="I97" s="22" t="str">
        <f>IF(Quotes!$A97="","",IF(Quotes!I97="","",Quotes!I97))</f>
        <v/>
      </c>
      <c r="J97" s="16" t="str">
        <f>IF(Quotes!$A97="","",IF(Quotes!AD97="","",Quotes!AD97))</f>
        <v/>
      </c>
      <c r="K97" s="16" t="str">
        <f>IF(Quotes!$A97="","",IF(Quotes!AF97="","",Quotes!AF97))</f>
        <v/>
      </c>
      <c r="L97" s="14" t="str">
        <f>IF(Quotes!$A97="","",IF(Quotes!V97="","",Quotes!V97))</f>
        <v/>
      </c>
      <c r="M97" s="14" t="str">
        <f>IF(A97="","",HYPERLINK("#'Quotes'!A97","EDIT QUOTE"))</f>
        <v/>
      </c>
      <c r="N97" s="14" t="str">
        <f>IF(Quotes!$A97="","",IF(Quotes!C97="","",Quotes!C97))</f>
        <v/>
      </c>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row>
    <row r="98" spans="1:44" ht="40" customHeight="1" x14ac:dyDescent="0.35">
      <c r="A98" s="18" t="str">
        <f>IF(Quotes!$A98="","",IF(Quotes!A98="","",Quotes!A98))</f>
        <v/>
      </c>
      <c r="B98" s="18" t="str">
        <f>IF(Quotes!$A98="","",IF(Quotes!U98="","",Quotes!U98))</f>
        <v/>
      </c>
      <c r="C98" s="18" t="str">
        <f>IF(Quotes!$A98="","",IF(Quotes!Z98="","",Quotes!Z98))</f>
        <v/>
      </c>
      <c r="D98" s="22" t="str">
        <f>IF(Quotes!$A98="","",IF(Quotes!E98="","",Quotes!E98))</f>
        <v/>
      </c>
      <c r="E98" s="18" t="str">
        <f>IFERROR(IF(INDEX(Jobs!$P$9:$P$258,MATCH(Quotes!B98,Jobs!$A$9:$A$258,0))="","",HYPERLINK("#'"&amp;INDEX(Jobs!$P$9:$P$258,MATCH(Quotes!B98,Jobs!$A$9:$A$258,0))&amp;"'!A1","OPEN JOB")),"")</f>
        <v/>
      </c>
      <c r="F98" s="22" t="str">
        <f>IF(Quotes!$A98="","",IF(Quotes!F98="","",Quotes!F98))</f>
        <v/>
      </c>
      <c r="G98" s="23" t="str">
        <f>IF(Quotes!$A98="","",IF(Quotes!G98="","",Quotes!G98))</f>
        <v/>
      </c>
      <c r="H98" s="23" t="str">
        <f>IF(Quotes!$A98="","",IF(Quotes!H98="","",Quotes!H98))</f>
        <v/>
      </c>
      <c r="I98" s="22" t="str">
        <f>IF(Quotes!$A98="","",IF(Quotes!I98="","",Quotes!I98))</f>
        <v/>
      </c>
      <c r="J98" s="19" t="str">
        <f>IF(Quotes!$A98="","",IF(Quotes!AD98="","",Quotes!AD98))</f>
        <v/>
      </c>
      <c r="K98" s="19" t="str">
        <f>IF(Quotes!$A98="","",IF(Quotes!AF98="","",Quotes!AF98))</f>
        <v/>
      </c>
      <c r="L98" s="18" t="str">
        <f>IF(Quotes!$A98="","",IF(Quotes!V98="","",Quotes!V98))</f>
        <v/>
      </c>
      <c r="M98" s="18" t="str">
        <f>IF(A98="","",HYPERLINK("#'Quotes'!A98","EDIT QUOTE"))</f>
        <v/>
      </c>
      <c r="N98" s="18" t="str">
        <f>IF(Quotes!$A98="","",IF(Quotes!C98="","",Quotes!C98))</f>
        <v/>
      </c>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row>
    <row r="99" spans="1:44" ht="40" customHeight="1" x14ac:dyDescent="0.35">
      <c r="A99" s="14" t="str">
        <f>IF(Quotes!$A99="","",IF(Quotes!A99="","",Quotes!A99))</f>
        <v/>
      </c>
      <c r="B99" s="14" t="str">
        <f>IF(Quotes!$A99="","",IF(Quotes!U99="","",Quotes!U99))</f>
        <v/>
      </c>
      <c r="C99" s="14" t="str">
        <f>IF(Quotes!$A99="","",IF(Quotes!Z99="","",Quotes!Z99))</f>
        <v/>
      </c>
      <c r="D99" s="22" t="str">
        <f>IF(Quotes!$A99="","",IF(Quotes!E99="","",Quotes!E99))</f>
        <v/>
      </c>
      <c r="E99" s="14" t="str">
        <f>IFERROR(IF(INDEX(Jobs!$P$9:$P$258,MATCH(Quotes!B99,Jobs!$A$9:$A$258,0))="","",HYPERLINK("#'"&amp;INDEX(Jobs!$P$9:$P$258,MATCH(Quotes!B99,Jobs!$A$9:$A$258,0))&amp;"'!A1","OPEN JOB")),"")</f>
        <v/>
      </c>
      <c r="F99" s="22" t="str">
        <f>IF(Quotes!$A99="","",IF(Quotes!F99="","",Quotes!F99))</f>
        <v/>
      </c>
      <c r="G99" s="23" t="str">
        <f>IF(Quotes!$A99="","",IF(Quotes!G99="","",Quotes!G99))</f>
        <v/>
      </c>
      <c r="H99" s="23" t="str">
        <f>IF(Quotes!$A99="","",IF(Quotes!H99="","",Quotes!H99))</f>
        <v/>
      </c>
      <c r="I99" s="22" t="str">
        <f>IF(Quotes!$A99="","",IF(Quotes!I99="","",Quotes!I99))</f>
        <v/>
      </c>
      <c r="J99" s="16" t="str">
        <f>IF(Quotes!$A99="","",IF(Quotes!AD99="","",Quotes!AD99))</f>
        <v/>
      </c>
      <c r="K99" s="16" t="str">
        <f>IF(Quotes!$A99="","",IF(Quotes!AF99="","",Quotes!AF99))</f>
        <v/>
      </c>
      <c r="L99" s="14" t="str">
        <f>IF(Quotes!$A99="","",IF(Quotes!V99="","",Quotes!V99))</f>
        <v/>
      </c>
      <c r="M99" s="14" t="str">
        <f>IF(A99="","",HYPERLINK("#'Quotes'!A99","EDIT QUOTE"))</f>
        <v/>
      </c>
      <c r="N99" s="14" t="str">
        <f>IF(Quotes!$A99="","",IF(Quotes!C99="","",Quotes!C99))</f>
        <v/>
      </c>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row>
    <row r="100" spans="1:44" ht="40" customHeight="1" x14ac:dyDescent="0.35">
      <c r="A100" s="18" t="str">
        <f>IF(Quotes!$A100="","",IF(Quotes!A100="","",Quotes!A100))</f>
        <v/>
      </c>
      <c r="B100" s="18" t="str">
        <f>IF(Quotes!$A100="","",IF(Quotes!U100="","",Quotes!U100))</f>
        <v/>
      </c>
      <c r="C100" s="18" t="str">
        <f>IF(Quotes!$A100="","",IF(Quotes!Z100="","",Quotes!Z100))</f>
        <v/>
      </c>
      <c r="D100" s="22" t="str">
        <f>IF(Quotes!$A100="","",IF(Quotes!E100="","",Quotes!E100))</f>
        <v/>
      </c>
      <c r="E100" s="18" t="str">
        <f>IFERROR(IF(INDEX(Jobs!$P$9:$P$258,MATCH(Quotes!B100,Jobs!$A$9:$A$258,0))="","",HYPERLINK("#'"&amp;INDEX(Jobs!$P$9:$P$258,MATCH(Quotes!B100,Jobs!$A$9:$A$258,0))&amp;"'!A1","OPEN JOB")),"")</f>
        <v/>
      </c>
      <c r="F100" s="22" t="str">
        <f>IF(Quotes!$A100="","",IF(Quotes!F100="","",Quotes!F100))</f>
        <v/>
      </c>
      <c r="G100" s="23" t="str">
        <f>IF(Quotes!$A100="","",IF(Quotes!G100="","",Quotes!G100))</f>
        <v/>
      </c>
      <c r="H100" s="23" t="str">
        <f>IF(Quotes!$A100="","",IF(Quotes!H100="","",Quotes!H100))</f>
        <v/>
      </c>
      <c r="I100" s="22" t="str">
        <f>IF(Quotes!$A100="","",IF(Quotes!I100="","",Quotes!I100))</f>
        <v/>
      </c>
      <c r="J100" s="19" t="str">
        <f>IF(Quotes!$A100="","",IF(Quotes!AD100="","",Quotes!AD100))</f>
        <v/>
      </c>
      <c r="K100" s="19" t="str">
        <f>IF(Quotes!$A100="","",IF(Quotes!AF100="","",Quotes!AF100))</f>
        <v/>
      </c>
      <c r="L100" s="18" t="str">
        <f>IF(Quotes!$A100="","",IF(Quotes!V100="","",Quotes!V100))</f>
        <v/>
      </c>
      <c r="M100" s="18" t="str">
        <f>IF(A100="","",HYPERLINK("#'Quotes'!A100","EDIT QUOTE"))</f>
        <v/>
      </c>
      <c r="N100" s="18" t="str">
        <f>IF(Quotes!$A100="","",IF(Quotes!C100="","",Quotes!C100))</f>
        <v/>
      </c>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row>
    <row r="101" spans="1:44" ht="40" customHeight="1" x14ac:dyDescent="0.35">
      <c r="A101" s="14" t="str">
        <f>IF(Quotes!$A101="","",IF(Quotes!A101="","",Quotes!A101))</f>
        <v/>
      </c>
      <c r="B101" s="14" t="str">
        <f>IF(Quotes!$A101="","",IF(Quotes!U101="","",Quotes!U101))</f>
        <v/>
      </c>
      <c r="C101" s="14" t="str">
        <f>IF(Quotes!$A101="","",IF(Quotes!Z101="","",Quotes!Z101))</f>
        <v/>
      </c>
      <c r="D101" s="22" t="str">
        <f>IF(Quotes!$A101="","",IF(Quotes!E101="","",Quotes!E101))</f>
        <v/>
      </c>
      <c r="E101" s="14" t="str">
        <f>IFERROR(IF(INDEX(Jobs!$P$9:$P$258,MATCH(Quotes!B101,Jobs!$A$9:$A$258,0))="","",HYPERLINK("#'"&amp;INDEX(Jobs!$P$9:$P$258,MATCH(Quotes!B101,Jobs!$A$9:$A$258,0))&amp;"'!A1","OPEN JOB")),"")</f>
        <v/>
      </c>
      <c r="F101" s="22" t="str">
        <f>IF(Quotes!$A101="","",IF(Quotes!F101="","",Quotes!F101))</f>
        <v/>
      </c>
      <c r="G101" s="23" t="str">
        <f>IF(Quotes!$A101="","",IF(Quotes!G101="","",Quotes!G101))</f>
        <v/>
      </c>
      <c r="H101" s="23" t="str">
        <f>IF(Quotes!$A101="","",IF(Quotes!H101="","",Quotes!H101))</f>
        <v/>
      </c>
      <c r="I101" s="22" t="str">
        <f>IF(Quotes!$A101="","",IF(Quotes!I101="","",Quotes!I101))</f>
        <v/>
      </c>
      <c r="J101" s="16" t="str">
        <f>IF(Quotes!$A101="","",IF(Quotes!AD101="","",Quotes!AD101))</f>
        <v/>
      </c>
      <c r="K101" s="16" t="str">
        <f>IF(Quotes!$A101="","",IF(Quotes!AF101="","",Quotes!AF101))</f>
        <v/>
      </c>
      <c r="L101" s="14" t="str">
        <f>IF(Quotes!$A101="","",IF(Quotes!V101="","",Quotes!V101))</f>
        <v/>
      </c>
      <c r="M101" s="14" t="str">
        <f>IF(A101="","",HYPERLINK("#'Quotes'!A101","EDIT QUOTE"))</f>
        <v/>
      </c>
      <c r="N101" s="14" t="str">
        <f>IF(Quotes!$A101="","",IF(Quotes!C101="","",Quotes!C101))</f>
        <v/>
      </c>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row>
    <row r="102" spans="1:44" ht="40" customHeight="1" x14ac:dyDescent="0.35">
      <c r="A102" s="18" t="str">
        <f>IF(Quotes!$A102="","",IF(Quotes!A102="","",Quotes!A102))</f>
        <v/>
      </c>
      <c r="B102" s="18" t="str">
        <f>IF(Quotes!$A102="","",IF(Quotes!U102="","",Quotes!U102))</f>
        <v/>
      </c>
      <c r="C102" s="18" t="str">
        <f>IF(Quotes!$A102="","",IF(Quotes!Z102="","",Quotes!Z102))</f>
        <v/>
      </c>
      <c r="D102" s="22" t="str">
        <f>IF(Quotes!$A102="","",IF(Quotes!E102="","",Quotes!E102))</f>
        <v/>
      </c>
      <c r="E102" s="18" t="str">
        <f>IFERROR(IF(INDEX(Jobs!$P$9:$P$258,MATCH(Quotes!B102,Jobs!$A$9:$A$258,0))="","",HYPERLINK("#'"&amp;INDEX(Jobs!$P$9:$P$258,MATCH(Quotes!B102,Jobs!$A$9:$A$258,0))&amp;"'!A1","OPEN JOB")),"")</f>
        <v/>
      </c>
      <c r="F102" s="22" t="str">
        <f>IF(Quotes!$A102="","",IF(Quotes!F102="","",Quotes!F102))</f>
        <v/>
      </c>
      <c r="G102" s="23" t="str">
        <f>IF(Quotes!$A102="","",IF(Quotes!G102="","",Quotes!G102))</f>
        <v/>
      </c>
      <c r="H102" s="23" t="str">
        <f>IF(Quotes!$A102="","",IF(Quotes!H102="","",Quotes!H102))</f>
        <v/>
      </c>
      <c r="I102" s="22" t="str">
        <f>IF(Quotes!$A102="","",IF(Quotes!I102="","",Quotes!I102))</f>
        <v/>
      </c>
      <c r="J102" s="19" t="str">
        <f>IF(Quotes!$A102="","",IF(Quotes!AD102="","",Quotes!AD102))</f>
        <v/>
      </c>
      <c r="K102" s="19" t="str">
        <f>IF(Quotes!$A102="","",IF(Quotes!AF102="","",Quotes!AF102))</f>
        <v/>
      </c>
      <c r="L102" s="18" t="str">
        <f>IF(Quotes!$A102="","",IF(Quotes!V102="","",Quotes!V102))</f>
        <v/>
      </c>
      <c r="M102" s="18" t="str">
        <f>IF(A102="","",HYPERLINK("#'Quotes'!A102","EDIT QUOTE"))</f>
        <v/>
      </c>
      <c r="N102" s="18" t="str">
        <f>IF(Quotes!$A102="","",IF(Quotes!C102="","",Quotes!C102))</f>
        <v/>
      </c>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row>
    <row r="103" spans="1:44" ht="40" customHeight="1" x14ac:dyDescent="0.35">
      <c r="A103" s="14" t="str">
        <f>IF(Quotes!$A103="","",IF(Quotes!A103="","",Quotes!A103))</f>
        <v/>
      </c>
      <c r="B103" s="14" t="str">
        <f>IF(Quotes!$A103="","",IF(Quotes!U103="","",Quotes!U103))</f>
        <v/>
      </c>
      <c r="C103" s="14" t="str">
        <f>IF(Quotes!$A103="","",IF(Quotes!Z103="","",Quotes!Z103))</f>
        <v/>
      </c>
      <c r="D103" s="22" t="str">
        <f>IF(Quotes!$A103="","",IF(Quotes!E103="","",Quotes!E103))</f>
        <v/>
      </c>
      <c r="E103" s="14" t="str">
        <f>IFERROR(IF(INDEX(Jobs!$P$9:$P$258,MATCH(Quotes!B103,Jobs!$A$9:$A$258,0))="","",HYPERLINK("#'"&amp;INDEX(Jobs!$P$9:$P$258,MATCH(Quotes!B103,Jobs!$A$9:$A$258,0))&amp;"'!A1","OPEN JOB")),"")</f>
        <v/>
      </c>
      <c r="F103" s="22" t="str">
        <f>IF(Quotes!$A103="","",IF(Quotes!F103="","",Quotes!F103))</f>
        <v/>
      </c>
      <c r="G103" s="23" t="str">
        <f>IF(Quotes!$A103="","",IF(Quotes!G103="","",Quotes!G103))</f>
        <v/>
      </c>
      <c r="H103" s="23" t="str">
        <f>IF(Quotes!$A103="","",IF(Quotes!H103="","",Quotes!H103))</f>
        <v/>
      </c>
      <c r="I103" s="22" t="str">
        <f>IF(Quotes!$A103="","",IF(Quotes!I103="","",Quotes!I103))</f>
        <v/>
      </c>
      <c r="J103" s="16" t="str">
        <f>IF(Quotes!$A103="","",IF(Quotes!AD103="","",Quotes!AD103))</f>
        <v/>
      </c>
      <c r="K103" s="16" t="str">
        <f>IF(Quotes!$A103="","",IF(Quotes!AF103="","",Quotes!AF103))</f>
        <v/>
      </c>
      <c r="L103" s="14" t="str">
        <f>IF(Quotes!$A103="","",IF(Quotes!V103="","",Quotes!V103))</f>
        <v/>
      </c>
      <c r="M103" s="14" t="str">
        <f>IF(A103="","",HYPERLINK("#'Quotes'!A103","EDIT QUOTE"))</f>
        <v/>
      </c>
      <c r="N103" s="14" t="str">
        <f>IF(Quotes!$A103="","",IF(Quotes!C103="","",Quotes!C103))</f>
        <v/>
      </c>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row>
    <row r="104" spans="1:44" ht="40" customHeight="1" x14ac:dyDescent="0.35">
      <c r="A104" s="18" t="str">
        <f>IF(Quotes!$A104="","",IF(Quotes!A104="","",Quotes!A104))</f>
        <v/>
      </c>
      <c r="B104" s="18" t="str">
        <f>IF(Quotes!$A104="","",IF(Quotes!U104="","",Quotes!U104))</f>
        <v/>
      </c>
      <c r="C104" s="18" t="str">
        <f>IF(Quotes!$A104="","",IF(Quotes!Z104="","",Quotes!Z104))</f>
        <v/>
      </c>
      <c r="D104" s="22" t="str">
        <f>IF(Quotes!$A104="","",IF(Quotes!E104="","",Quotes!E104))</f>
        <v/>
      </c>
      <c r="E104" s="18" t="str">
        <f>IFERROR(IF(INDEX(Jobs!$P$9:$P$258,MATCH(Quotes!B104,Jobs!$A$9:$A$258,0))="","",HYPERLINK("#'"&amp;INDEX(Jobs!$P$9:$P$258,MATCH(Quotes!B104,Jobs!$A$9:$A$258,0))&amp;"'!A1","OPEN JOB")),"")</f>
        <v/>
      </c>
      <c r="F104" s="22" t="str">
        <f>IF(Quotes!$A104="","",IF(Quotes!F104="","",Quotes!F104))</f>
        <v/>
      </c>
      <c r="G104" s="23" t="str">
        <f>IF(Quotes!$A104="","",IF(Quotes!G104="","",Quotes!G104))</f>
        <v/>
      </c>
      <c r="H104" s="23" t="str">
        <f>IF(Quotes!$A104="","",IF(Quotes!H104="","",Quotes!H104))</f>
        <v/>
      </c>
      <c r="I104" s="22" t="str">
        <f>IF(Quotes!$A104="","",IF(Quotes!I104="","",Quotes!I104))</f>
        <v/>
      </c>
      <c r="J104" s="19" t="str">
        <f>IF(Quotes!$A104="","",IF(Quotes!AD104="","",Quotes!AD104))</f>
        <v/>
      </c>
      <c r="K104" s="19" t="str">
        <f>IF(Quotes!$A104="","",IF(Quotes!AF104="","",Quotes!AF104))</f>
        <v/>
      </c>
      <c r="L104" s="18" t="str">
        <f>IF(Quotes!$A104="","",IF(Quotes!V104="","",Quotes!V104))</f>
        <v/>
      </c>
      <c r="M104" s="18" t="str">
        <f>IF(A104="","",HYPERLINK("#'Quotes'!A104","EDIT QUOTE"))</f>
        <v/>
      </c>
      <c r="N104" s="18" t="str">
        <f>IF(Quotes!$A104="","",IF(Quotes!C104="","",Quotes!C104))</f>
        <v/>
      </c>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row>
    <row r="105" spans="1:44" ht="40" customHeight="1" x14ac:dyDescent="0.35">
      <c r="A105" s="14" t="str">
        <f>IF(Quotes!$A105="","",IF(Quotes!A105="","",Quotes!A105))</f>
        <v/>
      </c>
      <c r="B105" s="14" t="str">
        <f>IF(Quotes!$A105="","",IF(Quotes!U105="","",Quotes!U105))</f>
        <v/>
      </c>
      <c r="C105" s="14" t="str">
        <f>IF(Quotes!$A105="","",IF(Quotes!Z105="","",Quotes!Z105))</f>
        <v/>
      </c>
      <c r="D105" s="22" t="str">
        <f>IF(Quotes!$A105="","",IF(Quotes!E105="","",Quotes!E105))</f>
        <v/>
      </c>
      <c r="E105" s="14" t="str">
        <f>IFERROR(IF(INDEX(Jobs!$P$9:$P$258,MATCH(Quotes!B105,Jobs!$A$9:$A$258,0))="","",HYPERLINK("#'"&amp;INDEX(Jobs!$P$9:$P$258,MATCH(Quotes!B105,Jobs!$A$9:$A$258,0))&amp;"'!A1","OPEN JOB")),"")</f>
        <v/>
      </c>
      <c r="F105" s="22" t="str">
        <f>IF(Quotes!$A105="","",IF(Quotes!F105="","",Quotes!F105))</f>
        <v/>
      </c>
      <c r="G105" s="23" t="str">
        <f>IF(Quotes!$A105="","",IF(Quotes!G105="","",Quotes!G105))</f>
        <v/>
      </c>
      <c r="H105" s="23" t="str">
        <f>IF(Quotes!$A105="","",IF(Quotes!H105="","",Quotes!H105))</f>
        <v/>
      </c>
      <c r="I105" s="22" t="str">
        <f>IF(Quotes!$A105="","",IF(Quotes!I105="","",Quotes!I105))</f>
        <v/>
      </c>
      <c r="J105" s="16" t="str">
        <f>IF(Quotes!$A105="","",IF(Quotes!AD105="","",Quotes!AD105))</f>
        <v/>
      </c>
      <c r="K105" s="16" t="str">
        <f>IF(Quotes!$A105="","",IF(Quotes!AF105="","",Quotes!AF105))</f>
        <v/>
      </c>
      <c r="L105" s="14" t="str">
        <f>IF(Quotes!$A105="","",IF(Quotes!V105="","",Quotes!V105))</f>
        <v/>
      </c>
      <c r="M105" s="14" t="str">
        <f>IF(A105="","",HYPERLINK("#'Quotes'!A105","EDIT QUOTE"))</f>
        <v/>
      </c>
      <c r="N105" s="14" t="str">
        <f>IF(Quotes!$A105="","",IF(Quotes!C105="","",Quotes!C105))</f>
        <v/>
      </c>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row>
    <row r="106" spans="1:44" ht="40" customHeight="1" x14ac:dyDescent="0.35">
      <c r="A106" s="18" t="str">
        <f>IF(Quotes!$A106="","",IF(Quotes!A106="","",Quotes!A106))</f>
        <v/>
      </c>
      <c r="B106" s="18" t="str">
        <f>IF(Quotes!$A106="","",IF(Quotes!U106="","",Quotes!U106))</f>
        <v/>
      </c>
      <c r="C106" s="18" t="str">
        <f>IF(Quotes!$A106="","",IF(Quotes!Z106="","",Quotes!Z106))</f>
        <v/>
      </c>
      <c r="D106" s="22" t="str">
        <f>IF(Quotes!$A106="","",IF(Quotes!E106="","",Quotes!E106))</f>
        <v/>
      </c>
      <c r="E106" s="18" t="str">
        <f>IFERROR(IF(INDEX(Jobs!$P$9:$P$258,MATCH(Quotes!B106,Jobs!$A$9:$A$258,0))="","",HYPERLINK("#'"&amp;INDEX(Jobs!$P$9:$P$258,MATCH(Quotes!B106,Jobs!$A$9:$A$258,0))&amp;"'!A1","OPEN JOB")),"")</f>
        <v/>
      </c>
      <c r="F106" s="22" t="str">
        <f>IF(Quotes!$A106="","",IF(Quotes!F106="","",Quotes!F106))</f>
        <v/>
      </c>
      <c r="G106" s="23" t="str">
        <f>IF(Quotes!$A106="","",IF(Quotes!G106="","",Quotes!G106))</f>
        <v/>
      </c>
      <c r="H106" s="23" t="str">
        <f>IF(Quotes!$A106="","",IF(Quotes!H106="","",Quotes!H106))</f>
        <v/>
      </c>
      <c r="I106" s="22" t="str">
        <f>IF(Quotes!$A106="","",IF(Quotes!I106="","",Quotes!I106))</f>
        <v/>
      </c>
      <c r="J106" s="19" t="str">
        <f>IF(Quotes!$A106="","",IF(Quotes!AD106="","",Quotes!AD106))</f>
        <v/>
      </c>
      <c r="K106" s="19" t="str">
        <f>IF(Quotes!$A106="","",IF(Quotes!AF106="","",Quotes!AF106))</f>
        <v/>
      </c>
      <c r="L106" s="18" t="str">
        <f>IF(Quotes!$A106="","",IF(Quotes!V106="","",Quotes!V106))</f>
        <v/>
      </c>
      <c r="M106" s="18" t="str">
        <f>IF(A106="","",HYPERLINK("#'Quotes'!A106","EDIT QUOTE"))</f>
        <v/>
      </c>
      <c r="N106" s="18" t="str">
        <f>IF(Quotes!$A106="","",IF(Quotes!C106="","",Quotes!C106))</f>
        <v/>
      </c>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row>
    <row r="107" spans="1:44" ht="40" customHeight="1" x14ac:dyDescent="0.35">
      <c r="A107" s="14" t="str">
        <f>IF(Quotes!$A107="","",IF(Quotes!A107="","",Quotes!A107))</f>
        <v/>
      </c>
      <c r="B107" s="14" t="str">
        <f>IF(Quotes!$A107="","",IF(Quotes!U107="","",Quotes!U107))</f>
        <v/>
      </c>
      <c r="C107" s="14" t="str">
        <f>IF(Quotes!$A107="","",IF(Quotes!Z107="","",Quotes!Z107))</f>
        <v/>
      </c>
      <c r="D107" s="22" t="str">
        <f>IF(Quotes!$A107="","",IF(Quotes!E107="","",Quotes!E107))</f>
        <v/>
      </c>
      <c r="E107" s="14" t="str">
        <f>IFERROR(IF(INDEX(Jobs!$P$9:$P$258,MATCH(Quotes!B107,Jobs!$A$9:$A$258,0))="","",HYPERLINK("#'"&amp;INDEX(Jobs!$P$9:$P$258,MATCH(Quotes!B107,Jobs!$A$9:$A$258,0))&amp;"'!A1","OPEN JOB")),"")</f>
        <v/>
      </c>
      <c r="F107" s="22" t="str">
        <f>IF(Quotes!$A107="","",IF(Quotes!F107="","",Quotes!F107))</f>
        <v/>
      </c>
      <c r="G107" s="23" t="str">
        <f>IF(Quotes!$A107="","",IF(Quotes!G107="","",Quotes!G107))</f>
        <v/>
      </c>
      <c r="H107" s="23" t="str">
        <f>IF(Quotes!$A107="","",IF(Quotes!H107="","",Quotes!H107))</f>
        <v/>
      </c>
      <c r="I107" s="22" t="str">
        <f>IF(Quotes!$A107="","",IF(Quotes!I107="","",Quotes!I107))</f>
        <v/>
      </c>
      <c r="J107" s="16" t="str">
        <f>IF(Quotes!$A107="","",IF(Quotes!AD107="","",Quotes!AD107))</f>
        <v/>
      </c>
      <c r="K107" s="16" t="str">
        <f>IF(Quotes!$A107="","",IF(Quotes!AF107="","",Quotes!AF107))</f>
        <v/>
      </c>
      <c r="L107" s="14" t="str">
        <f>IF(Quotes!$A107="","",IF(Quotes!V107="","",Quotes!V107))</f>
        <v/>
      </c>
      <c r="M107" s="14" t="str">
        <f>IF(A107="","",HYPERLINK("#'Quotes'!A107","EDIT QUOTE"))</f>
        <v/>
      </c>
      <c r="N107" s="14" t="str">
        <f>IF(Quotes!$A107="","",IF(Quotes!C107="","",Quotes!C107))</f>
        <v/>
      </c>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row>
    <row r="108" spans="1:44" ht="40" customHeight="1" x14ac:dyDescent="0.35">
      <c r="A108" s="18" t="str">
        <f>IF(Quotes!$A108="","",IF(Quotes!A108="","",Quotes!A108))</f>
        <v/>
      </c>
      <c r="B108" s="18" t="str">
        <f>IF(Quotes!$A108="","",IF(Quotes!U108="","",Quotes!U108))</f>
        <v/>
      </c>
      <c r="C108" s="18" t="str">
        <f>IF(Quotes!$A108="","",IF(Quotes!Z108="","",Quotes!Z108))</f>
        <v/>
      </c>
      <c r="D108" s="22" t="str">
        <f>IF(Quotes!$A108="","",IF(Quotes!E108="","",Quotes!E108))</f>
        <v/>
      </c>
      <c r="E108" s="18" t="str">
        <f>IFERROR(IF(INDEX(Jobs!$P$9:$P$258,MATCH(Quotes!B108,Jobs!$A$9:$A$258,0))="","",HYPERLINK("#'"&amp;INDEX(Jobs!$P$9:$P$258,MATCH(Quotes!B108,Jobs!$A$9:$A$258,0))&amp;"'!A1","OPEN JOB")),"")</f>
        <v/>
      </c>
      <c r="F108" s="22" t="str">
        <f>IF(Quotes!$A108="","",IF(Quotes!F108="","",Quotes!F108))</f>
        <v/>
      </c>
      <c r="G108" s="23" t="str">
        <f>IF(Quotes!$A108="","",IF(Quotes!G108="","",Quotes!G108))</f>
        <v/>
      </c>
      <c r="H108" s="23" t="str">
        <f>IF(Quotes!$A108="","",IF(Quotes!H108="","",Quotes!H108))</f>
        <v/>
      </c>
      <c r="I108" s="22" t="str">
        <f>IF(Quotes!$A108="","",IF(Quotes!I108="","",Quotes!I108))</f>
        <v/>
      </c>
      <c r="J108" s="19" t="str">
        <f>IF(Quotes!$A108="","",IF(Quotes!AD108="","",Quotes!AD108))</f>
        <v/>
      </c>
      <c r="K108" s="19" t="str">
        <f>IF(Quotes!$A108="","",IF(Quotes!AF108="","",Quotes!AF108))</f>
        <v/>
      </c>
      <c r="L108" s="18" t="str">
        <f>IF(Quotes!$A108="","",IF(Quotes!V108="","",Quotes!V108))</f>
        <v/>
      </c>
      <c r="M108" s="18" t="str">
        <f>IF(A108="","",HYPERLINK("#'Quotes'!A108","EDIT QUOTE"))</f>
        <v/>
      </c>
      <c r="N108" s="18" t="str">
        <f>IF(Quotes!$A108="","",IF(Quotes!C108="","",Quotes!C108))</f>
        <v/>
      </c>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row>
    <row r="109" spans="1:44" ht="40" customHeight="1" x14ac:dyDescent="0.35">
      <c r="A109" s="14" t="str">
        <f>IF(Quotes!$A109="","",IF(Quotes!A109="","",Quotes!A109))</f>
        <v/>
      </c>
      <c r="B109" s="14" t="str">
        <f>IF(Quotes!$A109="","",IF(Quotes!U109="","",Quotes!U109))</f>
        <v/>
      </c>
      <c r="C109" s="14" t="str">
        <f>IF(Quotes!$A109="","",IF(Quotes!Z109="","",Quotes!Z109))</f>
        <v/>
      </c>
      <c r="D109" s="22" t="str">
        <f>IF(Quotes!$A109="","",IF(Quotes!E109="","",Quotes!E109))</f>
        <v/>
      </c>
      <c r="E109" s="14" t="str">
        <f>IFERROR(IF(INDEX(Jobs!$P$9:$P$258,MATCH(Quotes!B109,Jobs!$A$9:$A$258,0))="","",HYPERLINK("#'"&amp;INDEX(Jobs!$P$9:$P$258,MATCH(Quotes!B109,Jobs!$A$9:$A$258,0))&amp;"'!A1","OPEN JOB")),"")</f>
        <v/>
      </c>
      <c r="F109" s="22" t="str">
        <f>IF(Quotes!$A109="","",IF(Quotes!F109="","",Quotes!F109))</f>
        <v/>
      </c>
      <c r="G109" s="23" t="str">
        <f>IF(Quotes!$A109="","",IF(Quotes!G109="","",Quotes!G109))</f>
        <v/>
      </c>
      <c r="H109" s="23" t="str">
        <f>IF(Quotes!$A109="","",IF(Quotes!H109="","",Quotes!H109))</f>
        <v/>
      </c>
      <c r="I109" s="22" t="str">
        <f>IF(Quotes!$A109="","",IF(Quotes!I109="","",Quotes!I109))</f>
        <v/>
      </c>
      <c r="J109" s="16" t="str">
        <f>IF(Quotes!$A109="","",IF(Quotes!AD109="","",Quotes!AD109))</f>
        <v/>
      </c>
      <c r="K109" s="16" t="str">
        <f>IF(Quotes!$A109="","",IF(Quotes!AF109="","",Quotes!AF109))</f>
        <v/>
      </c>
      <c r="L109" s="14" t="str">
        <f>IF(Quotes!$A109="","",IF(Quotes!V109="","",Quotes!V109))</f>
        <v/>
      </c>
      <c r="M109" s="14" t="str">
        <f>IF(A109="","",HYPERLINK("#'Quotes'!A109","EDIT QUOTE"))</f>
        <v/>
      </c>
      <c r="N109" s="14" t="str">
        <f>IF(Quotes!$A109="","",IF(Quotes!C109="","",Quotes!C109))</f>
        <v/>
      </c>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row>
    <row r="110" spans="1:44" ht="40" customHeight="1" x14ac:dyDescent="0.35">
      <c r="A110" s="18" t="str">
        <f>IF(Quotes!$A110="","",IF(Quotes!A110="","",Quotes!A110))</f>
        <v/>
      </c>
      <c r="B110" s="18" t="str">
        <f>IF(Quotes!$A110="","",IF(Quotes!U110="","",Quotes!U110))</f>
        <v/>
      </c>
      <c r="C110" s="18" t="str">
        <f>IF(Quotes!$A110="","",IF(Quotes!Z110="","",Quotes!Z110))</f>
        <v/>
      </c>
      <c r="D110" s="22" t="str">
        <f>IF(Quotes!$A110="","",IF(Quotes!E110="","",Quotes!E110))</f>
        <v/>
      </c>
      <c r="E110" s="18" t="str">
        <f>IFERROR(IF(INDEX(Jobs!$P$9:$P$258,MATCH(Quotes!B110,Jobs!$A$9:$A$258,0))="","",HYPERLINK("#'"&amp;INDEX(Jobs!$P$9:$P$258,MATCH(Quotes!B110,Jobs!$A$9:$A$258,0))&amp;"'!A1","OPEN JOB")),"")</f>
        <v/>
      </c>
      <c r="F110" s="22" t="str">
        <f>IF(Quotes!$A110="","",IF(Quotes!F110="","",Quotes!F110))</f>
        <v/>
      </c>
      <c r="G110" s="23" t="str">
        <f>IF(Quotes!$A110="","",IF(Quotes!G110="","",Quotes!G110))</f>
        <v/>
      </c>
      <c r="H110" s="23" t="str">
        <f>IF(Quotes!$A110="","",IF(Quotes!H110="","",Quotes!H110))</f>
        <v/>
      </c>
      <c r="I110" s="22" t="str">
        <f>IF(Quotes!$A110="","",IF(Quotes!I110="","",Quotes!I110))</f>
        <v/>
      </c>
      <c r="J110" s="19" t="str">
        <f>IF(Quotes!$A110="","",IF(Quotes!AD110="","",Quotes!AD110))</f>
        <v/>
      </c>
      <c r="K110" s="19" t="str">
        <f>IF(Quotes!$A110="","",IF(Quotes!AF110="","",Quotes!AF110))</f>
        <v/>
      </c>
      <c r="L110" s="18" t="str">
        <f>IF(Quotes!$A110="","",IF(Quotes!V110="","",Quotes!V110))</f>
        <v/>
      </c>
      <c r="M110" s="18" t="str">
        <f>IF(A110="","",HYPERLINK("#'Quotes'!A110","EDIT QUOTE"))</f>
        <v/>
      </c>
      <c r="N110" s="18" t="str">
        <f>IF(Quotes!$A110="","",IF(Quotes!C110="","",Quotes!C110))</f>
        <v/>
      </c>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row>
    <row r="111" spans="1:44" ht="40" customHeight="1" x14ac:dyDescent="0.35">
      <c r="A111" s="14" t="str">
        <f>IF(Quotes!$A111="","",IF(Quotes!A111="","",Quotes!A111))</f>
        <v/>
      </c>
      <c r="B111" s="14" t="str">
        <f>IF(Quotes!$A111="","",IF(Quotes!U111="","",Quotes!U111))</f>
        <v/>
      </c>
      <c r="C111" s="14" t="str">
        <f>IF(Quotes!$A111="","",IF(Quotes!Z111="","",Quotes!Z111))</f>
        <v/>
      </c>
      <c r="D111" s="22" t="str">
        <f>IF(Quotes!$A111="","",IF(Quotes!E111="","",Quotes!E111))</f>
        <v/>
      </c>
      <c r="E111" s="14" t="str">
        <f>IFERROR(IF(INDEX(Jobs!$P$9:$P$258,MATCH(Quotes!B111,Jobs!$A$9:$A$258,0))="","",HYPERLINK("#'"&amp;INDEX(Jobs!$P$9:$P$258,MATCH(Quotes!B111,Jobs!$A$9:$A$258,0))&amp;"'!A1","OPEN JOB")),"")</f>
        <v/>
      </c>
      <c r="F111" s="22" t="str">
        <f>IF(Quotes!$A111="","",IF(Quotes!F111="","",Quotes!F111))</f>
        <v/>
      </c>
      <c r="G111" s="23" t="str">
        <f>IF(Quotes!$A111="","",IF(Quotes!G111="","",Quotes!G111))</f>
        <v/>
      </c>
      <c r="H111" s="23" t="str">
        <f>IF(Quotes!$A111="","",IF(Quotes!H111="","",Quotes!H111))</f>
        <v/>
      </c>
      <c r="I111" s="22" t="str">
        <f>IF(Quotes!$A111="","",IF(Quotes!I111="","",Quotes!I111))</f>
        <v/>
      </c>
      <c r="J111" s="16" t="str">
        <f>IF(Quotes!$A111="","",IF(Quotes!AD111="","",Quotes!AD111))</f>
        <v/>
      </c>
      <c r="K111" s="16" t="str">
        <f>IF(Quotes!$A111="","",IF(Quotes!AF111="","",Quotes!AF111))</f>
        <v/>
      </c>
      <c r="L111" s="14" t="str">
        <f>IF(Quotes!$A111="","",IF(Quotes!V111="","",Quotes!V111))</f>
        <v/>
      </c>
      <c r="M111" s="14" t="str">
        <f>IF(A111="","",HYPERLINK("#'Quotes'!A111","EDIT QUOTE"))</f>
        <v/>
      </c>
      <c r="N111" s="14" t="str">
        <f>IF(Quotes!$A111="","",IF(Quotes!C111="","",Quotes!C111))</f>
        <v/>
      </c>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row>
    <row r="112" spans="1:44" ht="40" customHeight="1" x14ac:dyDescent="0.35">
      <c r="A112" s="18" t="str">
        <f>IF(Quotes!$A112="","",IF(Quotes!A112="","",Quotes!A112))</f>
        <v/>
      </c>
      <c r="B112" s="18" t="str">
        <f>IF(Quotes!$A112="","",IF(Quotes!U112="","",Quotes!U112))</f>
        <v/>
      </c>
      <c r="C112" s="18" t="str">
        <f>IF(Quotes!$A112="","",IF(Quotes!Z112="","",Quotes!Z112))</f>
        <v/>
      </c>
      <c r="D112" s="22" t="str">
        <f>IF(Quotes!$A112="","",IF(Quotes!E112="","",Quotes!E112))</f>
        <v/>
      </c>
      <c r="E112" s="18" t="str">
        <f>IFERROR(IF(INDEX(Jobs!$P$9:$P$258,MATCH(Quotes!B112,Jobs!$A$9:$A$258,0))="","",HYPERLINK("#'"&amp;INDEX(Jobs!$P$9:$P$258,MATCH(Quotes!B112,Jobs!$A$9:$A$258,0))&amp;"'!A1","OPEN JOB")),"")</f>
        <v/>
      </c>
      <c r="F112" s="22" t="str">
        <f>IF(Quotes!$A112="","",IF(Quotes!F112="","",Quotes!F112))</f>
        <v/>
      </c>
      <c r="G112" s="23" t="str">
        <f>IF(Quotes!$A112="","",IF(Quotes!G112="","",Quotes!G112))</f>
        <v/>
      </c>
      <c r="H112" s="23" t="str">
        <f>IF(Quotes!$A112="","",IF(Quotes!H112="","",Quotes!H112))</f>
        <v/>
      </c>
      <c r="I112" s="22" t="str">
        <f>IF(Quotes!$A112="","",IF(Quotes!I112="","",Quotes!I112))</f>
        <v/>
      </c>
      <c r="J112" s="19" t="str">
        <f>IF(Quotes!$A112="","",IF(Quotes!AD112="","",Quotes!AD112))</f>
        <v/>
      </c>
      <c r="K112" s="19" t="str">
        <f>IF(Quotes!$A112="","",IF(Quotes!AF112="","",Quotes!AF112))</f>
        <v/>
      </c>
      <c r="L112" s="18" t="str">
        <f>IF(Quotes!$A112="","",IF(Quotes!V112="","",Quotes!V112))</f>
        <v/>
      </c>
      <c r="M112" s="18" t="str">
        <f>IF(A112="","",HYPERLINK("#'Quotes'!A112","EDIT QUOTE"))</f>
        <v/>
      </c>
      <c r="N112" s="18" t="str">
        <f>IF(Quotes!$A112="","",IF(Quotes!C112="","",Quotes!C112))</f>
        <v/>
      </c>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row>
    <row r="113" spans="1:44" ht="40" customHeight="1" x14ac:dyDescent="0.35">
      <c r="A113" s="14" t="str">
        <f>IF(Quotes!$A113="","",IF(Quotes!A113="","",Quotes!A113))</f>
        <v/>
      </c>
      <c r="B113" s="14" t="str">
        <f>IF(Quotes!$A113="","",IF(Quotes!U113="","",Quotes!U113))</f>
        <v/>
      </c>
      <c r="C113" s="14" t="str">
        <f>IF(Quotes!$A113="","",IF(Quotes!Z113="","",Quotes!Z113))</f>
        <v/>
      </c>
      <c r="D113" s="22" t="str">
        <f>IF(Quotes!$A113="","",IF(Quotes!E113="","",Quotes!E113))</f>
        <v/>
      </c>
      <c r="E113" s="14" t="str">
        <f>IFERROR(IF(INDEX(Jobs!$P$9:$P$258,MATCH(Quotes!B113,Jobs!$A$9:$A$258,0))="","",HYPERLINK("#'"&amp;INDEX(Jobs!$P$9:$P$258,MATCH(Quotes!B113,Jobs!$A$9:$A$258,0))&amp;"'!A1","OPEN JOB")),"")</f>
        <v/>
      </c>
      <c r="F113" s="22" t="str">
        <f>IF(Quotes!$A113="","",IF(Quotes!F113="","",Quotes!F113))</f>
        <v/>
      </c>
      <c r="G113" s="23" t="str">
        <f>IF(Quotes!$A113="","",IF(Quotes!G113="","",Quotes!G113))</f>
        <v/>
      </c>
      <c r="H113" s="23" t="str">
        <f>IF(Quotes!$A113="","",IF(Quotes!H113="","",Quotes!H113))</f>
        <v/>
      </c>
      <c r="I113" s="22" t="str">
        <f>IF(Quotes!$A113="","",IF(Quotes!I113="","",Quotes!I113))</f>
        <v/>
      </c>
      <c r="J113" s="16" t="str">
        <f>IF(Quotes!$A113="","",IF(Quotes!AD113="","",Quotes!AD113))</f>
        <v/>
      </c>
      <c r="K113" s="16" t="str">
        <f>IF(Quotes!$A113="","",IF(Quotes!AF113="","",Quotes!AF113))</f>
        <v/>
      </c>
      <c r="L113" s="14" t="str">
        <f>IF(Quotes!$A113="","",IF(Quotes!V113="","",Quotes!V113))</f>
        <v/>
      </c>
      <c r="M113" s="14" t="str">
        <f>IF(A113="","",HYPERLINK("#'Quotes'!A113","EDIT QUOTE"))</f>
        <v/>
      </c>
      <c r="N113" s="14" t="str">
        <f>IF(Quotes!$A113="","",IF(Quotes!C113="","",Quotes!C113))</f>
        <v/>
      </c>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row>
    <row r="114" spans="1:44" ht="40" customHeight="1" x14ac:dyDescent="0.35">
      <c r="A114" s="18" t="str">
        <f>IF(Quotes!$A114="","",IF(Quotes!A114="","",Quotes!A114))</f>
        <v/>
      </c>
      <c r="B114" s="18" t="str">
        <f>IF(Quotes!$A114="","",IF(Quotes!U114="","",Quotes!U114))</f>
        <v/>
      </c>
      <c r="C114" s="18" t="str">
        <f>IF(Quotes!$A114="","",IF(Quotes!Z114="","",Quotes!Z114))</f>
        <v/>
      </c>
      <c r="D114" s="22" t="str">
        <f>IF(Quotes!$A114="","",IF(Quotes!E114="","",Quotes!E114))</f>
        <v/>
      </c>
      <c r="E114" s="18" t="str">
        <f>IFERROR(IF(INDEX(Jobs!$P$9:$P$258,MATCH(Quotes!B114,Jobs!$A$9:$A$258,0))="","",HYPERLINK("#'"&amp;INDEX(Jobs!$P$9:$P$258,MATCH(Quotes!B114,Jobs!$A$9:$A$258,0))&amp;"'!A1","OPEN JOB")),"")</f>
        <v/>
      </c>
      <c r="F114" s="22" t="str">
        <f>IF(Quotes!$A114="","",IF(Quotes!F114="","",Quotes!F114))</f>
        <v/>
      </c>
      <c r="G114" s="23" t="str">
        <f>IF(Quotes!$A114="","",IF(Quotes!G114="","",Quotes!G114))</f>
        <v/>
      </c>
      <c r="H114" s="23" t="str">
        <f>IF(Quotes!$A114="","",IF(Quotes!H114="","",Quotes!H114))</f>
        <v/>
      </c>
      <c r="I114" s="22" t="str">
        <f>IF(Quotes!$A114="","",IF(Quotes!I114="","",Quotes!I114))</f>
        <v/>
      </c>
      <c r="J114" s="19" t="str">
        <f>IF(Quotes!$A114="","",IF(Quotes!AD114="","",Quotes!AD114))</f>
        <v/>
      </c>
      <c r="K114" s="19" t="str">
        <f>IF(Quotes!$A114="","",IF(Quotes!AF114="","",Quotes!AF114))</f>
        <v/>
      </c>
      <c r="L114" s="18" t="str">
        <f>IF(Quotes!$A114="","",IF(Quotes!V114="","",Quotes!V114))</f>
        <v/>
      </c>
      <c r="M114" s="18" t="str">
        <f>IF(A114="","",HYPERLINK("#'Quotes'!A114","EDIT QUOTE"))</f>
        <v/>
      </c>
      <c r="N114" s="18" t="str">
        <f>IF(Quotes!$A114="","",IF(Quotes!C114="","",Quotes!C114))</f>
        <v/>
      </c>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row>
    <row r="115" spans="1:44" ht="40" customHeight="1" x14ac:dyDescent="0.35">
      <c r="A115" s="14" t="str">
        <f>IF(Quotes!$A115="","",IF(Quotes!A115="","",Quotes!A115))</f>
        <v/>
      </c>
      <c r="B115" s="14" t="str">
        <f>IF(Quotes!$A115="","",IF(Quotes!U115="","",Quotes!U115))</f>
        <v/>
      </c>
      <c r="C115" s="14" t="str">
        <f>IF(Quotes!$A115="","",IF(Quotes!Z115="","",Quotes!Z115))</f>
        <v/>
      </c>
      <c r="D115" s="22" t="str">
        <f>IF(Quotes!$A115="","",IF(Quotes!E115="","",Quotes!E115))</f>
        <v/>
      </c>
      <c r="E115" s="14" t="str">
        <f>IFERROR(IF(INDEX(Jobs!$P$9:$P$258,MATCH(Quotes!B115,Jobs!$A$9:$A$258,0))="","",HYPERLINK("#'"&amp;INDEX(Jobs!$P$9:$P$258,MATCH(Quotes!B115,Jobs!$A$9:$A$258,0))&amp;"'!A1","OPEN JOB")),"")</f>
        <v/>
      </c>
      <c r="F115" s="22" t="str">
        <f>IF(Quotes!$A115="","",IF(Quotes!F115="","",Quotes!F115))</f>
        <v/>
      </c>
      <c r="G115" s="23" t="str">
        <f>IF(Quotes!$A115="","",IF(Quotes!G115="","",Quotes!G115))</f>
        <v/>
      </c>
      <c r="H115" s="23" t="str">
        <f>IF(Quotes!$A115="","",IF(Quotes!H115="","",Quotes!H115))</f>
        <v/>
      </c>
      <c r="I115" s="22" t="str">
        <f>IF(Quotes!$A115="","",IF(Quotes!I115="","",Quotes!I115))</f>
        <v/>
      </c>
      <c r="J115" s="16" t="str">
        <f>IF(Quotes!$A115="","",IF(Quotes!AD115="","",Quotes!AD115))</f>
        <v/>
      </c>
      <c r="K115" s="16" t="str">
        <f>IF(Quotes!$A115="","",IF(Quotes!AF115="","",Quotes!AF115))</f>
        <v/>
      </c>
      <c r="L115" s="14" t="str">
        <f>IF(Quotes!$A115="","",IF(Quotes!V115="","",Quotes!V115))</f>
        <v/>
      </c>
      <c r="M115" s="14" t="str">
        <f>IF(A115="","",HYPERLINK("#'Quotes'!A115","EDIT QUOTE"))</f>
        <v/>
      </c>
      <c r="N115" s="14" t="str">
        <f>IF(Quotes!$A115="","",IF(Quotes!C115="","",Quotes!C115))</f>
        <v/>
      </c>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row>
    <row r="116" spans="1:44" ht="40" customHeight="1" x14ac:dyDescent="0.35">
      <c r="A116" s="18" t="str">
        <f>IF(Quotes!$A116="","",IF(Quotes!A116="","",Quotes!A116))</f>
        <v/>
      </c>
      <c r="B116" s="18" t="str">
        <f>IF(Quotes!$A116="","",IF(Quotes!U116="","",Quotes!U116))</f>
        <v/>
      </c>
      <c r="C116" s="18" t="str">
        <f>IF(Quotes!$A116="","",IF(Quotes!Z116="","",Quotes!Z116))</f>
        <v/>
      </c>
      <c r="D116" s="22" t="str">
        <f>IF(Quotes!$A116="","",IF(Quotes!E116="","",Quotes!E116))</f>
        <v/>
      </c>
      <c r="E116" s="18" t="str">
        <f>IFERROR(IF(INDEX(Jobs!$P$9:$P$258,MATCH(Quotes!B116,Jobs!$A$9:$A$258,0))="","",HYPERLINK("#'"&amp;INDEX(Jobs!$P$9:$P$258,MATCH(Quotes!B116,Jobs!$A$9:$A$258,0))&amp;"'!A1","OPEN JOB")),"")</f>
        <v/>
      </c>
      <c r="F116" s="22" t="str">
        <f>IF(Quotes!$A116="","",IF(Quotes!F116="","",Quotes!F116))</f>
        <v/>
      </c>
      <c r="G116" s="23" t="str">
        <f>IF(Quotes!$A116="","",IF(Quotes!G116="","",Quotes!G116))</f>
        <v/>
      </c>
      <c r="H116" s="23" t="str">
        <f>IF(Quotes!$A116="","",IF(Quotes!H116="","",Quotes!H116))</f>
        <v/>
      </c>
      <c r="I116" s="22" t="str">
        <f>IF(Quotes!$A116="","",IF(Quotes!I116="","",Quotes!I116))</f>
        <v/>
      </c>
      <c r="J116" s="19" t="str">
        <f>IF(Quotes!$A116="","",IF(Quotes!AD116="","",Quotes!AD116))</f>
        <v/>
      </c>
      <c r="K116" s="19" t="str">
        <f>IF(Quotes!$A116="","",IF(Quotes!AF116="","",Quotes!AF116))</f>
        <v/>
      </c>
      <c r="L116" s="18" t="str">
        <f>IF(Quotes!$A116="","",IF(Quotes!V116="","",Quotes!V116))</f>
        <v/>
      </c>
      <c r="M116" s="18" t="str">
        <f>IF(A116="","",HYPERLINK("#'Quotes'!A116","EDIT QUOTE"))</f>
        <v/>
      </c>
      <c r="N116" s="18" t="str">
        <f>IF(Quotes!$A116="","",IF(Quotes!C116="","",Quotes!C116))</f>
        <v/>
      </c>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row>
    <row r="117" spans="1:44" ht="40" customHeight="1" x14ac:dyDescent="0.35">
      <c r="A117" s="14" t="str">
        <f>IF(Quotes!$A117="","",IF(Quotes!A117="","",Quotes!A117))</f>
        <v/>
      </c>
      <c r="B117" s="14" t="str">
        <f>IF(Quotes!$A117="","",IF(Quotes!U117="","",Quotes!U117))</f>
        <v/>
      </c>
      <c r="C117" s="14" t="str">
        <f>IF(Quotes!$A117="","",IF(Quotes!Z117="","",Quotes!Z117))</f>
        <v/>
      </c>
      <c r="D117" s="22" t="str">
        <f>IF(Quotes!$A117="","",IF(Quotes!E117="","",Quotes!E117))</f>
        <v/>
      </c>
      <c r="E117" s="14" t="str">
        <f>IFERROR(IF(INDEX(Jobs!$P$9:$P$258,MATCH(Quotes!B117,Jobs!$A$9:$A$258,0))="","",HYPERLINK("#'"&amp;INDEX(Jobs!$P$9:$P$258,MATCH(Quotes!B117,Jobs!$A$9:$A$258,0))&amp;"'!A1","OPEN JOB")),"")</f>
        <v/>
      </c>
      <c r="F117" s="22" t="str">
        <f>IF(Quotes!$A117="","",IF(Quotes!F117="","",Quotes!F117))</f>
        <v/>
      </c>
      <c r="G117" s="23" t="str">
        <f>IF(Quotes!$A117="","",IF(Quotes!G117="","",Quotes!G117))</f>
        <v/>
      </c>
      <c r="H117" s="23" t="str">
        <f>IF(Quotes!$A117="","",IF(Quotes!H117="","",Quotes!H117))</f>
        <v/>
      </c>
      <c r="I117" s="22" t="str">
        <f>IF(Quotes!$A117="","",IF(Quotes!I117="","",Quotes!I117))</f>
        <v/>
      </c>
      <c r="J117" s="16" t="str">
        <f>IF(Quotes!$A117="","",IF(Quotes!AD117="","",Quotes!AD117))</f>
        <v/>
      </c>
      <c r="K117" s="16" t="str">
        <f>IF(Quotes!$A117="","",IF(Quotes!AF117="","",Quotes!AF117))</f>
        <v/>
      </c>
      <c r="L117" s="14" t="str">
        <f>IF(Quotes!$A117="","",IF(Quotes!V117="","",Quotes!V117))</f>
        <v/>
      </c>
      <c r="M117" s="14" t="str">
        <f>IF(A117="","",HYPERLINK("#'Quotes'!A117","EDIT QUOTE"))</f>
        <v/>
      </c>
      <c r="N117" s="14" t="str">
        <f>IF(Quotes!$A117="","",IF(Quotes!C117="","",Quotes!C117))</f>
        <v/>
      </c>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row>
    <row r="118" spans="1:44" ht="40" customHeight="1" x14ac:dyDescent="0.35">
      <c r="A118" s="18" t="str">
        <f>IF(Quotes!$A118="","",IF(Quotes!A118="","",Quotes!A118))</f>
        <v/>
      </c>
      <c r="B118" s="18" t="str">
        <f>IF(Quotes!$A118="","",IF(Quotes!U118="","",Quotes!U118))</f>
        <v/>
      </c>
      <c r="C118" s="18" t="str">
        <f>IF(Quotes!$A118="","",IF(Quotes!Z118="","",Quotes!Z118))</f>
        <v/>
      </c>
      <c r="D118" s="22" t="str">
        <f>IF(Quotes!$A118="","",IF(Quotes!E118="","",Quotes!E118))</f>
        <v/>
      </c>
      <c r="E118" s="18" t="str">
        <f>IFERROR(IF(INDEX(Jobs!$P$9:$P$258,MATCH(Quotes!B118,Jobs!$A$9:$A$258,0))="","",HYPERLINK("#'"&amp;INDEX(Jobs!$P$9:$P$258,MATCH(Quotes!B118,Jobs!$A$9:$A$258,0))&amp;"'!A1","OPEN JOB")),"")</f>
        <v/>
      </c>
      <c r="F118" s="22" t="str">
        <f>IF(Quotes!$A118="","",IF(Quotes!F118="","",Quotes!F118))</f>
        <v/>
      </c>
      <c r="G118" s="23" t="str">
        <f>IF(Quotes!$A118="","",IF(Quotes!G118="","",Quotes!G118))</f>
        <v/>
      </c>
      <c r="H118" s="23" t="str">
        <f>IF(Quotes!$A118="","",IF(Quotes!H118="","",Quotes!H118))</f>
        <v/>
      </c>
      <c r="I118" s="22" t="str">
        <f>IF(Quotes!$A118="","",IF(Quotes!I118="","",Quotes!I118))</f>
        <v/>
      </c>
      <c r="J118" s="19" t="str">
        <f>IF(Quotes!$A118="","",IF(Quotes!AD118="","",Quotes!AD118))</f>
        <v/>
      </c>
      <c r="K118" s="19" t="str">
        <f>IF(Quotes!$A118="","",IF(Quotes!AF118="","",Quotes!AF118))</f>
        <v/>
      </c>
      <c r="L118" s="18" t="str">
        <f>IF(Quotes!$A118="","",IF(Quotes!V118="","",Quotes!V118))</f>
        <v/>
      </c>
      <c r="M118" s="18" t="str">
        <f>IF(A118="","",HYPERLINK("#'Quotes'!A118","EDIT QUOTE"))</f>
        <v/>
      </c>
      <c r="N118" s="18" t="str">
        <f>IF(Quotes!$A118="","",IF(Quotes!C118="","",Quotes!C118))</f>
        <v/>
      </c>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row>
    <row r="119" spans="1:44" ht="40" customHeight="1" x14ac:dyDescent="0.35">
      <c r="A119" s="14" t="str">
        <f>IF(Quotes!$A119="","",IF(Quotes!A119="","",Quotes!A119))</f>
        <v/>
      </c>
      <c r="B119" s="14" t="str">
        <f>IF(Quotes!$A119="","",IF(Quotes!U119="","",Quotes!U119))</f>
        <v/>
      </c>
      <c r="C119" s="14" t="str">
        <f>IF(Quotes!$A119="","",IF(Quotes!Z119="","",Quotes!Z119))</f>
        <v/>
      </c>
      <c r="D119" s="22" t="str">
        <f>IF(Quotes!$A119="","",IF(Quotes!E119="","",Quotes!E119))</f>
        <v/>
      </c>
      <c r="E119" s="14" t="str">
        <f>IFERROR(IF(INDEX(Jobs!$P$9:$P$258,MATCH(Quotes!B119,Jobs!$A$9:$A$258,0))="","",HYPERLINK("#'"&amp;INDEX(Jobs!$P$9:$P$258,MATCH(Quotes!B119,Jobs!$A$9:$A$258,0))&amp;"'!A1","OPEN JOB")),"")</f>
        <v/>
      </c>
      <c r="F119" s="22" t="str">
        <f>IF(Quotes!$A119="","",IF(Quotes!F119="","",Quotes!F119))</f>
        <v/>
      </c>
      <c r="G119" s="23" t="str">
        <f>IF(Quotes!$A119="","",IF(Quotes!G119="","",Quotes!G119))</f>
        <v/>
      </c>
      <c r="H119" s="23" t="str">
        <f>IF(Quotes!$A119="","",IF(Quotes!H119="","",Quotes!H119))</f>
        <v/>
      </c>
      <c r="I119" s="22" t="str">
        <f>IF(Quotes!$A119="","",IF(Quotes!I119="","",Quotes!I119))</f>
        <v/>
      </c>
      <c r="J119" s="16" t="str">
        <f>IF(Quotes!$A119="","",IF(Quotes!AD119="","",Quotes!AD119))</f>
        <v/>
      </c>
      <c r="K119" s="16" t="str">
        <f>IF(Quotes!$A119="","",IF(Quotes!AF119="","",Quotes!AF119))</f>
        <v/>
      </c>
      <c r="L119" s="14" t="str">
        <f>IF(Quotes!$A119="","",IF(Quotes!V119="","",Quotes!V119))</f>
        <v/>
      </c>
      <c r="M119" s="14" t="str">
        <f>IF(A119="","",HYPERLINK("#'Quotes'!A119","EDIT QUOTE"))</f>
        <v/>
      </c>
      <c r="N119" s="14" t="str">
        <f>IF(Quotes!$A119="","",IF(Quotes!C119="","",Quotes!C119))</f>
        <v/>
      </c>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row>
    <row r="120" spans="1:44" ht="40" customHeight="1" x14ac:dyDescent="0.35">
      <c r="A120" s="18" t="str">
        <f>IF(Quotes!$A120="","",IF(Quotes!A120="","",Quotes!A120))</f>
        <v/>
      </c>
      <c r="B120" s="18" t="str">
        <f>IF(Quotes!$A120="","",IF(Quotes!U120="","",Quotes!U120))</f>
        <v/>
      </c>
      <c r="C120" s="18" t="str">
        <f>IF(Quotes!$A120="","",IF(Quotes!Z120="","",Quotes!Z120))</f>
        <v/>
      </c>
      <c r="D120" s="22" t="str">
        <f>IF(Quotes!$A120="","",IF(Quotes!E120="","",Quotes!E120))</f>
        <v/>
      </c>
      <c r="E120" s="18" t="str">
        <f>IFERROR(IF(INDEX(Jobs!$P$9:$P$258,MATCH(Quotes!B120,Jobs!$A$9:$A$258,0))="","",HYPERLINK("#'"&amp;INDEX(Jobs!$P$9:$P$258,MATCH(Quotes!B120,Jobs!$A$9:$A$258,0))&amp;"'!A1","OPEN JOB")),"")</f>
        <v/>
      </c>
      <c r="F120" s="22" t="str">
        <f>IF(Quotes!$A120="","",IF(Quotes!F120="","",Quotes!F120))</f>
        <v/>
      </c>
      <c r="G120" s="23" t="str">
        <f>IF(Quotes!$A120="","",IF(Quotes!G120="","",Quotes!G120))</f>
        <v/>
      </c>
      <c r="H120" s="23" t="str">
        <f>IF(Quotes!$A120="","",IF(Quotes!H120="","",Quotes!H120))</f>
        <v/>
      </c>
      <c r="I120" s="22" t="str">
        <f>IF(Quotes!$A120="","",IF(Quotes!I120="","",Quotes!I120))</f>
        <v/>
      </c>
      <c r="J120" s="19" t="str">
        <f>IF(Quotes!$A120="","",IF(Quotes!AD120="","",Quotes!AD120))</f>
        <v/>
      </c>
      <c r="K120" s="19" t="str">
        <f>IF(Quotes!$A120="","",IF(Quotes!AF120="","",Quotes!AF120))</f>
        <v/>
      </c>
      <c r="L120" s="18" t="str">
        <f>IF(Quotes!$A120="","",IF(Quotes!V120="","",Quotes!V120))</f>
        <v/>
      </c>
      <c r="M120" s="18" t="str">
        <f>IF(A120="","",HYPERLINK("#'Quotes'!A120","EDIT QUOTE"))</f>
        <v/>
      </c>
      <c r="N120" s="18" t="str">
        <f>IF(Quotes!$A120="","",IF(Quotes!C120="","",Quotes!C120))</f>
        <v/>
      </c>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row>
    <row r="121" spans="1:44" ht="40" customHeight="1" x14ac:dyDescent="0.35">
      <c r="A121" s="14" t="str">
        <f>IF(Quotes!$A121="","",IF(Quotes!A121="","",Quotes!A121))</f>
        <v/>
      </c>
      <c r="B121" s="14" t="str">
        <f>IF(Quotes!$A121="","",IF(Quotes!U121="","",Quotes!U121))</f>
        <v/>
      </c>
      <c r="C121" s="14" t="str">
        <f>IF(Quotes!$A121="","",IF(Quotes!Z121="","",Quotes!Z121))</f>
        <v/>
      </c>
      <c r="D121" s="22" t="str">
        <f>IF(Quotes!$A121="","",IF(Quotes!E121="","",Quotes!E121))</f>
        <v/>
      </c>
      <c r="E121" s="14" t="str">
        <f>IFERROR(IF(INDEX(Jobs!$P$9:$P$258,MATCH(Quotes!B121,Jobs!$A$9:$A$258,0))="","",HYPERLINK("#'"&amp;INDEX(Jobs!$P$9:$P$258,MATCH(Quotes!B121,Jobs!$A$9:$A$258,0))&amp;"'!A1","OPEN JOB")),"")</f>
        <v/>
      </c>
      <c r="F121" s="22" t="str">
        <f>IF(Quotes!$A121="","",IF(Quotes!F121="","",Quotes!F121))</f>
        <v/>
      </c>
      <c r="G121" s="23" t="str">
        <f>IF(Quotes!$A121="","",IF(Quotes!G121="","",Quotes!G121))</f>
        <v/>
      </c>
      <c r="H121" s="23" t="str">
        <f>IF(Quotes!$A121="","",IF(Quotes!H121="","",Quotes!H121))</f>
        <v/>
      </c>
      <c r="I121" s="22" t="str">
        <f>IF(Quotes!$A121="","",IF(Quotes!I121="","",Quotes!I121))</f>
        <v/>
      </c>
      <c r="J121" s="16" t="str">
        <f>IF(Quotes!$A121="","",IF(Quotes!AD121="","",Quotes!AD121))</f>
        <v/>
      </c>
      <c r="K121" s="16" t="str">
        <f>IF(Quotes!$A121="","",IF(Quotes!AF121="","",Quotes!AF121))</f>
        <v/>
      </c>
      <c r="L121" s="14" t="str">
        <f>IF(Quotes!$A121="","",IF(Quotes!V121="","",Quotes!V121))</f>
        <v/>
      </c>
      <c r="M121" s="14" t="str">
        <f>IF(A121="","",HYPERLINK("#'Quotes'!A121","EDIT QUOTE"))</f>
        <v/>
      </c>
      <c r="N121" s="14" t="str">
        <f>IF(Quotes!$A121="","",IF(Quotes!C121="","",Quotes!C121))</f>
        <v/>
      </c>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row>
    <row r="122" spans="1:44" ht="40" customHeight="1" x14ac:dyDescent="0.35">
      <c r="A122" s="18" t="str">
        <f>IF(Quotes!$A122="","",IF(Quotes!A122="","",Quotes!A122))</f>
        <v/>
      </c>
      <c r="B122" s="18" t="str">
        <f>IF(Quotes!$A122="","",IF(Quotes!U122="","",Quotes!U122))</f>
        <v/>
      </c>
      <c r="C122" s="18" t="str">
        <f>IF(Quotes!$A122="","",IF(Quotes!Z122="","",Quotes!Z122))</f>
        <v/>
      </c>
      <c r="D122" s="22" t="str">
        <f>IF(Quotes!$A122="","",IF(Quotes!E122="","",Quotes!E122))</f>
        <v/>
      </c>
      <c r="E122" s="18" t="str">
        <f>IFERROR(IF(INDEX(Jobs!$P$9:$P$258,MATCH(Quotes!B122,Jobs!$A$9:$A$258,0))="","",HYPERLINK("#'"&amp;INDEX(Jobs!$P$9:$P$258,MATCH(Quotes!B122,Jobs!$A$9:$A$258,0))&amp;"'!A1","OPEN JOB")),"")</f>
        <v/>
      </c>
      <c r="F122" s="22" t="str">
        <f>IF(Quotes!$A122="","",IF(Quotes!F122="","",Quotes!F122))</f>
        <v/>
      </c>
      <c r="G122" s="23" t="str">
        <f>IF(Quotes!$A122="","",IF(Quotes!G122="","",Quotes!G122))</f>
        <v/>
      </c>
      <c r="H122" s="23" t="str">
        <f>IF(Quotes!$A122="","",IF(Quotes!H122="","",Quotes!H122))</f>
        <v/>
      </c>
      <c r="I122" s="22" t="str">
        <f>IF(Quotes!$A122="","",IF(Quotes!I122="","",Quotes!I122))</f>
        <v/>
      </c>
      <c r="J122" s="19" t="str">
        <f>IF(Quotes!$A122="","",IF(Quotes!AD122="","",Quotes!AD122))</f>
        <v/>
      </c>
      <c r="K122" s="19" t="str">
        <f>IF(Quotes!$A122="","",IF(Quotes!AF122="","",Quotes!AF122))</f>
        <v/>
      </c>
      <c r="L122" s="18" t="str">
        <f>IF(Quotes!$A122="","",IF(Quotes!V122="","",Quotes!V122))</f>
        <v/>
      </c>
      <c r="M122" s="18" t="str">
        <f>IF(A122="","",HYPERLINK("#'Quotes'!A122","EDIT QUOTE"))</f>
        <v/>
      </c>
      <c r="N122" s="18" t="str">
        <f>IF(Quotes!$A122="","",IF(Quotes!C122="","",Quotes!C122))</f>
        <v/>
      </c>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row>
    <row r="123" spans="1:44" ht="40" customHeight="1" x14ac:dyDescent="0.35">
      <c r="A123" s="14" t="str">
        <f>IF(Quotes!$A123="","",IF(Quotes!A123="","",Quotes!A123))</f>
        <v/>
      </c>
      <c r="B123" s="14" t="str">
        <f>IF(Quotes!$A123="","",IF(Quotes!U123="","",Quotes!U123))</f>
        <v/>
      </c>
      <c r="C123" s="14" t="str">
        <f>IF(Quotes!$A123="","",IF(Quotes!Z123="","",Quotes!Z123))</f>
        <v/>
      </c>
      <c r="D123" s="22" t="str">
        <f>IF(Quotes!$A123="","",IF(Quotes!E123="","",Quotes!E123))</f>
        <v/>
      </c>
      <c r="E123" s="14" t="str">
        <f>IFERROR(IF(INDEX(Jobs!$P$9:$P$258,MATCH(Quotes!B123,Jobs!$A$9:$A$258,0))="","",HYPERLINK("#'"&amp;INDEX(Jobs!$P$9:$P$258,MATCH(Quotes!B123,Jobs!$A$9:$A$258,0))&amp;"'!A1","OPEN JOB")),"")</f>
        <v/>
      </c>
      <c r="F123" s="22" t="str">
        <f>IF(Quotes!$A123="","",IF(Quotes!F123="","",Quotes!F123))</f>
        <v/>
      </c>
      <c r="G123" s="23" t="str">
        <f>IF(Quotes!$A123="","",IF(Quotes!G123="","",Quotes!G123))</f>
        <v/>
      </c>
      <c r="H123" s="23" t="str">
        <f>IF(Quotes!$A123="","",IF(Quotes!H123="","",Quotes!H123))</f>
        <v/>
      </c>
      <c r="I123" s="22" t="str">
        <f>IF(Quotes!$A123="","",IF(Quotes!I123="","",Quotes!I123))</f>
        <v/>
      </c>
      <c r="J123" s="16" t="str">
        <f>IF(Quotes!$A123="","",IF(Quotes!AD123="","",Quotes!AD123))</f>
        <v/>
      </c>
      <c r="K123" s="16" t="str">
        <f>IF(Quotes!$A123="","",IF(Quotes!AF123="","",Quotes!AF123))</f>
        <v/>
      </c>
      <c r="L123" s="14" t="str">
        <f>IF(Quotes!$A123="","",IF(Quotes!V123="","",Quotes!V123))</f>
        <v/>
      </c>
      <c r="M123" s="14" t="str">
        <f>IF(A123="","",HYPERLINK("#'Quotes'!A123","EDIT QUOTE"))</f>
        <v/>
      </c>
      <c r="N123" s="14" t="str">
        <f>IF(Quotes!$A123="","",IF(Quotes!C123="","",Quotes!C123))</f>
        <v/>
      </c>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row>
    <row r="124" spans="1:44" ht="40" customHeight="1" x14ac:dyDescent="0.35">
      <c r="A124" s="18" t="str">
        <f>IF(Quotes!$A124="","",IF(Quotes!A124="","",Quotes!A124))</f>
        <v/>
      </c>
      <c r="B124" s="18" t="str">
        <f>IF(Quotes!$A124="","",IF(Quotes!U124="","",Quotes!U124))</f>
        <v/>
      </c>
      <c r="C124" s="18" t="str">
        <f>IF(Quotes!$A124="","",IF(Quotes!Z124="","",Quotes!Z124))</f>
        <v/>
      </c>
      <c r="D124" s="22" t="str">
        <f>IF(Quotes!$A124="","",IF(Quotes!E124="","",Quotes!E124))</f>
        <v/>
      </c>
      <c r="E124" s="18" t="str">
        <f>IFERROR(IF(INDEX(Jobs!$P$9:$P$258,MATCH(Quotes!B124,Jobs!$A$9:$A$258,0))="","",HYPERLINK("#'"&amp;INDEX(Jobs!$P$9:$P$258,MATCH(Quotes!B124,Jobs!$A$9:$A$258,0))&amp;"'!A1","OPEN JOB")),"")</f>
        <v/>
      </c>
      <c r="F124" s="22" t="str">
        <f>IF(Quotes!$A124="","",IF(Quotes!F124="","",Quotes!F124))</f>
        <v/>
      </c>
      <c r="G124" s="23" t="str">
        <f>IF(Quotes!$A124="","",IF(Quotes!G124="","",Quotes!G124))</f>
        <v/>
      </c>
      <c r="H124" s="23" t="str">
        <f>IF(Quotes!$A124="","",IF(Quotes!H124="","",Quotes!H124))</f>
        <v/>
      </c>
      <c r="I124" s="22" t="str">
        <f>IF(Quotes!$A124="","",IF(Quotes!I124="","",Quotes!I124))</f>
        <v/>
      </c>
      <c r="J124" s="19" t="str">
        <f>IF(Quotes!$A124="","",IF(Quotes!AD124="","",Quotes!AD124))</f>
        <v/>
      </c>
      <c r="K124" s="19" t="str">
        <f>IF(Quotes!$A124="","",IF(Quotes!AF124="","",Quotes!AF124))</f>
        <v/>
      </c>
      <c r="L124" s="18" t="str">
        <f>IF(Quotes!$A124="","",IF(Quotes!V124="","",Quotes!V124))</f>
        <v/>
      </c>
      <c r="M124" s="18" t="str">
        <f>IF(A124="","",HYPERLINK("#'Quotes'!A124","EDIT QUOTE"))</f>
        <v/>
      </c>
      <c r="N124" s="18" t="str">
        <f>IF(Quotes!$A124="","",IF(Quotes!C124="","",Quotes!C124))</f>
        <v/>
      </c>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row>
    <row r="125" spans="1:44" ht="40" customHeight="1" x14ac:dyDescent="0.35">
      <c r="A125" s="14" t="str">
        <f>IF(Quotes!$A125="","",IF(Quotes!A125="","",Quotes!A125))</f>
        <v/>
      </c>
      <c r="B125" s="14" t="str">
        <f>IF(Quotes!$A125="","",IF(Quotes!U125="","",Quotes!U125))</f>
        <v/>
      </c>
      <c r="C125" s="14" t="str">
        <f>IF(Quotes!$A125="","",IF(Quotes!Z125="","",Quotes!Z125))</f>
        <v/>
      </c>
      <c r="D125" s="22" t="str">
        <f>IF(Quotes!$A125="","",IF(Quotes!E125="","",Quotes!E125))</f>
        <v/>
      </c>
      <c r="E125" s="14" t="str">
        <f>IFERROR(IF(INDEX(Jobs!$P$9:$P$258,MATCH(Quotes!B125,Jobs!$A$9:$A$258,0))="","",HYPERLINK("#'"&amp;INDEX(Jobs!$P$9:$P$258,MATCH(Quotes!B125,Jobs!$A$9:$A$258,0))&amp;"'!A1","OPEN JOB")),"")</f>
        <v/>
      </c>
      <c r="F125" s="22" t="str">
        <f>IF(Quotes!$A125="","",IF(Quotes!F125="","",Quotes!F125))</f>
        <v/>
      </c>
      <c r="G125" s="23" t="str">
        <f>IF(Quotes!$A125="","",IF(Quotes!G125="","",Quotes!G125))</f>
        <v/>
      </c>
      <c r="H125" s="23" t="str">
        <f>IF(Quotes!$A125="","",IF(Quotes!H125="","",Quotes!H125))</f>
        <v/>
      </c>
      <c r="I125" s="22" t="str">
        <f>IF(Quotes!$A125="","",IF(Quotes!I125="","",Quotes!I125))</f>
        <v/>
      </c>
      <c r="J125" s="16" t="str">
        <f>IF(Quotes!$A125="","",IF(Quotes!AD125="","",Quotes!AD125))</f>
        <v/>
      </c>
      <c r="K125" s="16" t="str">
        <f>IF(Quotes!$A125="","",IF(Quotes!AF125="","",Quotes!AF125))</f>
        <v/>
      </c>
      <c r="L125" s="14" t="str">
        <f>IF(Quotes!$A125="","",IF(Quotes!V125="","",Quotes!V125))</f>
        <v/>
      </c>
      <c r="M125" s="14" t="str">
        <f>IF(A125="","",HYPERLINK("#'Quotes'!A125","EDIT QUOTE"))</f>
        <v/>
      </c>
      <c r="N125" s="14" t="str">
        <f>IF(Quotes!$A125="","",IF(Quotes!C125="","",Quotes!C125))</f>
        <v/>
      </c>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row>
    <row r="126" spans="1:44" ht="40" customHeight="1" x14ac:dyDescent="0.35">
      <c r="A126" s="18" t="str">
        <f>IF(Quotes!$A126="","",IF(Quotes!A126="","",Quotes!A126))</f>
        <v/>
      </c>
      <c r="B126" s="18" t="str">
        <f>IF(Quotes!$A126="","",IF(Quotes!U126="","",Quotes!U126))</f>
        <v/>
      </c>
      <c r="C126" s="18" t="str">
        <f>IF(Quotes!$A126="","",IF(Quotes!Z126="","",Quotes!Z126))</f>
        <v/>
      </c>
      <c r="D126" s="22" t="str">
        <f>IF(Quotes!$A126="","",IF(Quotes!E126="","",Quotes!E126))</f>
        <v/>
      </c>
      <c r="E126" s="18" t="str">
        <f>IFERROR(IF(INDEX(Jobs!$P$9:$P$258,MATCH(Quotes!B126,Jobs!$A$9:$A$258,0))="","",HYPERLINK("#'"&amp;INDEX(Jobs!$P$9:$P$258,MATCH(Quotes!B126,Jobs!$A$9:$A$258,0))&amp;"'!A1","OPEN JOB")),"")</f>
        <v/>
      </c>
      <c r="F126" s="22" t="str">
        <f>IF(Quotes!$A126="","",IF(Quotes!F126="","",Quotes!F126))</f>
        <v/>
      </c>
      <c r="G126" s="23" t="str">
        <f>IF(Quotes!$A126="","",IF(Quotes!G126="","",Quotes!G126))</f>
        <v/>
      </c>
      <c r="H126" s="23" t="str">
        <f>IF(Quotes!$A126="","",IF(Quotes!H126="","",Quotes!H126))</f>
        <v/>
      </c>
      <c r="I126" s="22" t="str">
        <f>IF(Quotes!$A126="","",IF(Quotes!I126="","",Quotes!I126))</f>
        <v/>
      </c>
      <c r="J126" s="19" t="str">
        <f>IF(Quotes!$A126="","",IF(Quotes!AD126="","",Quotes!AD126))</f>
        <v/>
      </c>
      <c r="K126" s="19" t="str">
        <f>IF(Quotes!$A126="","",IF(Quotes!AF126="","",Quotes!AF126))</f>
        <v/>
      </c>
      <c r="L126" s="18" t="str">
        <f>IF(Quotes!$A126="","",IF(Quotes!V126="","",Quotes!V126))</f>
        <v/>
      </c>
      <c r="M126" s="18" t="str">
        <f>IF(A126="","",HYPERLINK("#'Quotes'!A126","EDIT QUOTE"))</f>
        <v/>
      </c>
      <c r="N126" s="18" t="str">
        <f>IF(Quotes!$A126="","",IF(Quotes!C126="","",Quotes!C126))</f>
        <v/>
      </c>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row>
    <row r="127" spans="1:44" ht="40" customHeight="1" x14ac:dyDescent="0.35">
      <c r="A127" s="14" t="str">
        <f>IF(Quotes!$A127="","",IF(Quotes!A127="","",Quotes!A127))</f>
        <v/>
      </c>
      <c r="B127" s="14" t="str">
        <f>IF(Quotes!$A127="","",IF(Quotes!U127="","",Quotes!U127))</f>
        <v/>
      </c>
      <c r="C127" s="14" t="str">
        <f>IF(Quotes!$A127="","",IF(Quotes!Z127="","",Quotes!Z127))</f>
        <v/>
      </c>
      <c r="D127" s="22" t="str">
        <f>IF(Quotes!$A127="","",IF(Quotes!E127="","",Quotes!E127))</f>
        <v/>
      </c>
      <c r="E127" s="14" t="str">
        <f>IFERROR(IF(INDEX(Jobs!$P$9:$P$258,MATCH(Quotes!B127,Jobs!$A$9:$A$258,0))="","",HYPERLINK("#'"&amp;INDEX(Jobs!$P$9:$P$258,MATCH(Quotes!B127,Jobs!$A$9:$A$258,0))&amp;"'!A1","OPEN JOB")),"")</f>
        <v/>
      </c>
      <c r="F127" s="22" t="str">
        <f>IF(Quotes!$A127="","",IF(Quotes!F127="","",Quotes!F127))</f>
        <v/>
      </c>
      <c r="G127" s="23" t="str">
        <f>IF(Quotes!$A127="","",IF(Quotes!G127="","",Quotes!G127))</f>
        <v/>
      </c>
      <c r="H127" s="23" t="str">
        <f>IF(Quotes!$A127="","",IF(Quotes!H127="","",Quotes!H127))</f>
        <v/>
      </c>
      <c r="I127" s="22" t="str">
        <f>IF(Quotes!$A127="","",IF(Quotes!I127="","",Quotes!I127))</f>
        <v/>
      </c>
      <c r="J127" s="16" t="str">
        <f>IF(Quotes!$A127="","",IF(Quotes!AD127="","",Quotes!AD127))</f>
        <v/>
      </c>
      <c r="K127" s="16" t="str">
        <f>IF(Quotes!$A127="","",IF(Quotes!AF127="","",Quotes!AF127))</f>
        <v/>
      </c>
      <c r="L127" s="14" t="str">
        <f>IF(Quotes!$A127="","",IF(Quotes!V127="","",Quotes!V127))</f>
        <v/>
      </c>
      <c r="M127" s="14" t="str">
        <f>IF(A127="","",HYPERLINK("#'Quotes'!A127","EDIT QUOTE"))</f>
        <v/>
      </c>
      <c r="N127" s="14" t="str">
        <f>IF(Quotes!$A127="","",IF(Quotes!C127="","",Quotes!C127))</f>
        <v/>
      </c>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row>
    <row r="128" spans="1:44" ht="40" customHeight="1" x14ac:dyDescent="0.35">
      <c r="A128" s="18" t="str">
        <f>IF(Quotes!$A128="","",IF(Quotes!A128="","",Quotes!A128))</f>
        <v/>
      </c>
      <c r="B128" s="18" t="str">
        <f>IF(Quotes!$A128="","",IF(Quotes!U128="","",Quotes!U128))</f>
        <v/>
      </c>
      <c r="C128" s="18" t="str">
        <f>IF(Quotes!$A128="","",IF(Quotes!Z128="","",Quotes!Z128))</f>
        <v/>
      </c>
      <c r="D128" s="22" t="str">
        <f>IF(Quotes!$A128="","",IF(Quotes!E128="","",Quotes!E128))</f>
        <v/>
      </c>
      <c r="E128" s="18" t="str">
        <f>IFERROR(IF(INDEX(Jobs!$P$9:$P$258,MATCH(Quotes!B128,Jobs!$A$9:$A$258,0))="","",HYPERLINK("#'"&amp;INDEX(Jobs!$P$9:$P$258,MATCH(Quotes!B128,Jobs!$A$9:$A$258,0))&amp;"'!A1","OPEN JOB")),"")</f>
        <v/>
      </c>
      <c r="F128" s="22" t="str">
        <f>IF(Quotes!$A128="","",IF(Quotes!F128="","",Quotes!F128))</f>
        <v/>
      </c>
      <c r="G128" s="23" t="str">
        <f>IF(Quotes!$A128="","",IF(Quotes!G128="","",Quotes!G128))</f>
        <v/>
      </c>
      <c r="H128" s="23" t="str">
        <f>IF(Quotes!$A128="","",IF(Quotes!H128="","",Quotes!H128))</f>
        <v/>
      </c>
      <c r="I128" s="22" t="str">
        <f>IF(Quotes!$A128="","",IF(Quotes!I128="","",Quotes!I128))</f>
        <v/>
      </c>
      <c r="J128" s="19" t="str">
        <f>IF(Quotes!$A128="","",IF(Quotes!AD128="","",Quotes!AD128))</f>
        <v/>
      </c>
      <c r="K128" s="19" t="str">
        <f>IF(Quotes!$A128="","",IF(Quotes!AF128="","",Quotes!AF128))</f>
        <v/>
      </c>
      <c r="L128" s="18" t="str">
        <f>IF(Quotes!$A128="","",IF(Quotes!V128="","",Quotes!V128))</f>
        <v/>
      </c>
      <c r="M128" s="18" t="str">
        <f>IF(A128="","",HYPERLINK("#'Quotes'!A128","EDIT QUOTE"))</f>
        <v/>
      </c>
      <c r="N128" s="18" t="str">
        <f>IF(Quotes!$A128="","",IF(Quotes!C128="","",Quotes!C128))</f>
        <v/>
      </c>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row>
    <row r="129" spans="1:44" ht="40" customHeight="1" x14ac:dyDescent="0.35">
      <c r="A129" s="14" t="str">
        <f>IF(Quotes!$A129="","",IF(Quotes!A129="","",Quotes!A129))</f>
        <v/>
      </c>
      <c r="B129" s="14" t="str">
        <f>IF(Quotes!$A129="","",IF(Quotes!U129="","",Quotes!U129))</f>
        <v/>
      </c>
      <c r="C129" s="14" t="str">
        <f>IF(Quotes!$A129="","",IF(Quotes!Z129="","",Quotes!Z129))</f>
        <v/>
      </c>
      <c r="D129" s="22" t="str">
        <f>IF(Quotes!$A129="","",IF(Quotes!E129="","",Quotes!E129))</f>
        <v/>
      </c>
      <c r="E129" s="14" t="str">
        <f>IFERROR(IF(INDEX(Jobs!$P$9:$P$258,MATCH(Quotes!B129,Jobs!$A$9:$A$258,0))="","",HYPERLINK("#'"&amp;INDEX(Jobs!$P$9:$P$258,MATCH(Quotes!B129,Jobs!$A$9:$A$258,0))&amp;"'!A1","OPEN JOB")),"")</f>
        <v/>
      </c>
      <c r="F129" s="22" t="str">
        <f>IF(Quotes!$A129="","",IF(Quotes!F129="","",Quotes!F129))</f>
        <v/>
      </c>
      <c r="G129" s="23" t="str">
        <f>IF(Quotes!$A129="","",IF(Quotes!G129="","",Quotes!G129))</f>
        <v/>
      </c>
      <c r="H129" s="23" t="str">
        <f>IF(Quotes!$A129="","",IF(Quotes!H129="","",Quotes!H129))</f>
        <v/>
      </c>
      <c r="I129" s="22" t="str">
        <f>IF(Quotes!$A129="","",IF(Quotes!I129="","",Quotes!I129))</f>
        <v/>
      </c>
      <c r="J129" s="16" t="str">
        <f>IF(Quotes!$A129="","",IF(Quotes!AD129="","",Quotes!AD129))</f>
        <v/>
      </c>
      <c r="K129" s="16" t="str">
        <f>IF(Quotes!$A129="","",IF(Quotes!AF129="","",Quotes!AF129))</f>
        <v/>
      </c>
      <c r="L129" s="14" t="str">
        <f>IF(Quotes!$A129="","",IF(Quotes!V129="","",Quotes!V129))</f>
        <v/>
      </c>
      <c r="M129" s="14" t="str">
        <f>IF(A129="","",HYPERLINK("#'Quotes'!A129","EDIT QUOTE"))</f>
        <v/>
      </c>
      <c r="N129" s="14" t="str">
        <f>IF(Quotes!$A129="","",IF(Quotes!C129="","",Quotes!C129))</f>
        <v/>
      </c>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row>
    <row r="130" spans="1:44" ht="40" customHeight="1" x14ac:dyDescent="0.35">
      <c r="A130" s="18" t="str">
        <f>IF(Quotes!$A130="","",IF(Quotes!A130="","",Quotes!A130))</f>
        <v/>
      </c>
      <c r="B130" s="18" t="str">
        <f>IF(Quotes!$A130="","",IF(Quotes!U130="","",Quotes!U130))</f>
        <v/>
      </c>
      <c r="C130" s="18" t="str">
        <f>IF(Quotes!$A130="","",IF(Quotes!Z130="","",Quotes!Z130))</f>
        <v/>
      </c>
      <c r="D130" s="22" t="str">
        <f>IF(Quotes!$A130="","",IF(Quotes!E130="","",Quotes!E130))</f>
        <v/>
      </c>
      <c r="E130" s="18" t="str">
        <f>IFERROR(IF(INDEX(Jobs!$P$9:$P$258,MATCH(Quotes!B130,Jobs!$A$9:$A$258,0))="","",HYPERLINK("#'"&amp;INDEX(Jobs!$P$9:$P$258,MATCH(Quotes!B130,Jobs!$A$9:$A$258,0))&amp;"'!A1","OPEN JOB")),"")</f>
        <v/>
      </c>
      <c r="F130" s="22" t="str">
        <f>IF(Quotes!$A130="","",IF(Quotes!F130="","",Quotes!F130))</f>
        <v/>
      </c>
      <c r="G130" s="23" t="str">
        <f>IF(Quotes!$A130="","",IF(Quotes!G130="","",Quotes!G130))</f>
        <v/>
      </c>
      <c r="H130" s="23" t="str">
        <f>IF(Quotes!$A130="","",IF(Quotes!H130="","",Quotes!H130))</f>
        <v/>
      </c>
      <c r="I130" s="22" t="str">
        <f>IF(Quotes!$A130="","",IF(Quotes!I130="","",Quotes!I130))</f>
        <v/>
      </c>
      <c r="J130" s="19" t="str">
        <f>IF(Quotes!$A130="","",IF(Quotes!AD130="","",Quotes!AD130))</f>
        <v/>
      </c>
      <c r="K130" s="19" t="str">
        <f>IF(Quotes!$A130="","",IF(Quotes!AF130="","",Quotes!AF130))</f>
        <v/>
      </c>
      <c r="L130" s="18" t="str">
        <f>IF(Quotes!$A130="","",IF(Quotes!V130="","",Quotes!V130))</f>
        <v/>
      </c>
      <c r="M130" s="18" t="str">
        <f>IF(A130="","",HYPERLINK("#'Quotes'!A130","EDIT QUOTE"))</f>
        <v/>
      </c>
      <c r="N130" s="18" t="str">
        <f>IF(Quotes!$A130="","",IF(Quotes!C130="","",Quotes!C130))</f>
        <v/>
      </c>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row>
    <row r="131" spans="1:44" ht="40" customHeight="1" x14ac:dyDescent="0.35">
      <c r="A131" s="14" t="str">
        <f>IF(Quotes!$A131="","",IF(Quotes!A131="","",Quotes!A131))</f>
        <v/>
      </c>
      <c r="B131" s="14" t="str">
        <f>IF(Quotes!$A131="","",IF(Quotes!U131="","",Quotes!U131))</f>
        <v/>
      </c>
      <c r="C131" s="14" t="str">
        <f>IF(Quotes!$A131="","",IF(Quotes!Z131="","",Quotes!Z131))</f>
        <v/>
      </c>
      <c r="D131" s="22" t="str">
        <f>IF(Quotes!$A131="","",IF(Quotes!E131="","",Quotes!E131))</f>
        <v/>
      </c>
      <c r="E131" s="14" t="str">
        <f>IFERROR(IF(INDEX(Jobs!$P$9:$P$258,MATCH(Quotes!B131,Jobs!$A$9:$A$258,0))="","",HYPERLINK("#'"&amp;INDEX(Jobs!$P$9:$P$258,MATCH(Quotes!B131,Jobs!$A$9:$A$258,0))&amp;"'!A1","OPEN JOB")),"")</f>
        <v/>
      </c>
      <c r="F131" s="22" t="str">
        <f>IF(Quotes!$A131="","",IF(Quotes!F131="","",Quotes!F131))</f>
        <v/>
      </c>
      <c r="G131" s="23" t="str">
        <f>IF(Quotes!$A131="","",IF(Quotes!G131="","",Quotes!G131))</f>
        <v/>
      </c>
      <c r="H131" s="23" t="str">
        <f>IF(Quotes!$A131="","",IF(Quotes!H131="","",Quotes!H131))</f>
        <v/>
      </c>
      <c r="I131" s="22" t="str">
        <f>IF(Quotes!$A131="","",IF(Quotes!I131="","",Quotes!I131))</f>
        <v/>
      </c>
      <c r="J131" s="16" t="str">
        <f>IF(Quotes!$A131="","",IF(Quotes!AD131="","",Quotes!AD131))</f>
        <v/>
      </c>
      <c r="K131" s="16" t="str">
        <f>IF(Quotes!$A131="","",IF(Quotes!AF131="","",Quotes!AF131))</f>
        <v/>
      </c>
      <c r="L131" s="14" t="str">
        <f>IF(Quotes!$A131="","",IF(Quotes!V131="","",Quotes!V131))</f>
        <v/>
      </c>
      <c r="M131" s="14" t="str">
        <f>IF(A131="","",HYPERLINK("#'Quotes'!A131","EDIT QUOTE"))</f>
        <v/>
      </c>
      <c r="N131" s="14" t="str">
        <f>IF(Quotes!$A131="","",IF(Quotes!C131="","",Quotes!C131))</f>
        <v/>
      </c>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row>
    <row r="132" spans="1:44" ht="40" customHeight="1" x14ac:dyDescent="0.35">
      <c r="A132" s="18" t="str">
        <f>IF(Quotes!$A132="","",IF(Quotes!A132="","",Quotes!A132))</f>
        <v/>
      </c>
      <c r="B132" s="18" t="str">
        <f>IF(Quotes!$A132="","",IF(Quotes!U132="","",Quotes!U132))</f>
        <v/>
      </c>
      <c r="C132" s="18" t="str">
        <f>IF(Quotes!$A132="","",IF(Quotes!Z132="","",Quotes!Z132))</f>
        <v/>
      </c>
      <c r="D132" s="22" t="str">
        <f>IF(Quotes!$A132="","",IF(Quotes!E132="","",Quotes!E132))</f>
        <v/>
      </c>
      <c r="E132" s="18" t="str">
        <f>IFERROR(IF(INDEX(Jobs!$P$9:$P$258,MATCH(Quotes!B132,Jobs!$A$9:$A$258,0))="","",HYPERLINK("#'"&amp;INDEX(Jobs!$P$9:$P$258,MATCH(Quotes!B132,Jobs!$A$9:$A$258,0))&amp;"'!A1","OPEN JOB")),"")</f>
        <v/>
      </c>
      <c r="F132" s="22" t="str">
        <f>IF(Quotes!$A132="","",IF(Quotes!F132="","",Quotes!F132))</f>
        <v/>
      </c>
      <c r="G132" s="23" t="str">
        <f>IF(Quotes!$A132="","",IF(Quotes!G132="","",Quotes!G132))</f>
        <v/>
      </c>
      <c r="H132" s="23" t="str">
        <f>IF(Quotes!$A132="","",IF(Quotes!H132="","",Quotes!H132))</f>
        <v/>
      </c>
      <c r="I132" s="22" t="str">
        <f>IF(Quotes!$A132="","",IF(Quotes!I132="","",Quotes!I132))</f>
        <v/>
      </c>
      <c r="J132" s="19" t="str">
        <f>IF(Quotes!$A132="","",IF(Quotes!AD132="","",Quotes!AD132))</f>
        <v/>
      </c>
      <c r="K132" s="19" t="str">
        <f>IF(Quotes!$A132="","",IF(Quotes!AF132="","",Quotes!AF132))</f>
        <v/>
      </c>
      <c r="L132" s="18" t="str">
        <f>IF(Quotes!$A132="","",IF(Quotes!V132="","",Quotes!V132))</f>
        <v/>
      </c>
      <c r="M132" s="18" t="str">
        <f>IF(A132="","",HYPERLINK("#'Quotes'!A132","EDIT QUOTE"))</f>
        <v/>
      </c>
      <c r="N132" s="18" t="str">
        <f>IF(Quotes!$A132="","",IF(Quotes!C132="","",Quotes!C132))</f>
        <v/>
      </c>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row>
    <row r="133" spans="1:44" ht="40" customHeight="1" x14ac:dyDescent="0.35">
      <c r="A133" s="14" t="str">
        <f>IF(Quotes!$A133="","",IF(Quotes!A133="","",Quotes!A133))</f>
        <v/>
      </c>
      <c r="B133" s="14" t="str">
        <f>IF(Quotes!$A133="","",IF(Quotes!U133="","",Quotes!U133))</f>
        <v/>
      </c>
      <c r="C133" s="14" t="str">
        <f>IF(Quotes!$A133="","",IF(Quotes!Z133="","",Quotes!Z133))</f>
        <v/>
      </c>
      <c r="D133" s="22" t="str">
        <f>IF(Quotes!$A133="","",IF(Quotes!E133="","",Quotes!E133))</f>
        <v/>
      </c>
      <c r="E133" s="14" t="str">
        <f>IFERROR(IF(INDEX(Jobs!$P$9:$P$258,MATCH(Quotes!B133,Jobs!$A$9:$A$258,0))="","",HYPERLINK("#'"&amp;INDEX(Jobs!$P$9:$P$258,MATCH(Quotes!B133,Jobs!$A$9:$A$258,0))&amp;"'!A1","OPEN JOB")),"")</f>
        <v/>
      </c>
      <c r="F133" s="22" t="str">
        <f>IF(Quotes!$A133="","",IF(Quotes!F133="","",Quotes!F133))</f>
        <v/>
      </c>
      <c r="G133" s="23" t="str">
        <f>IF(Quotes!$A133="","",IF(Quotes!G133="","",Quotes!G133))</f>
        <v/>
      </c>
      <c r="H133" s="23" t="str">
        <f>IF(Quotes!$A133="","",IF(Quotes!H133="","",Quotes!H133))</f>
        <v/>
      </c>
      <c r="I133" s="22" t="str">
        <f>IF(Quotes!$A133="","",IF(Quotes!I133="","",Quotes!I133))</f>
        <v/>
      </c>
      <c r="J133" s="16" t="str">
        <f>IF(Quotes!$A133="","",IF(Quotes!AD133="","",Quotes!AD133))</f>
        <v/>
      </c>
      <c r="K133" s="16" t="str">
        <f>IF(Quotes!$A133="","",IF(Quotes!AF133="","",Quotes!AF133))</f>
        <v/>
      </c>
      <c r="L133" s="14" t="str">
        <f>IF(Quotes!$A133="","",IF(Quotes!V133="","",Quotes!V133))</f>
        <v/>
      </c>
      <c r="M133" s="14" t="str">
        <f>IF(A133="","",HYPERLINK("#'Quotes'!A133","EDIT QUOTE"))</f>
        <v/>
      </c>
      <c r="N133" s="14" t="str">
        <f>IF(Quotes!$A133="","",IF(Quotes!C133="","",Quotes!C133))</f>
        <v/>
      </c>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row>
    <row r="134" spans="1:44" ht="40" customHeight="1" x14ac:dyDescent="0.35">
      <c r="A134" s="18" t="str">
        <f>IF(Quotes!$A134="","",IF(Quotes!A134="","",Quotes!A134))</f>
        <v/>
      </c>
      <c r="B134" s="18" t="str">
        <f>IF(Quotes!$A134="","",IF(Quotes!U134="","",Quotes!U134))</f>
        <v/>
      </c>
      <c r="C134" s="18" t="str">
        <f>IF(Quotes!$A134="","",IF(Quotes!Z134="","",Quotes!Z134))</f>
        <v/>
      </c>
      <c r="D134" s="22" t="str">
        <f>IF(Quotes!$A134="","",IF(Quotes!E134="","",Quotes!E134))</f>
        <v/>
      </c>
      <c r="E134" s="18" t="str">
        <f>IFERROR(IF(INDEX(Jobs!$P$9:$P$258,MATCH(Quotes!B134,Jobs!$A$9:$A$258,0))="","",HYPERLINK("#'"&amp;INDEX(Jobs!$P$9:$P$258,MATCH(Quotes!B134,Jobs!$A$9:$A$258,0))&amp;"'!A1","OPEN JOB")),"")</f>
        <v/>
      </c>
      <c r="F134" s="22" t="str">
        <f>IF(Quotes!$A134="","",IF(Quotes!F134="","",Quotes!F134))</f>
        <v/>
      </c>
      <c r="G134" s="23" t="str">
        <f>IF(Quotes!$A134="","",IF(Quotes!G134="","",Quotes!G134))</f>
        <v/>
      </c>
      <c r="H134" s="23" t="str">
        <f>IF(Quotes!$A134="","",IF(Quotes!H134="","",Quotes!H134))</f>
        <v/>
      </c>
      <c r="I134" s="22" t="str">
        <f>IF(Quotes!$A134="","",IF(Quotes!I134="","",Quotes!I134))</f>
        <v/>
      </c>
      <c r="J134" s="19" t="str">
        <f>IF(Quotes!$A134="","",IF(Quotes!AD134="","",Quotes!AD134))</f>
        <v/>
      </c>
      <c r="K134" s="19" t="str">
        <f>IF(Quotes!$A134="","",IF(Quotes!AF134="","",Quotes!AF134))</f>
        <v/>
      </c>
      <c r="L134" s="18" t="str">
        <f>IF(Quotes!$A134="","",IF(Quotes!V134="","",Quotes!V134))</f>
        <v/>
      </c>
      <c r="M134" s="18" t="str">
        <f>IF(A134="","",HYPERLINK("#'Quotes'!A134","EDIT QUOTE"))</f>
        <v/>
      </c>
      <c r="N134" s="18" t="str">
        <f>IF(Quotes!$A134="","",IF(Quotes!C134="","",Quotes!C134))</f>
        <v/>
      </c>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row>
    <row r="135" spans="1:44" ht="40" customHeight="1" x14ac:dyDescent="0.35">
      <c r="A135" s="14" t="str">
        <f>IF(Quotes!$A135="","",IF(Quotes!A135="","",Quotes!A135))</f>
        <v/>
      </c>
      <c r="B135" s="14" t="str">
        <f>IF(Quotes!$A135="","",IF(Quotes!U135="","",Quotes!U135))</f>
        <v/>
      </c>
      <c r="C135" s="14" t="str">
        <f>IF(Quotes!$A135="","",IF(Quotes!Z135="","",Quotes!Z135))</f>
        <v/>
      </c>
      <c r="D135" s="22" t="str">
        <f>IF(Quotes!$A135="","",IF(Quotes!E135="","",Quotes!E135))</f>
        <v/>
      </c>
      <c r="E135" s="14" t="str">
        <f>IFERROR(IF(INDEX(Jobs!$P$9:$P$258,MATCH(Quotes!B135,Jobs!$A$9:$A$258,0))="","",HYPERLINK("#'"&amp;INDEX(Jobs!$P$9:$P$258,MATCH(Quotes!B135,Jobs!$A$9:$A$258,0))&amp;"'!A1","OPEN JOB")),"")</f>
        <v/>
      </c>
      <c r="F135" s="22" t="str">
        <f>IF(Quotes!$A135="","",IF(Quotes!F135="","",Quotes!F135))</f>
        <v/>
      </c>
      <c r="G135" s="23" t="str">
        <f>IF(Quotes!$A135="","",IF(Quotes!G135="","",Quotes!G135))</f>
        <v/>
      </c>
      <c r="H135" s="23" t="str">
        <f>IF(Quotes!$A135="","",IF(Quotes!H135="","",Quotes!H135))</f>
        <v/>
      </c>
      <c r="I135" s="22" t="str">
        <f>IF(Quotes!$A135="","",IF(Quotes!I135="","",Quotes!I135))</f>
        <v/>
      </c>
      <c r="J135" s="16" t="str">
        <f>IF(Quotes!$A135="","",IF(Quotes!AD135="","",Quotes!AD135))</f>
        <v/>
      </c>
      <c r="K135" s="16" t="str">
        <f>IF(Quotes!$A135="","",IF(Quotes!AF135="","",Quotes!AF135))</f>
        <v/>
      </c>
      <c r="L135" s="14" t="str">
        <f>IF(Quotes!$A135="","",IF(Quotes!V135="","",Quotes!V135))</f>
        <v/>
      </c>
      <c r="M135" s="14" t="str">
        <f>IF(A135="","",HYPERLINK("#'Quotes'!A135","EDIT QUOTE"))</f>
        <v/>
      </c>
      <c r="N135" s="14" t="str">
        <f>IF(Quotes!$A135="","",IF(Quotes!C135="","",Quotes!C135))</f>
        <v/>
      </c>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row>
    <row r="136" spans="1:44" ht="40" customHeight="1" x14ac:dyDescent="0.35">
      <c r="A136" s="18" t="str">
        <f>IF(Quotes!$A136="","",IF(Quotes!A136="","",Quotes!A136))</f>
        <v/>
      </c>
      <c r="B136" s="18" t="str">
        <f>IF(Quotes!$A136="","",IF(Quotes!U136="","",Quotes!U136))</f>
        <v/>
      </c>
      <c r="C136" s="18" t="str">
        <f>IF(Quotes!$A136="","",IF(Quotes!Z136="","",Quotes!Z136))</f>
        <v/>
      </c>
      <c r="D136" s="22" t="str">
        <f>IF(Quotes!$A136="","",IF(Quotes!E136="","",Quotes!E136))</f>
        <v/>
      </c>
      <c r="E136" s="18" t="str">
        <f>IFERROR(IF(INDEX(Jobs!$P$9:$P$258,MATCH(Quotes!B136,Jobs!$A$9:$A$258,0))="","",HYPERLINK("#'"&amp;INDEX(Jobs!$P$9:$P$258,MATCH(Quotes!B136,Jobs!$A$9:$A$258,0))&amp;"'!A1","OPEN JOB")),"")</f>
        <v/>
      </c>
      <c r="F136" s="22" t="str">
        <f>IF(Quotes!$A136="","",IF(Quotes!F136="","",Quotes!F136))</f>
        <v/>
      </c>
      <c r="G136" s="23" t="str">
        <f>IF(Quotes!$A136="","",IF(Quotes!G136="","",Quotes!G136))</f>
        <v/>
      </c>
      <c r="H136" s="23" t="str">
        <f>IF(Quotes!$A136="","",IF(Quotes!H136="","",Quotes!H136))</f>
        <v/>
      </c>
      <c r="I136" s="22" t="str">
        <f>IF(Quotes!$A136="","",IF(Quotes!I136="","",Quotes!I136))</f>
        <v/>
      </c>
      <c r="J136" s="19" t="str">
        <f>IF(Quotes!$A136="","",IF(Quotes!AD136="","",Quotes!AD136))</f>
        <v/>
      </c>
      <c r="K136" s="19" t="str">
        <f>IF(Quotes!$A136="","",IF(Quotes!AF136="","",Quotes!AF136))</f>
        <v/>
      </c>
      <c r="L136" s="18" t="str">
        <f>IF(Quotes!$A136="","",IF(Quotes!V136="","",Quotes!V136))</f>
        <v/>
      </c>
      <c r="M136" s="18" t="str">
        <f>IF(A136="","",HYPERLINK("#'Quotes'!A136","EDIT QUOTE"))</f>
        <v/>
      </c>
      <c r="N136" s="18" t="str">
        <f>IF(Quotes!$A136="","",IF(Quotes!C136="","",Quotes!C136))</f>
        <v/>
      </c>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row>
    <row r="137" spans="1:44" ht="40" customHeight="1" x14ac:dyDescent="0.35">
      <c r="A137" s="14" t="str">
        <f>IF(Quotes!$A137="","",IF(Quotes!A137="","",Quotes!A137))</f>
        <v/>
      </c>
      <c r="B137" s="14" t="str">
        <f>IF(Quotes!$A137="","",IF(Quotes!U137="","",Quotes!U137))</f>
        <v/>
      </c>
      <c r="C137" s="14" t="str">
        <f>IF(Quotes!$A137="","",IF(Quotes!Z137="","",Quotes!Z137))</f>
        <v/>
      </c>
      <c r="D137" s="22" t="str">
        <f>IF(Quotes!$A137="","",IF(Quotes!E137="","",Quotes!E137))</f>
        <v/>
      </c>
      <c r="E137" s="14" t="str">
        <f>IFERROR(IF(INDEX(Jobs!$P$9:$P$258,MATCH(Quotes!B137,Jobs!$A$9:$A$258,0))="","",HYPERLINK("#'"&amp;INDEX(Jobs!$P$9:$P$258,MATCH(Quotes!B137,Jobs!$A$9:$A$258,0))&amp;"'!A1","OPEN JOB")),"")</f>
        <v/>
      </c>
      <c r="F137" s="22" t="str">
        <f>IF(Quotes!$A137="","",IF(Quotes!F137="","",Quotes!F137))</f>
        <v/>
      </c>
      <c r="G137" s="23" t="str">
        <f>IF(Quotes!$A137="","",IF(Quotes!G137="","",Quotes!G137))</f>
        <v/>
      </c>
      <c r="H137" s="23" t="str">
        <f>IF(Quotes!$A137="","",IF(Quotes!H137="","",Quotes!H137))</f>
        <v/>
      </c>
      <c r="I137" s="22" t="str">
        <f>IF(Quotes!$A137="","",IF(Quotes!I137="","",Quotes!I137))</f>
        <v/>
      </c>
      <c r="J137" s="16" t="str">
        <f>IF(Quotes!$A137="","",IF(Quotes!AD137="","",Quotes!AD137))</f>
        <v/>
      </c>
      <c r="K137" s="16" t="str">
        <f>IF(Quotes!$A137="","",IF(Quotes!AF137="","",Quotes!AF137))</f>
        <v/>
      </c>
      <c r="L137" s="14" t="str">
        <f>IF(Quotes!$A137="","",IF(Quotes!V137="","",Quotes!V137))</f>
        <v/>
      </c>
      <c r="M137" s="14" t="str">
        <f>IF(A137="","",HYPERLINK("#'Quotes'!A137","EDIT QUOTE"))</f>
        <v/>
      </c>
      <c r="N137" s="14" t="str">
        <f>IF(Quotes!$A137="","",IF(Quotes!C137="","",Quotes!C137))</f>
        <v/>
      </c>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row>
    <row r="138" spans="1:44" ht="40" customHeight="1" x14ac:dyDescent="0.35">
      <c r="A138" s="18" t="str">
        <f>IF(Quotes!$A138="","",IF(Quotes!A138="","",Quotes!A138))</f>
        <v/>
      </c>
      <c r="B138" s="18" t="str">
        <f>IF(Quotes!$A138="","",IF(Quotes!U138="","",Quotes!U138))</f>
        <v/>
      </c>
      <c r="C138" s="18" t="str">
        <f>IF(Quotes!$A138="","",IF(Quotes!Z138="","",Quotes!Z138))</f>
        <v/>
      </c>
      <c r="D138" s="22" t="str">
        <f>IF(Quotes!$A138="","",IF(Quotes!E138="","",Quotes!E138))</f>
        <v/>
      </c>
      <c r="E138" s="18" t="str">
        <f>IFERROR(IF(INDEX(Jobs!$P$9:$P$258,MATCH(Quotes!B138,Jobs!$A$9:$A$258,0))="","",HYPERLINK("#'"&amp;INDEX(Jobs!$P$9:$P$258,MATCH(Quotes!B138,Jobs!$A$9:$A$258,0))&amp;"'!A1","OPEN JOB")),"")</f>
        <v/>
      </c>
      <c r="F138" s="22" t="str">
        <f>IF(Quotes!$A138="","",IF(Quotes!F138="","",Quotes!F138))</f>
        <v/>
      </c>
      <c r="G138" s="23" t="str">
        <f>IF(Quotes!$A138="","",IF(Quotes!G138="","",Quotes!G138))</f>
        <v/>
      </c>
      <c r="H138" s="23" t="str">
        <f>IF(Quotes!$A138="","",IF(Quotes!H138="","",Quotes!H138))</f>
        <v/>
      </c>
      <c r="I138" s="22" t="str">
        <f>IF(Quotes!$A138="","",IF(Quotes!I138="","",Quotes!I138))</f>
        <v/>
      </c>
      <c r="J138" s="19" t="str">
        <f>IF(Quotes!$A138="","",IF(Quotes!AD138="","",Quotes!AD138))</f>
        <v/>
      </c>
      <c r="K138" s="19" t="str">
        <f>IF(Quotes!$A138="","",IF(Quotes!AF138="","",Quotes!AF138))</f>
        <v/>
      </c>
      <c r="L138" s="18" t="str">
        <f>IF(Quotes!$A138="","",IF(Quotes!V138="","",Quotes!V138))</f>
        <v/>
      </c>
      <c r="M138" s="18" t="str">
        <f>IF(A138="","",HYPERLINK("#'Quotes'!A138","EDIT QUOTE"))</f>
        <v/>
      </c>
      <c r="N138" s="18" t="str">
        <f>IF(Quotes!$A138="","",IF(Quotes!C138="","",Quotes!C138))</f>
        <v/>
      </c>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row>
    <row r="139" spans="1:44" ht="40" customHeight="1" x14ac:dyDescent="0.35">
      <c r="A139" s="14" t="str">
        <f>IF(Quotes!$A139="","",IF(Quotes!A139="","",Quotes!A139))</f>
        <v/>
      </c>
      <c r="B139" s="14" t="str">
        <f>IF(Quotes!$A139="","",IF(Quotes!U139="","",Quotes!U139))</f>
        <v/>
      </c>
      <c r="C139" s="14" t="str">
        <f>IF(Quotes!$A139="","",IF(Quotes!Z139="","",Quotes!Z139))</f>
        <v/>
      </c>
      <c r="D139" s="22" t="str">
        <f>IF(Quotes!$A139="","",IF(Quotes!E139="","",Quotes!E139))</f>
        <v/>
      </c>
      <c r="E139" s="14" t="str">
        <f>IFERROR(IF(INDEX(Jobs!$P$9:$P$258,MATCH(Quotes!B139,Jobs!$A$9:$A$258,0))="","",HYPERLINK("#'"&amp;INDEX(Jobs!$P$9:$P$258,MATCH(Quotes!B139,Jobs!$A$9:$A$258,0))&amp;"'!A1","OPEN JOB")),"")</f>
        <v/>
      </c>
      <c r="F139" s="22" t="str">
        <f>IF(Quotes!$A139="","",IF(Quotes!F139="","",Quotes!F139))</f>
        <v/>
      </c>
      <c r="G139" s="23" t="str">
        <f>IF(Quotes!$A139="","",IF(Quotes!G139="","",Quotes!G139))</f>
        <v/>
      </c>
      <c r="H139" s="23" t="str">
        <f>IF(Quotes!$A139="","",IF(Quotes!H139="","",Quotes!H139))</f>
        <v/>
      </c>
      <c r="I139" s="22" t="str">
        <f>IF(Quotes!$A139="","",IF(Quotes!I139="","",Quotes!I139))</f>
        <v/>
      </c>
      <c r="J139" s="16" t="str">
        <f>IF(Quotes!$A139="","",IF(Quotes!AD139="","",Quotes!AD139))</f>
        <v/>
      </c>
      <c r="K139" s="16" t="str">
        <f>IF(Quotes!$A139="","",IF(Quotes!AF139="","",Quotes!AF139))</f>
        <v/>
      </c>
      <c r="L139" s="14" t="str">
        <f>IF(Quotes!$A139="","",IF(Quotes!V139="","",Quotes!V139))</f>
        <v/>
      </c>
      <c r="M139" s="14" t="str">
        <f>IF(A139="","",HYPERLINK("#'Quotes'!A139","EDIT QUOTE"))</f>
        <v/>
      </c>
      <c r="N139" s="14" t="str">
        <f>IF(Quotes!$A139="","",IF(Quotes!C139="","",Quotes!C139))</f>
        <v/>
      </c>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row>
    <row r="140" spans="1:44" ht="40" customHeight="1" x14ac:dyDescent="0.35">
      <c r="A140" s="18" t="str">
        <f>IF(Quotes!$A140="","",IF(Quotes!A140="","",Quotes!A140))</f>
        <v/>
      </c>
      <c r="B140" s="18" t="str">
        <f>IF(Quotes!$A140="","",IF(Quotes!U140="","",Quotes!U140))</f>
        <v/>
      </c>
      <c r="C140" s="18" t="str">
        <f>IF(Quotes!$A140="","",IF(Quotes!Z140="","",Quotes!Z140))</f>
        <v/>
      </c>
      <c r="D140" s="22" t="str">
        <f>IF(Quotes!$A140="","",IF(Quotes!E140="","",Quotes!E140))</f>
        <v/>
      </c>
      <c r="E140" s="18" t="str">
        <f>IFERROR(IF(INDEX(Jobs!$P$9:$P$258,MATCH(Quotes!B140,Jobs!$A$9:$A$258,0))="","",HYPERLINK("#'"&amp;INDEX(Jobs!$P$9:$P$258,MATCH(Quotes!B140,Jobs!$A$9:$A$258,0))&amp;"'!A1","OPEN JOB")),"")</f>
        <v/>
      </c>
      <c r="F140" s="22" t="str">
        <f>IF(Quotes!$A140="","",IF(Quotes!F140="","",Quotes!F140))</f>
        <v/>
      </c>
      <c r="G140" s="23" t="str">
        <f>IF(Quotes!$A140="","",IF(Quotes!G140="","",Quotes!G140))</f>
        <v/>
      </c>
      <c r="H140" s="23" t="str">
        <f>IF(Quotes!$A140="","",IF(Quotes!H140="","",Quotes!H140))</f>
        <v/>
      </c>
      <c r="I140" s="22" t="str">
        <f>IF(Quotes!$A140="","",IF(Quotes!I140="","",Quotes!I140))</f>
        <v/>
      </c>
      <c r="J140" s="19" t="str">
        <f>IF(Quotes!$A140="","",IF(Quotes!AD140="","",Quotes!AD140))</f>
        <v/>
      </c>
      <c r="K140" s="19" t="str">
        <f>IF(Quotes!$A140="","",IF(Quotes!AF140="","",Quotes!AF140))</f>
        <v/>
      </c>
      <c r="L140" s="18" t="str">
        <f>IF(Quotes!$A140="","",IF(Quotes!V140="","",Quotes!V140))</f>
        <v/>
      </c>
      <c r="M140" s="18" t="str">
        <f>IF(A140="","",HYPERLINK("#'Quotes'!A140","EDIT QUOTE"))</f>
        <v/>
      </c>
      <c r="N140" s="18" t="str">
        <f>IF(Quotes!$A140="","",IF(Quotes!C140="","",Quotes!C140))</f>
        <v/>
      </c>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row>
    <row r="141" spans="1:44" ht="40" customHeight="1" x14ac:dyDescent="0.35">
      <c r="A141" s="14" t="str">
        <f>IF(Quotes!$A141="","",IF(Quotes!A141="","",Quotes!A141))</f>
        <v/>
      </c>
      <c r="B141" s="14" t="str">
        <f>IF(Quotes!$A141="","",IF(Quotes!U141="","",Quotes!U141))</f>
        <v/>
      </c>
      <c r="C141" s="14" t="str">
        <f>IF(Quotes!$A141="","",IF(Quotes!Z141="","",Quotes!Z141))</f>
        <v/>
      </c>
      <c r="D141" s="22" t="str">
        <f>IF(Quotes!$A141="","",IF(Quotes!E141="","",Quotes!E141))</f>
        <v/>
      </c>
      <c r="E141" s="14" t="str">
        <f>IFERROR(IF(INDEX(Jobs!$P$9:$P$258,MATCH(Quotes!B141,Jobs!$A$9:$A$258,0))="","",HYPERLINK("#'"&amp;INDEX(Jobs!$P$9:$P$258,MATCH(Quotes!B141,Jobs!$A$9:$A$258,0))&amp;"'!A1","OPEN JOB")),"")</f>
        <v/>
      </c>
      <c r="F141" s="22" t="str">
        <f>IF(Quotes!$A141="","",IF(Quotes!F141="","",Quotes!F141))</f>
        <v/>
      </c>
      <c r="G141" s="23" t="str">
        <f>IF(Quotes!$A141="","",IF(Quotes!G141="","",Quotes!G141))</f>
        <v/>
      </c>
      <c r="H141" s="23" t="str">
        <f>IF(Quotes!$A141="","",IF(Quotes!H141="","",Quotes!H141))</f>
        <v/>
      </c>
      <c r="I141" s="22" t="str">
        <f>IF(Quotes!$A141="","",IF(Quotes!I141="","",Quotes!I141))</f>
        <v/>
      </c>
      <c r="J141" s="16" t="str">
        <f>IF(Quotes!$A141="","",IF(Quotes!AD141="","",Quotes!AD141))</f>
        <v/>
      </c>
      <c r="K141" s="16" t="str">
        <f>IF(Quotes!$A141="","",IF(Quotes!AF141="","",Quotes!AF141))</f>
        <v/>
      </c>
      <c r="L141" s="14" t="str">
        <f>IF(Quotes!$A141="","",IF(Quotes!V141="","",Quotes!V141))</f>
        <v/>
      </c>
      <c r="M141" s="14" t="str">
        <f>IF(A141="","",HYPERLINK("#'Quotes'!A141","EDIT QUOTE"))</f>
        <v/>
      </c>
      <c r="N141" s="14" t="str">
        <f>IF(Quotes!$A141="","",IF(Quotes!C141="","",Quotes!C141))</f>
        <v/>
      </c>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row>
    <row r="142" spans="1:44" ht="40" customHeight="1" x14ac:dyDescent="0.35">
      <c r="A142" s="18" t="str">
        <f>IF(Quotes!$A142="","",IF(Quotes!A142="","",Quotes!A142))</f>
        <v/>
      </c>
      <c r="B142" s="18" t="str">
        <f>IF(Quotes!$A142="","",IF(Quotes!U142="","",Quotes!U142))</f>
        <v/>
      </c>
      <c r="C142" s="18" t="str">
        <f>IF(Quotes!$A142="","",IF(Quotes!Z142="","",Quotes!Z142))</f>
        <v/>
      </c>
      <c r="D142" s="22" t="str">
        <f>IF(Quotes!$A142="","",IF(Quotes!E142="","",Quotes!E142))</f>
        <v/>
      </c>
      <c r="E142" s="18" t="str">
        <f>IFERROR(IF(INDEX(Jobs!$P$9:$P$258,MATCH(Quotes!B142,Jobs!$A$9:$A$258,0))="","",HYPERLINK("#'"&amp;INDEX(Jobs!$P$9:$P$258,MATCH(Quotes!B142,Jobs!$A$9:$A$258,0))&amp;"'!A1","OPEN JOB")),"")</f>
        <v/>
      </c>
      <c r="F142" s="22" t="str">
        <f>IF(Quotes!$A142="","",IF(Quotes!F142="","",Quotes!F142))</f>
        <v/>
      </c>
      <c r="G142" s="23" t="str">
        <f>IF(Quotes!$A142="","",IF(Quotes!G142="","",Quotes!G142))</f>
        <v/>
      </c>
      <c r="H142" s="23" t="str">
        <f>IF(Quotes!$A142="","",IF(Quotes!H142="","",Quotes!H142))</f>
        <v/>
      </c>
      <c r="I142" s="22" t="str">
        <f>IF(Quotes!$A142="","",IF(Quotes!I142="","",Quotes!I142))</f>
        <v/>
      </c>
      <c r="J142" s="19" t="str">
        <f>IF(Quotes!$A142="","",IF(Quotes!AD142="","",Quotes!AD142))</f>
        <v/>
      </c>
      <c r="K142" s="19" t="str">
        <f>IF(Quotes!$A142="","",IF(Quotes!AF142="","",Quotes!AF142))</f>
        <v/>
      </c>
      <c r="L142" s="18" t="str">
        <f>IF(Quotes!$A142="","",IF(Quotes!V142="","",Quotes!V142))</f>
        <v/>
      </c>
      <c r="M142" s="18" t="str">
        <f>IF(A142="","",HYPERLINK("#'Quotes'!A142","EDIT QUOTE"))</f>
        <v/>
      </c>
      <c r="N142" s="18" t="str">
        <f>IF(Quotes!$A142="","",IF(Quotes!C142="","",Quotes!C142))</f>
        <v/>
      </c>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row>
    <row r="143" spans="1:44" ht="40" customHeight="1" x14ac:dyDescent="0.35">
      <c r="A143" s="14" t="str">
        <f>IF(Quotes!$A143="","",IF(Quotes!A143="","",Quotes!A143))</f>
        <v/>
      </c>
      <c r="B143" s="14" t="str">
        <f>IF(Quotes!$A143="","",IF(Quotes!U143="","",Quotes!U143))</f>
        <v/>
      </c>
      <c r="C143" s="14" t="str">
        <f>IF(Quotes!$A143="","",IF(Quotes!Z143="","",Quotes!Z143))</f>
        <v/>
      </c>
      <c r="D143" s="22" t="str">
        <f>IF(Quotes!$A143="","",IF(Quotes!E143="","",Quotes!E143))</f>
        <v/>
      </c>
      <c r="E143" s="14" t="str">
        <f>IFERROR(IF(INDEX(Jobs!$P$9:$P$258,MATCH(Quotes!B143,Jobs!$A$9:$A$258,0))="","",HYPERLINK("#'"&amp;INDEX(Jobs!$P$9:$P$258,MATCH(Quotes!B143,Jobs!$A$9:$A$258,0))&amp;"'!A1","OPEN JOB")),"")</f>
        <v/>
      </c>
      <c r="F143" s="22" t="str">
        <f>IF(Quotes!$A143="","",IF(Quotes!F143="","",Quotes!F143))</f>
        <v/>
      </c>
      <c r="G143" s="23" t="str">
        <f>IF(Quotes!$A143="","",IF(Quotes!G143="","",Quotes!G143))</f>
        <v/>
      </c>
      <c r="H143" s="23" t="str">
        <f>IF(Quotes!$A143="","",IF(Quotes!H143="","",Quotes!H143))</f>
        <v/>
      </c>
      <c r="I143" s="22" t="str">
        <f>IF(Quotes!$A143="","",IF(Quotes!I143="","",Quotes!I143))</f>
        <v/>
      </c>
      <c r="J143" s="16" t="str">
        <f>IF(Quotes!$A143="","",IF(Quotes!AD143="","",Quotes!AD143))</f>
        <v/>
      </c>
      <c r="K143" s="16" t="str">
        <f>IF(Quotes!$A143="","",IF(Quotes!AF143="","",Quotes!AF143))</f>
        <v/>
      </c>
      <c r="L143" s="14" t="str">
        <f>IF(Quotes!$A143="","",IF(Quotes!V143="","",Quotes!V143))</f>
        <v/>
      </c>
      <c r="M143" s="14" t="str">
        <f>IF(A143="","",HYPERLINK("#'Quotes'!A143","EDIT QUOTE"))</f>
        <v/>
      </c>
      <c r="N143" s="14" t="str">
        <f>IF(Quotes!$A143="","",IF(Quotes!C143="","",Quotes!C143))</f>
        <v/>
      </c>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row>
    <row r="144" spans="1:44" ht="40" customHeight="1" x14ac:dyDescent="0.35">
      <c r="A144" s="18" t="str">
        <f>IF(Quotes!$A144="","",IF(Quotes!A144="","",Quotes!A144))</f>
        <v/>
      </c>
      <c r="B144" s="18" t="str">
        <f>IF(Quotes!$A144="","",IF(Quotes!U144="","",Quotes!U144))</f>
        <v/>
      </c>
      <c r="C144" s="18" t="str">
        <f>IF(Quotes!$A144="","",IF(Quotes!Z144="","",Quotes!Z144))</f>
        <v/>
      </c>
      <c r="D144" s="22" t="str">
        <f>IF(Quotes!$A144="","",IF(Quotes!E144="","",Quotes!E144))</f>
        <v/>
      </c>
      <c r="E144" s="18" t="str">
        <f>IFERROR(IF(INDEX(Jobs!$P$9:$P$258,MATCH(Quotes!B144,Jobs!$A$9:$A$258,0))="","",HYPERLINK("#'"&amp;INDEX(Jobs!$P$9:$P$258,MATCH(Quotes!B144,Jobs!$A$9:$A$258,0))&amp;"'!A1","OPEN JOB")),"")</f>
        <v/>
      </c>
      <c r="F144" s="22" t="str">
        <f>IF(Quotes!$A144="","",IF(Quotes!F144="","",Quotes!F144))</f>
        <v/>
      </c>
      <c r="G144" s="23" t="str">
        <f>IF(Quotes!$A144="","",IF(Quotes!G144="","",Quotes!G144))</f>
        <v/>
      </c>
      <c r="H144" s="23" t="str">
        <f>IF(Quotes!$A144="","",IF(Quotes!H144="","",Quotes!H144))</f>
        <v/>
      </c>
      <c r="I144" s="22" t="str">
        <f>IF(Quotes!$A144="","",IF(Quotes!I144="","",Quotes!I144))</f>
        <v/>
      </c>
      <c r="J144" s="19" t="str">
        <f>IF(Quotes!$A144="","",IF(Quotes!AD144="","",Quotes!AD144))</f>
        <v/>
      </c>
      <c r="K144" s="19" t="str">
        <f>IF(Quotes!$A144="","",IF(Quotes!AF144="","",Quotes!AF144))</f>
        <v/>
      </c>
      <c r="L144" s="18" t="str">
        <f>IF(Quotes!$A144="","",IF(Quotes!V144="","",Quotes!V144))</f>
        <v/>
      </c>
      <c r="M144" s="18" t="str">
        <f>IF(A144="","",HYPERLINK("#'Quotes'!A144","EDIT QUOTE"))</f>
        <v/>
      </c>
      <c r="N144" s="18" t="str">
        <f>IF(Quotes!$A144="","",IF(Quotes!C144="","",Quotes!C144))</f>
        <v/>
      </c>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row>
    <row r="145" spans="1:44" ht="40" customHeight="1" x14ac:dyDescent="0.35">
      <c r="A145" s="14" t="str">
        <f>IF(Quotes!$A145="","",IF(Quotes!A145="","",Quotes!A145))</f>
        <v/>
      </c>
      <c r="B145" s="14" t="str">
        <f>IF(Quotes!$A145="","",IF(Quotes!U145="","",Quotes!U145))</f>
        <v/>
      </c>
      <c r="C145" s="14" t="str">
        <f>IF(Quotes!$A145="","",IF(Quotes!Z145="","",Quotes!Z145))</f>
        <v/>
      </c>
      <c r="D145" s="22" t="str">
        <f>IF(Quotes!$A145="","",IF(Quotes!E145="","",Quotes!E145))</f>
        <v/>
      </c>
      <c r="E145" s="14" t="str">
        <f>IFERROR(IF(INDEX(Jobs!$P$9:$P$258,MATCH(Quotes!B145,Jobs!$A$9:$A$258,0))="","",HYPERLINK("#'"&amp;INDEX(Jobs!$P$9:$P$258,MATCH(Quotes!B145,Jobs!$A$9:$A$258,0))&amp;"'!A1","OPEN JOB")),"")</f>
        <v/>
      </c>
      <c r="F145" s="22" t="str">
        <f>IF(Quotes!$A145="","",IF(Quotes!F145="","",Quotes!F145))</f>
        <v/>
      </c>
      <c r="G145" s="23" t="str">
        <f>IF(Quotes!$A145="","",IF(Quotes!G145="","",Quotes!G145))</f>
        <v/>
      </c>
      <c r="H145" s="23" t="str">
        <f>IF(Quotes!$A145="","",IF(Quotes!H145="","",Quotes!H145))</f>
        <v/>
      </c>
      <c r="I145" s="22" t="str">
        <f>IF(Quotes!$A145="","",IF(Quotes!I145="","",Quotes!I145))</f>
        <v/>
      </c>
      <c r="J145" s="16" t="str">
        <f>IF(Quotes!$A145="","",IF(Quotes!AD145="","",Quotes!AD145))</f>
        <v/>
      </c>
      <c r="K145" s="16" t="str">
        <f>IF(Quotes!$A145="","",IF(Quotes!AF145="","",Quotes!AF145))</f>
        <v/>
      </c>
      <c r="L145" s="14" t="str">
        <f>IF(Quotes!$A145="","",IF(Quotes!V145="","",Quotes!V145))</f>
        <v/>
      </c>
      <c r="M145" s="14" t="str">
        <f>IF(A145="","",HYPERLINK("#'Quotes'!A145","EDIT QUOTE"))</f>
        <v/>
      </c>
      <c r="N145" s="14" t="str">
        <f>IF(Quotes!$A145="","",IF(Quotes!C145="","",Quotes!C145))</f>
        <v/>
      </c>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row>
    <row r="146" spans="1:44" ht="40" customHeight="1" x14ac:dyDescent="0.35">
      <c r="A146" s="18" t="str">
        <f>IF(Quotes!$A146="","",IF(Quotes!A146="","",Quotes!A146))</f>
        <v/>
      </c>
      <c r="B146" s="18" t="str">
        <f>IF(Quotes!$A146="","",IF(Quotes!U146="","",Quotes!U146))</f>
        <v/>
      </c>
      <c r="C146" s="18" t="str">
        <f>IF(Quotes!$A146="","",IF(Quotes!Z146="","",Quotes!Z146))</f>
        <v/>
      </c>
      <c r="D146" s="22" t="str">
        <f>IF(Quotes!$A146="","",IF(Quotes!E146="","",Quotes!E146))</f>
        <v/>
      </c>
      <c r="E146" s="18" t="str">
        <f>IFERROR(IF(INDEX(Jobs!$P$9:$P$258,MATCH(Quotes!B146,Jobs!$A$9:$A$258,0))="","",HYPERLINK("#'"&amp;INDEX(Jobs!$P$9:$P$258,MATCH(Quotes!B146,Jobs!$A$9:$A$258,0))&amp;"'!A1","OPEN JOB")),"")</f>
        <v/>
      </c>
      <c r="F146" s="22" t="str">
        <f>IF(Quotes!$A146="","",IF(Quotes!F146="","",Quotes!F146))</f>
        <v/>
      </c>
      <c r="G146" s="23" t="str">
        <f>IF(Quotes!$A146="","",IF(Quotes!G146="","",Quotes!G146))</f>
        <v/>
      </c>
      <c r="H146" s="23" t="str">
        <f>IF(Quotes!$A146="","",IF(Quotes!H146="","",Quotes!H146))</f>
        <v/>
      </c>
      <c r="I146" s="22" t="str">
        <f>IF(Quotes!$A146="","",IF(Quotes!I146="","",Quotes!I146))</f>
        <v/>
      </c>
      <c r="J146" s="19" t="str">
        <f>IF(Quotes!$A146="","",IF(Quotes!AD146="","",Quotes!AD146))</f>
        <v/>
      </c>
      <c r="K146" s="19" t="str">
        <f>IF(Quotes!$A146="","",IF(Quotes!AF146="","",Quotes!AF146))</f>
        <v/>
      </c>
      <c r="L146" s="18" t="str">
        <f>IF(Quotes!$A146="","",IF(Quotes!V146="","",Quotes!V146))</f>
        <v/>
      </c>
      <c r="M146" s="18" t="str">
        <f>IF(A146="","",HYPERLINK("#'Quotes'!A146","EDIT QUOTE"))</f>
        <v/>
      </c>
      <c r="N146" s="18" t="str">
        <f>IF(Quotes!$A146="","",IF(Quotes!C146="","",Quotes!C146))</f>
        <v/>
      </c>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row>
    <row r="147" spans="1:44" ht="40" customHeight="1" x14ac:dyDescent="0.35">
      <c r="A147" s="14" t="str">
        <f>IF(Quotes!$A147="","",IF(Quotes!A147="","",Quotes!A147))</f>
        <v/>
      </c>
      <c r="B147" s="14" t="str">
        <f>IF(Quotes!$A147="","",IF(Quotes!U147="","",Quotes!U147))</f>
        <v/>
      </c>
      <c r="C147" s="14" t="str">
        <f>IF(Quotes!$A147="","",IF(Quotes!Z147="","",Quotes!Z147))</f>
        <v/>
      </c>
      <c r="D147" s="22" t="str">
        <f>IF(Quotes!$A147="","",IF(Quotes!E147="","",Quotes!E147))</f>
        <v/>
      </c>
      <c r="E147" s="14" t="str">
        <f>IFERROR(IF(INDEX(Jobs!$P$9:$P$258,MATCH(Quotes!B147,Jobs!$A$9:$A$258,0))="","",HYPERLINK("#'"&amp;INDEX(Jobs!$P$9:$P$258,MATCH(Quotes!B147,Jobs!$A$9:$A$258,0))&amp;"'!A1","OPEN JOB")),"")</f>
        <v/>
      </c>
      <c r="F147" s="22" t="str">
        <f>IF(Quotes!$A147="","",IF(Quotes!F147="","",Quotes!F147))</f>
        <v/>
      </c>
      <c r="G147" s="23" t="str">
        <f>IF(Quotes!$A147="","",IF(Quotes!G147="","",Quotes!G147))</f>
        <v/>
      </c>
      <c r="H147" s="23" t="str">
        <f>IF(Quotes!$A147="","",IF(Quotes!H147="","",Quotes!H147))</f>
        <v/>
      </c>
      <c r="I147" s="22" t="str">
        <f>IF(Quotes!$A147="","",IF(Quotes!I147="","",Quotes!I147))</f>
        <v/>
      </c>
      <c r="J147" s="16" t="str">
        <f>IF(Quotes!$A147="","",IF(Quotes!AD147="","",Quotes!AD147))</f>
        <v/>
      </c>
      <c r="K147" s="16" t="str">
        <f>IF(Quotes!$A147="","",IF(Quotes!AF147="","",Quotes!AF147))</f>
        <v/>
      </c>
      <c r="L147" s="14" t="str">
        <f>IF(Quotes!$A147="","",IF(Quotes!V147="","",Quotes!V147))</f>
        <v/>
      </c>
      <c r="M147" s="14" t="str">
        <f>IF(A147="","",HYPERLINK("#'Quotes'!A147","EDIT QUOTE"))</f>
        <v/>
      </c>
      <c r="N147" s="14" t="str">
        <f>IF(Quotes!$A147="","",IF(Quotes!C147="","",Quotes!C147))</f>
        <v/>
      </c>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row>
    <row r="148" spans="1:44" ht="40" customHeight="1" x14ac:dyDescent="0.35">
      <c r="A148" s="18" t="str">
        <f>IF(Quotes!$A148="","",IF(Quotes!A148="","",Quotes!A148))</f>
        <v/>
      </c>
      <c r="B148" s="18" t="str">
        <f>IF(Quotes!$A148="","",IF(Quotes!U148="","",Quotes!U148))</f>
        <v/>
      </c>
      <c r="C148" s="18" t="str">
        <f>IF(Quotes!$A148="","",IF(Quotes!Z148="","",Quotes!Z148))</f>
        <v/>
      </c>
      <c r="D148" s="22" t="str">
        <f>IF(Quotes!$A148="","",IF(Quotes!E148="","",Quotes!E148))</f>
        <v/>
      </c>
      <c r="E148" s="18" t="str">
        <f>IFERROR(IF(INDEX(Jobs!$P$9:$P$258,MATCH(Quotes!B148,Jobs!$A$9:$A$258,0))="","",HYPERLINK("#'"&amp;INDEX(Jobs!$P$9:$P$258,MATCH(Quotes!B148,Jobs!$A$9:$A$258,0))&amp;"'!A1","OPEN JOB")),"")</f>
        <v/>
      </c>
      <c r="F148" s="22" t="str">
        <f>IF(Quotes!$A148="","",IF(Quotes!F148="","",Quotes!F148))</f>
        <v/>
      </c>
      <c r="G148" s="23" t="str">
        <f>IF(Quotes!$A148="","",IF(Quotes!G148="","",Quotes!G148))</f>
        <v/>
      </c>
      <c r="H148" s="23" t="str">
        <f>IF(Quotes!$A148="","",IF(Quotes!H148="","",Quotes!H148))</f>
        <v/>
      </c>
      <c r="I148" s="22" t="str">
        <f>IF(Quotes!$A148="","",IF(Quotes!I148="","",Quotes!I148))</f>
        <v/>
      </c>
      <c r="J148" s="19" t="str">
        <f>IF(Quotes!$A148="","",IF(Quotes!AD148="","",Quotes!AD148))</f>
        <v/>
      </c>
      <c r="K148" s="19" t="str">
        <f>IF(Quotes!$A148="","",IF(Quotes!AF148="","",Quotes!AF148))</f>
        <v/>
      </c>
      <c r="L148" s="18" t="str">
        <f>IF(Quotes!$A148="","",IF(Quotes!V148="","",Quotes!V148))</f>
        <v/>
      </c>
      <c r="M148" s="18" t="str">
        <f>IF(A148="","",HYPERLINK("#'Quotes'!A148","EDIT QUOTE"))</f>
        <v/>
      </c>
      <c r="N148" s="18" t="str">
        <f>IF(Quotes!$A148="","",IF(Quotes!C148="","",Quotes!C148))</f>
        <v/>
      </c>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row>
    <row r="149" spans="1:44" ht="40" customHeight="1" x14ac:dyDescent="0.35">
      <c r="A149" s="14" t="str">
        <f>IF(Quotes!$A149="","",IF(Quotes!A149="","",Quotes!A149))</f>
        <v/>
      </c>
      <c r="B149" s="14" t="str">
        <f>IF(Quotes!$A149="","",IF(Quotes!U149="","",Quotes!U149))</f>
        <v/>
      </c>
      <c r="C149" s="14" t="str">
        <f>IF(Quotes!$A149="","",IF(Quotes!Z149="","",Quotes!Z149))</f>
        <v/>
      </c>
      <c r="D149" s="22" t="str">
        <f>IF(Quotes!$A149="","",IF(Quotes!E149="","",Quotes!E149))</f>
        <v/>
      </c>
      <c r="E149" s="14" t="str">
        <f>IFERROR(IF(INDEX(Jobs!$P$9:$P$258,MATCH(Quotes!B149,Jobs!$A$9:$A$258,0))="","",HYPERLINK("#'"&amp;INDEX(Jobs!$P$9:$P$258,MATCH(Quotes!B149,Jobs!$A$9:$A$258,0))&amp;"'!A1","OPEN JOB")),"")</f>
        <v/>
      </c>
      <c r="F149" s="22" t="str">
        <f>IF(Quotes!$A149="","",IF(Quotes!F149="","",Quotes!F149))</f>
        <v/>
      </c>
      <c r="G149" s="23" t="str">
        <f>IF(Quotes!$A149="","",IF(Quotes!G149="","",Quotes!G149))</f>
        <v/>
      </c>
      <c r="H149" s="23" t="str">
        <f>IF(Quotes!$A149="","",IF(Quotes!H149="","",Quotes!H149))</f>
        <v/>
      </c>
      <c r="I149" s="22" t="str">
        <f>IF(Quotes!$A149="","",IF(Quotes!I149="","",Quotes!I149))</f>
        <v/>
      </c>
      <c r="J149" s="16" t="str">
        <f>IF(Quotes!$A149="","",IF(Quotes!AD149="","",Quotes!AD149))</f>
        <v/>
      </c>
      <c r="K149" s="16" t="str">
        <f>IF(Quotes!$A149="","",IF(Quotes!AF149="","",Quotes!AF149))</f>
        <v/>
      </c>
      <c r="L149" s="14" t="str">
        <f>IF(Quotes!$A149="","",IF(Quotes!V149="","",Quotes!V149))</f>
        <v/>
      </c>
      <c r="M149" s="14" t="str">
        <f>IF(A149="","",HYPERLINK("#'Quotes'!A149","EDIT QUOTE"))</f>
        <v/>
      </c>
      <c r="N149" s="14" t="str">
        <f>IF(Quotes!$A149="","",IF(Quotes!C149="","",Quotes!C149))</f>
        <v/>
      </c>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row>
    <row r="150" spans="1:44" ht="40" customHeight="1" x14ac:dyDescent="0.35">
      <c r="A150" s="18" t="str">
        <f>IF(Quotes!$A150="","",IF(Quotes!A150="","",Quotes!A150))</f>
        <v/>
      </c>
      <c r="B150" s="18" t="str">
        <f>IF(Quotes!$A150="","",IF(Quotes!U150="","",Quotes!U150))</f>
        <v/>
      </c>
      <c r="C150" s="18" t="str">
        <f>IF(Quotes!$A150="","",IF(Quotes!Z150="","",Quotes!Z150))</f>
        <v/>
      </c>
      <c r="D150" s="22" t="str">
        <f>IF(Quotes!$A150="","",IF(Quotes!E150="","",Quotes!E150))</f>
        <v/>
      </c>
      <c r="E150" s="18" t="str">
        <f>IFERROR(IF(INDEX(Jobs!$P$9:$P$258,MATCH(Quotes!B150,Jobs!$A$9:$A$258,0))="","",HYPERLINK("#'"&amp;INDEX(Jobs!$P$9:$P$258,MATCH(Quotes!B150,Jobs!$A$9:$A$258,0))&amp;"'!A1","OPEN JOB")),"")</f>
        <v/>
      </c>
      <c r="F150" s="22" t="str">
        <f>IF(Quotes!$A150="","",IF(Quotes!F150="","",Quotes!F150))</f>
        <v/>
      </c>
      <c r="G150" s="23" t="str">
        <f>IF(Quotes!$A150="","",IF(Quotes!G150="","",Quotes!G150))</f>
        <v/>
      </c>
      <c r="H150" s="23" t="str">
        <f>IF(Quotes!$A150="","",IF(Quotes!H150="","",Quotes!H150))</f>
        <v/>
      </c>
      <c r="I150" s="22" t="str">
        <f>IF(Quotes!$A150="","",IF(Quotes!I150="","",Quotes!I150))</f>
        <v/>
      </c>
      <c r="J150" s="19" t="str">
        <f>IF(Quotes!$A150="","",IF(Quotes!AD150="","",Quotes!AD150))</f>
        <v/>
      </c>
      <c r="K150" s="19" t="str">
        <f>IF(Quotes!$A150="","",IF(Quotes!AF150="","",Quotes!AF150))</f>
        <v/>
      </c>
      <c r="L150" s="18" t="str">
        <f>IF(Quotes!$A150="","",IF(Quotes!V150="","",Quotes!V150))</f>
        <v/>
      </c>
      <c r="M150" s="18" t="str">
        <f>IF(A150="","",HYPERLINK("#'Quotes'!A150","EDIT QUOTE"))</f>
        <v/>
      </c>
      <c r="N150" s="18" t="str">
        <f>IF(Quotes!$A150="","",IF(Quotes!C150="","",Quotes!C150))</f>
        <v/>
      </c>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row>
    <row r="151" spans="1:44" ht="40" customHeight="1" x14ac:dyDescent="0.35">
      <c r="A151" s="14" t="str">
        <f>IF(Quotes!$A151="","",IF(Quotes!A151="","",Quotes!A151))</f>
        <v/>
      </c>
      <c r="B151" s="14" t="str">
        <f>IF(Quotes!$A151="","",IF(Quotes!U151="","",Quotes!U151))</f>
        <v/>
      </c>
      <c r="C151" s="14" t="str">
        <f>IF(Quotes!$A151="","",IF(Quotes!Z151="","",Quotes!Z151))</f>
        <v/>
      </c>
      <c r="D151" s="22" t="str">
        <f>IF(Quotes!$A151="","",IF(Quotes!E151="","",Quotes!E151))</f>
        <v/>
      </c>
      <c r="E151" s="14" t="str">
        <f>IFERROR(IF(INDEX(Jobs!$P$9:$P$258,MATCH(Quotes!B151,Jobs!$A$9:$A$258,0))="","",HYPERLINK("#'"&amp;INDEX(Jobs!$P$9:$P$258,MATCH(Quotes!B151,Jobs!$A$9:$A$258,0))&amp;"'!A1","OPEN JOB")),"")</f>
        <v/>
      </c>
      <c r="F151" s="22" t="str">
        <f>IF(Quotes!$A151="","",IF(Quotes!F151="","",Quotes!F151))</f>
        <v/>
      </c>
      <c r="G151" s="23" t="str">
        <f>IF(Quotes!$A151="","",IF(Quotes!G151="","",Quotes!G151))</f>
        <v/>
      </c>
      <c r="H151" s="23" t="str">
        <f>IF(Quotes!$A151="","",IF(Quotes!H151="","",Quotes!H151))</f>
        <v/>
      </c>
      <c r="I151" s="22" t="str">
        <f>IF(Quotes!$A151="","",IF(Quotes!I151="","",Quotes!I151))</f>
        <v/>
      </c>
      <c r="J151" s="16" t="str">
        <f>IF(Quotes!$A151="","",IF(Quotes!AD151="","",Quotes!AD151))</f>
        <v/>
      </c>
      <c r="K151" s="16" t="str">
        <f>IF(Quotes!$A151="","",IF(Quotes!AF151="","",Quotes!AF151))</f>
        <v/>
      </c>
      <c r="L151" s="14" t="str">
        <f>IF(Quotes!$A151="","",IF(Quotes!V151="","",Quotes!V151))</f>
        <v/>
      </c>
      <c r="M151" s="14" t="str">
        <f>IF(A151="","",HYPERLINK("#'Quotes'!A151","EDIT QUOTE"))</f>
        <v/>
      </c>
      <c r="N151" s="14" t="str">
        <f>IF(Quotes!$A151="","",IF(Quotes!C151="","",Quotes!C151))</f>
        <v/>
      </c>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row>
    <row r="152" spans="1:44" ht="40" customHeight="1" x14ac:dyDescent="0.35">
      <c r="A152" s="18" t="str">
        <f>IF(Quotes!$A152="","",IF(Quotes!A152="","",Quotes!A152))</f>
        <v/>
      </c>
      <c r="B152" s="18" t="str">
        <f>IF(Quotes!$A152="","",IF(Quotes!U152="","",Quotes!U152))</f>
        <v/>
      </c>
      <c r="C152" s="18" t="str">
        <f>IF(Quotes!$A152="","",IF(Quotes!Z152="","",Quotes!Z152))</f>
        <v/>
      </c>
      <c r="D152" s="22" t="str">
        <f>IF(Quotes!$A152="","",IF(Quotes!E152="","",Quotes!E152))</f>
        <v/>
      </c>
      <c r="E152" s="18" t="str">
        <f>IFERROR(IF(INDEX(Jobs!$P$9:$P$258,MATCH(Quotes!B152,Jobs!$A$9:$A$258,0))="","",HYPERLINK("#'"&amp;INDEX(Jobs!$P$9:$P$258,MATCH(Quotes!B152,Jobs!$A$9:$A$258,0))&amp;"'!A1","OPEN JOB")),"")</f>
        <v/>
      </c>
      <c r="F152" s="22" t="str">
        <f>IF(Quotes!$A152="","",IF(Quotes!F152="","",Quotes!F152))</f>
        <v/>
      </c>
      <c r="G152" s="23" t="str">
        <f>IF(Quotes!$A152="","",IF(Quotes!G152="","",Quotes!G152))</f>
        <v/>
      </c>
      <c r="H152" s="23" t="str">
        <f>IF(Quotes!$A152="","",IF(Quotes!H152="","",Quotes!H152))</f>
        <v/>
      </c>
      <c r="I152" s="22" t="str">
        <f>IF(Quotes!$A152="","",IF(Quotes!I152="","",Quotes!I152))</f>
        <v/>
      </c>
      <c r="J152" s="19" t="str">
        <f>IF(Quotes!$A152="","",IF(Quotes!AD152="","",Quotes!AD152))</f>
        <v/>
      </c>
      <c r="K152" s="19" t="str">
        <f>IF(Quotes!$A152="","",IF(Quotes!AF152="","",Quotes!AF152))</f>
        <v/>
      </c>
      <c r="L152" s="18" t="str">
        <f>IF(Quotes!$A152="","",IF(Quotes!V152="","",Quotes!V152))</f>
        <v/>
      </c>
      <c r="M152" s="18" t="str">
        <f>IF(A152="","",HYPERLINK("#'Quotes'!A152","EDIT QUOTE"))</f>
        <v/>
      </c>
      <c r="N152" s="18" t="str">
        <f>IF(Quotes!$A152="","",IF(Quotes!C152="","",Quotes!C152))</f>
        <v/>
      </c>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row>
    <row r="153" spans="1:44" ht="40" customHeight="1" x14ac:dyDescent="0.35">
      <c r="A153" s="14" t="str">
        <f>IF(Quotes!$A153="","",IF(Quotes!A153="","",Quotes!A153))</f>
        <v/>
      </c>
      <c r="B153" s="14" t="str">
        <f>IF(Quotes!$A153="","",IF(Quotes!U153="","",Quotes!U153))</f>
        <v/>
      </c>
      <c r="C153" s="14" t="str">
        <f>IF(Quotes!$A153="","",IF(Quotes!Z153="","",Quotes!Z153))</f>
        <v/>
      </c>
      <c r="D153" s="22" t="str">
        <f>IF(Quotes!$A153="","",IF(Quotes!E153="","",Quotes!E153))</f>
        <v/>
      </c>
      <c r="E153" s="14" t="str">
        <f>IFERROR(IF(INDEX(Jobs!$P$9:$P$258,MATCH(Quotes!B153,Jobs!$A$9:$A$258,0))="","",HYPERLINK("#'"&amp;INDEX(Jobs!$P$9:$P$258,MATCH(Quotes!B153,Jobs!$A$9:$A$258,0))&amp;"'!A1","OPEN JOB")),"")</f>
        <v/>
      </c>
      <c r="F153" s="22" t="str">
        <f>IF(Quotes!$A153="","",IF(Quotes!F153="","",Quotes!F153))</f>
        <v/>
      </c>
      <c r="G153" s="23" t="str">
        <f>IF(Quotes!$A153="","",IF(Quotes!G153="","",Quotes!G153))</f>
        <v/>
      </c>
      <c r="H153" s="23" t="str">
        <f>IF(Quotes!$A153="","",IF(Quotes!H153="","",Quotes!H153))</f>
        <v/>
      </c>
      <c r="I153" s="22" t="str">
        <f>IF(Quotes!$A153="","",IF(Quotes!I153="","",Quotes!I153))</f>
        <v/>
      </c>
      <c r="J153" s="16" t="str">
        <f>IF(Quotes!$A153="","",IF(Quotes!AD153="","",Quotes!AD153))</f>
        <v/>
      </c>
      <c r="K153" s="16" t="str">
        <f>IF(Quotes!$A153="","",IF(Quotes!AF153="","",Quotes!AF153))</f>
        <v/>
      </c>
      <c r="L153" s="14" t="str">
        <f>IF(Quotes!$A153="","",IF(Quotes!V153="","",Quotes!V153))</f>
        <v/>
      </c>
      <c r="M153" s="14" t="str">
        <f>IF(A153="","",HYPERLINK("#'Quotes'!A153","EDIT QUOTE"))</f>
        <v/>
      </c>
      <c r="N153" s="14" t="str">
        <f>IF(Quotes!$A153="","",IF(Quotes!C153="","",Quotes!C153))</f>
        <v/>
      </c>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row>
    <row r="154" spans="1:44" ht="40" customHeight="1" x14ac:dyDescent="0.35">
      <c r="A154" s="18" t="str">
        <f>IF(Quotes!$A154="","",IF(Quotes!A154="","",Quotes!A154))</f>
        <v/>
      </c>
      <c r="B154" s="18" t="str">
        <f>IF(Quotes!$A154="","",IF(Quotes!U154="","",Quotes!U154))</f>
        <v/>
      </c>
      <c r="C154" s="18" t="str">
        <f>IF(Quotes!$A154="","",IF(Quotes!Z154="","",Quotes!Z154))</f>
        <v/>
      </c>
      <c r="D154" s="22" t="str">
        <f>IF(Quotes!$A154="","",IF(Quotes!E154="","",Quotes!E154))</f>
        <v/>
      </c>
      <c r="E154" s="18" t="str">
        <f>IFERROR(IF(INDEX(Jobs!$P$9:$P$258,MATCH(Quotes!B154,Jobs!$A$9:$A$258,0))="","",HYPERLINK("#'"&amp;INDEX(Jobs!$P$9:$P$258,MATCH(Quotes!B154,Jobs!$A$9:$A$258,0))&amp;"'!A1","OPEN JOB")),"")</f>
        <v/>
      </c>
      <c r="F154" s="22" t="str">
        <f>IF(Quotes!$A154="","",IF(Quotes!F154="","",Quotes!F154))</f>
        <v/>
      </c>
      <c r="G154" s="23" t="str">
        <f>IF(Quotes!$A154="","",IF(Quotes!G154="","",Quotes!G154))</f>
        <v/>
      </c>
      <c r="H154" s="23" t="str">
        <f>IF(Quotes!$A154="","",IF(Quotes!H154="","",Quotes!H154))</f>
        <v/>
      </c>
      <c r="I154" s="22" t="str">
        <f>IF(Quotes!$A154="","",IF(Quotes!I154="","",Quotes!I154))</f>
        <v/>
      </c>
      <c r="J154" s="19" t="str">
        <f>IF(Quotes!$A154="","",IF(Quotes!AD154="","",Quotes!AD154))</f>
        <v/>
      </c>
      <c r="K154" s="19" t="str">
        <f>IF(Quotes!$A154="","",IF(Quotes!AF154="","",Quotes!AF154))</f>
        <v/>
      </c>
      <c r="L154" s="18" t="str">
        <f>IF(Quotes!$A154="","",IF(Quotes!V154="","",Quotes!V154))</f>
        <v/>
      </c>
      <c r="M154" s="18" t="str">
        <f>IF(A154="","",HYPERLINK("#'Quotes'!A154","EDIT QUOTE"))</f>
        <v/>
      </c>
      <c r="N154" s="18" t="str">
        <f>IF(Quotes!$A154="","",IF(Quotes!C154="","",Quotes!C154))</f>
        <v/>
      </c>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row>
    <row r="155" spans="1:44" ht="40" customHeight="1" x14ac:dyDescent="0.35">
      <c r="A155" s="14" t="str">
        <f>IF(Quotes!$A155="","",IF(Quotes!A155="","",Quotes!A155))</f>
        <v/>
      </c>
      <c r="B155" s="14" t="str">
        <f>IF(Quotes!$A155="","",IF(Quotes!U155="","",Quotes!U155))</f>
        <v/>
      </c>
      <c r="C155" s="14" t="str">
        <f>IF(Quotes!$A155="","",IF(Quotes!Z155="","",Quotes!Z155))</f>
        <v/>
      </c>
      <c r="D155" s="22" t="str">
        <f>IF(Quotes!$A155="","",IF(Quotes!E155="","",Quotes!E155))</f>
        <v/>
      </c>
      <c r="E155" s="14" t="str">
        <f>IFERROR(IF(INDEX(Jobs!$P$9:$P$258,MATCH(Quotes!B155,Jobs!$A$9:$A$258,0))="","",HYPERLINK("#'"&amp;INDEX(Jobs!$P$9:$P$258,MATCH(Quotes!B155,Jobs!$A$9:$A$258,0))&amp;"'!A1","OPEN JOB")),"")</f>
        <v/>
      </c>
      <c r="F155" s="22" t="str">
        <f>IF(Quotes!$A155="","",IF(Quotes!F155="","",Quotes!F155))</f>
        <v/>
      </c>
      <c r="G155" s="23" t="str">
        <f>IF(Quotes!$A155="","",IF(Quotes!G155="","",Quotes!G155))</f>
        <v/>
      </c>
      <c r="H155" s="23" t="str">
        <f>IF(Quotes!$A155="","",IF(Quotes!H155="","",Quotes!H155))</f>
        <v/>
      </c>
      <c r="I155" s="22" t="str">
        <f>IF(Quotes!$A155="","",IF(Quotes!I155="","",Quotes!I155))</f>
        <v/>
      </c>
      <c r="J155" s="16" t="str">
        <f>IF(Quotes!$A155="","",IF(Quotes!AD155="","",Quotes!AD155))</f>
        <v/>
      </c>
      <c r="K155" s="16" t="str">
        <f>IF(Quotes!$A155="","",IF(Quotes!AF155="","",Quotes!AF155))</f>
        <v/>
      </c>
      <c r="L155" s="14" t="str">
        <f>IF(Quotes!$A155="","",IF(Quotes!V155="","",Quotes!V155))</f>
        <v/>
      </c>
      <c r="M155" s="14" t="str">
        <f>IF(A155="","",HYPERLINK("#'Quotes'!A155","EDIT QUOTE"))</f>
        <v/>
      </c>
      <c r="N155" s="14" t="str">
        <f>IF(Quotes!$A155="","",IF(Quotes!C155="","",Quotes!C155))</f>
        <v/>
      </c>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row>
    <row r="156" spans="1:44" ht="40" customHeight="1" x14ac:dyDescent="0.35">
      <c r="A156" s="18" t="str">
        <f>IF(Quotes!$A156="","",IF(Quotes!A156="","",Quotes!A156))</f>
        <v/>
      </c>
      <c r="B156" s="18" t="str">
        <f>IF(Quotes!$A156="","",IF(Quotes!U156="","",Quotes!U156))</f>
        <v/>
      </c>
      <c r="C156" s="18" t="str">
        <f>IF(Quotes!$A156="","",IF(Quotes!Z156="","",Quotes!Z156))</f>
        <v/>
      </c>
      <c r="D156" s="22" t="str">
        <f>IF(Quotes!$A156="","",IF(Quotes!E156="","",Quotes!E156))</f>
        <v/>
      </c>
      <c r="E156" s="18" t="str">
        <f>IFERROR(IF(INDEX(Jobs!$P$9:$P$258,MATCH(Quotes!B156,Jobs!$A$9:$A$258,0))="","",HYPERLINK("#'"&amp;INDEX(Jobs!$P$9:$P$258,MATCH(Quotes!B156,Jobs!$A$9:$A$258,0))&amp;"'!A1","OPEN JOB")),"")</f>
        <v/>
      </c>
      <c r="F156" s="22" t="str">
        <f>IF(Quotes!$A156="","",IF(Quotes!F156="","",Quotes!F156))</f>
        <v/>
      </c>
      <c r="G156" s="23" t="str">
        <f>IF(Quotes!$A156="","",IF(Quotes!G156="","",Quotes!G156))</f>
        <v/>
      </c>
      <c r="H156" s="23" t="str">
        <f>IF(Quotes!$A156="","",IF(Quotes!H156="","",Quotes!H156))</f>
        <v/>
      </c>
      <c r="I156" s="22" t="str">
        <f>IF(Quotes!$A156="","",IF(Quotes!I156="","",Quotes!I156))</f>
        <v/>
      </c>
      <c r="J156" s="19" t="str">
        <f>IF(Quotes!$A156="","",IF(Quotes!AD156="","",Quotes!AD156))</f>
        <v/>
      </c>
      <c r="K156" s="19" t="str">
        <f>IF(Quotes!$A156="","",IF(Quotes!AF156="","",Quotes!AF156))</f>
        <v/>
      </c>
      <c r="L156" s="18" t="str">
        <f>IF(Quotes!$A156="","",IF(Quotes!V156="","",Quotes!V156))</f>
        <v/>
      </c>
      <c r="M156" s="18" t="str">
        <f>IF(A156="","",HYPERLINK("#'Quotes'!A156","EDIT QUOTE"))</f>
        <v/>
      </c>
      <c r="N156" s="18" t="str">
        <f>IF(Quotes!$A156="","",IF(Quotes!C156="","",Quotes!C156))</f>
        <v/>
      </c>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row>
    <row r="157" spans="1:44" ht="40" customHeight="1" x14ac:dyDescent="0.35">
      <c r="A157" s="14" t="str">
        <f>IF(Quotes!$A157="","",IF(Quotes!A157="","",Quotes!A157))</f>
        <v/>
      </c>
      <c r="B157" s="14" t="str">
        <f>IF(Quotes!$A157="","",IF(Quotes!U157="","",Quotes!U157))</f>
        <v/>
      </c>
      <c r="C157" s="14" t="str">
        <f>IF(Quotes!$A157="","",IF(Quotes!Z157="","",Quotes!Z157))</f>
        <v/>
      </c>
      <c r="D157" s="22" t="str">
        <f>IF(Quotes!$A157="","",IF(Quotes!E157="","",Quotes!E157))</f>
        <v/>
      </c>
      <c r="E157" s="14" t="str">
        <f>IFERROR(IF(INDEX(Jobs!$P$9:$P$258,MATCH(Quotes!B157,Jobs!$A$9:$A$258,0))="","",HYPERLINK("#'"&amp;INDEX(Jobs!$P$9:$P$258,MATCH(Quotes!B157,Jobs!$A$9:$A$258,0))&amp;"'!A1","OPEN JOB")),"")</f>
        <v/>
      </c>
      <c r="F157" s="22" t="str">
        <f>IF(Quotes!$A157="","",IF(Quotes!F157="","",Quotes!F157))</f>
        <v/>
      </c>
      <c r="G157" s="23" t="str">
        <f>IF(Quotes!$A157="","",IF(Quotes!G157="","",Quotes!G157))</f>
        <v/>
      </c>
      <c r="H157" s="23" t="str">
        <f>IF(Quotes!$A157="","",IF(Quotes!H157="","",Quotes!H157))</f>
        <v/>
      </c>
      <c r="I157" s="22" t="str">
        <f>IF(Quotes!$A157="","",IF(Quotes!I157="","",Quotes!I157))</f>
        <v/>
      </c>
      <c r="J157" s="16" t="str">
        <f>IF(Quotes!$A157="","",IF(Quotes!AD157="","",Quotes!AD157))</f>
        <v/>
      </c>
      <c r="K157" s="16" t="str">
        <f>IF(Quotes!$A157="","",IF(Quotes!AF157="","",Quotes!AF157))</f>
        <v/>
      </c>
      <c r="L157" s="14" t="str">
        <f>IF(Quotes!$A157="","",IF(Quotes!V157="","",Quotes!V157))</f>
        <v/>
      </c>
      <c r="M157" s="14" t="str">
        <f>IF(A157="","",HYPERLINK("#'Quotes'!A157","EDIT QUOTE"))</f>
        <v/>
      </c>
      <c r="N157" s="14" t="str">
        <f>IF(Quotes!$A157="","",IF(Quotes!C157="","",Quotes!C157))</f>
        <v/>
      </c>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row>
    <row r="158" spans="1:44" ht="40" customHeight="1" x14ac:dyDescent="0.35">
      <c r="A158" s="18" t="str">
        <f>IF(Quotes!$A158="","",IF(Quotes!A158="","",Quotes!A158))</f>
        <v/>
      </c>
      <c r="B158" s="18" t="str">
        <f>IF(Quotes!$A158="","",IF(Quotes!U158="","",Quotes!U158))</f>
        <v/>
      </c>
      <c r="C158" s="18" t="str">
        <f>IF(Quotes!$A158="","",IF(Quotes!Z158="","",Quotes!Z158))</f>
        <v/>
      </c>
      <c r="D158" s="22" t="str">
        <f>IF(Quotes!$A158="","",IF(Quotes!E158="","",Quotes!E158))</f>
        <v/>
      </c>
      <c r="E158" s="18" t="str">
        <f>IFERROR(IF(INDEX(Jobs!$P$9:$P$258,MATCH(Quotes!B158,Jobs!$A$9:$A$258,0))="","",HYPERLINK("#'"&amp;INDEX(Jobs!$P$9:$P$258,MATCH(Quotes!B158,Jobs!$A$9:$A$258,0))&amp;"'!A1","OPEN JOB")),"")</f>
        <v/>
      </c>
      <c r="F158" s="22" t="str">
        <f>IF(Quotes!$A158="","",IF(Quotes!F158="","",Quotes!F158))</f>
        <v/>
      </c>
      <c r="G158" s="23" t="str">
        <f>IF(Quotes!$A158="","",IF(Quotes!G158="","",Quotes!G158))</f>
        <v/>
      </c>
      <c r="H158" s="23" t="str">
        <f>IF(Quotes!$A158="","",IF(Quotes!H158="","",Quotes!H158))</f>
        <v/>
      </c>
      <c r="I158" s="22" t="str">
        <f>IF(Quotes!$A158="","",IF(Quotes!I158="","",Quotes!I158))</f>
        <v/>
      </c>
      <c r="J158" s="19" t="str">
        <f>IF(Quotes!$A158="","",IF(Quotes!AD158="","",Quotes!AD158))</f>
        <v/>
      </c>
      <c r="K158" s="19" t="str">
        <f>IF(Quotes!$A158="","",IF(Quotes!AF158="","",Quotes!AF158))</f>
        <v/>
      </c>
      <c r="L158" s="18" t="str">
        <f>IF(Quotes!$A158="","",IF(Quotes!V158="","",Quotes!V158))</f>
        <v/>
      </c>
      <c r="M158" s="18" t="str">
        <f>IF(A158="","",HYPERLINK("#'Quotes'!A158","EDIT QUOTE"))</f>
        <v/>
      </c>
      <c r="N158" s="18" t="str">
        <f>IF(Quotes!$A158="","",IF(Quotes!C158="","",Quotes!C158))</f>
        <v/>
      </c>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row>
    <row r="159" spans="1:44" ht="40" customHeight="1" x14ac:dyDescent="0.35">
      <c r="A159" s="14" t="str">
        <f>IF(Quotes!$A159="","",IF(Quotes!A159="","",Quotes!A159))</f>
        <v/>
      </c>
      <c r="B159" s="14" t="str">
        <f>IF(Quotes!$A159="","",IF(Quotes!U159="","",Quotes!U159))</f>
        <v/>
      </c>
      <c r="C159" s="14" t="str">
        <f>IF(Quotes!$A159="","",IF(Quotes!Z159="","",Quotes!Z159))</f>
        <v/>
      </c>
      <c r="D159" s="22" t="str">
        <f>IF(Quotes!$A159="","",IF(Quotes!E159="","",Quotes!E159))</f>
        <v/>
      </c>
      <c r="E159" s="14" t="str">
        <f>IFERROR(IF(INDEX(Jobs!$P$9:$P$258,MATCH(Quotes!B159,Jobs!$A$9:$A$258,0))="","",HYPERLINK("#'"&amp;INDEX(Jobs!$P$9:$P$258,MATCH(Quotes!B159,Jobs!$A$9:$A$258,0))&amp;"'!A1","OPEN JOB")),"")</f>
        <v/>
      </c>
      <c r="F159" s="22" t="str">
        <f>IF(Quotes!$A159="","",IF(Quotes!F159="","",Quotes!F159))</f>
        <v/>
      </c>
      <c r="G159" s="23" t="str">
        <f>IF(Quotes!$A159="","",IF(Quotes!G159="","",Quotes!G159))</f>
        <v/>
      </c>
      <c r="H159" s="23" t="str">
        <f>IF(Quotes!$A159="","",IF(Quotes!H159="","",Quotes!H159))</f>
        <v/>
      </c>
      <c r="I159" s="22" t="str">
        <f>IF(Quotes!$A159="","",IF(Quotes!I159="","",Quotes!I159))</f>
        <v/>
      </c>
      <c r="J159" s="16" t="str">
        <f>IF(Quotes!$A159="","",IF(Quotes!AD159="","",Quotes!AD159))</f>
        <v/>
      </c>
      <c r="K159" s="16" t="str">
        <f>IF(Quotes!$A159="","",IF(Quotes!AF159="","",Quotes!AF159))</f>
        <v/>
      </c>
      <c r="L159" s="14" t="str">
        <f>IF(Quotes!$A159="","",IF(Quotes!V159="","",Quotes!V159))</f>
        <v/>
      </c>
      <c r="M159" s="14" t="str">
        <f>IF(A159="","",HYPERLINK("#'Quotes'!A159","EDIT QUOTE"))</f>
        <v/>
      </c>
      <c r="N159" s="14" t="str">
        <f>IF(Quotes!$A159="","",IF(Quotes!C159="","",Quotes!C159))</f>
        <v/>
      </c>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row>
    <row r="160" spans="1:44" ht="40" customHeight="1" x14ac:dyDescent="0.35">
      <c r="A160" s="18" t="str">
        <f>IF(Quotes!$A160="","",IF(Quotes!A160="","",Quotes!A160))</f>
        <v/>
      </c>
      <c r="B160" s="18" t="str">
        <f>IF(Quotes!$A160="","",IF(Quotes!U160="","",Quotes!U160))</f>
        <v/>
      </c>
      <c r="C160" s="18" t="str">
        <f>IF(Quotes!$A160="","",IF(Quotes!Z160="","",Quotes!Z160))</f>
        <v/>
      </c>
      <c r="D160" s="22" t="str">
        <f>IF(Quotes!$A160="","",IF(Quotes!E160="","",Quotes!E160))</f>
        <v/>
      </c>
      <c r="E160" s="18" t="str">
        <f>IFERROR(IF(INDEX(Jobs!$P$9:$P$258,MATCH(Quotes!B160,Jobs!$A$9:$A$258,0))="","",HYPERLINK("#'"&amp;INDEX(Jobs!$P$9:$P$258,MATCH(Quotes!B160,Jobs!$A$9:$A$258,0))&amp;"'!A1","OPEN JOB")),"")</f>
        <v/>
      </c>
      <c r="F160" s="22" t="str">
        <f>IF(Quotes!$A160="","",IF(Quotes!F160="","",Quotes!F160))</f>
        <v/>
      </c>
      <c r="G160" s="23" t="str">
        <f>IF(Quotes!$A160="","",IF(Quotes!G160="","",Quotes!G160))</f>
        <v/>
      </c>
      <c r="H160" s="23" t="str">
        <f>IF(Quotes!$A160="","",IF(Quotes!H160="","",Quotes!H160))</f>
        <v/>
      </c>
      <c r="I160" s="22" t="str">
        <f>IF(Quotes!$A160="","",IF(Quotes!I160="","",Quotes!I160))</f>
        <v/>
      </c>
      <c r="J160" s="19" t="str">
        <f>IF(Quotes!$A160="","",IF(Quotes!AD160="","",Quotes!AD160))</f>
        <v/>
      </c>
      <c r="K160" s="19" t="str">
        <f>IF(Quotes!$A160="","",IF(Quotes!AF160="","",Quotes!AF160))</f>
        <v/>
      </c>
      <c r="L160" s="18" t="str">
        <f>IF(Quotes!$A160="","",IF(Quotes!V160="","",Quotes!V160))</f>
        <v/>
      </c>
      <c r="M160" s="18" t="str">
        <f>IF(A160="","",HYPERLINK("#'Quotes'!A160","EDIT QUOTE"))</f>
        <v/>
      </c>
      <c r="N160" s="18" t="str">
        <f>IF(Quotes!$A160="","",IF(Quotes!C160="","",Quotes!C160))</f>
        <v/>
      </c>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row>
    <row r="161" spans="1:44" ht="40" customHeight="1" x14ac:dyDescent="0.35">
      <c r="A161" s="14" t="str">
        <f>IF(Quotes!$A161="","",IF(Quotes!A161="","",Quotes!A161))</f>
        <v/>
      </c>
      <c r="B161" s="14" t="str">
        <f>IF(Quotes!$A161="","",IF(Quotes!U161="","",Quotes!U161))</f>
        <v/>
      </c>
      <c r="C161" s="14" t="str">
        <f>IF(Quotes!$A161="","",IF(Quotes!Z161="","",Quotes!Z161))</f>
        <v/>
      </c>
      <c r="D161" s="22" t="str">
        <f>IF(Quotes!$A161="","",IF(Quotes!E161="","",Quotes!E161))</f>
        <v/>
      </c>
      <c r="E161" s="14" t="str">
        <f>IFERROR(IF(INDEX(Jobs!$P$9:$P$258,MATCH(Quotes!B161,Jobs!$A$9:$A$258,0))="","",HYPERLINK("#'"&amp;INDEX(Jobs!$P$9:$P$258,MATCH(Quotes!B161,Jobs!$A$9:$A$258,0))&amp;"'!A1","OPEN JOB")),"")</f>
        <v/>
      </c>
      <c r="F161" s="22" t="str">
        <f>IF(Quotes!$A161="","",IF(Quotes!F161="","",Quotes!F161))</f>
        <v/>
      </c>
      <c r="G161" s="23" t="str">
        <f>IF(Quotes!$A161="","",IF(Quotes!G161="","",Quotes!G161))</f>
        <v/>
      </c>
      <c r="H161" s="23" t="str">
        <f>IF(Quotes!$A161="","",IF(Quotes!H161="","",Quotes!H161))</f>
        <v/>
      </c>
      <c r="I161" s="22" t="str">
        <f>IF(Quotes!$A161="","",IF(Quotes!I161="","",Quotes!I161))</f>
        <v/>
      </c>
      <c r="J161" s="16" t="str">
        <f>IF(Quotes!$A161="","",IF(Quotes!AD161="","",Quotes!AD161))</f>
        <v/>
      </c>
      <c r="K161" s="16" t="str">
        <f>IF(Quotes!$A161="","",IF(Quotes!AF161="","",Quotes!AF161))</f>
        <v/>
      </c>
      <c r="L161" s="14" t="str">
        <f>IF(Quotes!$A161="","",IF(Quotes!V161="","",Quotes!V161))</f>
        <v/>
      </c>
      <c r="M161" s="14" t="str">
        <f>IF(A161="","",HYPERLINK("#'Quotes'!A161","EDIT QUOTE"))</f>
        <v/>
      </c>
      <c r="N161" s="14" t="str">
        <f>IF(Quotes!$A161="","",IF(Quotes!C161="","",Quotes!C161))</f>
        <v/>
      </c>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row>
    <row r="162" spans="1:44" ht="40" customHeight="1" x14ac:dyDescent="0.35">
      <c r="A162" s="18" t="str">
        <f>IF(Quotes!$A162="","",IF(Quotes!A162="","",Quotes!A162))</f>
        <v/>
      </c>
      <c r="B162" s="18" t="str">
        <f>IF(Quotes!$A162="","",IF(Quotes!U162="","",Quotes!U162))</f>
        <v/>
      </c>
      <c r="C162" s="18" t="str">
        <f>IF(Quotes!$A162="","",IF(Quotes!Z162="","",Quotes!Z162))</f>
        <v/>
      </c>
      <c r="D162" s="22" t="str">
        <f>IF(Quotes!$A162="","",IF(Quotes!E162="","",Quotes!E162))</f>
        <v/>
      </c>
      <c r="E162" s="18" t="str">
        <f>IFERROR(IF(INDEX(Jobs!$P$9:$P$258,MATCH(Quotes!B162,Jobs!$A$9:$A$258,0))="","",HYPERLINK("#'"&amp;INDEX(Jobs!$P$9:$P$258,MATCH(Quotes!B162,Jobs!$A$9:$A$258,0))&amp;"'!A1","OPEN JOB")),"")</f>
        <v/>
      </c>
      <c r="F162" s="22" t="str">
        <f>IF(Quotes!$A162="","",IF(Quotes!F162="","",Quotes!F162))</f>
        <v/>
      </c>
      <c r="G162" s="23" t="str">
        <f>IF(Quotes!$A162="","",IF(Quotes!G162="","",Quotes!G162))</f>
        <v/>
      </c>
      <c r="H162" s="23" t="str">
        <f>IF(Quotes!$A162="","",IF(Quotes!H162="","",Quotes!H162))</f>
        <v/>
      </c>
      <c r="I162" s="22" t="str">
        <f>IF(Quotes!$A162="","",IF(Quotes!I162="","",Quotes!I162))</f>
        <v/>
      </c>
      <c r="J162" s="19" t="str">
        <f>IF(Quotes!$A162="","",IF(Quotes!AD162="","",Quotes!AD162))</f>
        <v/>
      </c>
      <c r="K162" s="19" t="str">
        <f>IF(Quotes!$A162="","",IF(Quotes!AF162="","",Quotes!AF162))</f>
        <v/>
      </c>
      <c r="L162" s="18" t="str">
        <f>IF(Quotes!$A162="","",IF(Quotes!V162="","",Quotes!V162))</f>
        <v/>
      </c>
      <c r="M162" s="18" t="str">
        <f>IF(A162="","",HYPERLINK("#'Quotes'!A162","EDIT QUOTE"))</f>
        <v/>
      </c>
      <c r="N162" s="18" t="str">
        <f>IF(Quotes!$A162="","",IF(Quotes!C162="","",Quotes!C162))</f>
        <v/>
      </c>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row>
    <row r="163" spans="1:44" ht="40" customHeight="1" x14ac:dyDescent="0.35">
      <c r="A163" s="14" t="str">
        <f>IF(Quotes!$A163="","",IF(Quotes!A163="","",Quotes!A163))</f>
        <v/>
      </c>
      <c r="B163" s="14" t="str">
        <f>IF(Quotes!$A163="","",IF(Quotes!U163="","",Quotes!U163))</f>
        <v/>
      </c>
      <c r="C163" s="14" t="str">
        <f>IF(Quotes!$A163="","",IF(Quotes!Z163="","",Quotes!Z163))</f>
        <v/>
      </c>
      <c r="D163" s="22" t="str">
        <f>IF(Quotes!$A163="","",IF(Quotes!E163="","",Quotes!E163))</f>
        <v/>
      </c>
      <c r="E163" s="14" t="str">
        <f>IFERROR(IF(INDEX(Jobs!$P$9:$P$258,MATCH(Quotes!B163,Jobs!$A$9:$A$258,0))="","",HYPERLINK("#'"&amp;INDEX(Jobs!$P$9:$P$258,MATCH(Quotes!B163,Jobs!$A$9:$A$258,0))&amp;"'!A1","OPEN JOB")),"")</f>
        <v/>
      </c>
      <c r="F163" s="22" t="str">
        <f>IF(Quotes!$A163="","",IF(Quotes!F163="","",Quotes!F163))</f>
        <v/>
      </c>
      <c r="G163" s="23" t="str">
        <f>IF(Quotes!$A163="","",IF(Quotes!G163="","",Quotes!G163))</f>
        <v/>
      </c>
      <c r="H163" s="23" t="str">
        <f>IF(Quotes!$A163="","",IF(Quotes!H163="","",Quotes!H163))</f>
        <v/>
      </c>
      <c r="I163" s="22" t="str">
        <f>IF(Quotes!$A163="","",IF(Quotes!I163="","",Quotes!I163))</f>
        <v/>
      </c>
      <c r="J163" s="16" t="str">
        <f>IF(Quotes!$A163="","",IF(Quotes!AD163="","",Quotes!AD163))</f>
        <v/>
      </c>
      <c r="K163" s="16" t="str">
        <f>IF(Quotes!$A163="","",IF(Quotes!AF163="","",Quotes!AF163))</f>
        <v/>
      </c>
      <c r="L163" s="14" t="str">
        <f>IF(Quotes!$A163="","",IF(Quotes!V163="","",Quotes!V163))</f>
        <v/>
      </c>
      <c r="M163" s="14" t="str">
        <f>IF(A163="","",HYPERLINK("#'Quotes'!A163","EDIT QUOTE"))</f>
        <v/>
      </c>
      <c r="N163" s="14" t="str">
        <f>IF(Quotes!$A163="","",IF(Quotes!C163="","",Quotes!C163))</f>
        <v/>
      </c>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row>
    <row r="164" spans="1:44" ht="40" customHeight="1" x14ac:dyDescent="0.35">
      <c r="A164" s="18" t="str">
        <f>IF(Quotes!$A164="","",IF(Quotes!A164="","",Quotes!A164))</f>
        <v/>
      </c>
      <c r="B164" s="18" t="str">
        <f>IF(Quotes!$A164="","",IF(Quotes!U164="","",Quotes!U164))</f>
        <v/>
      </c>
      <c r="C164" s="18" t="str">
        <f>IF(Quotes!$A164="","",IF(Quotes!Z164="","",Quotes!Z164))</f>
        <v/>
      </c>
      <c r="D164" s="22" t="str">
        <f>IF(Quotes!$A164="","",IF(Quotes!E164="","",Quotes!E164))</f>
        <v/>
      </c>
      <c r="E164" s="18" t="str">
        <f>IFERROR(IF(INDEX(Jobs!$P$9:$P$258,MATCH(Quotes!B164,Jobs!$A$9:$A$258,0))="","",HYPERLINK("#'"&amp;INDEX(Jobs!$P$9:$P$258,MATCH(Quotes!B164,Jobs!$A$9:$A$258,0))&amp;"'!A1","OPEN JOB")),"")</f>
        <v/>
      </c>
      <c r="F164" s="22" t="str">
        <f>IF(Quotes!$A164="","",IF(Quotes!F164="","",Quotes!F164))</f>
        <v/>
      </c>
      <c r="G164" s="23" t="str">
        <f>IF(Quotes!$A164="","",IF(Quotes!G164="","",Quotes!G164))</f>
        <v/>
      </c>
      <c r="H164" s="23" t="str">
        <f>IF(Quotes!$A164="","",IF(Quotes!H164="","",Quotes!H164))</f>
        <v/>
      </c>
      <c r="I164" s="22" t="str">
        <f>IF(Quotes!$A164="","",IF(Quotes!I164="","",Quotes!I164))</f>
        <v/>
      </c>
      <c r="J164" s="19" t="str">
        <f>IF(Quotes!$A164="","",IF(Quotes!AD164="","",Quotes!AD164))</f>
        <v/>
      </c>
      <c r="K164" s="19" t="str">
        <f>IF(Quotes!$A164="","",IF(Quotes!AF164="","",Quotes!AF164))</f>
        <v/>
      </c>
      <c r="L164" s="18" t="str">
        <f>IF(Quotes!$A164="","",IF(Quotes!V164="","",Quotes!V164))</f>
        <v/>
      </c>
      <c r="M164" s="18" t="str">
        <f>IF(A164="","",HYPERLINK("#'Quotes'!A164","EDIT QUOTE"))</f>
        <v/>
      </c>
      <c r="N164" s="18" t="str">
        <f>IF(Quotes!$A164="","",IF(Quotes!C164="","",Quotes!C164))</f>
        <v/>
      </c>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row>
    <row r="165" spans="1:44" ht="40" customHeight="1" x14ac:dyDescent="0.35">
      <c r="A165" s="14" t="str">
        <f>IF(Quotes!$A165="","",IF(Quotes!A165="","",Quotes!A165))</f>
        <v/>
      </c>
      <c r="B165" s="14" t="str">
        <f>IF(Quotes!$A165="","",IF(Quotes!U165="","",Quotes!U165))</f>
        <v/>
      </c>
      <c r="C165" s="14" t="str">
        <f>IF(Quotes!$A165="","",IF(Quotes!Z165="","",Quotes!Z165))</f>
        <v/>
      </c>
      <c r="D165" s="22" t="str">
        <f>IF(Quotes!$A165="","",IF(Quotes!E165="","",Quotes!E165))</f>
        <v/>
      </c>
      <c r="E165" s="14" t="str">
        <f>IFERROR(IF(INDEX(Jobs!$P$9:$P$258,MATCH(Quotes!B165,Jobs!$A$9:$A$258,0))="","",HYPERLINK("#'"&amp;INDEX(Jobs!$P$9:$P$258,MATCH(Quotes!B165,Jobs!$A$9:$A$258,0))&amp;"'!A1","OPEN JOB")),"")</f>
        <v/>
      </c>
      <c r="F165" s="22" t="str">
        <f>IF(Quotes!$A165="","",IF(Quotes!F165="","",Quotes!F165))</f>
        <v/>
      </c>
      <c r="G165" s="23" t="str">
        <f>IF(Quotes!$A165="","",IF(Quotes!G165="","",Quotes!G165))</f>
        <v/>
      </c>
      <c r="H165" s="23" t="str">
        <f>IF(Quotes!$A165="","",IF(Quotes!H165="","",Quotes!H165))</f>
        <v/>
      </c>
      <c r="I165" s="22" t="str">
        <f>IF(Quotes!$A165="","",IF(Quotes!I165="","",Quotes!I165))</f>
        <v/>
      </c>
      <c r="J165" s="16" t="str">
        <f>IF(Quotes!$A165="","",IF(Quotes!AD165="","",Quotes!AD165))</f>
        <v/>
      </c>
      <c r="K165" s="16" t="str">
        <f>IF(Quotes!$A165="","",IF(Quotes!AF165="","",Quotes!AF165))</f>
        <v/>
      </c>
      <c r="L165" s="14" t="str">
        <f>IF(Quotes!$A165="","",IF(Quotes!V165="","",Quotes!V165))</f>
        <v/>
      </c>
      <c r="M165" s="14" t="str">
        <f>IF(A165="","",HYPERLINK("#'Quotes'!A165","EDIT QUOTE"))</f>
        <v/>
      </c>
      <c r="N165" s="14" t="str">
        <f>IF(Quotes!$A165="","",IF(Quotes!C165="","",Quotes!C165))</f>
        <v/>
      </c>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row>
    <row r="166" spans="1:44" ht="40" customHeight="1" x14ac:dyDescent="0.35">
      <c r="A166" s="18" t="str">
        <f>IF(Quotes!$A166="","",IF(Quotes!A166="","",Quotes!A166))</f>
        <v/>
      </c>
      <c r="B166" s="18" t="str">
        <f>IF(Quotes!$A166="","",IF(Quotes!U166="","",Quotes!U166))</f>
        <v/>
      </c>
      <c r="C166" s="18" t="str">
        <f>IF(Quotes!$A166="","",IF(Quotes!Z166="","",Quotes!Z166))</f>
        <v/>
      </c>
      <c r="D166" s="22" t="str">
        <f>IF(Quotes!$A166="","",IF(Quotes!E166="","",Quotes!E166))</f>
        <v/>
      </c>
      <c r="E166" s="18" t="str">
        <f>IFERROR(IF(INDEX(Jobs!$P$9:$P$258,MATCH(Quotes!B166,Jobs!$A$9:$A$258,0))="","",HYPERLINK("#'"&amp;INDEX(Jobs!$P$9:$P$258,MATCH(Quotes!B166,Jobs!$A$9:$A$258,0))&amp;"'!A1","OPEN JOB")),"")</f>
        <v/>
      </c>
      <c r="F166" s="22" t="str">
        <f>IF(Quotes!$A166="","",IF(Quotes!F166="","",Quotes!F166))</f>
        <v/>
      </c>
      <c r="G166" s="23" t="str">
        <f>IF(Quotes!$A166="","",IF(Quotes!G166="","",Quotes!G166))</f>
        <v/>
      </c>
      <c r="H166" s="23" t="str">
        <f>IF(Quotes!$A166="","",IF(Quotes!H166="","",Quotes!H166))</f>
        <v/>
      </c>
      <c r="I166" s="22" t="str">
        <f>IF(Quotes!$A166="","",IF(Quotes!I166="","",Quotes!I166))</f>
        <v/>
      </c>
      <c r="J166" s="19" t="str">
        <f>IF(Quotes!$A166="","",IF(Quotes!AD166="","",Quotes!AD166))</f>
        <v/>
      </c>
      <c r="K166" s="19" t="str">
        <f>IF(Quotes!$A166="","",IF(Quotes!AF166="","",Quotes!AF166))</f>
        <v/>
      </c>
      <c r="L166" s="18" t="str">
        <f>IF(Quotes!$A166="","",IF(Quotes!V166="","",Quotes!V166))</f>
        <v/>
      </c>
      <c r="M166" s="18" t="str">
        <f>IF(A166="","",HYPERLINK("#'Quotes'!A166","EDIT QUOTE"))</f>
        <v/>
      </c>
      <c r="N166" s="18" t="str">
        <f>IF(Quotes!$A166="","",IF(Quotes!C166="","",Quotes!C166))</f>
        <v/>
      </c>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row>
    <row r="167" spans="1:44" ht="40" customHeight="1" x14ac:dyDescent="0.35">
      <c r="A167" s="14" t="str">
        <f>IF(Quotes!$A167="","",IF(Quotes!A167="","",Quotes!A167))</f>
        <v/>
      </c>
      <c r="B167" s="14" t="str">
        <f>IF(Quotes!$A167="","",IF(Quotes!U167="","",Quotes!U167))</f>
        <v/>
      </c>
      <c r="C167" s="14" t="str">
        <f>IF(Quotes!$A167="","",IF(Quotes!Z167="","",Quotes!Z167))</f>
        <v/>
      </c>
      <c r="D167" s="22" t="str">
        <f>IF(Quotes!$A167="","",IF(Quotes!E167="","",Quotes!E167))</f>
        <v/>
      </c>
      <c r="E167" s="14" t="str">
        <f>IFERROR(IF(INDEX(Jobs!$P$9:$P$258,MATCH(Quotes!B167,Jobs!$A$9:$A$258,0))="","",HYPERLINK("#'"&amp;INDEX(Jobs!$P$9:$P$258,MATCH(Quotes!B167,Jobs!$A$9:$A$258,0))&amp;"'!A1","OPEN JOB")),"")</f>
        <v/>
      </c>
      <c r="F167" s="22" t="str">
        <f>IF(Quotes!$A167="","",IF(Quotes!F167="","",Quotes!F167))</f>
        <v/>
      </c>
      <c r="G167" s="23" t="str">
        <f>IF(Quotes!$A167="","",IF(Quotes!G167="","",Quotes!G167))</f>
        <v/>
      </c>
      <c r="H167" s="23" t="str">
        <f>IF(Quotes!$A167="","",IF(Quotes!H167="","",Quotes!H167))</f>
        <v/>
      </c>
      <c r="I167" s="22" t="str">
        <f>IF(Quotes!$A167="","",IF(Quotes!I167="","",Quotes!I167))</f>
        <v/>
      </c>
      <c r="J167" s="16" t="str">
        <f>IF(Quotes!$A167="","",IF(Quotes!AD167="","",Quotes!AD167))</f>
        <v/>
      </c>
      <c r="K167" s="16" t="str">
        <f>IF(Quotes!$A167="","",IF(Quotes!AF167="","",Quotes!AF167))</f>
        <v/>
      </c>
      <c r="L167" s="14" t="str">
        <f>IF(Quotes!$A167="","",IF(Quotes!V167="","",Quotes!V167))</f>
        <v/>
      </c>
      <c r="M167" s="14" t="str">
        <f>IF(A167="","",HYPERLINK("#'Quotes'!A167","EDIT QUOTE"))</f>
        <v/>
      </c>
      <c r="N167" s="14" t="str">
        <f>IF(Quotes!$A167="","",IF(Quotes!C167="","",Quotes!C167))</f>
        <v/>
      </c>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row>
    <row r="168" spans="1:44" ht="40" customHeight="1" x14ac:dyDescent="0.35">
      <c r="A168" s="18" t="str">
        <f>IF(Quotes!$A168="","",IF(Quotes!A168="","",Quotes!A168))</f>
        <v/>
      </c>
      <c r="B168" s="18" t="str">
        <f>IF(Quotes!$A168="","",IF(Quotes!U168="","",Quotes!U168))</f>
        <v/>
      </c>
      <c r="C168" s="18" t="str">
        <f>IF(Quotes!$A168="","",IF(Quotes!Z168="","",Quotes!Z168))</f>
        <v/>
      </c>
      <c r="D168" s="22" t="str">
        <f>IF(Quotes!$A168="","",IF(Quotes!E168="","",Quotes!E168))</f>
        <v/>
      </c>
      <c r="E168" s="18" t="str">
        <f>IFERROR(IF(INDEX(Jobs!$P$9:$P$258,MATCH(Quotes!B168,Jobs!$A$9:$A$258,0))="","",HYPERLINK("#'"&amp;INDEX(Jobs!$P$9:$P$258,MATCH(Quotes!B168,Jobs!$A$9:$A$258,0))&amp;"'!A1","OPEN JOB")),"")</f>
        <v/>
      </c>
      <c r="F168" s="22" t="str">
        <f>IF(Quotes!$A168="","",IF(Quotes!F168="","",Quotes!F168))</f>
        <v/>
      </c>
      <c r="G168" s="23" t="str">
        <f>IF(Quotes!$A168="","",IF(Quotes!G168="","",Quotes!G168))</f>
        <v/>
      </c>
      <c r="H168" s="23" t="str">
        <f>IF(Quotes!$A168="","",IF(Quotes!H168="","",Quotes!H168))</f>
        <v/>
      </c>
      <c r="I168" s="22" t="str">
        <f>IF(Quotes!$A168="","",IF(Quotes!I168="","",Quotes!I168))</f>
        <v/>
      </c>
      <c r="J168" s="19" t="str">
        <f>IF(Quotes!$A168="","",IF(Quotes!AD168="","",Quotes!AD168))</f>
        <v/>
      </c>
      <c r="K168" s="19" t="str">
        <f>IF(Quotes!$A168="","",IF(Quotes!AF168="","",Quotes!AF168))</f>
        <v/>
      </c>
      <c r="L168" s="18" t="str">
        <f>IF(Quotes!$A168="","",IF(Quotes!V168="","",Quotes!V168))</f>
        <v/>
      </c>
      <c r="M168" s="18" t="str">
        <f>IF(A168="","",HYPERLINK("#'Quotes'!A168","EDIT QUOTE"))</f>
        <v/>
      </c>
      <c r="N168" s="18" t="str">
        <f>IF(Quotes!$A168="","",IF(Quotes!C168="","",Quotes!C168))</f>
        <v/>
      </c>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row>
    <row r="169" spans="1:44" ht="40" customHeight="1" x14ac:dyDescent="0.35">
      <c r="A169" s="14" t="str">
        <f>IF(Quotes!$A169="","",IF(Quotes!A169="","",Quotes!A169))</f>
        <v/>
      </c>
      <c r="B169" s="14" t="str">
        <f>IF(Quotes!$A169="","",IF(Quotes!U169="","",Quotes!U169))</f>
        <v/>
      </c>
      <c r="C169" s="14" t="str">
        <f>IF(Quotes!$A169="","",IF(Quotes!Z169="","",Quotes!Z169))</f>
        <v/>
      </c>
      <c r="D169" s="22" t="str">
        <f>IF(Quotes!$A169="","",IF(Quotes!E169="","",Quotes!E169))</f>
        <v/>
      </c>
      <c r="E169" s="14" t="str">
        <f>IFERROR(IF(INDEX(Jobs!$P$9:$P$258,MATCH(Quotes!B169,Jobs!$A$9:$A$258,0))="","",HYPERLINK("#'"&amp;INDEX(Jobs!$P$9:$P$258,MATCH(Quotes!B169,Jobs!$A$9:$A$258,0))&amp;"'!A1","OPEN JOB")),"")</f>
        <v/>
      </c>
      <c r="F169" s="22" t="str">
        <f>IF(Quotes!$A169="","",IF(Quotes!F169="","",Quotes!F169))</f>
        <v/>
      </c>
      <c r="G169" s="23" t="str">
        <f>IF(Quotes!$A169="","",IF(Quotes!G169="","",Quotes!G169))</f>
        <v/>
      </c>
      <c r="H169" s="23" t="str">
        <f>IF(Quotes!$A169="","",IF(Quotes!H169="","",Quotes!H169))</f>
        <v/>
      </c>
      <c r="I169" s="22" t="str">
        <f>IF(Quotes!$A169="","",IF(Quotes!I169="","",Quotes!I169))</f>
        <v/>
      </c>
      <c r="J169" s="16" t="str">
        <f>IF(Quotes!$A169="","",IF(Quotes!AD169="","",Quotes!AD169))</f>
        <v/>
      </c>
      <c r="K169" s="16" t="str">
        <f>IF(Quotes!$A169="","",IF(Quotes!AF169="","",Quotes!AF169))</f>
        <v/>
      </c>
      <c r="L169" s="14" t="str">
        <f>IF(Quotes!$A169="","",IF(Quotes!V169="","",Quotes!V169))</f>
        <v/>
      </c>
      <c r="M169" s="14" t="str">
        <f>IF(A169="","",HYPERLINK("#'Quotes'!A169","EDIT QUOTE"))</f>
        <v/>
      </c>
      <c r="N169" s="14" t="str">
        <f>IF(Quotes!$A169="","",IF(Quotes!C169="","",Quotes!C169))</f>
        <v/>
      </c>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row>
    <row r="170" spans="1:44" ht="40" customHeight="1" x14ac:dyDescent="0.35">
      <c r="A170" s="18" t="str">
        <f>IF(Quotes!$A170="","",IF(Quotes!A170="","",Quotes!A170))</f>
        <v/>
      </c>
      <c r="B170" s="18" t="str">
        <f>IF(Quotes!$A170="","",IF(Quotes!U170="","",Quotes!U170))</f>
        <v/>
      </c>
      <c r="C170" s="18" t="str">
        <f>IF(Quotes!$A170="","",IF(Quotes!Z170="","",Quotes!Z170))</f>
        <v/>
      </c>
      <c r="D170" s="22" t="str">
        <f>IF(Quotes!$A170="","",IF(Quotes!E170="","",Quotes!E170))</f>
        <v/>
      </c>
      <c r="E170" s="18" t="str">
        <f>IFERROR(IF(INDEX(Jobs!$P$9:$P$258,MATCH(Quotes!B170,Jobs!$A$9:$A$258,0))="","",HYPERLINK("#'"&amp;INDEX(Jobs!$P$9:$P$258,MATCH(Quotes!B170,Jobs!$A$9:$A$258,0))&amp;"'!A1","OPEN JOB")),"")</f>
        <v/>
      </c>
      <c r="F170" s="22" t="str">
        <f>IF(Quotes!$A170="","",IF(Quotes!F170="","",Quotes!F170))</f>
        <v/>
      </c>
      <c r="G170" s="23" t="str">
        <f>IF(Quotes!$A170="","",IF(Quotes!G170="","",Quotes!G170))</f>
        <v/>
      </c>
      <c r="H170" s="23" t="str">
        <f>IF(Quotes!$A170="","",IF(Quotes!H170="","",Quotes!H170))</f>
        <v/>
      </c>
      <c r="I170" s="22" t="str">
        <f>IF(Quotes!$A170="","",IF(Quotes!I170="","",Quotes!I170))</f>
        <v/>
      </c>
      <c r="J170" s="19" t="str">
        <f>IF(Quotes!$A170="","",IF(Quotes!AD170="","",Quotes!AD170))</f>
        <v/>
      </c>
      <c r="K170" s="19" t="str">
        <f>IF(Quotes!$A170="","",IF(Quotes!AF170="","",Quotes!AF170))</f>
        <v/>
      </c>
      <c r="L170" s="18" t="str">
        <f>IF(Quotes!$A170="","",IF(Quotes!V170="","",Quotes!V170))</f>
        <v/>
      </c>
      <c r="M170" s="18" t="str">
        <f>IF(A170="","",HYPERLINK("#'Quotes'!A170","EDIT QUOTE"))</f>
        <v/>
      </c>
      <c r="N170" s="18" t="str">
        <f>IF(Quotes!$A170="","",IF(Quotes!C170="","",Quotes!C170))</f>
        <v/>
      </c>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row>
    <row r="171" spans="1:44" ht="40" customHeight="1" x14ac:dyDescent="0.35">
      <c r="A171" s="14" t="str">
        <f>IF(Quotes!$A171="","",IF(Quotes!A171="","",Quotes!A171))</f>
        <v/>
      </c>
      <c r="B171" s="14" t="str">
        <f>IF(Quotes!$A171="","",IF(Quotes!U171="","",Quotes!U171))</f>
        <v/>
      </c>
      <c r="C171" s="14" t="str">
        <f>IF(Quotes!$A171="","",IF(Quotes!Z171="","",Quotes!Z171))</f>
        <v/>
      </c>
      <c r="D171" s="22" t="str">
        <f>IF(Quotes!$A171="","",IF(Quotes!E171="","",Quotes!E171))</f>
        <v/>
      </c>
      <c r="E171" s="14" t="str">
        <f>IFERROR(IF(INDEX(Jobs!$P$9:$P$258,MATCH(Quotes!B171,Jobs!$A$9:$A$258,0))="","",HYPERLINK("#'"&amp;INDEX(Jobs!$P$9:$P$258,MATCH(Quotes!B171,Jobs!$A$9:$A$258,0))&amp;"'!A1","OPEN JOB")),"")</f>
        <v/>
      </c>
      <c r="F171" s="22" t="str">
        <f>IF(Quotes!$A171="","",IF(Quotes!F171="","",Quotes!F171))</f>
        <v/>
      </c>
      <c r="G171" s="23" t="str">
        <f>IF(Quotes!$A171="","",IF(Quotes!G171="","",Quotes!G171))</f>
        <v/>
      </c>
      <c r="H171" s="23" t="str">
        <f>IF(Quotes!$A171="","",IF(Quotes!H171="","",Quotes!H171))</f>
        <v/>
      </c>
      <c r="I171" s="22" t="str">
        <f>IF(Quotes!$A171="","",IF(Quotes!I171="","",Quotes!I171))</f>
        <v/>
      </c>
      <c r="J171" s="16" t="str">
        <f>IF(Quotes!$A171="","",IF(Quotes!AD171="","",Quotes!AD171))</f>
        <v/>
      </c>
      <c r="K171" s="16" t="str">
        <f>IF(Quotes!$A171="","",IF(Quotes!AF171="","",Quotes!AF171))</f>
        <v/>
      </c>
      <c r="L171" s="14" t="str">
        <f>IF(Quotes!$A171="","",IF(Quotes!V171="","",Quotes!V171))</f>
        <v/>
      </c>
      <c r="M171" s="14" t="str">
        <f>IF(A171="","",HYPERLINK("#'Quotes'!A171","EDIT QUOTE"))</f>
        <v/>
      </c>
      <c r="N171" s="14" t="str">
        <f>IF(Quotes!$A171="","",IF(Quotes!C171="","",Quotes!C171))</f>
        <v/>
      </c>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row>
    <row r="172" spans="1:44" ht="40" customHeight="1" x14ac:dyDescent="0.35">
      <c r="A172" s="18" t="str">
        <f>IF(Quotes!$A172="","",IF(Quotes!A172="","",Quotes!A172))</f>
        <v/>
      </c>
      <c r="B172" s="18" t="str">
        <f>IF(Quotes!$A172="","",IF(Quotes!U172="","",Quotes!U172))</f>
        <v/>
      </c>
      <c r="C172" s="18" t="str">
        <f>IF(Quotes!$A172="","",IF(Quotes!Z172="","",Quotes!Z172))</f>
        <v/>
      </c>
      <c r="D172" s="22" t="str">
        <f>IF(Quotes!$A172="","",IF(Quotes!E172="","",Quotes!E172))</f>
        <v/>
      </c>
      <c r="E172" s="18" t="str">
        <f>IFERROR(IF(INDEX(Jobs!$P$9:$P$258,MATCH(Quotes!B172,Jobs!$A$9:$A$258,0))="","",HYPERLINK("#'"&amp;INDEX(Jobs!$P$9:$P$258,MATCH(Quotes!B172,Jobs!$A$9:$A$258,0))&amp;"'!A1","OPEN JOB")),"")</f>
        <v/>
      </c>
      <c r="F172" s="22" t="str">
        <f>IF(Quotes!$A172="","",IF(Quotes!F172="","",Quotes!F172))</f>
        <v/>
      </c>
      <c r="G172" s="23" t="str">
        <f>IF(Quotes!$A172="","",IF(Quotes!G172="","",Quotes!G172))</f>
        <v/>
      </c>
      <c r="H172" s="23" t="str">
        <f>IF(Quotes!$A172="","",IF(Quotes!H172="","",Quotes!H172))</f>
        <v/>
      </c>
      <c r="I172" s="22" t="str">
        <f>IF(Quotes!$A172="","",IF(Quotes!I172="","",Quotes!I172))</f>
        <v/>
      </c>
      <c r="J172" s="19" t="str">
        <f>IF(Quotes!$A172="","",IF(Quotes!AD172="","",Quotes!AD172))</f>
        <v/>
      </c>
      <c r="K172" s="19" t="str">
        <f>IF(Quotes!$A172="","",IF(Quotes!AF172="","",Quotes!AF172))</f>
        <v/>
      </c>
      <c r="L172" s="18" t="str">
        <f>IF(Quotes!$A172="","",IF(Quotes!V172="","",Quotes!V172))</f>
        <v/>
      </c>
      <c r="M172" s="18" t="str">
        <f>IF(A172="","",HYPERLINK("#'Quotes'!A172","EDIT QUOTE"))</f>
        <v/>
      </c>
      <c r="N172" s="18" t="str">
        <f>IF(Quotes!$A172="","",IF(Quotes!C172="","",Quotes!C172))</f>
        <v/>
      </c>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row>
    <row r="173" spans="1:44" ht="40" customHeight="1" x14ac:dyDescent="0.35">
      <c r="A173" s="14" t="str">
        <f>IF(Quotes!$A173="","",IF(Quotes!A173="","",Quotes!A173))</f>
        <v/>
      </c>
      <c r="B173" s="14" t="str">
        <f>IF(Quotes!$A173="","",IF(Quotes!U173="","",Quotes!U173))</f>
        <v/>
      </c>
      <c r="C173" s="14" t="str">
        <f>IF(Quotes!$A173="","",IF(Quotes!Z173="","",Quotes!Z173))</f>
        <v/>
      </c>
      <c r="D173" s="22" t="str">
        <f>IF(Quotes!$A173="","",IF(Quotes!E173="","",Quotes!E173))</f>
        <v/>
      </c>
      <c r="E173" s="14" t="str">
        <f>IFERROR(IF(INDEX(Jobs!$P$9:$P$258,MATCH(Quotes!B173,Jobs!$A$9:$A$258,0))="","",HYPERLINK("#'"&amp;INDEX(Jobs!$P$9:$P$258,MATCH(Quotes!B173,Jobs!$A$9:$A$258,0))&amp;"'!A1","OPEN JOB")),"")</f>
        <v/>
      </c>
      <c r="F173" s="22" t="str">
        <f>IF(Quotes!$A173="","",IF(Quotes!F173="","",Quotes!F173))</f>
        <v/>
      </c>
      <c r="G173" s="23" t="str">
        <f>IF(Quotes!$A173="","",IF(Quotes!G173="","",Quotes!G173))</f>
        <v/>
      </c>
      <c r="H173" s="23" t="str">
        <f>IF(Quotes!$A173="","",IF(Quotes!H173="","",Quotes!H173))</f>
        <v/>
      </c>
      <c r="I173" s="22" t="str">
        <f>IF(Quotes!$A173="","",IF(Quotes!I173="","",Quotes!I173))</f>
        <v/>
      </c>
      <c r="J173" s="16" t="str">
        <f>IF(Quotes!$A173="","",IF(Quotes!AD173="","",Quotes!AD173))</f>
        <v/>
      </c>
      <c r="K173" s="16" t="str">
        <f>IF(Quotes!$A173="","",IF(Quotes!AF173="","",Quotes!AF173))</f>
        <v/>
      </c>
      <c r="L173" s="14" t="str">
        <f>IF(Quotes!$A173="","",IF(Quotes!V173="","",Quotes!V173))</f>
        <v/>
      </c>
      <c r="M173" s="14" t="str">
        <f>IF(A173="","",HYPERLINK("#'Quotes'!A173","EDIT QUOTE"))</f>
        <v/>
      </c>
      <c r="N173" s="14" t="str">
        <f>IF(Quotes!$A173="","",IF(Quotes!C173="","",Quotes!C173))</f>
        <v/>
      </c>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row>
    <row r="174" spans="1:44" ht="40" customHeight="1" x14ac:dyDescent="0.35">
      <c r="A174" s="18" t="str">
        <f>IF(Quotes!$A174="","",IF(Quotes!A174="","",Quotes!A174))</f>
        <v/>
      </c>
      <c r="B174" s="18" t="str">
        <f>IF(Quotes!$A174="","",IF(Quotes!U174="","",Quotes!U174))</f>
        <v/>
      </c>
      <c r="C174" s="18" t="str">
        <f>IF(Quotes!$A174="","",IF(Quotes!Z174="","",Quotes!Z174))</f>
        <v/>
      </c>
      <c r="D174" s="22" t="str">
        <f>IF(Quotes!$A174="","",IF(Quotes!E174="","",Quotes!E174))</f>
        <v/>
      </c>
      <c r="E174" s="18" t="str">
        <f>IFERROR(IF(INDEX(Jobs!$P$9:$P$258,MATCH(Quotes!B174,Jobs!$A$9:$A$258,0))="","",HYPERLINK("#'"&amp;INDEX(Jobs!$P$9:$P$258,MATCH(Quotes!B174,Jobs!$A$9:$A$258,0))&amp;"'!A1","OPEN JOB")),"")</f>
        <v/>
      </c>
      <c r="F174" s="22" t="str">
        <f>IF(Quotes!$A174="","",IF(Quotes!F174="","",Quotes!F174))</f>
        <v/>
      </c>
      <c r="G174" s="23" t="str">
        <f>IF(Quotes!$A174="","",IF(Quotes!G174="","",Quotes!G174))</f>
        <v/>
      </c>
      <c r="H174" s="23" t="str">
        <f>IF(Quotes!$A174="","",IF(Quotes!H174="","",Quotes!H174))</f>
        <v/>
      </c>
      <c r="I174" s="22" t="str">
        <f>IF(Quotes!$A174="","",IF(Quotes!I174="","",Quotes!I174))</f>
        <v/>
      </c>
      <c r="J174" s="19" t="str">
        <f>IF(Quotes!$A174="","",IF(Quotes!AD174="","",Quotes!AD174))</f>
        <v/>
      </c>
      <c r="K174" s="19" t="str">
        <f>IF(Quotes!$A174="","",IF(Quotes!AF174="","",Quotes!AF174))</f>
        <v/>
      </c>
      <c r="L174" s="18" t="str">
        <f>IF(Quotes!$A174="","",IF(Quotes!V174="","",Quotes!V174))</f>
        <v/>
      </c>
      <c r="M174" s="18" t="str">
        <f>IF(A174="","",HYPERLINK("#'Quotes'!A174","EDIT QUOTE"))</f>
        <v/>
      </c>
      <c r="N174" s="18" t="str">
        <f>IF(Quotes!$A174="","",IF(Quotes!C174="","",Quotes!C174))</f>
        <v/>
      </c>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row>
    <row r="175" spans="1:44" ht="40" customHeight="1" x14ac:dyDescent="0.35">
      <c r="A175" s="14" t="str">
        <f>IF(Quotes!$A175="","",IF(Quotes!A175="","",Quotes!A175))</f>
        <v/>
      </c>
      <c r="B175" s="14" t="str">
        <f>IF(Quotes!$A175="","",IF(Quotes!U175="","",Quotes!U175))</f>
        <v/>
      </c>
      <c r="C175" s="14" t="str">
        <f>IF(Quotes!$A175="","",IF(Quotes!Z175="","",Quotes!Z175))</f>
        <v/>
      </c>
      <c r="D175" s="22" t="str">
        <f>IF(Quotes!$A175="","",IF(Quotes!E175="","",Quotes!E175))</f>
        <v/>
      </c>
      <c r="E175" s="14" t="str">
        <f>IFERROR(IF(INDEX(Jobs!$P$9:$P$258,MATCH(Quotes!B175,Jobs!$A$9:$A$258,0))="","",HYPERLINK("#'"&amp;INDEX(Jobs!$P$9:$P$258,MATCH(Quotes!B175,Jobs!$A$9:$A$258,0))&amp;"'!A1","OPEN JOB")),"")</f>
        <v/>
      </c>
      <c r="F175" s="22" t="str">
        <f>IF(Quotes!$A175="","",IF(Quotes!F175="","",Quotes!F175))</f>
        <v/>
      </c>
      <c r="G175" s="23" t="str">
        <f>IF(Quotes!$A175="","",IF(Quotes!G175="","",Quotes!G175))</f>
        <v/>
      </c>
      <c r="H175" s="23" t="str">
        <f>IF(Quotes!$A175="","",IF(Quotes!H175="","",Quotes!H175))</f>
        <v/>
      </c>
      <c r="I175" s="22" t="str">
        <f>IF(Quotes!$A175="","",IF(Quotes!I175="","",Quotes!I175))</f>
        <v/>
      </c>
      <c r="J175" s="16" t="str">
        <f>IF(Quotes!$A175="","",IF(Quotes!AD175="","",Quotes!AD175))</f>
        <v/>
      </c>
      <c r="K175" s="16" t="str">
        <f>IF(Quotes!$A175="","",IF(Quotes!AF175="","",Quotes!AF175))</f>
        <v/>
      </c>
      <c r="L175" s="14" t="str">
        <f>IF(Quotes!$A175="","",IF(Quotes!V175="","",Quotes!V175))</f>
        <v/>
      </c>
      <c r="M175" s="14" t="str">
        <f>IF(A175="","",HYPERLINK("#'Quotes'!A175","EDIT QUOTE"))</f>
        <v/>
      </c>
      <c r="N175" s="14" t="str">
        <f>IF(Quotes!$A175="","",IF(Quotes!C175="","",Quotes!C175))</f>
        <v/>
      </c>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row>
    <row r="176" spans="1:44" ht="40" customHeight="1" x14ac:dyDescent="0.35">
      <c r="A176" s="18" t="str">
        <f>IF(Quotes!$A176="","",IF(Quotes!A176="","",Quotes!A176))</f>
        <v/>
      </c>
      <c r="B176" s="18" t="str">
        <f>IF(Quotes!$A176="","",IF(Quotes!U176="","",Quotes!U176))</f>
        <v/>
      </c>
      <c r="C176" s="18" t="str">
        <f>IF(Quotes!$A176="","",IF(Quotes!Z176="","",Quotes!Z176))</f>
        <v/>
      </c>
      <c r="D176" s="22" t="str">
        <f>IF(Quotes!$A176="","",IF(Quotes!E176="","",Quotes!E176))</f>
        <v/>
      </c>
      <c r="E176" s="18" t="str">
        <f>IFERROR(IF(INDEX(Jobs!$P$9:$P$258,MATCH(Quotes!B176,Jobs!$A$9:$A$258,0))="","",HYPERLINK("#'"&amp;INDEX(Jobs!$P$9:$P$258,MATCH(Quotes!B176,Jobs!$A$9:$A$258,0))&amp;"'!A1","OPEN JOB")),"")</f>
        <v/>
      </c>
      <c r="F176" s="22" t="str">
        <f>IF(Quotes!$A176="","",IF(Quotes!F176="","",Quotes!F176))</f>
        <v/>
      </c>
      <c r="G176" s="23" t="str">
        <f>IF(Quotes!$A176="","",IF(Quotes!G176="","",Quotes!G176))</f>
        <v/>
      </c>
      <c r="H176" s="23" t="str">
        <f>IF(Quotes!$A176="","",IF(Quotes!H176="","",Quotes!H176))</f>
        <v/>
      </c>
      <c r="I176" s="22" t="str">
        <f>IF(Quotes!$A176="","",IF(Quotes!I176="","",Quotes!I176))</f>
        <v/>
      </c>
      <c r="J176" s="19" t="str">
        <f>IF(Quotes!$A176="","",IF(Quotes!AD176="","",Quotes!AD176))</f>
        <v/>
      </c>
      <c r="K176" s="19" t="str">
        <f>IF(Quotes!$A176="","",IF(Quotes!AF176="","",Quotes!AF176))</f>
        <v/>
      </c>
      <c r="L176" s="18" t="str">
        <f>IF(Quotes!$A176="","",IF(Quotes!V176="","",Quotes!V176))</f>
        <v/>
      </c>
      <c r="M176" s="18" t="str">
        <f>IF(A176="","",HYPERLINK("#'Quotes'!A176","EDIT QUOTE"))</f>
        <v/>
      </c>
      <c r="N176" s="18" t="str">
        <f>IF(Quotes!$A176="","",IF(Quotes!C176="","",Quotes!C176))</f>
        <v/>
      </c>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row>
    <row r="177" spans="1:44" ht="40" customHeight="1" x14ac:dyDescent="0.35">
      <c r="A177" s="14" t="str">
        <f>IF(Quotes!$A177="","",IF(Quotes!A177="","",Quotes!A177))</f>
        <v/>
      </c>
      <c r="B177" s="14" t="str">
        <f>IF(Quotes!$A177="","",IF(Quotes!U177="","",Quotes!U177))</f>
        <v/>
      </c>
      <c r="C177" s="14" t="str">
        <f>IF(Quotes!$A177="","",IF(Quotes!Z177="","",Quotes!Z177))</f>
        <v/>
      </c>
      <c r="D177" s="22" t="str">
        <f>IF(Quotes!$A177="","",IF(Quotes!E177="","",Quotes!E177))</f>
        <v/>
      </c>
      <c r="E177" s="14" t="str">
        <f>IFERROR(IF(INDEX(Jobs!$P$9:$P$258,MATCH(Quotes!B177,Jobs!$A$9:$A$258,0))="","",HYPERLINK("#'"&amp;INDEX(Jobs!$P$9:$P$258,MATCH(Quotes!B177,Jobs!$A$9:$A$258,0))&amp;"'!A1","OPEN JOB")),"")</f>
        <v/>
      </c>
      <c r="F177" s="22" t="str">
        <f>IF(Quotes!$A177="","",IF(Quotes!F177="","",Quotes!F177))</f>
        <v/>
      </c>
      <c r="G177" s="23" t="str">
        <f>IF(Quotes!$A177="","",IF(Quotes!G177="","",Quotes!G177))</f>
        <v/>
      </c>
      <c r="H177" s="23" t="str">
        <f>IF(Quotes!$A177="","",IF(Quotes!H177="","",Quotes!H177))</f>
        <v/>
      </c>
      <c r="I177" s="22" t="str">
        <f>IF(Quotes!$A177="","",IF(Quotes!I177="","",Quotes!I177))</f>
        <v/>
      </c>
      <c r="J177" s="16" t="str">
        <f>IF(Quotes!$A177="","",IF(Quotes!AD177="","",Quotes!AD177))</f>
        <v/>
      </c>
      <c r="K177" s="16" t="str">
        <f>IF(Quotes!$A177="","",IF(Quotes!AF177="","",Quotes!AF177))</f>
        <v/>
      </c>
      <c r="L177" s="14" t="str">
        <f>IF(Quotes!$A177="","",IF(Quotes!V177="","",Quotes!V177))</f>
        <v/>
      </c>
      <c r="M177" s="14" t="str">
        <f>IF(A177="","",HYPERLINK("#'Quotes'!A177","EDIT QUOTE"))</f>
        <v/>
      </c>
      <c r="N177" s="14" t="str">
        <f>IF(Quotes!$A177="","",IF(Quotes!C177="","",Quotes!C177))</f>
        <v/>
      </c>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row>
    <row r="178" spans="1:44" ht="40" customHeight="1" x14ac:dyDescent="0.35">
      <c r="A178" s="18" t="str">
        <f>IF(Quotes!$A178="","",IF(Quotes!A178="","",Quotes!A178))</f>
        <v/>
      </c>
      <c r="B178" s="18" t="str">
        <f>IF(Quotes!$A178="","",IF(Quotes!U178="","",Quotes!U178))</f>
        <v/>
      </c>
      <c r="C178" s="18" t="str">
        <f>IF(Quotes!$A178="","",IF(Quotes!Z178="","",Quotes!Z178))</f>
        <v/>
      </c>
      <c r="D178" s="22" t="str">
        <f>IF(Quotes!$A178="","",IF(Quotes!E178="","",Quotes!E178))</f>
        <v/>
      </c>
      <c r="E178" s="18" t="str">
        <f>IFERROR(IF(INDEX(Jobs!$P$9:$P$258,MATCH(Quotes!B178,Jobs!$A$9:$A$258,0))="","",HYPERLINK("#'"&amp;INDEX(Jobs!$P$9:$P$258,MATCH(Quotes!B178,Jobs!$A$9:$A$258,0))&amp;"'!A1","OPEN JOB")),"")</f>
        <v/>
      </c>
      <c r="F178" s="22" t="str">
        <f>IF(Quotes!$A178="","",IF(Quotes!F178="","",Quotes!F178))</f>
        <v/>
      </c>
      <c r="G178" s="23" t="str">
        <f>IF(Quotes!$A178="","",IF(Quotes!G178="","",Quotes!G178))</f>
        <v/>
      </c>
      <c r="H178" s="23" t="str">
        <f>IF(Quotes!$A178="","",IF(Quotes!H178="","",Quotes!H178))</f>
        <v/>
      </c>
      <c r="I178" s="22" t="str">
        <f>IF(Quotes!$A178="","",IF(Quotes!I178="","",Quotes!I178))</f>
        <v/>
      </c>
      <c r="J178" s="19" t="str">
        <f>IF(Quotes!$A178="","",IF(Quotes!AD178="","",Quotes!AD178))</f>
        <v/>
      </c>
      <c r="K178" s="19" t="str">
        <f>IF(Quotes!$A178="","",IF(Quotes!AF178="","",Quotes!AF178))</f>
        <v/>
      </c>
      <c r="L178" s="18" t="str">
        <f>IF(Quotes!$A178="","",IF(Quotes!V178="","",Quotes!V178))</f>
        <v/>
      </c>
      <c r="M178" s="18" t="str">
        <f>IF(A178="","",HYPERLINK("#'Quotes'!A178","EDIT QUOTE"))</f>
        <v/>
      </c>
      <c r="N178" s="18" t="str">
        <f>IF(Quotes!$A178="","",IF(Quotes!C178="","",Quotes!C178))</f>
        <v/>
      </c>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row>
    <row r="179" spans="1:44" ht="40" customHeight="1" x14ac:dyDescent="0.35">
      <c r="A179" s="14" t="str">
        <f>IF(Quotes!$A179="","",IF(Quotes!A179="","",Quotes!A179))</f>
        <v/>
      </c>
      <c r="B179" s="14" t="str">
        <f>IF(Quotes!$A179="","",IF(Quotes!U179="","",Quotes!U179))</f>
        <v/>
      </c>
      <c r="C179" s="14" t="str">
        <f>IF(Quotes!$A179="","",IF(Quotes!Z179="","",Quotes!Z179))</f>
        <v/>
      </c>
      <c r="D179" s="22" t="str">
        <f>IF(Quotes!$A179="","",IF(Quotes!E179="","",Quotes!E179))</f>
        <v/>
      </c>
      <c r="E179" s="14" t="str">
        <f>IFERROR(IF(INDEX(Jobs!$P$9:$P$258,MATCH(Quotes!B179,Jobs!$A$9:$A$258,0))="","",HYPERLINK("#'"&amp;INDEX(Jobs!$P$9:$P$258,MATCH(Quotes!B179,Jobs!$A$9:$A$258,0))&amp;"'!A1","OPEN JOB")),"")</f>
        <v/>
      </c>
      <c r="F179" s="22" t="str">
        <f>IF(Quotes!$A179="","",IF(Quotes!F179="","",Quotes!F179))</f>
        <v/>
      </c>
      <c r="G179" s="23" t="str">
        <f>IF(Quotes!$A179="","",IF(Quotes!G179="","",Quotes!G179))</f>
        <v/>
      </c>
      <c r="H179" s="23" t="str">
        <f>IF(Quotes!$A179="","",IF(Quotes!H179="","",Quotes!H179))</f>
        <v/>
      </c>
      <c r="I179" s="22" t="str">
        <f>IF(Quotes!$A179="","",IF(Quotes!I179="","",Quotes!I179))</f>
        <v/>
      </c>
      <c r="J179" s="16" t="str">
        <f>IF(Quotes!$A179="","",IF(Quotes!AD179="","",Quotes!AD179))</f>
        <v/>
      </c>
      <c r="K179" s="16" t="str">
        <f>IF(Quotes!$A179="","",IF(Quotes!AF179="","",Quotes!AF179))</f>
        <v/>
      </c>
      <c r="L179" s="14" t="str">
        <f>IF(Quotes!$A179="","",IF(Quotes!V179="","",Quotes!V179))</f>
        <v/>
      </c>
      <c r="M179" s="14" t="str">
        <f>IF(A179="","",HYPERLINK("#'Quotes'!A179","EDIT QUOTE"))</f>
        <v/>
      </c>
      <c r="N179" s="14" t="str">
        <f>IF(Quotes!$A179="","",IF(Quotes!C179="","",Quotes!C179))</f>
        <v/>
      </c>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row>
    <row r="180" spans="1:44" ht="40" customHeight="1" x14ac:dyDescent="0.35">
      <c r="A180" s="18" t="str">
        <f>IF(Quotes!$A180="","",IF(Quotes!A180="","",Quotes!A180))</f>
        <v/>
      </c>
      <c r="B180" s="18" t="str">
        <f>IF(Quotes!$A180="","",IF(Quotes!U180="","",Quotes!U180))</f>
        <v/>
      </c>
      <c r="C180" s="18" t="str">
        <f>IF(Quotes!$A180="","",IF(Quotes!Z180="","",Quotes!Z180))</f>
        <v/>
      </c>
      <c r="D180" s="22" t="str">
        <f>IF(Quotes!$A180="","",IF(Quotes!E180="","",Quotes!E180))</f>
        <v/>
      </c>
      <c r="E180" s="18" t="str">
        <f>IFERROR(IF(INDEX(Jobs!$P$9:$P$258,MATCH(Quotes!B180,Jobs!$A$9:$A$258,0))="","",HYPERLINK("#'"&amp;INDEX(Jobs!$P$9:$P$258,MATCH(Quotes!B180,Jobs!$A$9:$A$258,0))&amp;"'!A1","OPEN JOB")),"")</f>
        <v/>
      </c>
      <c r="F180" s="22" t="str">
        <f>IF(Quotes!$A180="","",IF(Quotes!F180="","",Quotes!F180))</f>
        <v/>
      </c>
      <c r="G180" s="23" t="str">
        <f>IF(Quotes!$A180="","",IF(Quotes!G180="","",Quotes!G180))</f>
        <v/>
      </c>
      <c r="H180" s="23" t="str">
        <f>IF(Quotes!$A180="","",IF(Quotes!H180="","",Quotes!H180))</f>
        <v/>
      </c>
      <c r="I180" s="22" t="str">
        <f>IF(Quotes!$A180="","",IF(Quotes!I180="","",Quotes!I180))</f>
        <v/>
      </c>
      <c r="J180" s="19" t="str">
        <f>IF(Quotes!$A180="","",IF(Quotes!AD180="","",Quotes!AD180))</f>
        <v/>
      </c>
      <c r="K180" s="19" t="str">
        <f>IF(Quotes!$A180="","",IF(Quotes!AF180="","",Quotes!AF180))</f>
        <v/>
      </c>
      <c r="L180" s="18" t="str">
        <f>IF(Quotes!$A180="","",IF(Quotes!V180="","",Quotes!V180))</f>
        <v/>
      </c>
      <c r="M180" s="18" t="str">
        <f>IF(A180="","",HYPERLINK("#'Quotes'!A180","EDIT QUOTE"))</f>
        <v/>
      </c>
      <c r="N180" s="18" t="str">
        <f>IF(Quotes!$A180="","",IF(Quotes!C180="","",Quotes!C180))</f>
        <v/>
      </c>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row>
    <row r="181" spans="1:44" ht="40" customHeight="1" x14ac:dyDescent="0.35">
      <c r="A181" s="14" t="str">
        <f>IF(Quotes!$A181="","",IF(Quotes!A181="","",Quotes!A181))</f>
        <v/>
      </c>
      <c r="B181" s="14" t="str">
        <f>IF(Quotes!$A181="","",IF(Quotes!U181="","",Quotes!U181))</f>
        <v/>
      </c>
      <c r="C181" s="14" t="str">
        <f>IF(Quotes!$A181="","",IF(Quotes!Z181="","",Quotes!Z181))</f>
        <v/>
      </c>
      <c r="D181" s="22" t="str">
        <f>IF(Quotes!$A181="","",IF(Quotes!E181="","",Quotes!E181))</f>
        <v/>
      </c>
      <c r="E181" s="14" t="str">
        <f>IFERROR(IF(INDEX(Jobs!$P$9:$P$258,MATCH(Quotes!B181,Jobs!$A$9:$A$258,0))="","",HYPERLINK("#'"&amp;INDEX(Jobs!$P$9:$P$258,MATCH(Quotes!B181,Jobs!$A$9:$A$258,0))&amp;"'!A1","OPEN JOB")),"")</f>
        <v/>
      </c>
      <c r="F181" s="22" t="str">
        <f>IF(Quotes!$A181="","",IF(Quotes!F181="","",Quotes!F181))</f>
        <v/>
      </c>
      <c r="G181" s="23" t="str">
        <f>IF(Quotes!$A181="","",IF(Quotes!G181="","",Quotes!G181))</f>
        <v/>
      </c>
      <c r="H181" s="23" t="str">
        <f>IF(Quotes!$A181="","",IF(Quotes!H181="","",Quotes!H181))</f>
        <v/>
      </c>
      <c r="I181" s="22" t="str">
        <f>IF(Quotes!$A181="","",IF(Quotes!I181="","",Quotes!I181))</f>
        <v/>
      </c>
      <c r="J181" s="16" t="str">
        <f>IF(Quotes!$A181="","",IF(Quotes!AD181="","",Quotes!AD181))</f>
        <v/>
      </c>
      <c r="K181" s="16" t="str">
        <f>IF(Quotes!$A181="","",IF(Quotes!AF181="","",Quotes!AF181))</f>
        <v/>
      </c>
      <c r="L181" s="14" t="str">
        <f>IF(Quotes!$A181="","",IF(Quotes!V181="","",Quotes!V181))</f>
        <v/>
      </c>
      <c r="M181" s="14" t="str">
        <f>IF(A181="","",HYPERLINK("#'Quotes'!A181","EDIT QUOTE"))</f>
        <v/>
      </c>
      <c r="N181" s="14" t="str">
        <f>IF(Quotes!$A181="","",IF(Quotes!C181="","",Quotes!C181))</f>
        <v/>
      </c>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row>
    <row r="182" spans="1:44" ht="40" customHeight="1" x14ac:dyDescent="0.35">
      <c r="A182" s="18" t="str">
        <f>IF(Quotes!$A182="","",IF(Quotes!A182="","",Quotes!A182))</f>
        <v/>
      </c>
      <c r="B182" s="18" t="str">
        <f>IF(Quotes!$A182="","",IF(Quotes!U182="","",Quotes!U182))</f>
        <v/>
      </c>
      <c r="C182" s="18" t="str">
        <f>IF(Quotes!$A182="","",IF(Quotes!Z182="","",Quotes!Z182))</f>
        <v/>
      </c>
      <c r="D182" s="22" t="str">
        <f>IF(Quotes!$A182="","",IF(Quotes!E182="","",Quotes!E182))</f>
        <v/>
      </c>
      <c r="E182" s="18" t="str">
        <f>IFERROR(IF(INDEX(Jobs!$P$9:$P$258,MATCH(Quotes!B182,Jobs!$A$9:$A$258,0))="","",HYPERLINK("#'"&amp;INDEX(Jobs!$P$9:$P$258,MATCH(Quotes!B182,Jobs!$A$9:$A$258,0))&amp;"'!A1","OPEN JOB")),"")</f>
        <v/>
      </c>
      <c r="F182" s="22" t="str">
        <f>IF(Quotes!$A182="","",IF(Quotes!F182="","",Quotes!F182))</f>
        <v/>
      </c>
      <c r="G182" s="23" t="str">
        <f>IF(Quotes!$A182="","",IF(Quotes!G182="","",Quotes!G182))</f>
        <v/>
      </c>
      <c r="H182" s="23" t="str">
        <f>IF(Quotes!$A182="","",IF(Quotes!H182="","",Quotes!H182))</f>
        <v/>
      </c>
      <c r="I182" s="22" t="str">
        <f>IF(Quotes!$A182="","",IF(Quotes!I182="","",Quotes!I182))</f>
        <v/>
      </c>
      <c r="J182" s="19" t="str">
        <f>IF(Quotes!$A182="","",IF(Quotes!AD182="","",Quotes!AD182))</f>
        <v/>
      </c>
      <c r="K182" s="19" t="str">
        <f>IF(Quotes!$A182="","",IF(Quotes!AF182="","",Quotes!AF182))</f>
        <v/>
      </c>
      <c r="L182" s="18" t="str">
        <f>IF(Quotes!$A182="","",IF(Quotes!V182="","",Quotes!V182))</f>
        <v/>
      </c>
      <c r="M182" s="18" t="str">
        <f>IF(A182="","",HYPERLINK("#'Quotes'!A182","EDIT QUOTE"))</f>
        <v/>
      </c>
      <c r="N182" s="18" t="str">
        <f>IF(Quotes!$A182="","",IF(Quotes!C182="","",Quotes!C182))</f>
        <v/>
      </c>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row>
    <row r="183" spans="1:44" ht="40" customHeight="1" x14ac:dyDescent="0.35">
      <c r="A183" s="14" t="str">
        <f>IF(Quotes!$A183="","",IF(Quotes!A183="","",Quotes!A183))</f>
        <v/>
      </c>
      <c r="B183" s="14" t="str">
        <f>IF(Quotes!$A183="","",IF(Quotes!U183="","",Quotes!U183))</f>
        <v/>
      </c>
      <c r="C183" s="14" t="str">
        <f>IF(Quotes!$A183="","",IF(Quotes!Z183="","",Quotes!Z183))</f>
        <v/>
      </c>
      <c r="D183" s="22" t="str">
        <f>IF(Quotes!$A183="","",IF(Quotes!E183="","",Quotes!E183))</f>
        <v/>
      </c>
      <c r="E183" s="14" t="str">
        <f>IFERROR(IF(INDEX(Jobs!$P$9:$P$258,MATCH(Quotes!B183,Jobs!$A$9:$A$258,0))="","",HYPERLINK("#'"&amp;INDEX(Jobs!$P$9:$P$258,MATCH(Quotes!B183,Jobs!$A$9:$A$258,0))&amp;"'!A1","OPEN JOB")),"")</f>
        <v/>
      </c>
      <c r="F183" s="22" t="str">
        <f>IF(Quotes!$A183="","",IF(Quotes!F183="","",Quotes!F183))</f>
        <v/>
      </c>
      <c r="G183" s="23" t="str">
        <f>IF(Quotes!$A183="","",IF(Quotes!G183="","",Quotes!G183))</f>
        <v/>
      </c>
      <c r="H183" s="23" t="str">
        <f>IF(Quotes!$A183="","",IF(Quotes!H183="","",Quotes!H183))</f>
        <v/>
      </c>
      <c r="I183" s="22" t="str">
        <f>IF(Quotes!$A183="","",IF(Quotes!I183="","",Quotes!I183))</f>
        <v/>
      </c>
      <c r="J183" s="16" t="str">
        <f>IF(Quotes!$A183="","",IF(Quotes!AD183="","",Quotes!AD183))</f>
        <v/>
      </c>
      <c r="K183" s="16" t="str">
        <f>IF(Quotes!$A183="","",IF(Quotes!AF183="","",Quotes!AF183))</f>
        <v/>
      </c>
      <c r="L183" s="14" t="str">
        <f>IF(Quotes!$A183="","",IF(Quotes!V183="","",Quotes!V183))</f>
        <v/>
      </c>
      <c r="M183" s="14" t="str">
        <f>IF(A183="","",HYPERLINK("#'Quotes'!A183","EDIT QUOTE"))</f>
        <v/>
      </c>
      <c r="N183" s="14" t="str">
        <f>IF(Quotes!$A183="","",IF(Quotes!C183="","",Quotes!C183))</f>
        <v/>
      </c>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row>
    <row r="184" spans="1:44" ht="40" customHeight="1" x14ac:dyDescent="0.35">
      <c r="A184" s="18" t="str">
        <f>IF(Quotes!$A184="","",IF(Quotes!A184="","",Quotes!A184))</f>
        <v/>
      </c>
      <c r="B184" s="18" t="str">
        <f>IF(Quotes!$A184="","",IF(Quotes!U184="","",Quotes!U184))</f>
        <v/>
      </c>
      <c r="C184" s="18" t="str">
        <f>IF(Quotes!$A184="","",IF(Quotes!Z184="","",Quotes!Z184))</f>
        <v/>
      </c>
      <c r="D184" s="22" t="str">
        <f>IF(Quotes!$A184="","",IF(Quotes!E184="","",Quotes!E184))</f>
        <v/>
      </c>
      <c r="E184" s="18" t="str">
        <f>IFERROR(IF(INDEX(Jobs!$P$9:$P$258,MATCH(Quotes!B184,Jobs!$A$9:$A$258,0))="","",HYPERLINK("#'"&amp;INDEX(Jobs!$P$9:$P$258,MATCH(Quotes!B184,Jobs!$A$9:$A$258,0))&amp;"'!A1","OPEN JOB")),"")</f>
        <v/>
      </c>
      <c r="F184" s="22" t="str">
        <f>IF(Quotes!$A184="","",IF(Quotes!F184="","",Quotes!F184))</f>
        <v/>
      </c>
      <c r="G184" s="23" t="str">
        <f>IF(Quotes!$A184="","",IF(Quotes!G184="","",Quotes!G184))</f>
        <v/>
      </c>
      <c r="H184" s="23" t="str">
        <f>IF(Quotes!$A184="","",IF(Quotes!H184="","",Quotes!H184))</f>
        <v/>
      </c>
      <c r="I184" s="22" t="str">
        <f>IF(Quotes!$A184="","",IF(Quotes!I184="","",Quotes!I184))</f>
        <v/>
      </c>
      <c r="J184" s="19" t="str">
        <f>IF(Quotes!$A184="","",IF(Quotes!AD184="","",Quotes!AD184))</f>
        <v/>
      </c>
      <c r="K184" s="19" t="str">
        <f>IF(Quotes!$A184="","",IF(Quotes!AF184="","",Quotes!AF184))</f>
        <v/>
      </c>
      <c r="L184" s="18" t="str">
        <f>IF(Quotes!$A184="","",IF(Quotes!V184="","",Quotes!V184))</f>
        <v/>
      </c>
      <c r="M184" s="18" t="str">
        <f>IF(A184="","",HYPERLINK("#'Quotes'!A184","EDIT QUOTE"))</f>
        <v/>
      </c>
      <c r="N184" s="18" t="str">
        <f>IF(Quotes!$A184="","",IF(Quotes!C184="","",Quotes!C184))</f>
        <v/>
      </c>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row>
    <row r="185" spans="1:44" ht="40" customHeight="1" x14ac:dyDescent="0.35">
      <c r="A185" s="14" t="str">
        <f>IF(Quotes!$A185="","",IF(Quotes!A185="","",Quotes!A185))</f>
        <v/>
      </c>
      <c r="B185" s="14" t="str">
        <f>IF(Quotes!$A185="","",IF(Quotes!U185="","",Quotes!U185))</f>
        <v/>
      </c>
      <c r="C185" s="14" t="str">
        <f>IF(Quotes!$A185="","",IF(Quotes!Z185="","",Quotes!Z185))</f>
        <v/>
      </c>
      <c r="D185" s="22" t="str">
        <f>IF(Quotes!$A185="","",IF(Quotes!E185="","",Quotes!E185))</f>
        <v/>
      </c>
      <c r="E185" s="14" t="str">
        <f>IFERROR(IF(INDEX(Jobs!$P$9:$P$258,MATCH(Quotes!B185,Jobs!$A$9:$A$258,0))="","",HYPERLINK("#'"&amp;INDEX(Jobs!$P$9:$P$258,MATCH(Quotes!B185,Jobs!$A$9:$A$258,0))&amp;"'!A1","OPEN JOB")),"")</f>
        <v/>
      </c>
      <c r="F185" s="22" t="str">
        <f>IF(Quotes!$A185="","",IF(Quotes!F185="","",Quotes!F185))</f>
        <v/>
      </c>
      <c r="G185" s="23" t="str">
        <f>IF(Quotes!$A185="","",IF(Quotes!G185="","",Quotes!G185))</f>
        <v/>
      </c>
      <c r="H185" s="23" t="str">
        <f>IF(Quotes!$A185="","",IF(Quotes!H185="","",Quotes!H185))</f>
        <v/>
      </c>
      <c r="I185" s="22" t="str">
        <f>IF(Quotes!$A185="","",IF(Quotes!I185="","",Quotes!I185))</f>
        <v/>
      </c>
      <c r="J185" s="16" t="str">
        <f>IF(Quotes!$A185="","",IF(Quotes!AD185="","",Quotes!AD185))</f>
        <v/>
      </c>
      <c r="K185" s="16" t="str">
        <f>IF(Quotes!$A185="","",IF(Quotes!AF185="","",Quotes!AF185))</f>
        <v/>
      </c>
      <c r="L185" s="14" t="str">
        <f>IF(Quotes!$A185="","",IF(Quotes!V185="","",Quotes!V185))</f>
        <v/>
      </c>
      <c r="M185" s="14" t="str">
        <f>IF(A185="","",HYPERLINK("#'Quotes'!A185","EDIT QUOTE"))</f>
        <v/>
      </c>
      <c r="N185" s="14" t="str">
        <f>IF(Quotes!$A185="","",IF(Quotes!C185="","",Quotes!C185))</f>
        <v/>
      </c>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row>
    <row r="186" spans="1:44" ht="40" customHeight="1" x14ac:dyDescent="0.35">
      <c r="A186" s="18" t="str">
        <f>IF(Quotes!$A186="","",IF(Quotes!A186="","",Quotes!A186))</f>
        <v/>
      </c>
      <c r="B186" s="18" t="str">
        <f>IF(Quotes!$A186="","",IF(Quotes!U186="","",Quotes!U186))</f>
        <v/>
      </c>
      <c r="C186" s="18" t="str">
        <f>IF(Quotes!$A186="","",IF(Quotes!Z186="","",Quotes!Z186))</f>
        <v/>
      </c>
      <c r="D186" s="22" t="str">
        <f>IF(Quotes!$A186="","",IF(Quotes!E186="","",Quotes!E186))</f>
        <v/>
      </c>
      <c r="E186" s="18" t="str">
        <f>IFERROR(IF(INDEX(Jobs!$P$9:$P$258,MATCH(Quotes!B186,Jobs!$A$9:$A$258,0))="","",HYPERLINK("#'"&amp;INDEX(Jobs!$P$9:$P$258,MATCH(Quotes!B186,Jobs!$A$9:$A$258,0))&amp;"'!A1","OPEN JOB")),"")</f>
        <v/>
      </c>
      <c r="F186" s="22" t="str">
        <f>IF(Quotes!$A186="","",IF(Quotes!F186="","",Quotes!F186))</f>
        <v/>
      </c>
      <c r="G186" s="23" t="str">
        <f>IF(Quotes!$A186="","",IF(Quotes!G186="","",Quotes!G186))</f>
        <v/>
      </c>
      <c r="H186" s="23" t="str">
        <f>IF(Quotes!$A186="","",IF(Quotes!H186="","",Quotes!H186))</f>
        <v/>
      </c>
      <c r="I186" s="22" t="str">
        <f>IF(Quotes!$A186="","",IF(Quotes!I186="","",Quotes!I186))</f>
        <v/>
      </c>
      <c r="J186" s="19" t="str">
        <f>IF(Quotes!$A186="","",IF(Quotes!AD186="","",Quotes!AD186))</f>
        <v/>
      </c>
      <c r="K186" s="19" t="str">
        <f>IF(Quotes!$A186="","",IF(Quotes!AF186="","",Quotes!AF186))</f>
        <v/>
      </c>
      <c r="L186" s="18" t="str">
        <f>IF(Quotes!$A186="","",IF(Quotes!V186="","",Quotes!V186))</f>
        <v/>
      </c>
      <c r="M186" s="18" t="str">
        <f>IF(A186="","",HYPERLINK("#'Quotes'!A186","EDIT QUOTE"))</f>
        <v/>
      </c>
      <c r="N186" s="18" t="str">
        <f>IF(Quotes!$A186="","",IF(Quotes!C186="","",Quotes!C186))</f>
        <v/>
      </c>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row>
    <row r="187" spans="1:44" ht="40" customHeight="1" x14ac:dyDescent="0.35">
      <c r="A187" s="14" t="str">
        <f>IF(Quotes!$A187="","",IF(Quotes!A187="","",Quotes!A187))</f>
        <v/>
      </c>
      <c r="B187" s="14" t="str">
        <f>IF(Quotes!$A187="","",IF(Quotes!U187="","",Quotes!U187))</f>
        <v/>
      </c>
      <c r="C187" s="14" t="str">
        <f>IF(Quotes!$A187="","",IF(Quotes!Z187="","",Quotes!Z187))</f>
        <v/>
      </c>
      <c r="D187" s="22" t="str">
        <f>IF(Quotes!$A187="","",IF(Quotes!E187="","",Quotes!E187))</f>
        <v/>
      </c>
      <c r="E187" s="14" t="str">
        <f>IFERROR(IF(INDEX(Jobs!$P$9:$P$258,MATCH(Quotes!B187,Jobs!$A$9:$A$258,0))="","",HYPERLINK("#'"&amp;INDEX(Jobs!$P$9:$P$258,MATCH(Quotes!B187,Jobs!$A$9:$A$258,0))&amp;"'!A1","OPEN JOB")),"")</f>
        <v/>
      </c>
      <c r="F187" s="22" t="str">
        <f>IF(Quotes!$A187="","",IF(Quotes!F187="","",Quotes!F187))</f>
        <v/>
      </c>
      <c r="G187" s="23" t="str">
        <f>IF(Quotes!$A187="","",IF(Quotes!G187="","",Quotes!G187))</f>
        <v/>
      </c>
      <c r="H187" s="23" t="str">
        <f>IF(Quotes!$A187="","",IF(Quotes!H187="","",Quotes!H187))</f>
        <v/>
      </c>
      <c r="I187" s="22" t="str">
        <f>IF(Quotes!$A187="","",IF(Quotes!I187="","",Quotes!I187))</f>
        <v/>
      </c>
      <c r="J187" s="16" t="str">
        <f>IF(Quotes!$A187="","",IF(Quotes!AD187="","",Quotes!AD187))</f>
        <v/>
      </c>
      <c r="K187" s="16" t="str">
        <f>IF(Quotes!$A187="","",IF(Quotes!AF187="","",Quotes!AF187))</f>
        <v/>
      </c>
      <c r="L187" s="14" t="str">
        <f>IF(Quotes!$A187="","",IF(Quotes!V187="","",Quotes!V187))</f>
        <v/>
      </c>
      <c r="M187" s="14" t="str">
        <f>IF(A187="","",HYPERLINK("#'Quotes'!A187","EDIT QUOTE"))</f>
        <v/>
      </c>
      <c r="N187" s="14" t="str">
        <f>IF(Quotes!$A187="","",IF(Quotes!C187="","",Quotes!C187))</f>
        <v/>
      </c>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row>
    <row r="188" spans="1:44" ht="40" customHeight="1" x14ac:dyDescent="0.35">
      <c r="A188" s="18" t="str">
        <f>IF(Quotes!$A188="","",IF(Quotes!A188="","",Quotes!A188))</f>
        <v/>
      </c>
      <c r="B188" s="18" t="str">
        <f>IF(Quotes!$A188="","",IF(Quotes!U188="","",Quotes!U188))</f>
        <v/>
      </c>
      <c r="C188" s="18" t="str">
        <f>IF(Quotes!$A188="","",IF(Quotes!Z188="","",Quotes!Z188))</f>
        <v/>
      </c>
      <c r="D188" s="22" t="str">
        <f>IF(Quotes!$A188="","",IF(Quotes!E188="","",Quotes!E188))</f>
        <v/>
      </c>
      <c r="E188" s="18" t="str">
        <f>IFERROR(IF(INDEX(Jobs!$P$9:$P$258,MATCH(Quotes!B188,Jobs!$A$9:$A$258,0))="","",HYPERLINK("#'"&amp;INDEX(Jobs!$P$9:$P$258,MATCH(Quotes!B188,Jobs!$A$9:$A$258,0))&amp;"'!A1","OPEN JOB")),"")</f>
        <v/>
      </c>
      <c r="F188" s="22" t="str">
        <f>IF(Quotes!$A188="","",IF(Quotes!F188="","",Quotes!F188))</f>
        <v/>
      </c>
      <c r="G188" s="23" t="str">
        <f>IF(Quotes!$A188="","",IF(Quotes!G188="","",Quotes!G188))</f>
        <v/>
      </c>
      <c r="H188" s="23" t="str">
        <f>IF(Quotes!$A188="","",IF(Quotes!H188="","",Quotes!H188))</f>
        <v/>
      </c>
      <c r="I188" s="22" t="str">
        <f>IF(Quotes!$A188="","",IF(Quotes!I188="","",Quotes!I188))</f>
        <v/>
      </c>
      <c r="J188" s="19" t="str">
        <f>IF(Quotes!$A188="","",IF(Quotes!AD188="","",Quotes!AD188))</f>
        <v/>
      </c>
      <c r="K188" s="19" t="str">
        <f>IF(Quotes!$A188="","",IF(Quotes!AF188="","",Quotes!AF188))</f>
        <v/>
      </c>
      <c r="L188" s="18" t="str">
        <f>IF(Quotes!$A188="","",IF(Quotes!V188="","",Quotes!V188))</f>
        <v/>
      </c>
      <c r="M188" s="18" t="str">
        <f>IF(A188="","",HYPERLINK("#'Quotes'!A188","EDIT QUOTE"))</f>
        <v/>
      </c>
      <c r="N188" s="18" t="str">
        <f>IF(Quotes!$A188="","",IF(Quotes!C188="","",Quotes!C188))</f>
        <v/>
      </c>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row>
    <row r="189" spans="1:44" ht="40" customHeight="1" x14ac:dyDescent="0.35">
      <c r="A189" s="14" t="str">
        <f>IF(Quotes!$A189="","",IF(Quotes!A189="","",Quotes!A189))</f>
        <v/>
      </c>
      <c r="B189" s="14" t="str">
        <f>IF(Quotes!$A189="","",IF(Quotes!U189="","",Quotes!U189))</f>
        <v/>
      </c>
      <c r="C189" s="14" t="str">
        <f>IF(Quotes!$A189="","",IF(Quotes!Z189="","",Quotes!Z189))</f>
        <v/>
      </c>
      <c r="D189" s="22" t="str">
        <f>IF(Quotes!$A189="","",IF(Quotes!E189="","",Quotes!E189))</f>
        <v/>
      </c>
      <c r="E189" s="14" t="str">
        <f>IFERROR(IF(INDEX(Jobs!$P$9:$P$258,MATCH(Quotes!B189,Jobs!$A$9:$A$258,0))="","",HYPERLINK("#'"&amp;INDEX(Jobs!$P$9:$P$258,MATCH(Quotes!B189,Jobs!$A$9:$A$258,0))&amp;"'!A1","OPEN JOB")),"")</f>
        <v/>
      </c>
      <c r="F189" s="22" t="str">
        <f>IF(Quotes!$A189="","",IF(Quotes!F189="","",Quotes!F189))</f>
        <v/>
      </c>
      <c r="G189" s="23" t="str">
        <f>IF(Quotes!$A189="","",IF(Quotes!G189="","",Quotes!G189))</f>
        <v/>
      </c>
      <c r="H189" s="23" t="str">
        <f>IF(Quotes!$A189="","",IF(Quotes!H189="","",Quotes!H189))</f>
        <v/>
      </c>
      <c r="I189" s="22" t="str">
        <f>IF(Quotes!$A189="","",IF(Quotes!I189="","",Quotes!I189))</f>
        <v/>
      </c>
      <c r="J189" s="16" t="str">
        <f>IF(Quotes!$A189="","",IF(Quotes!AD189="","",Quotes!AD189))</f>
        <v/>
      </c>
      <c r="K189" s="16" t="str">
        <f>IF(Quotes!$A189="","",IF(Quotes!AF189="","",Quotes!AF189))</f>
        <v/>
      </c>
      <c r="L189" s="14" t="str">
        <f>IF(Quotes!$A189="","",IF(Quotes!V189="","",Quotes!V189))</f>
        <v/>
      </c>
      <c r="M189" s="14" t="str">
        <f>IF(A189="","",HYPERLINK("#'Quotes'!A189","EDIT QUOTE"))</f>
        <v/>
      </c>
      <c r="N189" s="14" t="str">
        <f>IF(Quotes!$A189="","",IF(Quotes!C189="","",Quotes!C189))</f>
        <v/>
      </c>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row>
    <row r="190" spans="1:44" ht="40" customHeight="1" x14ac:dyDescent="0.35">
      <c r="A190" s="18" t="str">
        <f>IF(Quotes!$A190="","",IF(Quotes!A190="","",Quotes!A190))</f>
        <v/>
      </c>
      <c r="B190" s="18" t="str">
        <f>IF(Quotes!$A190="","",IF(Quotes!U190="","",Quotes!U190))</f>
        <v/>
      </c>
      <c r="C190" s="18" t="str">
        <f>IF(Quotes!$A190="","",IF(Quotes!Z190="","",Quotes!Z190))</f>
        <v/>
      </c>
      <c r="D190" s="22" t="str">
        <f>IF(Quotes!$A190="","",IF(Quotes!E190="","",Quotes!E190))</f>
        <v/>
      </c>
      <c r="E190" s="18" t="str">
        <f>IFERROR(IF(INDEX(Jobs!$P$9:$P$258,MATCH(Quotes!B190,Jobs!$A$9:$A$258,0))="","",HYPERLINK("#'"&amp;INDEX(Jobs!$P$9:$P$258,MATCH(Quotes!B190,Jobs!$A$9:$A$258,0))&amp;"'!A1","OPEN JOB")),"")</f>
        <v/>
      </c>
      <c r="F190" s="22" t="str">
        <f>IF(Quotes!$A190="","",IF(Quotes!F190="","",Quotes!F190))</f>
        <v/>
      </c>
      <c r="G190" s="23" t="str">
        <f>IF(Quotes!$A190="","",IF(Quotes!G190="","",Quotes!G190))</f>
        <v/>
      </c>
      <c r="H190" s="23" t="str">
        <f>IF(Quotes!$A190="","",IF(Quotes!H190="","",Quotes!H190))</f>
        <v/>
      </c>
      <c r="I190" s="22" t="str">
        <f>IF(Quotes!$A190="","",IF(Quotes!I190="","",Quotes!I190))</f>
        <v/>
      </c>
      <c r="J190" s="19" t="str">
        <f>IF(Quotes!$A190="","",IF(Quotes!AD190="","",Quotes!AD190))</f>
        <v/>
      </c>
      <c r="K190" s="19" t="str">
        <f>IF(Quotes!$A190="","",IF(Quotes!AF190="","",Quotes!AF190))</f>
        <v/>
      </c>
      <c r="L190" s="18" t="str">
        <f>IF(Quotes!$A190="","",IF(Quotes!V190="","",Quotes!V190))</f>
        <v/>
      </c>
      <c r="M190" s="18" t="str">
        <f>IF(A190="","",HYPERLINK("#'Quotes'!A190","EDIT QUOTE"))</f>
        <v/>
      </c>
      <c r="N190" s="18" t="str">
        <f>IF(Quotes!$A190="","",IF(Quotes!C190="","",Quotes!C190))</f>
        <v/>
      </c>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row>
    <row r="191" spans="1:44" ht="40" customHeight="1" x14ac:dyDescent="0.35">
      <c r="A191" s="14" t="str">
        <f>IF(Quotes!$A191="","",IF(Quotes!A191="","",Quotes!A191))</f>
        <v/>
      </c>
      <c r="B191" s="14" t="str">
        <f>IF(Quotes!$A191="","",IF(Quotes!U191="","",Quotes!U191))</f>
        <v/>
      </c>
      <c r="C191" s="14" t="str">
        <f>IF(Quotes!$A191="","",IF(Quotes!Z191="","",Quotes!Z191))</f>
        <v/>
      </c>
      <c r="D191" s="22" t="str">
        <f>IF(Quotes!$A191="","",IF(Quotes!E191="","",Quotes!E191))</f>
        <v/>
      </c>
      <c r="E191" s="14" t="str">
        <f>IFERROR(IF(INDEX(Jobs!$P$9:$P$258,MATCH(Quotes!B191,Jobs!$A$9:$A$258,0))="","",HYPERLINK("#'"&amp;INDEX(Jobs!$P$9:$P$258,MATCH(Quotes!B191,Jobs!$A$9:$A$258,0))&amp;"'!A1","OPEN JOB")),"")</f>
        <v/>
      </c>
      <c r="F191" s="22" t="str">
        <f>IF(Quotes!$A191="","",IF(Quotes!F191="","",Quotes!F191))</f>
        <v/>
      </c>
      <c r="G191" s="23" t="str">
        <f>IF(Quotes!$A191="","",IF(Quotes!G191="","",Quotes!G191))</f>
        <v/>
      </c>
      <c r="H191" s="23" t="str">
        <f>IF(Quotes!$A191="","",IF(Quotes!H191="","",Quotes!H191))</f>
        <v/>
      </c>
      <c r="I191" s="22" t="str">
        <f>IF(Quotes!$A191="","",IF(Quotes!I191="","",Quotes!I191))</f>
        <v/>
      </c>
      <c r="J191" s="16" t="str">
        <f>IF(Quotes!$A191="","",IF(Quotes!AD191="","",Quotes!AD191))</f>
        <v/>
      </c>
      <c r="K191" s="16" t="str">
        <f>IF(Quotes!$A191="","",IF(Quotes!AF191="","",Quotes!AF191))</f>
        <v/>
      </c>
      <c r="L191" s="14" t="str">
        <f>IF(Quotes!$A191="","",IF(Quotes!V191="","",Quotes!V191))</f>
        <v/>
      </c>
      <c r="M191" s="14" t="str">
        <f>IF(A191="","",HYPERLINK("#'Quotes'!A191","EDIT QUOTE"))</f>
        <v/>
      </c>
      <c r="N191" s="14" t="str">
        <f>IF(Quotes!$A191="","",IF(Quotes!C191="","",Quotes!C191))</f>
        <v/>
      </c>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row>
    <row r="192" spans="1:44" ht="40" customHeight="1" x14ac:dyDescent="0.35">
      <c r="A192" s="18" t="str">
        <f>IF(Quotes!$A192="","",IF(Quotes!A192="","",Quotes!A192))</f>
        <v/>
      </c>
      <c r="B192" s="18" t="str">
        <f>IF(Quotes!$A192="","",IF(Quotes!U192="","",Quotes!U192))</f>
        <v/>
      </c>
      <c r="C192" s="18" t="str">
        <f>IF(Quotes!$A192="","",IF(Quotes!Z192="","",Quotes!Z192))</f>
        <v/>
      </c>
      <c r="D192" s="22" t="str">
        <f>IF(Quotes!$A192="","",IF(Quotes!E192="","",Quotes!E192))</f>
        <v/>
      </c>
      <c r="E192" s="18" t="str">
        <f>IFERROR(IF(INDEX(Jobs!$P$9:$P$258,MATCH(Quotes!B192,Jobs!$A$9:$A$258,0))="","",HYPERLINK("#'"&amp;INDEX(Jobs!$P$9:$P$258,MATCH(Quotes!B192,Jobs!$A$9:$A$258,0))&amp;"'!A1","OPEN JOB")),"")</f>
        <v/>
      </c>
      <c r="F192" s="22" t="str">
        <f>IF(Quotes!$A192="","",IF(Quotes!F192="","",Quotes!F192))</f>
        <v/>
      </c>
      <c r="G192" s="23" t="str">
        <f>IF(Quotes!$A192="","",IF(Quotes!G192="","",Quotes!G192))</f>
        <v/>
      </c>
      <c r="H192" s="23" t="str">
        <f>IF(Quotes!$A192="","",IF(Quotes!H192="","",Quotes!H192))</f>
        <v/>
      </c>
      <c r="I192" s="22" t="str">
        <f>IF(Quotes!$A192="","",IF(Quotes!I192="","",Quotes!I192))</f>
        <v/>
      </c>
      <c r="J192" s="19" t="str">
        <f>IF(Quotes!$A192="","",IF(Quotes!AD192="","",Quotes!AD192))</f>
        <v/>
      </c>
      <c r="K192" s="19" t="str">
        <f>IF(Quotes!$A192="","",IF(Quotes!AF192="","",Quotes!AF192))</f>
        <v/>
      </c>
      <c r="L192" s="18" t="str">
        <f>IF(Quotes!$A192="","",IF(Quotes!V192="","",Quotes!V192))</f>
        <v/>
      </c>
      <c r="M192" s="18" t="str">
        <f>IF(A192="","",HYPERLINK("#'Quotes'!A192","EDIT QUOTE"))</f>
        <v/>
      </c>
      <c r="N192" s="18" t="str">
        <f>IF(Quotes!$A192="","",IF(Quotes!C192="","",Quotes!C192))</f>
        <v/>
      </c>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row>
    <row r="193" spans="1:44" ht="40" customHeight="1" x14ac:dyDescent="0.35">
      <c r="A193" s="14" t="str">
        <f>IF(Quotes!$A193="","",IF(Quotes!A193="","",Quotes!A193))</f>
        <v/>
      </c>
      <c r="B193" s="14" t="str">
        <f>IF(Quotes!$A193="","",IF(Quotes!U193="","",Quotes!U193))</f>
        <v/>
      </c>
      <c r="C193" s="14" t="str">
        <f>IF(Quotes!$A193="","",IF(Quotes!Z193="","",Quotes!Z193))</f>
        <v/>
      </c>
      <c r="D193" s="22" t="str">
        <f>IF(Quotes!$A193="","",IF(Quotes!E193="","",Quotes!E193))</f>
        <v/>
      </c>
      <c r="E193" s="14" t="str">
        <f>IFERROR(IF(INDEX(Jobs!$P$9:$P$258,MATCH(Quotes!B193,Jobs!$A$9:$A$258,0))="","",HYPERLINK("#'"&amp;INDEX(Jobs!$P$9:$P$258,MATCH(Quotes!B193,Jobs!$A$9:$A$258,0))&amp;"'!A1","OPEN JOB")),"")</f>
        <v/>
      </c>
      <c r="F193" s="22" t="str">
        <f>IF(Quotes!$A193="","",IF(Quotes!F193="","",Quotes!F193))</f>
        <v/>
      </c>
      <c r="G193" s="23" t="str">
        <f>IF(Quotes!$A193="","",IF(Quotes!G193="","",Quotes!G193))</f>
        <v/>
      </c>
      <c r="H193" s="23" t="str">
        <f>IF(Quotes!$A193="","",IF(Quotes!H193="","",Quotes!H193))</f>
        <v/>
      </c>
      <c r="I193" s="22" t="str">
        <f>IF(Quotes!$A193="","",IF(Quotes!I193="","",Quotes!I193))</f>
        <v/>
      </c>
      <c r="J193" s="16" t="str">
        <f>IF(Quotes!$A193="","",IF(Quotes!AD193="","",Quotes!AD193))</f>
        <v/>
      </c>
      <c r="K193" s="16" t="str">
        <f>IF(Quotes!$A193="","",IF(Quotes!AF193="","",Quotes!AF193))</f>
        <v/>
      </c>
      <c r="L193" s="14" t="str">
        <f>IF(Quotes!$A193="","",IF(Quotes!V193="","",Quotes!V193))</f>
        <v/>
      </c>
      <c r="M193" s="14" t="str">
        <f>IF(A193="","",HYPERLINK("#'Quotes'!A193","EDIT QUOTE"))</f>
        <v/>
      </c>
      <c r="N193" s="14" t="str">
        <f>IF(Quotes!$A193="","",IF(Quotes!C193="","",Quotes!C193))</f>
        <v/>
      </c>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row>
    <row r="194" spans="1:44" ht="40" customHeight="1" x14ac:dyDescent="0.35">
      <c r="A194" s="18" t="str">
        <f>IF(Quotes!$A194="","",IF(Quotes!A194="","",Quotes!A194))</f>
        <v/>
      </c>
      <c r="B194" s="18" t="str">
        <f>IF(Quotes!$A194="","",IF(Quotes!U194="","",Quotes!U194))</f>
        <v/>
      </c>
      <c r="C194" s="18" t="str">
        <f>IF(Quotes!$A194="","",IF(Quotes!Z194="","",Quotes!Z194))</f>
        <v/>
      </c>
      <c r="D194" s="22" t="str">
        <f>IF(Quotes!$A194="","",IF(Quotes!E194="","",Quotes!E194))</f>
        <v/>
      </c>
      <c r="E194" s="18" t="str">
        <f>IFERROR(IF(INDEX(Jobs!$P$9:$P$258,MATCH(Quotes!B194,Jobs!$A$9:$A$258,0))="","",HYPERLINK("#'"&amp;INDEX(Jobs!$P$9:$P$258,MATCH(Quotes!B194,Jobs!$A$9:$A$258,0))&amp;"'!A1","OPEN JOB")),"")</f>
        <v/>
      </c>
      <c r="F194" s="22" t="str">
        <f>IF(Quotes!$A194="","",IF(Quotes!F194="","",Quotes!F194))</f>
        <v/>
      </c>
      <c r="G194" s="23" t="str">
        <f>IF(Quotes!$A194="","",IF(Quotes!G194="","",Quotes!G194))</f>
        <v/>
      </c>
      <c r="H194" s="23" t="str">
        <f>IF(Quotes!$A194="","",IF(Quotes!H194="","",Quotes!H194))</f>
        <v/>
      </c>
      <c r="I194" s="22" t="str">
        <f>IF(Quotes!$A194="","",IF(Quotes!I194="","",Quotes!I194))</f>
        <v/>
      </c>
      <c r="J194" s="19" t="str">
        <f>IF(Quotes!$A194="","",IF(Quotes!AD194="","",Quotes!AD194))</f>
        <v/>
      </c>
      <c r="K194" s="19" t="str">
        <f>IF(Quotes!$A194="","",IF(Quotes!AF194="","",Quotes!AF194))</f>
        <v/>
      </c>
      <c r="L194" s="18" t="str">
        <f>IF(Quotes!$A194="","",IF(Quotes!V194="","",Quotes!V194))</f>
        <v/>
      </c>
      <c r="M194" s="18" t="str">
        <f>IF(A194="","",HYPERLINK("#'Quotes'!A194","EDIT QUOTE"))</f>
        <v/>
      </c>
      <c r="N194" s="18" t="str">
        <f>IF(Quotes!$A194="","",IF(Quotes!C194="","",Quotes!C194))</f>
        <v/>
      </c>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row>
    <row r="195" spans="1:44" ht="40" customHeight="1" x14ac:dyDescent="0.35">
      <c r="A195" s="14" t="str">
        <f>IF(Quotes!$A195="","",IF(Quotes!A195="","",Quotes!A195))</f>
        <v/>
      </c>
      <c r="B195" s="14" t="str">
        <f>IF(Quotes!$A195="","",IF(Quotes!U195="","",Quotes!U195))</f>
        <v/>
      </c>
      <c r="C195" s="14" t="str">
        <f>IF(Quotes!$A195="","",IF(Quotes!Z195="","",Quotes!Z195))</f>
        <v/>
      </c>
      <c r="D195" s="22" t="str">
        <f>IF(Quotes!$A195="","",IF(Quotes!E195="","",Quotes!E195))</f>
        <v/>
      </c>
      <c r="E195" s="14" t="str">
        <f>IFERROR(IF(INDEX(Jobs!$P$9:$P$258,MATCH(Quotes!B195,Jobs!$A$9:$A$258,0))="","",HYPERLINK("#'"&amp;INDEX(Jobs!$P$9:$P$258,MATCH(Quotes!B195,Jobs!$A$9:$A$258,0))&amp;"'!A1","OPEN JOB")),"")</f>
        <v/>
      </c>
      <c r="F195" s="22" t="str">
        <f>IF(Quotes!$A195="","",IF(Quotes!F195="","",Quotes!F195))</f>
        <v/>
      </c>
      <c r="G195" s="23" t="str">
        <f>IF(Quotes!$A195="","",IF(Quotes!G195="","",Quotes!G195))</f>
        <v/>
      </c>
      <c r="H195" s="23" t="str">
        <f>IF(Quotes!$A195="","",IF(Quotes!H195="","",Quotes!H195))</f>
        <v/>
      </c>
      <c r="I195" s="22" t="str">
        <f>IF(Quotes!$A195="","",IF(Quotes!I195="","",Quotes!I195))</f>
        <v/>
      </c>
      <c r="J195" s="16" t="str">
        <f>IF(Quotes!$A195="","",IF(Quotes!AD195="","",Quotes!AD195))</f>
        <v/>
      </c>
      <c r="K195" s="16" t="str">
        <f>IF(Quotes!$A195="","",IF(Quotes!AF195="","",Quotes!AF195))</f>
        <v/>
      </c>
      <c r="L195" s="14" t="str">
        <f>IF(Quotes!$A195="","",IF(Quotes!V195="","",Quotes!V195))</f>
        <v/>
      </c>
      <c r="M195" s="14" t="str">
        <f>IF(A195="","",HYPERLINK("#'Quotes'!A195","EDIT QUOTE"))</f>
        <v/>
      </c>
      <c r="N195" s="14" t="str">
        <f>IF(Quotes!$A195="","",IF(Quotes!C195="","",Quotes!C195))</f>
        <v/>
      </c>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row>
    <row r="196" spans="1:44" ht="40" customHeight="1" x14ac:dyDescent="0.35">
      <c r="A196" s="18" t="str">
        <f>IF(Quotes!$A196="","",IF(Quotes!A196="","",Quotes!A196))</f>
        <v/>
      </c>
      <c r="B196" s="18" t="str">
        <f>IF(Quotes!$A196="","",IF(Quotes!U196="","",Quotes!U196))</f>
        <v/>
      </c>
      <c r="C196" s="18" t="str">
        <f>IF(Quotes!$A196="","",IF(Quotes!Z196="","",Quotes!Z196))</f>
        <v/>
      </c>
      <c r="D196" s="22" t="str">
        <f>IF(Quotes!$A196="","",IF(Quotes!E196="","",Quotes!E196))</f>
        <v/>
      </c>
      <c r="E196" s="18" t="str">
        <f>IFERROR(IF(INDEX(Jobs!$P$9:$P$258,MATCH(Quotes!B196,Jobs!$A$9:$A$258,0))="","",HYPERLINK("#'"&amp;INDEX(Jobs!$P$9:$P$258,MATCH(Quotes!B196,Jobs!$A$9:$A$258,0))&amp;"'!A1","OPEN JOB")),"")</f>
        <v/>
      </c>
      <c r="F196" s="22" t="str">
        <f>IF(Quotes!$A196="","",IF(Quotes!F196="","",Quotes!F196))</f>
        <v/>
      </c>
      <c r="G196" s="23" t="str">
        <f>IF(Quotes!$A196="","",IF(Quotes!G196="","",Quotes!G196))</f>
        <v/>
      </c>
      <c r="H196" s="23" t="str">
        <f>IF(Quotes!$A196="","",IF(Quotes!H196="","",Quotes!H196))</f>
        <v/>
      </c>
      <c r="I196" s="22" t="str">
        <f>IF(Quotes!$A196="","",IF(Quotes!I196="","",Quotes!I196))</f>
        <v/>
      </c>
      <c r="J196" s="19" t="str">
        <f>IF(Quotes!$A196="","",IF(Quotes!AD196="","",Quotes!AD196))</f>
        <v/>
      </c>
      <c r="K196" s="19" t="str">
        <f>IF(Quotes!$A196="","",IF(Quotes!AF196="","",Quotes!AF196))</f>
        <v/>
      </c>
      <c r="L196" s="18" t="str">
        <f>IF(Quotes!$A196="","",IF(Quotes!V196="","",Quotes!V196))</f>
        <v/>
      </c>
      <c r="M196" s="18" t="str">
        <f>IF(A196="","",HYPERLINK("#'Quotes'!A196","EDIT QUOTE"))</f>
        <v/>
      </c>
      <c r="N196" s="18" t="str">
        <f>IF(Quotes!$A196="","",IF(Quotes!C196="","",Quotes!C196))</f>
        <v/>
      </c>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row>
    <row r="197" spans="1:44" ht="40" customHeight="1" x14ac:dyDescent="0.35">
      <c r="A197" s="14" t="str">
        <f>IF(Quotes!$A197="","",IF(Quotes!A197="","",Quotes!A197))</f>
        <v/>
      </c>
      <c r="B197" s="14" t="str">
        <f>IF(Quotes!$A197="","",IF(Quotes!U197="","",Quotes!U197))</f>
        <v/>
      </c>
      <c r="C197" s="14" t="str">
        <f>IF(Quotes!$A197="","",IF(Quotes!Z197="","",Quotes!Z197))</f>
        <v/>
      </c>
      <c r="D197" s="22" t="str">
        <f>IF(Quotes!$A197="","",IF(Quotes!E197="","",Quotes!E197))</f>
        <v/>
      </c>
      <c r="E197" s="14" t="str">
        <f>IFERROR(IF(INDEX(Jobs!$P$9:$P$258,MATCH(Quotes!B197,Jobs!$A$9:$A$258,0))="","",HYPERLINK("#'"&amp;INDEX(Jobs!$P$9:$P$258,MATCH(Quotes!B197,Jobs!$A$9:$A$258,0))&amp;"'!A1","OPEN JOB")),"")</f>
        <v/>
      </c>
      <c r="F197" s="22" t="str">
        <f>IF(Quotes!$A197="","",IF(Quotes!F197="","",Quotes!F197))</f>
        <v/>
      </c>
      <c r="G197" s="23" t="str">
        <f>IF(Quotes!$A197="","",IF(Quotes!G197="","",Quotes!G197))</f>
        <v/>
      </c>
      <c r="H197" s="23" t="str">
        <f>IF(Quotes!$A197="","",IF(Quotes!H197="","",Quotes!H197))</f>
        <v/>
      </c>
      <c r="I197" s="22" t="str">
        <f>IF(Quotes!$A197="","",IF(Quotes!I197="","",Quotes!I197))</f>
        <v/>
      </c>
      <c r="J197" s="16" t="str">
        <f>IF(Quotes!$A197="","",IF(Quotes!AD197="","",Quotes!AD197))</f>
        <v/>
      </c>
      <c r="K197" s="16" t="str">
        <f>IF(Quotes!$A197="","",IF(Quotes!AF197="","",Quotes!AF197))</f>
        <v/>
      </c>
      <c r="L197" s="14" t="str">
        <f>IF(Quotes!$A197="","",IF(Quotes!V197="","",Quotes!V197))</f>
        <v/>
      </c>
      <c r="M197" s="14" t="str">
        <f>IF(A197="","",HYPERLINK("#'Quotes'!A197","EDIT QUOTE"))</f>
        <v/>
      </c>
      <c r="N197" s="14" t="str">
        <f>IF(Quotes!$A197="","",IF(Quotes!C197="","",Quotes!C197))</f>
        <v/>
      </c>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row>
    <row r="198" spans="1:44" ht="40" customHeight="1" x14ac:dyDescent="0.35">
      <c r="A198" s="18" t="str">
        <f>IF(Quotes!$A198="","",IF(Quotes!A198="","",Quotes!A198))</f>
        <v/>
      </c>
      <c r="B198" s="18" t="str">
        <f>IF(Quotes!$A198="","",IF(Quotes!U198="","",Quotes!U198))</f>
        <v/>
      </c>
      <c r="C198" s="18" t="str">
        <f>IF(Quotes!$A198="","",IF(Quotes!Z198="","",Quotes!Z198))</f>
        <v/>
      </c>
      <c r="D198" s="22" t="str">
        <f>IF(Quotes!$A198="","",IF(Quotes!E198="","",Quotes!E198))</f>
        <v/>
      </c>
      <c r="E198" s="18" t="str">
        <f>IFERROR(IF(INDEX(Jobs!$P$9:$P$258,MATCH(Quotes!B198,Jobs!$A$9:$A$258,0))="","",HYPERLINK("#'"&amp;INDEX(Jobs!$P$9:$P$258,MATCH(Quotes!B198,Jobs!$A$9:$A$258,0))&amp;"'!A1","OPEN JOB")),"")</f>
        <v/>
      </c>
      <c r="F198" s="22" t="str">
        <f>IF(Quotes!$A198="","",IF(Quotes!F198="","",Quotes!F198))</f>
        <v/>
      </c>
      <c r="G198" s="23" t="str">
        <f>IF(Quotes!$A198="","",IF(Quotes!G198="","",Quotes!G198))</f>
        <v/>
      </c>
      <c r="H198" s="23" t="str">
        <f>IF(Quotes!$A198="","",IF(Quotes!H198="","",Quotes!H198))</f>
        <v/>
      </c>
      <c r="I198" s="22" t="str">
        <f>IF(Quotes!$A198="","",IF(Quotes!I198="","",Quotes!I198))</f>
        <v/>
      </c>
      <c r="J198" s="19" t="str">
        <f>IF(Quotes!$A198="","",IF(Quotes!AD198="","",Quotes!AD198))</f>
        <v/>
      </c>
      <c r="K198" s="19" t="str">
        <f>IF(Quotes!$A198="","",IF(Quotes!AF198="","",Quotes!AF198))</f>
        <v/>
      </c>
      <c r="L198" s="18" t="str">
        <f>IF(Quotes!$A198="","",IF(Quotes!V198="","",Quotes!V198))</f>
        <v/>
      </c>
      <c r="M198" s="18" t="str">
        <f>IF(A198="","",HYPERLINK("#'Quotes'!A198","EDIT QUOTE"))</f>
        <v/>
      </c>
      <c r="N198" s="18" t="str">
        <f>IF(Quotes!$A198="","",IF(Quotes!C198="","",Quotes!C198))</f>
        <v/>
      </c>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row>
    <row r="199" spans="1:44" ht="40" customHeight="1" x14ac:dyDescent="0.35">
      <c r="A199" s="14" t="str">
        <f>IF(Quotes!$A199="","",IF(Quotes!A199="","",Quotes!A199))</f>
        <v/>
      </c>
      <c r="B199" s="14" t="str">
        <f>IF(Quotes!$A199="","",IF(Quotes!U199="","",Quotes!U199))</f>
        <v/>
      </c>
      <c r="C199" s="14" t="str">
        <f>IF(Quotes!$A199="","",IF(Quotes!Z199="","",Quotes!Z199))</f>
        <v/>
      </c>
      <c r="D199" s="22" t="str">
        <f>IF(Quotes!$A199="","",IF(Quotes!E199="","",Quotes!E199))</f>
        <v/>
      </c>
      <c r="E199" s="14" t="str">
        <f>IFERROR(IF(INDEX(Jobs!$P$9:$P$258,MATCH(Quotes!B199,Jobs!$A$9:$A$258,0))="","",HYPERLINK("#'"&amp;INDEX(Jobs!$P$9:$P$258,MATCH(Quotes!B199,Jobs!$A$9:$A$258,0))&amp;"'!A1","OPEN JOB")),"")</f>
        <v/>
      </c>
      <c r="F199" s="22" t="str">
        <f>IF(Quotes!$A199="","",IF(Quotes!F199="","",Quotes!F199))</f>
        <v/>
      </c>
      <c r="G199" s="23" t="str">
        <f>IF(Quotes!$A199="","",IF(Quotes!G199="","",Quotes!G199))</f>
        <v/>
      </c>
      <c r="H199" s="23" t="str">
        <f>IF(Quotes!$A199="","",IF(Quotes!H199="","",Quotes!H199))</f>
        <v/>
      </c>
      <c r="I199" s="22" t="str">
        <f>IF(Quotes!$A199="","",IF(Quotes!I199="","",Quotes!I199))</f>
        <v/>
      </c>
      <c r="J199" s="16" t="str">
        <f>IF(Quotes!$A199="","",IF(Quotes!AD199="","",Quotes!AD199))</f>
        <v/>
      </c>
      <c r="K199" s="16" t="str">
        <f>IF(Quotes!$A199="","",IF(Quotes!AF199="","",Quotes!AF199))</f>
        <v/>
      </c>
      <c r="L199" s="14" t="str">
        <f>IF(Quotes!$A199="","",IF(Quotes!V199="","",Quotes!V199))</f>
        <v/>
      </c>
      <c r="M199" s="14" t="str">
        <f>IF(A199="","",HYPERLINK("#'Quotes'!A199","EDIT QUOTE"))</f>
        <v/>
      </c>
      <c r="N199" s="14" t="str">
        <f>IF(Quotes!$A199="","",IF(Quotes!C199="","",Quotes!C199))</f>
        <v/>
      </c>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row>
    <row r="200" spans="1:44" ht="40" customHeight="1" x14ac:dyDescent="0.35">
      <c r="A200" s="18" t="str">
        <f>IF(Quotes!$A200="","",IF(Quotes!A200="","",Quotes!A200))</f>
        <v/>
      </c>
      <c r="B200" s="18" t="str">
        <f>IF(Quotes!$A200="","",IF(Quotes!U200="","",Quotes!U200))</f>
        <v/>
      </c>
      <c r="C200" s="18" t="str">
        <f>IF(Quotes!$A200="","",IF(Quotes!Z200="","",Quotes!Z200))</f>
        <v/>
      </c>
      <c r="D200" s="22" t="str">
        <f>IF(Quotes!$A200="","",IF(Quotes!E200="","",Quotes!E200))</f>
        <v/>
      </c>
      <c r="E200" s="18" t="str">
        <f>IFERROR(IF(INDEX(Jobs!$P$9:$P$258,MATCH(Quotes!B200,Jobs!$A$9:$A$258,0))="","",HYPERLINK("#'"&amp;INDEX(Jobs!$P$9:$P$258,MATCH(Quotes!B200,Jobs!$A$9:$A$258,0))&amp;"'!A1","OPEN JOB")),"")</f>
        <v/>
      </c>
      <c r="F200" s="22" t="str">
        <f>IF(Quotes!$A200="","",IF(Quotes!F200="","",Quotes!F200))</f>
        <v/>
      </c>
      <c r="G200" s="23" t="str">
        <f>IF(Quotes!$A200="","",IF(Quotes!G200="","",Quotes!G200))</f>
        <v/>
      </c>
      <c r="H200" s="23" t="str">
        <f>IF(Quotes!$A200="","",IF(Quotes!H200="","",Quotes!H200))</f>
        <v/>
      </c>
      <c r="I200" s="22" t="str">
        <f>IF(Quotes!$A200="","",IF(Quotes!I200="","",Quotes!I200))</f>
        <v/>
      </c>
      <c r="J200" s="19" t="str">
        <f>IF(Quotes!$A200="","",IF(Quotes!AD200="","",Quotes!AD200))</f>
        <v/>
      </c>
      <c r="K200" s="19" t="str">
        <f>IF(Quotes!$A200="","",IF(Quotes!AF200="","",Quotes!AF200))</f>
        <v/>
      </c>
      <c r="L200" s="18" t="str">
        <f>IF(Quotes!$A200="","",IF(Quotes!V200="","",Quotes!V200))</f>
        <v/>
      </c>
      <c r="M200" s="18" t="str">
        <f>IF(A200="","",HYPERLINK("#'Quotes'!A200","EDIT QUOTE"))</f>
        <v/>
      </c>
      <c r="N200" s="18" t="str">
        <f>IF(Quotes!$A200="","",IF(Quotes!C200="","",Quotes!C200))</f>
        <v/>
      </c>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row>
    <row r="201" spans="1:44" ht="40" customHeight="1" x14ac:dyDescent="0.35">
      <c r="A201" s="14" t="str">
        <f>IF(Quotes!$A201="","",IF(Quotes!A201="","",Quotes!A201))</f>
        <v/>
      </c>
      <c r="B201" s="14" t="str">
        <f>IF(Quotes!$A201="","",IF(Quotes!U201="","",Quotes!U201))</f>
        <v/>
      </c>
      <c r="C201" s="14" t="str">
        <f>IF(Quotes!$A201="","",IF(Quotes!Z201="","",Quotes!Z201))</f>
        <v/>
      </c>
      <c r="D201" s="22" t="str">
        <f>IF(Quotes!$A201="","",IF(Quotes!E201="","",Quotes!E201))</f>
        <v/>
      </c>
      <c r="E201" s="14" t="str">
        <f>IFERROR(IF(INDEX(Jobs!$P$9:$P$258,MATCH(Quotes!B201,Jobs!$A$9:$A$258,0))="","",HYPERLINK("#'"&amp;INDEX(Jobs!$P$9:$P$258,MATCH(Quotes!B201,Jobs!$A$9:$A$258,0))&amp;"'!A1","OPEN JOB")),"")</f>
        <v/>
      </c>
      <c r="F201" s="22" t="str">
        <f>IF(Quotes!$A201="","",IF(Quotes!F201="","",Quotes!F201))</f>
        <v/>
      </c>
      <c r="G201" s="23" t="str">
        <f>IF(Quotes!$A201="","",IF(Quotes!G201="","",Quotes!G201))</f>
        <v/>
      </c>
      <c r="H201" s="23" t="str">
        <f>IF(Quotes!$A201="","",IF(Quotes!H201="","",Quotes!H201))</f>
        <v/>
      </c>
      <c r="I201" s="22" t="str">
        <f>IF(Quotes!$A201="","",IF(Quotes!I201="","",Quotes!I201))</f>
        <v/>
      </c>
      <c r="J201" s="16" t="str">
        <f>IF(Quotes!$A201="","",IF(Quotes!AD201="","",Quotes!AD201))</f>
        <v/>
      </c>
      <c r="K201" s="16" t="str">
        <f>IF(Quotes!$A201="","",IF(Quotes!AF201="","",Quotes!AF201))</f>
        <v/>
      </c>
      <c r="L201" s="14" t="str">
        <f>IF(Quotes!$A201="","",IF(Quotes!V201="","",Quotes!V201))</f>
        <v/>
      </c>
      <c r="M201" s="14" t="str">
        <f>IF(A201="","",HYPERLINK("#'Quotes'!A201","EDIT QUOTE"))</f>
        <v/>
      </c>
      <c r="N201" s="14" t="str">
        <f>IF(Quotes!$A201="","",IF(Quotes!C201="","",Quotes!C201))</f>
        <v/>
      </c>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row>
    <row r="202" spans="1:44" ht="40" customHeight="1" x14ac:dyDescent="0.35">
      <c r="A202" s="18" t="str">
        <f>IF(Quotes!$A202="","",IF(Quotes!A202="","",Quotes!A202))</f>
        <v/>
      </c>
      <c r="B202" s="18" t="str">
        <f>IF(Quotes!$A202="","",IF(Quotes!U202="","",Quotes!U202))</f>
        <v/>
      </c>
      <c r="C202" s="18" t="str">
        <f>IF(Quotes!$A202="","",IF(Quotes!Z202="","",Quotes!Z202))</f>
        <v/>
      </c>
      <c r="D202" s="22" t="str">
        <f>IF(Quotes!$A202="","",IF(Quotes!E202="","",Quotes!E202))</f>
        <v/>
      </c>
      <c r="E202" s="18" t="str">
        <f>IFERROR(IF(INDEX(Jobs!$P$9:$P$258,MATCH(Quotes!B202,Jobs!$A$9:$A$258,0))="","",HYPERLINK("#'"&amp;INDEX(Jobs!$P$9:$P$258,MATCH(Quotes!B202,Jobs!$A$9:$A$258,0))&amp;"'!A1","OPEN JOB")),"")</f>
        <v/>
      </c>
      <c r="F202" s="22" t="str">
        <f>IF(Quotes!$A202="","",IF(Quotes!F202="","",Quotes!F202))</f>
        <v/>
      </c>
      <c r="G202" s="23" t="str">
        <f>IF(Quotes!$A202="","",IF(Quotes!G202="","",Quotes!G202))</f>
        <v/>
      </c>
      <c r="H202" s="23" t="str">
        <f>IF(Quotes!$A202="","",IF(Quotes!H202="","",Quotes!H202))</f>
        <v/>
      </c>
      <c r="I202" s="22" t="str">
        <f>IF(Quotes!$A202="","",IF(Quotes!I202="","",Quotes!I202))</f>
        <v/>
      </c>
      <c r="J202" s="19" t="str">
        <f>IF(Quotes!$A202="","",IF(Quotes!AD202="","",Quotes!AD202))</f>
        <v/>
      </c>
      <c r="K202" s="19" t="str">
        <f>IF(Quotes!$A202="","",IF(Quotes!AF202="","",Quotes!AF202))</f>
        <v/>
      </c>
      <c r="L202" s="18" t="str">
        <f>IF(Quotes!$A202="","",IF(Quotes!V202="","",Quotes!V202))</f>
        <v/>
      </c>
      <c r="M202" s="18" t="str">
        <f>IF(A202="","",HYPERLINK("#'Quotes'!A202","EDIT QUOTE"))</f>
        <v/>
      </c>
      <c r="N202" s="18" t="str">
        <f>IF(Quotes!$A202="","",IF(Quotes!C202="","",Quotes!C202))</f>
        <v/>
      </c>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row>
    <row r="203" spans="1:44" ht="40" customHeight="1" x14ac:dyDescent="0.35">
      <c r="A203" s="14" t="str">
        <f>IF(Quotes!$A203="","",IF(Quotes!A203="","",Quotes!A203))</f>
        <v/>
      </c>
      <c r="B203" s="14" t="str">
        <f>IF(Quotes!$A203="","",IF(Quotes!U203="","",Quotes!U203))</f>
        <v/>
      </c>
      <c r="C203" s="14" t="str">
        <f>IF(Quotes!$A203="","",IF(Quotes!Z203="","",Quotes!Z203))</f>
        <v/>
      </c>
      <c r="D203" s="22" t="str">
        <f>IF(Quotes!$A203="","",IF(Quotes!E203="","",Quotes!E203))</f>
        <v/>
      </c>
      <c r="E203" s="14" t="str">
        <f>IFERROR(IF(INDEX(Jobs!$P$9:$P$258,MATCH(Quotes!B203,Jobs!$A$9:$A$258,0))="","",HYPERLINK("#'"&amp;INDEX(Jobs!$P$9:$P$258,MATCH(Quotes!B203,Jobs!$A$9:$A$258,0))&amp;"'!A1","OPEN JOB")),"")</f>
        <v/>
      </c>
      <c r="F203" s="22" t="str">
        <f>IF(Quotes!$A203="","",IF(Quotes!F203="","",Quotes!F203))</f>
        <v/>
      </c>
      <c r="G203" s="23" t="str">
        <f>IF(Quotes!$A203="","",IF(Quotes!G203="","",Quotes!G203))</f>
        <v/>
      </c>
      <c r="H203" s="23" t="str">
        <f>IF(Quotes!$A203="","",IF(Quotes!H203="","",Quotes!H203))</f>
        <v/>
      </c>
      <c r="I203" s="22" t="str">
        <f>IF(Quotes!$A203="","",IF(Quotes!I203="","",Quotes!I203))</f>
        <v/>
      </c>
      <c r="J203" s="16" t="str">
        <f>IF(Quotes!$A203="","",IF(Quotes!AD203="","",Quotes!AD203))</f>
        <v/>
      </c>
      <c r="K203" s="16" t="str">
        <f>IF(Quotes!$A203="","",IF(Quotes!AF203="","",Quotes!AF203))</f>
        <v/>
      </c>
      <c r="L203" s="14" t="str">
        <f>IF(Quotes!$A203="","",IF(Quotes!V203="","",Quotes!V203))</f>
        <v/>
      </c>
      <c r="M203" s="14" t="str">
        <f>IF(A203="","",HYPERLINK("#'Quotes'!A203","EDIT QUOTE"))</f>
        <v/>
      </c>
      <c r="N203" s="14" t="str">
        <f>IF(Quotes!$A203="","",IF(Quotes!C203="","",Quotes!C203))</f>
        <v/>
      </c>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row>
    <row r="204" spans="1:44" ht="40" customHeight="1" x14ac:dyDescent="0.35">
      <c r="A204" s="18" t="str">
        <f>IF(Quotes!$A204="","",IF(Quotes!A204="","",Quotes!A204))</f>
        <v/>
      </c>
      <c r="B204" s="18" t="str">
        <f>IF(Quotes!$A204="","",IF(Quotes!U204="","",Quotes!U204))</f>
        <v/>
      </c>
      <c r="C204" s="18" t="str">
        <f>IF(Quotes!$A204="","",IF(Quotes!Z204="","",Quotes!Z204))</f>
        <v/>
      </c>
      <c r="D204" s="22" t="str">
        <f>IF(Quotes!$A204="","",IF(Quotes!E204="","",Quotes!E204))</f>
        <v/>
      </c>
      <c r="E204" s="18" t="str">
        <f>IFERROR(IF(INDEX(Jobs!$P$9:$P$258,MATCH(Quotes!B204,Jobs!$A$9:$A$258,0))="","",HYPERLINK("#'"&amp;INDEX(Jobs!$P$9:$P$258,MATCH(Quotes!B204,Jobs!$A$9:$A$258,0))&amp;"'!A1","OPEN JOB")),"")</f>
        <v/>
      </c>
      <c r="F204" s="22" t="str">
        <f>IF(Quotes!$A204="","",IF(Quotes!F204="","",Quotes!F204))</f>
        <v/>
      </c>
      <c r="G204" s="23" t="str">
        <f>IF(Quotes!$A204="","",IF(Quotes!G204="","",Quotes!G204))</f>
        <v/>
      </c>
      <c r="H204" s="23" t="str">
        <f>IF(Quotes!$A204="","",IF(Quotes!H204="","",Quotes!H204))</f>
        <v/>
      </c>
      <c r="I204" s="22" t="str">
        <f>IF(Quotes!$A204="","",IF(Quotes!I204="","",Quotes!I204))</f>
        <v/>
      </c>
      <c r="J204" s="19" t="str">
        <f>IF(Quotes!$A204="","",IF(Quotes!AD204="","",Quotes!AD204))</f>
        <v/>
      </c>
      <c r="K204" s="19" t="str">
        <f>IF(Quotes!$A204="","",IF(Quotes!AF204="","",Quotes!AF204))</f>
        <v/>
      </c>
      <c r="L204" s="18" t="str">
        <f>IF(Quotes!$A204="","",IF(Quotes!V204="","",Quotes!V204))</f>
        <v/>
      </c>
      <c r="M204" s="18" t="str">
        <f>IF(A204="","",HYPERLINK("#'Quotes'!A204","EDIT QUOTE"))</f>
        <v/>
      </c>
      <c r="N204" s="18" t="str">
        <f>IF(Quotes!$A204="","",IF(Quotes!C204="","",Quotes!C204))</f>
        <v/>
      </c>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row>
    <row r="205" spans="1:44" ht="40" customHeight="1" x14ac:dyDescent="0.35">
      <c r="A205" s="14" t="str">
        <f>IF(Quotes!$A205="","",IF(Quotes!A205="","",Quotes!A205))</f>
        <v/>
      </c>
      <c r="B205" s="14" t="str">
        <f>IF(Quotes!$A205="","",IF(Quotes!U205="","",Quotes!U205))</f>
        <v/>
      </c>
      <c r="C205" s="14" t="str">
        <f>IF(Quotes!$A205="","",IF(Quotes!Z205="","",Quotes!Z205))</f>
        <v/>
      </c>
      <c r="D205" s="22" t="str">
        <f>IF(Quotes!$A205="","",IF(Quotes!E205="","",Quotes!E205))</f>
        <v/>
      </c>
      <c r="E205" s="14" t="str">
        <f>IFERROR(IF(INDEX(Jobs!$P$9:$P$258,MATCH(Quotes!B205,Jobs!$A$9:$A$258,0))="","",HYPERLINK("#'"&amp;INDEX(Jobs!$P$9:$P$258,MATCH(Quotes!B205,Jobs!$A$9:$A$258,0))&amp;"'!A1","OPEN JOB")),"")</f>
        <v/>
      </c>
      <c r="F205" s="22" t="str">
        <f>IF(Quotes!$A205="","",IF(Quotes!F205="","",Quotes!F205))</f>
        <v/>
      </c>
      <c r="G205" s="23" t="str">
        <f>IF(Quotes!$A205="","",IF(Quotes!G205="","",Quotes!G205))</f>
        <v/>
      </c>
      <c r="H205" s="23" t="str">
        <f>IF(Quotes!$A205="","",IF(Quotes!H205="","",Quotes!H205))</f>
        <v/>
      </c>
      <c r="I205" s="22" t="str">
        <f>IF(Quotes!$A205="","",IF(Quotes!I205="","",Quotes!I205))</f>
        <v/>
      </c>
      <c r="J205" s="16" t="str">
        <f>IF(Quotes!$A205="","",IF(Quotes!AD205="","",Quotes!AD205))</f>
        <v/>
      </c>
      <c r="K205" s="16" t="str">
        <f>IF(Quotes!$A205="","",IF(Quotes!AF205="","",Quotes!AF205))</f>
        <v/>
      </c>
      <c r="L205" s="14" t="str">
        <f>IF(Quotes!$A205="","",IF(Quotes!V205="","",Quotes!V205))</f>
        <v/>
      </c>
      <c r="M205" s="14" t="str">
        <f>IF(A205="","",HYPERLINK("#'Quotes'!A205","EDIT QUOTE"))</f>
        <v/>
      </c>
      <c r="N205" s="14" t="str">
        <f>IF(Quotes!$A205="","",IF(Quotes!C205="","",Quotes!C205))</f>
        <v/>
      </c>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row>
    <row r="206" spans="1:44" ht="40" customHeight="1" x14ac:dyDescent="0.35">
      <c r="A206" s="18" t="str">
        <f>IF(Quotes!$A206="","",IF(Quotes!A206="","",Quotes!A206))</f>
        <v/>
      </c>
      <c r="B206" s="18" t="str">
        <f>IF(Quotes!$A206="","",IF(Quotes!U206="","",Quotes!U206))</f>
        <v/>
      </c>
      <c r="C206" s="18" t="str">
        <f>IF(Quotes!$A206="","",IF(Quotes!Z206="","",Quotes!Z206))</f>
        <v/>
      </c>
      <c r="D206" s="22" t="str">
        <f>IF(Quotes!$A206="","",IF(Quotes!E206="","",Quotes!E206))</f>
        <v/>
      </c>
      <c r="E206" s="18" t="str">
        <f>IFERROR(IF(INDEX(Jobs!$P$9:$P$258,MATCH(Quotes!B206,Jobs!$A$9:$A$258,0))="","",HYPERLINK("#'"&amp;INDEX(Jobs!$P$9:$P$258,MATCH(Quotes!B206,Jobs!$A$9:$A$258,0))&amp;"'!A1","OPEN JOB")),"")</f>
        <v/>
      </c>
      <c r="F206" s="22" t="str">
        <f>IF(Quotes!$A206="","",IF(Quotes!F206="","",Quotes!F206))</f>
        <v/>
      </c>
      <c r="G206" s="23" t="str">
        <f>IF(Quotes!$A206="","",IF(Quotes!G206="","",Quotes!G206))</f>
        <v/>
      </c>
      <c r="H206" s="23" t="str">
        <f>IF(Quotes!$A206="","",IF(Quotes!H206="","",Quotes!H206))</f>
        <v/>
      </c>
      <c r="I206" s="22" t="str">
        <f>IF(Quotes!$A206="","",IF(Quotes!I206="","",Quotes!I206))</f>
        <v/>
      </c>
      <c r="J206" s="19" t="str">
        <f>IF(Quotes!$A206="","",IF(Quotes!AD206="","",Quotes!AD206))</f>
        <v/>
      </c>
      <c r="K206" s="19" t="str">
        <f>IF(Quotes!$A206="","",IF(Quotes!AF206="","",Quotes!AF206))</f>
        <v/>
      </c>
      <c r="L206" s="18" t="str">
        <f>IF(Quotes!$A206="","",IF(Quotes!V206="","",Quotes!V206))</f>
        <v/>
      </c>
      <c r="M206" s="18" t="str">
        <f>IF(A206="","",HYPERLINK("#'Quotes'!A206","EDIT QUOTE"))</f>
        <v/>
      </c>
      <c r="N206" s="18" t="str">
        <f>IF(Quotes!$A206="","",IF(Quotes!C206="","",Quotes!C206))</f>
        <v/>
      </c>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row>
    <row r="207" spans="1:44" ht="40" customHeight="1" x14ac:dyDescent="0.35">
      <c r="A207" s="14" t="str">
        <f>IF(Quotes!$A207="","",IF(Quotes!A207="","",Quotes!A207))</f>
        <v/>
      </c>
      <c r="B207" s="14" t="str">
        <f>IF(Quotes!$A207="","",IF(Quotes!U207="","",Quotes!U207))</f>
        <v/>
      </c>
      <c r="C207" s="14" t="str">
        <f>IF(Quotes!$A207="","",IF(Quotes!Z207="","",Quotes!Z207))</f>
        <v/>
      </c>
      <c r="D207" s="22" t="str">
        <f>IF(Quotes!$A207="","",IF(Quotes!E207="","",Quotes!E207))</f>
        <v/>
      </c>
      <c r="E207" s="14" t="str">
        <f>IFERROR(IF(INDEX(Jobs!$P$9:$P$258,MATCH(Quotes!B207,Jobs!$A$9:$A$258,0))="","",HYPERLINK("#'"&amp;INDEX(Jobs!$P$9:$P$258,MATCH(Quotes!B207,Jobs!$A$9:$A$258,0))&amp;"'!A1","OPEN JOB")),"")</f>
        <v/>
      </c>
      <c r="F207" s="22" t="str">
        <f>IF(Quotes!$A207="","",IF(Quotes!F207="","",Quotes!F207))</f>
        <v/>
      </c>
      <c r="G207" s="23" t="str">
        <f>IF(Quotes!$A207="","",IF(Quotes!G207="","",Quotes!G207))</f>
        <v/>
      </c>
      <c r="H207" s="23" t="str">
        <f>IF(Quotes!$A207="","",IF(Quotes!H207="","",Quotes!H207))</f>
        <v/>
      </c>
      <c r="I207" s="22" t="str">
        <f>IF(Quotes!$A207="","",IF(Quotes!I207="","",Quotes!I207))</f>
        <v/>
      </c>
      <c r="J207" s="16" t="str">
        <f>IF(Quotes!$A207="","",IF(Quotes!AD207="","",Quotes!AD207))</f>
        <v/>
      </c>
      <c r="K207" s="16" t="str">
        <f>IF(Quotes!$A207="","",IF(Quotes!AF207="","",Quotes!AF207))</f>
        <v/>
      </c>
      <c r="L207" s="14" t="str">
        <f>IF(Quotes!$A207="","",IF(Quotes!V207="","",Quotes!V207))</f>
        <v/>
      </c>
      <c r="M207" s="14" t="str">
        <f>IF(A207="","",HYPERLINK("#'Quotes'!A207","EDIT QUOTE"))</f>
        <v/>
      </c>
      <c r="N207" s="14" t="str">
        <f>IF(Quotes!$A207="","",IF(Quotes!C207="","",Quotes!C207))</f>
        <v/>
      </c>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row>
    <row r="208" spans="1:44" ht="40" customHeight="1" x14ac:dyDescent="0.35">
      <c r="A208" s="18" t="str">
        <f>IF(Quotes!$A208="","",IF(Quotes!A208="","",Quotes!A208))</f>
        <v/>
      </c>
      <c r="B208" s="18" t="str">
        <f>IF(Quotes!$A208="","",IF(Quotes!U208="","",Quotes!U208))</f>
        <v/>
      </c>
      <c r="C208" s="18" t="str">
        <f>IF(Quotes!$A208="","",IF(Quotes!Z208="","",Quotes!Z208))</f>
        <v/>
      </c>
      <c r="D208" s="22" t="str">
        <f>IF(Quotes!$A208="","",IF(Quotes!E208="","",Quotes!E208))</f>
        <v/>
      </c>
      <c r="E208" s="18" t="str">
        <f>IFERROR(IF(INDEX(Jobs!$P$9:$P$258,MATCH(Quotes!B208,Jobs!$A$9:$A$258,0))="","",HYPERLINK("#'"&amp;INDEX(Jobs!$P$9:$P$258,MATCH(Quotes!B208,Jobs!$A$9:$A$258,0))&amp;"'!A1","OPEN JOB")),"")</f>
        <v/>
      </c>
      <c r="F208" s="22" t="str">
        <f>IF(Quotes!$A208="","",IF(Quotes!F208="","",Quotes!F208))</f>
        <v/>
      </c>
      <c r="G208" s="23" t="str">
        <f>IF(Quotes!$A208="","",IF(Quotes!G208="","",Quotes!G208))</f>
        <v/>
      </c>
      <c r="H208" s="23" t="str">
        <f>IF(Quotes!$A208="","",IF(Quotes!H208="","",Quotes!H208))</f>
        <v/>
      </c>
      <c r="I208" s="22" t="str">
        <f>IF(Quotes!$A208="","",IF(Quotes!I208="","",Quotes!I208))</f>
        <v/>
      </c>
      <c r="J208" s="19" t="str">
        <f>IF(Quotes!$A208="","",IF(Quotes!AD208="","",Quotes!AD208))</f>
        <v/>
      </c>
      <c r="K208" s="19" t="str">
        <f>IF(Quotes!$A208="","",IF(Quotes!AF208="","",Quotes!AF208))</f>
        <v/>
      </c>
      <c r="L208" s="18" t="str">
        <f>IF(Quotes!$A208="","",IF(Quotes!V208="","",Quotes!V208))</f>
        <v/>
      </c>
      <c r="M208" s="18" t="str">
        <f>IF(A208="","",HYPERLINK("#'Quotes'!A208","EDIT QUOTE"))</f>
        <v/>
      </c>
      <c r="N208" s="18" t="str">
        <f>IF(Quotes!$A208="","",IF(Quotes!C208="","",Quotes!C208))</f>
        <v/>
      </c>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row>
    <row r="209" spans="1:44" ht="40" customHeight="1" x14ac:dyDescent="0.35">
      <c r="A209" s="14" t="str">
        <f>IF(Quotes!$A209="","",IF(Quotes!A209="","",Quotes!A209))</f>
        <v/>
      </c>
      <c r="B209" s="14" t="str">
        <f>IF(Quotes!$A209="","",IF(Quotes!U209="","",Quotes!U209))</f>
        <v/>
      </c>
      <c r="C209" s="14" t="str">
        <f>IF(Quotes!$A209="","",IF(Quotes!Z209="","",Quotes!Z209))</f>
        <v/>
      </c>
      <c r="D209" s="22" t="str">
        <f>IF(Quotes!$A209="","",IF(Quotes!E209="","",Quotes!E209))</f>
        <v/>
      </c>
      <c r="E209" s="14" t="str">
        <f>IFERROR(IF(INDEX(Jobs!$P$9:$P$258,MATCH(Quotes!B209,Jobs!$A$9:$A$258,0))="","",HYPERLINK("#'"&amp;INDEX(Jobs!$P$9:$P$258,MATCH(Quotes!B209,Jobs!$A$9:$A$258,0))&amp;"'!A1","OPEN JOB")),"")</f>
        <v/>
      </c>
      <c r="F209" s="22" t="str">
        <f>IF(Quotes!$A209="","",IF(Quotes!F209="","",Quotes!F209))</f>
        <v/>
      </c>
      <c r="G209" s="23" t="str">
        <f>IF(Quotes!$A209="","",IF(Quotes!G209="","",Quotes!G209))</f>
        <v/>
      </c>
      <c r="H209" s="23" t="str">
        <f>IF(Quotes!$A209="","",IF(Quotes!H209="","",Quotes!H209))</f>
        <v/>
      </c>
      <c r="I209" s="22" t="str">
        <f>IF(Quotes!$A209="","",IF(Quotes!I209="","",Quotes!I209))</f>
        <v/>
      </c>
      <c r="J209" s="16" t="str">
        <f>IF(Quotes!$A209="","",IF(Quotes!AD209="","",Quotes!AD209))</f>
        <v/>
      </c>
      <c r="K209" s="16" t="str">
        <f>IF(Quotes!$A209="","",IF(Quotes!AF209="","",Quotes!AF209))</f>
        <v/>
      </c>
      <c r="L209" s="14" t="str">
        <f>IF(Quotes!$A209="","",IF(Quotes!V209="","",Quotes!V209))</f>
        <v/>
      </c>
      <c r="M209" s="14" t="str">
        <f>IF(A209="","",HYPERLINK("#'Quotes'!A209","EDIT QUOTE"))</f>
        <v/>
      </c>
      <c r="N209" s="14" t="str">
        <f>IF(Quotes!$A209="","",IF(Quotes!C209="","",Quotes!C209))</f>
        <v/>
      </c>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row>
    <row r="210" spans="1:44" ht="40" customHeight="1" x14ac:dyDescent="0.35">
      <c r="A210" s="18" t="str">
        <f>IF(Quotes!$A210="","",IF(Quotes!A210="","",Quotes!A210))</f>
        <v/>
      </c>
      <c r="B210" s="18" t="str">
        <f>IF(Quotes!$A210="","",IF(Quotes!U210="","",Quotes!U210))</f>
        <v/>
      </c>
      <c r="C210" s="18" t="str">
        <f>IF(Quotes!$A210="","",IF(Quotes!Z210="","",Quotes!Z210))</f>
        <v/>
      </c>
      <c r="D210" s="22" t="str">
        <f>IF(Quotes!$A210="","",IF(Quotes!E210="","",Quotes!E210))</f>
        <v/>
      </c>
      <c r="E210" s="18" t="str">
        <f>IFERROR(IF(INDEX(Jobs!$P$9:$P$258,MATCH(Quotes!B210,Jobs!$A$9:$A$258,0))="","",HYPERLINK("#'"&amp;INDEX(Jobs!$P$9:$P$258,MATCH(Quotes!B210,Jobs!$A$9:$A$258,0))&amp;"'!A1","OPEN JOB")),"")</f>
        <v/>
      </c>
      <c r="F210" s="22" t="str">
        <f>IF(Quotes!$A210="","",IF(Quotes!F210="","",Quotes!F210))</f>
        <v/>
      </c>
      <c r="G210" s="23" t="str">
        <f>IF(Quotes!$A210="","",IF(Quotes!G210="","",Quotes!G210))</f>
        <v/>
      </c>
      <c r="H210" s="23" t="str">
        <f>IF(Quotes!$A210="","",IF(Quotes!H210="","",Quotes!H210))</f>
        <v/>
      </c>
      <c r="I210" s="22" t="str">
        <f>IF(Quotes!$A210="","",IF(Quotes!I210="","",Quotes!I210))</f>
        <v/>
      </c>
      <c r="J210" s="19" t="str">
        <f>IF(Quotes!$A210="","",IF(Quotes!AD210="","",Quotes!AD210))</f>
        <v/>
      </c>
      <c r="K210" s="19" t="str">
        <f>IF(Quotes!$A210="","",IF(Quotes!AF210="","",Quotes!AF210))</f>
        <v/>
      </c>
      <c r="L210" s="18" t="str">
        <f>IF(Quotes!$A210="","",IF(Quotes!V210="","",Quotes!V210))</f>
        <v/>
      </c>
      <c r="M210" s="18" t="str">
        <f>IF(A210="","",HYPERLINK("#'Quotes'!A210","EDIT QUOTE"))</f>
        <v/>
      </c>
      <c r="N210" s="18" t="str">
        <f>IF(Quotes!$A210="","",IF(Quotes!C210="","",Quotes!C210))</f>
        <v/>
      </c>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row>
    <row r="211" spans="1:44" ht="40" customHeight="1" x14ac:dyDescent="0.35">
      <c r="A211" s="14" t="str">
        <f>IF(Quotes!$A211="","",IF(Quotes!A211="","",Quotes!A211))</f>
        <v/>
      </c>
      <c r="B211" s="14" t="str">
        <f>IF(Quotes!$A211="","",IF(Quotes!U211="","",Quotes!U211))</f>
        <v/>
      </c>
      <c r="C211" s="14" t="str">
        <f>IF(Quotes!$A211="","",IF(Quotes!Z211="","",Quotes!Z211))</f>
        <v/>
      </c>
      <c r="D211" s="22" t="str">
        <f>IF(Quotes!$A211="","",IF(Quotes!E211="","",Quotes!E211))</f>
        <v/>
      </c>
      <c r="E211" s="14" t="str">
        <f>IFERROR(IF(INDEX(Jobs!$P$9:$P$258,MATCH(Quotes!B211,Jobs!$A$9:$A$258,0))="","",HYPERLINK("#'"&amp;INDEX(Jobs!$P$9:$P$258,MATCH(Quotes!B211,Jobs!$A$9:$A$258,0))&amp;"'!A1","OPEN JOB")),"")</f>
        <v/>
      </c>
      <c r="F211" s="22" t="str">
        <f>IF(Quotes!$A211="","",IF(Quotes!F211="","",Quotes!F211))</f>
        <v/>
      </c>
      <c r="G211" s="23" t="str">
        <f>IF(Quotes!$A211="","",IF(Quotes!G211="","",Quotes!G211))</f>
        <v/>
      </c>
      <c r="H211" s="23" t="str">
        <f>IF(Quotes!$A211="","",IF(Quotes!H211="","",Quotes!H211))</f>
        <v/>
      </c>
      <c r="I211" s="22" t="str">
        <f>IF(Quotes!$A211="","",IF(Quotes!I211="","",Quotes!I211))</f>
        <v/>
      </c>
      <c r="J211" s="16" t="str">
        <f>IF(Quotes!$A211="","",IF(Quotes!AD211="","",Quotes!AD211))</f>
        <v/>
      </c>
      <c r="K211" s="16" t="str">
        <f>IF(Quotes!$A211="","",IF(Quotes!AF211="","",Quotes!AF211))</f>
        <v/>
      </c>
      <c r="L211" s="14" t="str">
        <f>IF(Quotes!$A211="","",IF(Quotes!V211="","",Quotes!V211))</f>
        <v/>
      </c>
      <c r="M211" s="14" t="str">
        <f>IF(A211="","",HYPERLINK("#'Quotes'!A211","EDIT QUOTE"))</f>
        <v/>
      </c>
      <c r="N211" s="14" t="str">
        <f>IF(Quotes!$A211="","",IF(Quotes!C211="","",Quotes!C211))</f>
        <v/>
      </c>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row>
    <row r="212" spans="1:44" ht="40" customHeight="1" x14ac:dyDescent="0.35">
      <c r="A212" s="18" t="str">
        <f>IF(Quotes!$A212="","",IF(Quotes!A212="","",Quotes!A212))</f>
        <v/>
      </c>
      <c r="B212" s="18" t="str">
        <f>IF(Quotes!$A212="","",IF(Quotes!U212="","",Quotes!U212))</f>
        <v/>
      </c>
      <c r="C212" s="18" t="str">
        <f>IF(Quotes!$A212="","",IF(Quotes!Z212="","",Quotes!Z212))</f>
        <v/>
      </c>
      <c r="D212" s="22" t="str">
        <f>IF(Quotes!$A212="","",IF(Quotes!E212="","",Quotes!E212))</f>
        <v/>
      </c>
      <c r="E212" s="18" t="str">
        <f>IFERROR(IF(INDEX(Jobs!$P$9:$P$258,MATCH(Quotes!B212,Jobs!$A$9:$A$258,0))="","",HYPERLINK("#'"&amp;INDEX(Jobs!$P$9:$P$258,MATCH(Quotes!B212,Jobs!$A$9:$A$258,0))&amp;"'!A1","OPEN JOB")),"")</f>
        <v/>
      </c>
      <c r="F212" s="22" t="str">
        <f>IF(Quotes!$A212="","",IF(Quotes!F212="","",Quotes!F212))</f>
        <v/>
      </c>
      <c r="G212" s="23" t="str">
        <f>IF(Quotes!$A212="","",IF(Quotes!G212="","",Quotes!G212))</f>
        <v/>
      </c>
      <c r="H212" s="23" t="str">
        <f>IF(Quotes!$A212="","",IF(Quotes!H212="","",Quotes!H212))</f>
        <v/>
      </c>
      <c r="I212" s="22" t="str">
        <f>IF(Quotes!$A212="","",IF(Quotes!I212="","",Quotes!I212))</f>
        <v/>
      </c>
      <c r="J212" s="19" t="str">
        <f>IF(Quotes!$A212="","",IF(Quotes!AD212="","",Quotes!AD212))</f>
        <v/>
      </c>
      <c r="K212" s="19" t="str">
        <f>IF(Quotes!$A212="","",IF(Quotes!AF212="","",Quotes!AF212))</f>
        <v/>
      </c>
      <c r="L212" s="18" t="str">
        <f>IF(Quotes!$A212="","",IF(Quotes!V212="","",Quotes!V212))</f>
        <v/>
      </c>
      <c r="M212" s="18" t="str">
        <f>IF(A212="","",HYPERLINK("#'Quotes'!A212","EDIT QUOTE"))</f>
        <v/>
      </c>
      <c r="N212" s="18" t="str">
        <f>IF(Quotes!$A212="","",IF(Quotes!C212="","",Quotes!C212))</f>
        <v/>
      </c>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row>
    <row r="213" spans="1:44" ht="40" customHeight="1" x14ac:dyDescent="0.35">
      <c r="A213" s="14" t="str">
        <f>IF(Quotes!$A213="","",IF(Quotes!A213="","",Quotes!A213))</f>
        <v/>
      </c>
      <c r="B213" s="14" t="str">
        <f>IF(Quotes!$A213="","",IF(Quotes!U213="","",Quotes!U213))</f>
        <v/>
      </c>
      <c r="C213" s="14" t="str">
        <f>IF(Quotes!$A213="","",IF(Quotes!Z213="","",Quotes!Z213))</f>
        <v/>
      </c>
      <c r="D213" s="22" t="str">
        <f>IF(Quotes!$A213="","",IF(Quotes!E213="","",Quotes!E213))</f>
        <v/>
      </c>
      <c r="E213" s="14" t="str">
        <f>IFERROR(IF(INDEX(Jobs!$P$9:$P$258,MATCH(Quotes!B213,Jobs!$A$9:$A$258,0))="","",HYPERLINK("#'"&amp;INDEX(Jobs!$P$9:$P$258,MATCH(Quotes!B213,Jobs!$A$9:$A$258,0))&amp;"'!A1","OPEN JOB")),"")</f>
        <v/>
      </c>
      <c r="F213" s="22" t="str">
        <f>IF(Quotes!$A213="","",IF(Quotes!F213="","",Quotes!F213))</f>
        <v/>
      </c>
      <c r="G213" s="23" t="str">
        <f>IF(Quotes!$A213="","",IF(Quotes!G213="","",Quotes!G213))</f>
        <v/>
      </c>
      <c r="H213" s="23" t="str">
        <f>IF(Quotes!$A213="","",IF(Quotes!H213="","",Quotes!H213))</f>
        <v/>
      </c>
      <c r="I213" s="22" t="str">
        <f>IF(Quotes!$A213="","",IF(Quotes!I213="","",Quotes!I213))</f>
        <v/>
      </c>
      <c r="J213" s="16" t="str">
        <f>IF(Quotes!$A213="","",IF(Quotes!AD213="","",Quotes!AD213))</f>
        <v/>
      </c>
      <c r="K213" s="16" t="str">
        <f>IF(Quotes!$A213="","",IF(Quotes!AF213="","",Quotes!AF213))</f>
        <v/>
      </c>
      <c r="L213" s="14" t="str">
        <f>IF(Quotes!$A213="","",IF(Quotes!V213="","",Quotes!V213))</f>
        <v/>
      </c>
      <c r="M213" s="14" t="str">
        <f>IF(A213="","",HYPERLINK("#'Quotes'!A213","EDIT QUOTE"))</f>
        <v/>
      </c>
      <c r="N213" s="14" t="str">
        <f>IF(Quotes!$A213="","",IF(Quotes!C213="","",Quotes!C213))</f>
        <v/>
      </c>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row>
    <row r="214" spans="1:44" ht="40" customHeight="1" x14ac:dyDescent="0.35">
      <c r="A214" s="18" t="str">
        <f>IF(Quotes!$A214="","",IF(Quotes!A214="","",Quotes!A214))</f>
        <v/>
      </c>
      <c r="B214" s="18" t="str">
        <f>IF(Quotes!$A214="","",IF(Quotes!U214="","",Quotes!U214))</f>
        <v/>
      </c>
      <c r="C214" s="18" t="str">
        <f>IF(Quotes!$A214="","",IF(Quotes!Z214="","",Quotes!Z214))</f>
        <v/>
      </c>
      <c r="D214" s="22" t="str">
        <f>IF(Quotes!$A214="","",IF(Quotes!E214="","",Quotes!E214))</f>
        <v/>
      </c>
      <c r="E214" s="18" t="str">
        <f>IFERROR(IF(INDEX(Jobs!$P$9:$P$258,MATCH(Quotes!B214,Jobs!$A$9:$A$258,0))="","",HYPERLINK("#'"&amp;INDEX(Jobs!$P$9:$P$258,MATCH(Quotes!B214,Jobs!$A$9:$A$258,0))&amp;"'!A1","OPEN JOB")),"")</f>
        <v/>
      </c>
      <c r="F214" s="22" t="str">
        <f>IF(Quotes!$A214="","",IF(Quotes!F214="","",Quotes!F214))</f>
        <v/>
      </c>
      <c r="G214" s="23" t="str">
        <f>IF(Quotes!$A214="","",IF(Quotes!G214="","",Quotes!G214))</f>
        <v/>
      </c>
      <c r="H214" s="23" t="str">
        <f>IF(Quotes!$A214="","",IF(Quotes!H214="","",Quotes!H214))</f>
        <v/>
      </c>
      <c r="I214" s="22" t="str">
        <f>IF(Quotes!$A214="","",IF(Quotes!I214="","",Quotes!I214))</f>
        <v/>
      </c>
      <c r="J214" s="19" t="str">
        <f>IF(Quotes!$A214="","",IF(Quotes!AD214="","",Quotes!AD214))</f>
        <v/>
      </c>
      <c r="K214" s="19" t="str">
        <f>IF(Quotes!$A214="","",IF(Quotes!AF214="","",Quotes!AF214))</f>
        <v/>
      </c>
      <c r="L214" s="18" t="str">
        <f>IF(Quotes!$A214="","",IF(Quotes!V214="","",Quotes!V214))</f>
        <v/>
      </c>
      <c r="M214" s="18" t="str">
        <f>IF(A214="","",HYPERLINK("#'Quotes'!A214","EDIT QUOTE"))</f>
        <v/>
      </c>
      <c r="N214" s="18" t="str">
        <f>IF(Quotes!$A214="","",IF(Quotes!C214="","",Quotes!C214))</f>
        <v/>
      </c>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row>
    <row r="215" spans="1:44" ht="40" customHeight="1" x14ac:dyDescent="0.35">
      <c r="A215" s="14" t="str">
        <f>IF(Quotes!$A215="","",IF(Quotes!A215="","",Quotes!A215))</f>
        <v/>
      </c>
      <c r="B215" s="14" t="str">
        <f>IF(Quotes!$A215="","",IF(Quotes!U215="","",Quotes!U215))</f>
        <v/>
      </c>
      <c r="C215" s="14" t="str">
        <f>IF(Quotes!$A215="","",IF(Quotes!Z215="","",Quotes!Z215))</f>
        <v/>
      </c>
      <c r="D215" s="22" t="str">
        <f>IF(Quotes!$A215="","",IF(Quotes!E215="","",Quotes!E215))</f>
        <v/>
      </c>
      <c r="E215" s="14" t="str">
        <f>IFERROR(IF(INDEX(Jobs!$P$9:$P$258,MATCH(Quotes!B215,Jobs!$A$9:$A$258,0))="","",HYPERLINK("#'"&amp;INDEX(Jobs!$P$9:$P$258,MATCH(Quotes!B215,Jobs!$A$9:$A$258,0))&amp;"'!A1","OPEN JOB")),"")</f>
        <v/>
      </c>
      <c r="F215" s="22" t="str">
        <f>IF(Quotes!$A215="","",IF(Quotes!F215="","",Quotes!F215))</f>
        <v/>
      </c>
      <c r="G215" s="23" t="str">
        <f>IF(Quotes!$A215="","",IF(Quotes!G215="","",Quotes!G215))</f>
        <v/>
      </c>
      <c r="H215" s="23" t="str">
        <f>IF(Quotes!$A215="","",IF(Quotes!H215="","",Quotes!H215))</f>
        <v/>
      </c>
      <c r="I215" s="22" t="str">
        <f>IF(Quotes!$A215="","",IF(Quotes!I215="","",Quotes!I215))</f>
        <v/>
      </c>
      <c r="J215" s="16" t="str">
        <f>IF(Quotes!$A215="","",IF(Quotes!AD215="","",Quotes!AD215))</f>
        <v/>
      </c>
      <c r="K215" s="16" t="str">
        <f>IF(Quotes!$A215="","",IF(Quotes!AF215="","",Quotes!AF215))</f>
        <v/>
      </c>
      <c r="L215" s="14" t="str">
        <f>IF(Quotes!$A215="","",IF(Quotes!V215="","",Quotes!V215))</f>
        <v/>
      </c>
      <c r="M215" s="14" t="str">
        <f>IF(A215="","",HYPERLINK("#'Quotes'!A215","EDIT QUOTE"))</f>
        <v/>
      </c>
      <c r="N215" s="14" t="str">
        <f>IF(Quotes!$A215="","",IF(Quotes!C215="","",Quotes!C215))</f>
        <v/>
      </c>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row>
    <row r="216" spans="1:44" ht="40" customHeight="1" x14ac:dyDescent="0.35">
      <c r="A216" s="18" t="str">
        <f>IF(Quotes!$A216="","",IF(Quotes!A216="","",Quotes!A216))</f>
        <v/>
      </c>
      <c r="B216" s="18" t="str">
        <f>IF(Quotes!$A216="","",IF(Quotes!U216="","",Quotes!U216))</f>
        <v/>
      </c>
      <c r="C216" s="18" t="str">
        <f>IF(Quotes!$A216="","",IF(Quotes!Z216="","",Quotes!Z216))</f>
        <v/>
      </c>
      <c r="D216" s="22" t="str">
        <f>IF(Quotes!$A216="","",IF(Quotes!E216="","",Quotes!E216))</f>
        <v/>
      </c>
      <c r="E216" s="18" t="str">
        <f>IFERROR(IF(INDEX(Jobs!$P$9:$P$258,MATCH(Quotes!B216,Jobs!$A$9:$A$258,0))="","",HYPERLINK("#'"&amp;INDEX(Jobs!$P$9:$P$258,MATCH(Quotes!B216,Jobs!$A$9:$A$258,0))&amp;"'!A1","OPEN JOB")),"")</f>
        <v/>
      </c>
      <c r="F216" s="22" t="str">
        <f>IF(Quotes!$A216="","",IF(Quotes!F216="","",Quotes!F216))</f>
        <v/>
      </c>
      <c r="G216" s="23" t="str">
        <f>IF(Quotes!$A216="","",IF(Quotes!G216="","",Quotes!G216))</f>
        <v/>
      </c>
      <c r="H216" s="23" t="str">
        <f>IF(Quotes!$A216="","",IF(Quotes!H216="","",Quotes!H216))</f>
        <v/>
      </c>
      <c r="I216" s="22" t="str">
        <f>IF(Quotes!$A216="","",IF(Quotes!I216="","",Quotes!I216))</f>
        <v/>
      </c>
      <c r="J216" s="19" t="str">
        <f>IF(Quotes!$A216="","",IF(Quotes!AD216="","",Quotes!AD216))</f>
        <v/>
      </c>
      <c r="K216" s="19" t="str">
        <f>IF(Quotes!$A216="","",IF(Quotes!AF216="","",Quotes!AF216))</f>
        <v/>
      </c>
      <c r="L216" s="18" t="str">
        <f>IF(Quotes!$A216="","",IF(Quotes!V216="","",Quotes!V216))</f>
        <v/>
      </c>
      <c r="M216" s="18" t="str">
        <f>IF(A216="","",HYPERLINK("#'Quotes'!A216","EDIT QUOTE"))</f>
        <v/>
      </c>
      <c r="N216" s="18" t="str">
        <f>IF(Quotes!$A216="","",IF(Quotes!C216="","",Quotes!C216))</f>
        <v/>
      </c>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row>
    <row r="217" spans="1:44" ht="40" customHeight="1" x14ac:dyDescent="0.35">
      <c r="A217" s="14" t="str">
        <f>IF(Quotes!$A217="","",IF(Quotes!A217="","",Quotes!A217))</f>
        <v/>
      </c>
      <c r="B217" s="14" t="str">
        <f>IF(Quotes!$A217="","",IF(Quotes!U217="","",Quotes!U217))</f>
        <v/>
      </c>
      <c r="C217" s="14" t="str">
        <f>IF(Quotes!$A217="","",IF(Quotes!Z217="","",Quotes!Z217))</f>
        <v/>
      </c>
      <c r="D217" s="22" t="str">
        <f>IF(Quotes!$A217="","",IF(Quotes!E217="","",Quotes!E217))</f>
        <v/>
      </c>
      <c r="E217" s="14" t="str">
        <f>IFERROR(IF(INDEX(Jobs!$P$9:$P$258,MATCH(Quotes!B217,Jobs!$A$9:$A$258,0))="","",HYPERLINK("#'"&amp;INDEX(Jobs!$P$9:$P$258,MATCH(Quotes!B217,Jobs!$A$9:$A$258,0))&amp;"'!A1","OPEN JOB")),"")</f>
        <v/>
      </c>
      <c r="F217" s="22" t="str">
        <f>IF(Quotes!$A217="","",IF(Quotes!F217="","",Quotes!F217))</f>
        <v/>
      </c>
      <c r="G217" s="23" t="str">
        <f>IF(Quotes!$A217="","",IF(Quotes!G217="","",Quotes!G217))</f>
        <v/>
      </c>
      <c r="H217" s="23" t="str">
        <f>IF(Quotes!$A217="","",IF(Quotes!H217="","",Quotes!H217))</f>
        <v/>
      </c>
      <c r="I217" s="22" t="str">
        <f>IF(Quotes!$A217="","",IF(Quotes!I217="","",Quotes!I217))</f>
        <v/>
      </c>
      <c r="J217" s="16" t="str">
        <f>IF(Quotes!$A217="","",IF(Quotes!AD217="","",Quotes!AD217))</f>
        <v/>
      </c>
      <c r="K217" s="16" t="str">
        <f>IF(Quotes!$A217="","",IF(Quotes!AF217="","",Quotes!AF217))</f>
        <v/>
      </c>
      <c r="L217" s="14" t="str">
        <f>IF(Quotes!$A217="","",IF(Quotes!V217="","",Quotes!V217))</f>
        <v/>
      </c>
      <c r="M217" s="14" t="str">
        <f>IF(A217="","",HYPERLINK("#'Quotes'!A217","EDIT QUOTE"))</f>
        <v/>
      </c>
      <c r="N217" s="14" t="str">
        <f>IF(Quotes!$A217="","",IF(Quotes!C217="","",Quotes!C217))</f>
        <v/>
      </c>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row>
    <row r="218" spans="1:44" ht="40" customHeight="1" x14ac:dyDescent="0.35">
      <c r="A218" s="18" t="str">
        <f>IF(Quotes!$A218="","",IF(Quotes!A218="","",Quotes!A218))</f>
        <v/>
      </c>
      <c r="B218" s="18" t="str">
        <f>IF(Quotes!$A218="","",IF(Quotes!U218="","",Quotes!U218))</f>
        <v/>
      </c>
      <c r="C218" s="18" t="str">
        <f>IF(Quotes!$A218="","",IF(Quotes!Z218="","",Quotes!Z218))</f>
        <v/>
      </c>
      <c r="D218" s="22" t="str">
        <f>IF(Quotes!$A218="","",IF(Quotes!E218="","",Quotes!E218))</f>
        <v/>
      </c>
      <c r="E218" s="18" t="str">
        <f>IFERROR(IF(INDEX(Jobs!$P$9:$P$258,MATCH(Quotes!B218,Jobs!$A$9:$A$258,0))="","",HYPERLINK("#'"&amp;INDEX(Jobs!$P$9:$P$258,MATCH(Quotes!B218,Jobs!$A$9:$A$258,0))&amp;"'!A1","OPEN JOB")),"")</f>
        <v/>
      </c>
      <c r="F218" s="22" t="str">
        <f>IF(Quotes!$A218="","",IF(Quotes!F218="","",Quotes!F218))</f>
        <v/>
      </c>
      <c r="G218" s="23" t="str">
        <f>IF(Quotes!$A218="","",IF(Quotes!G218="","",Quotes!G218))</f>
        <v/>
      </c>
      <c r="H218" s="23" t="str">
        <f>IF(Quotes!$A218="","",IF(Quotes!H218="","",Quotes!H218))</f>
        <v/>
      </c>
      <c r="I218" s="22" t="str">
        <f>IF(Quotes!$A218="","",IF(Quotes!I218="","",Quotes!I218))</f>
        <v/>
      </c>
      <c r="J218" s="19" t="str">
        <f>IF(Quotes!$A218="","",IF(Quotes!AD218="","",Quotes!AD218))</f>
        <v/>
      </c>
      <c r="K218" s="19" t="str">
        <f>IF(Quotes!$A218="","",IF(Quotes!AF218="","",Quotes!AF218))</f>
        <v/>
      </c>
      <c r="L218" s="18" t="str">
        <f>IF(Quotes!$A218="","",IF(Quotes!V218="","",Quotes!V218))</f>
        <v/>
      </c>
      <c r="M218" s="18" t="str">
        <f>IF(A218="","",HYPERLINK("#'Quotes'!A218","EDIT QUOTE"))</f>
        <v/>
      </c>
      <c r="N218" s="18" t="str">
        <f>IF(Quotes!$A218="","",IF(Quotes!C218="","",Quotes!C218))</f>
        <v/>
      </c>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row>
    <row r="219" spans="1:44" ht="40" customHeight="1" x14ac:dyDescent="0.35">
      <c r="A219" s="14" t="str">
        <f>IF(Quotes!$A219="","",IF(Quotes!A219="","",Quotes!A219))</f>
        <v/>
      </c>
      <c r="B219" s="14" t="str">
        <f>IF(Quotes!$A219="","",IF(Quotes!U219="","",Quotes!U219))</f>
        <v/>
      </c>
      <c r="C219" s="14" t="str">
        <f>IF(Quotes!$A219="","",IF(Quotes!Z219="","",Quotes!Z219))</f>
        <v/>
      </c>
      <c r="D219" s="22" t="str">
        <f>IF(Quotes!$A219="","",IF(Quotes!E219="","",Quotes!E219))</f>
        <v/>
      </c>
      <c r="E219" s="14" t="str">
        <f>IFERROR(IF(INDEX(Jobs!$P$9:$P$258,MATCH(Quotes!B219,Jobs!$A$9:$A$258,0))="","",HYPERLINK("#'"&amp;INDEX(Jobs!$P$9:$P$258,MATCH(Quotes!B219,Jobs!$A$9:$A$258,0))&amp;"'!A1","OPEN JOB")),"")</f>
        <v/>
      </c>
      <c r="F219" s="22" t="str">
        <f>IF(Quotes!$A219="","",IF(Quotes!F219="","",Quotes!F219))</f>
        <v/>
      </c>
      <c r="G219" s="23" t="str">
        <f>IF(Quotes!$A219="","",IF(Quotes!G219="","",Quotes!G219))</f>
        <v/>
      </c>
      <c r="H219" s="23" t="str">
        <f>IF(Quotes!$A219="","",IF(Quotes!H219="","",Quotes!H219))</f>
        <v/>
      </c>
      <c r="I219" s="22" t="str">
        <f>IF(Quotes!$A219="","",IF(Quotes!I219="","",Quotes!I219))</f>
        <v/>
      </c>
      <c r="J219" s="16" t="str">
        <f>IF(Quotes!$A219="","",IF(Quotes!AD219="","",Quotes!AD219))</f>
        <v/>
      </c>
      <c r="K219" s="16" t="str">
        <f>IF(Quotes!$A219="","",IF(Quotes!AF219="","",Quotes!AF219))</f>
        <v/>
      </c>
      <c r="L219" s="14" t="str">
        <f>IF(Quotes!$A219="","",IF(Quotes!V219="","",Quotes!V219))</f>
        <v/>
      </c>
      <c r="M219" s="14" t="str">
        <f>IF(A219="","",HYPERLINK("#'Quotes'!A219","EDIT QUOTE"))</f>
        <v/>
      </c>
      <c r="N219" s="14" t="str">
        <f>IF(Quotes!$A219="","",IF(Quotes!C219="","",Quotes!C219))</f>
        <v/>
      </c>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row>
    <row r="220" spans="1:44" ht="40" customHeight="1" x14ac:dyDescent="0.35">
      <c r="A220" s="18" t="str">
        <f>IF(Quotes!$A220="","",IF(Quotes!A220="","",Quotes!A220))</f>
        <v/>
      </c>
      <c r="B220" s="18" t="str">
        <f>IF(Quotes!$A220="","",IF(Quotes!U220="","",Quotes!U220))</f>
        <v/>
      </c>
      <c r="C220" s="18" t="str">
        <f>IF(Quotes!$A220="","",IF(Quotes!Z220="","",Quotes!Z220))</f>
        <v/>
      </c>
      <c r="D220" s="22" t="str">
        <f>IF(Quotes!$A220="","",IF(Quotes!E220="","",Quotes!E220))</f>
        <v/>
      </c>
      <c r="E220" s="18" t="str">
        <f>IFERROR(IF(INDEX(Jobs!$P$9:$P$258,MATCH(Quotes!B220,Jobs!$A$9:$A$258,0))="","",HYPERLINK("#'"&amp;INDEX(Jobs!$P$9:$P$258,MATCH(Quotes!B220,Jobs!$A$9:$A$258,0))&amp;"'!A1","OPEN JOB")),"")</f>
        <v/>
      </c>
      <c r="F220" s="22" t="str">
        <f>IF(Quotes!$A220="","",IF(Quotes!F220="","",Quotes!F220))</f>
        <v/>
      </c>
      <c r="G220" s="23" t="str">
        <f>IF(Quotes!$A220="","",IF(Quotes!G220="","",Quotes!G220))</f>
        <v/>
      </c>
      <c r="H220" s="23" t="str">
        <f>IF(Quotes!$A220="","",IF(Quotes!H220="","",Quotes!H220))</f>
        <v/>
      </c>
      <c r="I220" s="22" t="str">
        <f>IF(Quotes!$A220="","",IF(Quotes!I220="","",Quotes!I220))</f>
        <v/>
      </c>
      <c r="J220" s="19" t="str">
        <f>IF(Quotes!$A220="","",IF(Quotes!AD220="","",Quotes!AD220))</f>
        <v/>
      </c>
      <c r="K220" s="19" t="str">
        <f>IF(Quotes!$A220="","",IF(Quotes!AF220="","",Quotes!AF220))</f>
        <v/>
      </c>
      <c r="L220" s="18" t="str">
        <f>IF(Quotes!$A220="","",IF(Quotes!V220="","",Quotes!V220))</f>
        <v/>
      </c>
      <c r="M220" s="18" t="str">
        <f>IF(A220="","",HYPERLINK("#'Quotes'!A220","EDIT QUOTE"))</f>
        <v/>
      </c>
      <c r="N220" s="18" t="str">
        <f>IF(Quotes!$A220="","",IF(Quotes!C220="","",Quotes!C220))</f>
        <v/>
      </c>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row>
    <row r="221" spans="1:44" ht="40" customHeight="1" x14ac:dyDescent="0.35">
      <c r="A221" s="14" t="str">
        <f>IF(Quotes!$A221="","",IF(Quotes!A221="","",Quotes!A221))</f>
        <v/>
      </c>
      <c r="B221" s="14" t="str">
        <f>IF(Quotes!$A221="","",IF(Quotes!U221="","",Quotes!U221))</f>
        <v/>
      </c>
      <c r="C221" s="14" t="str">
        <f>IF(Quotes!$A221="","",IF(Quotes!Z221="","",Quotes!Z221))</f>
        <v/>
      </c>
      <c r="D221" s="22" t="str">
        <f>IF(Quotes!$A221="","",IF(Quotes!E221="","",Quotes!E221))</f>
        <v/>
      </c>
      <c r="E221" s="14" t="str">
        <f>IFERROR(IF(INDEX(Jobs!$P$9:$P$258,MATCH(Quotes!B221,Jobs!$A$9:$A$258,0))="","",HYPERLINK("#'"&amp;INDEX(Jobs!$P$9:$P$258,MATCH(Quotes!B221,Jobs!$A$9:$A$258,0))&amp;"'!A1","OPEN JOB")),"")</f>
        <v/>
      </c>
      <c r="F221" s="22" t="str">
        <f>IF(Quotes!$A221="","",IF(Quotes!F221="","",Quotes!F221))</f>
        <v/>
      </c>
      <c r="G221" s="23" t="str">
        <f>IF(Quotes!$A221="","",IF(Quotes!G221="","",Quotes!G221))</f>
        <v/>
      </c>
      <c r="H221" s="23" t="str">
        <f>IF(Quotes!$A221="","",IF(Quotes!H221="","",Quotes!H221))</f>
        <v/>
      </c>
      <c r="I221" s="22" t="str">
        <f>IF(Quotes!$A221="","",IF(Quotes!I221="","",Quotes!I221))</f>
        <v/>
      </c>
      <c r="J221" s="16" t="str">
        <f>IF(Quotes!$A221="","",IF(Quotes!AD221="","",Quotes!AD221))</f>
        <v/>
      </c>
      <c r="K221" s="16" t="str">
        <f>IF(Quotes!$A221="","",IF(Quotes!AF221="","",Quotes!AF221))</f>
        <v/>
      </c>
      <c r="L221" s="14" t="str">
        <f>IF(Quotes!$A221="","",IF(Quotes!V221="","",Quotes!V221))</f>
        <v/>
      </c>
      <c r="M221" s="14" t="str">
        <f>IF(A221="","",HYPERLINK("#'Quotes'!A221","EDIT QUOTE"))</f>
        <v/>
      </c>
      <c r="N221" s="14" t="str">
        <f>IF(Quotes!$A221="","",IF(Quotes!C221="","",Quotes!C221))</f>
        <v/>
      </c>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row>
    <row r="222" spans="1:44" ht="40" customHeight="1" x14ac:dyDescent="0.35">
      <c r="A222" s="18" t="str">
        <f>IF(Quotes!$A222="","",IF(Quotes!A222="","",Quotes!A222))</f>
        <v/>
      </c>
      <c r="B222" s="18" t="str">
        <f>IF(Quotes!$A222="","",IF(Quotes!U222="","",Quotes!U222))</f>
        <v/>
      </c>
      <c r="C222" s="18" t="str">
        <f>IF(Quotes!$A222="","",IF(Quotes!Z222="","",Quotes!Z222))</f>
        <v/>
      </c>
      <c r="D222" s="22" t="str">
        <f>IF(Quotes!$A222="","",IF(Quotes!E222="","",Quotes!E222))</f>
        <v/>
      </c>
      <c r="E222" s="18" t="str">
        <f>IFERROR(IF(INDEX(Jobs!$P$9:$P$258,MATCH(Quotes!B222,Jobs!$A$9:$A$258,0))="","",HYPERLINK("#'"&amp;INDEX(Jobs!$P$9:$P$258,MATCH(Quotes!B222,Jobs!$A$9:$A$258,0))&amp;"'!A1","OPEN JOB")),"")</f>
        <v/>
      </c>
      <c r="F222" s="22" t="str">
        <f>IF(Quotes!$A222="","",IF(Quotes!F222="","",Quotes!F222))</f>
        <v/>
      </c>
      <c r="G222" s="23" t="str">
        <f>IF(Quotes!$A222="","",IF(Quotes!G222="","",Quotes!G222))</f>
        <v/>
      </c>
      <c r="H222" s="23" t="str">
        <f>IF(Quotes!$A222="","",IF(Quotes!H222="","",Quotes!H222))</f>
        <v/>
      </c>
      <c r="I222" s="22" t="str">
        <f>IF(Quotes!$A222="","",IF(Quotes!I222="","",Quotes!I222))</f>
        <v/>
      </c>
      <c r="J222" s="19" t="str">
        <f>IF(Quotes!$A222="","",IF(Quotes!AD222="","",Quotes!AD222))</f>
        <v/>
      </c>
      <c r="K222" s="19" t="str">
        <f>IF(Quotes!$A222="","",IF(Quotes!AF222="","",Quotes!AF222))</f>
        <v/>
      </c>
      <c r="L222" s="18" t="str">
        <f>IF(Quotes!$A222="","",IF(Quotes!V222="","",Quotes!V222))</f>
        <v/>
      </c>
      <c r="M222" s="18" t="str">
        <f>IF(A222="","",HYPERLINK("#'Quotes'!A222","EDIT QUOTE"))</f>
        <v/>
      </c>
      <c r="N222" s="18" t="str">
        <f>IF(Quotes!$A222="","",IF(Quotes!C222="","",Quotes!C222))</f>
        <v/>
      </c>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row>
    <row r="223" spans="1:44" ht="40" customHeight="1" x14ac:dyDescent="0.35">
      <c r="A223" s="14" t="str">
        <f>IF(Quotes!$A223="","",IF(Quotes!A223="","",Quotes!A223))</f>
        <v/>
      </c>
      <c r="B223" s="14" t="str">
        <f>IF(Quotes!$A223="","",IF(Quotes!U223="","",Quotes!U223))</f>
        <v/>
      </c>
      <c r="C223" s="14" t="str">
        <f>IF(Quotes!$A223="","",IF(Quotes!Z223="","",Quotes!Z223))</f>
        <v/>
      </c>
      <c r="D223" s="22" t="str">
        <f>IF(Quotes!$A223="","",IF(Quotes!E223="","",Quotes!E223))</f>
        <v/>
      </c>
      <c r="E223" s="14" t="str">
        <f>IFERROR(IF(INDEX(Jobs!$P$9:$P$258,MATCH(Quotes!B223,Jobs!$A$9:$A$258,0))="","",HYPERLINK("#'"&amp;INDEX(Jobs!$P$9:$P$258,MATCH(Quotes!B223,Jobs!$A$9:$A$258,0))&amp;"'!A1","OPEN JOB")),"")</f>
        <v/>
      </c>
      <c r="F223" s="22" t="str">
        <f>IF(Quotes!$A223="","",IF(Quotes!F223="","",Quotes!F223))</f>
        <v/>
      </c>
      <c r="G223" s="23" t="str">
        <f>IF(Quotes!$A223="","",IF(Quotes!G223="","",Quotes!G223))</f>
        <v/>
      </c>
      <c r="H223" s="23" t="str">
        <f>IF(Quotes!$A223="","",IF(Quotes!H223="","",Quotes!H223))</f>
        <v/>
      </c>
      <c r="I223" s="22" t="str">
        <f>IF(Quotes!$A223="","",IF(Quotes!I223="","",Quotes!I223))</f>
        <v/>
      </c>
      <c r="J223" s="16" t="str">
        <f>IF(Quotes!$A223="","",IF(Quotes!AD223="","",Quotes!AD223))</f>
        <v/>
      </c>
      <c r="K223" s="16" t="str">
        <f>IF(Quotes!$A223="","",IF(Quotes!AF223="","",Quotes!AF223))</f>
        <v/>
      </c>
      <c r="L223" s="14" t="str">
        <f>IF(Quotes!$A223="","",IF(Quotes!V223="","",Quotes!V223))</f>
        <v/>
      </c>
      <c r="M223" s="14" t="str">
        <f>IF(A223="","",HYPERLINK("#'Quotes'!A223","EDIT QUOTE"))</f>
        <v/>
      </c>
      <c r="N223" s="14" t="str">
        <f>IF(Quotes!$A223="","",IF(Quotes!C223="","",Quotes!C223))</f>
        <v/>
      </c>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row>
    <row r="224" spans="1:44" ht="40" customHeight="1" x14ac:dyDescent="0.35">
      <c r="A224" s="18" t="str">
        <f>IF(Quotes!$A224="","",IF(Quotes!A224="","",Quotes!A224))</f>
        <v/>
      </c>
      <c r="B224" s="18" t="str">
        <f>IF(Quotes!$A224="","",IF(Quotes!U224="","",Quotes!U224))</f>
        <v/>
      </c>
      <c r="C224" s="18" t="str">
        <f>IF(Quotes!$A224="","",IF(Quotes!Z224="","",Quotes!Z224))</f>
        <v/>
      </c>
      <c r="D224" s="22" t="str">
        <f>IF(Quotes!$A224="","",IF(Quotes!E224="","",Quotes!E224))</f>
        <v/>
      </c>
      <c r="E224" s="18" t="str">
        <f>IFERROR(IF(INDEX(Jobs!$P$9:$P$258,MATCH(Quotes!B224,Jobs!$A$9:$A$258,0))="","",HYPERLINK("#'"&amp;INDEX(Jobs!$P$9:$P$258,MATCH(Quotes!B224,Jobs!$A$9:$A$258,0))&amp;"'!A1","OPEN JOB")),"")</f>
        <v/>
      </c>
      <c r="F224" s="22" t="str">
        <f>IF(Quotes!$A224="","",IF(Quotes!F224="","",Quotes!F224))</f>
        <v/>
      </c>
      <c r="G224" s="23" t="str">
        <f>IF(Quotes!$A224="","",IF(Quotes!G224="","",Quotes!G224))</f>
        <v/>
      </c>
      <c r="H224" s="23" t="str">
        <f>IF(Quotes!$A224="","",IF(Quotes!H224="","",Quotes!H224))</f>
        <v/>
      </c>
      <c r="I224" s="22" t="str">
        <f>IF(Quotes!$A224="","",IF(Quotes!I224="","",Quotes!I224))</f>
        <v/>
      </c>
      <c r="J224" s="19" t="str">
        <f>IF(Quotes!$A224="","",IF(Quotes!AD224="","",Quotes!AD224))</f>
        <v/>
      </c>
      <c r="K224" s="19" t="str">
        <f>IF(Quotes!$A224="","",IF(Quotes!AF224="","",Quotes!AF224))</f>
        <v/>
      </c>
      <c r="L224" s="18" t="str">
        <f>IF(Quotes!$A224="","",IF(Quotes!V224="","",Quotes!V224))</f>
        <v/>
      </c>
      <c r="M224" s="18" t="str">
        <f>IF(A224="","",HYPERLINK("#'Quotes'!A224","EDIT QUOTE"))</f>
        <v/>
      </c>
      <c r="N224" s="18" t="str">
        <f>IF(Quotes!$A224="","",IF(Quotes!C224="","",Quotes!C224))</f>
        <v/>
      </c>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row>
    <row r="225" spans="1:44" ht="40" customHeight="1" x14ac:dyDescent="0.35">
      <c r="A225" s="14" t="str">
        <f>IF(Quotes!$A225="","",IF(Quotes!A225="","",Quotes!A225))</f>
        <v/>
      </c>
      <c r="B225" s="14" t="str">
        <f>IF(Quotes!$A225="","",IF(Quotes!U225="","",Quotes!U225))</f>
        <v/>
      </c>
      <c r="C225" s="14" t="str">
        <f>IF(Quotes!$A225="","",IF(Quotes!Z225="","",Quotes!Z225))</f>
        <v/>
      </c>
      <c r="D225" s="22" t="str">
        <f>IF(Quotes!$A225="","",IF(Quotes!E225="","",Quotes!E225))</f>
        <v/>
      </c>
      <c r="E225" s="14" t="str">
        <f>IFERROR(IF(INDEX(Jobs!$P$9:$P$258,MATCH(Quotes!B225,Jobs!$A$9:$A$258,0))="","",HYPERLINK("#'"&amp;INDEX(Jobs!$P$9:$P$258,MATCH(Quotes!B225,Jobs!$A$9:$A$258,0))&amp;"'!A1","OPEN JOB")),"")</f>
        <v/>
      </c>
      <c r="F225" s="22" t="str">
        <f>IF(Quotes!$A225="","",IF(Quotes!F225="","",Quotes!F225))</f>
        <v/>
      </c>
      <c r="G225" s="23" t="str">
        <f>IF(Quotes!$A225="","",IF(Quotes!G225="","",Quotes!G225))</f>
        <v/>
      </c>
      <c r="H225" s="23" t="str">
        <f>IF(Quotes!$A225="","",IF(Quotes!H225="","",Quotes!H225))</f>
        <v/>
      </c>
      <c r="I225" s="22" t="str">
        <f>IF(Quotes!$A225="","",IF(Quotes!I225="","",Quotes!I225))</f>
        <v/>
      </c>
      <c r="J225" s="16" t="str">
        <f>IF(Quotes!$A225="","",IF(Quotes!AD225="","",Quotes!AD225))</f>
        <v/>
      </c>
      <c r="K225" s="16" t="str">
        <f>IF(Quotes!$A225="","",IF(Quotes!AF225="","",Quotes!AF225))</f>
        <v/>
      </c>
      <c r="L225" s="14" t="str">
        <f>IF(Quotes!$A225="","",IF(Quotes!V225="","",Quotes!V225))</f>
        <v/>
      </c>
      <c r="M225" s="14" t="str">
        <f>IF(A225="","",HYPERLINK("#'Quotes'!A225","EDIT QUOTE"))</f>
        <v/>
      </c>
      <c r="N225" s="14" t="str">
        <f>IF(Quotes!$A225="","",IF(Quotes!C225="","",Quotes!C225))</f>
        <v/>
      </c>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row>
    <row r="226" spans="1:44" ht="40" customHeight="1" x14ac:dyDescent="0.35">
      <c r="A226" s="18" t="str">
        <f>IF(Quotes!$A226="","",IF(Quotes!A226="","",Quotes!A226))</f>
        <v/>
      </c>
      <c r="B226" s="18" t="str">
        <f>IF(Quotes!$A226="","",IF(Quotes!U226="","",Quotes!U226))</f>
        <v/>
      </c>
      <c r="C226" s="18" t="str">
        <f>IF(Quotes!$A226="","",IF(Quotes!Z226="","",Quotes!Z226))</f>
        <v/>
      </c>
      <c r="D226" s="22" t="str">
        <f>IF(Quotes!$A226="","",IF(Quotes!E226="","",Quotes!E226))</f>
        <v/>
      </c>
      <c r="E226" s="18" t="str">
        <f>IFERROR(IF(INDEX(Jobs!$P$9:$P$258,MATCH(Quotes!B226,Jobs!$A$9:$A$258,0))="","",HYPERLINK("#'"&amp;INDEX(Jobs!$P$9:$P$258,MATCH(Quotes!B226,Jobs!$A$9:$A$258,0))&amp;"'!A1","OPEN JOB")),"")</f>
        <v/>
      </c>
      <c r="F226" s="22" t="str">
        <f>IF(Quotes!$A226="","",IF(Quotes!F226="","",Quotes!F226))</f>
        <v/>
      </c>
      <c r="G226" s="23" t="str">
        <f>IF(Quotes!$A226="","",IF(Quotes!G226="","",Quotes!G226))</f>
        <v/>
      </c>
      <c r="H226" s="23" t="str">
        <f>IF(Quotes!$A226="","",IF(Quotes!H226="","",Quotes!H226))</f>
        <v/>
      </c>
      <c r="I226" s="22" t="str">
        <f>IF(Quotes!$A226="","",IF(Quotes!I226="","",Quotes!I226))</f>
        <v/>
      </c>
      <c r="J226" s="19" t="str">
        <f>IF(Quotes!$A226="","",IF(Quotes!AD226="","",Quotes!AD226))</f>
        <v/>
      </c>
      <c r="K226" s="19" t="str">
        <f>IF(Quotes!$A226="","",IF(Quotes!AF226="","",Quotes!AF226))</f>
        <v/>
      </c>
      <c r="L226" s="18" t="str">
        <f>IF(Quotes!$A226="","",IF(Quotes!V226="","",Quotes!V226))</f>
        <v/>
      </c>
      <c r="M226" s="18" t="str">
        <f>IF(A226="","",HYPERLINK("#'Quotes'!A226","EDIT QUOTE"))</f>
        <v/>
      </c>
      <c r="N226" s="18" t="str">
        <f>IF(Quotes!$A226="","",IF(Quotes!C226="","",Quotes!C226))</f>
        <v/>
      </c>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row>
    <row r="227" spans="1:44" ht="40" customHeight="1" x14ac:dyDescent="0.35">
      <c r="A227" s="14" t="str">
        <f>IF(Quotes!$A227="","",IF(Quotes!A227="","",Quotes!A227))</f>
        <v/>
      </c>
      <c r="B227" s="14" t="str">
        <f>IF(Quotes!$A227="","",IF(Quotes!U227="","",Quotes!U227))</f>
        <v/>
      </c>
      <c r="C227" s="14" t="str">
        <f>IF(Quotes!$A227="","",IF(Quotes!Z227="","",Quotes!Z227))</f>
        <v/>
      </c>
      <c r="D227" s="22" t="str">
        <f>IF(Quotes!$A227="","",IF(Quotes!E227="","",Quotes!E227))</f>
        <v/>
      </c>
      <c r="E227" s="14" t="str">
        <f>IFERROR(IF(INDEX(Jobs!$P$9:$P$258,MATCH(Quotes!B227,Jobs!$A$9:$A$258,0))="","",HYPERLINK("#'"&amp;INDEX(Jobs!$P$9:$P$258,MATCH(Quotes!B227,Jobs!$A$9:$A$258,0))&amp;"'!A1","OPEN JOB")),"")</f>
        <v/>
      </c>
      <c r="F227" s="22" t="str">
        <f>IF(Quotes!$A227="","",IF(Quotes!F227="","",Quotes!F227))</f>
        <v/>
      </c>
      <c r="G227" s="23" t="str">
        <f>IF(Quotes!$A227="","",IF(Quotes!G227="","",Quotes!G227))</f>
        <v/>
      </c>
      <c r="H227" s="23" t="str">
        <f>IF(Quotes!$A227="","",IF(Quotes!H227="","",Quotes!H227))</f>
        <v/>
      </c>
      <c r="I227" s="22" t="str">
        <f>IF(Quotes!$A227="","",IF(Quotes!I227="","",Quotes!I227))</f>
        <v/>
      </c>
      <c r="J227" s="16" t="str">
        <f>IF(Quotes!$A227="","",IF(Quotes!AD227="","",Quotes!AD227))</f>
        <v/>
      </c>
      <c r="K227" s="16" t="str">
        <f>IF(Quotes!$A227="","",IF(Quotes!AF227="","",Quotes!AF227))</f>
        <v/>
      </c>
      <c r="L227" s="14" t="str">
        <f>IF(Quotes!$A227="","",IF(Quotes!V227="","",Quotes!V227))</f>
        <v/>
      </c>
      <c r="M227" s="14" t="str">
        <f>IF(A227="","",HYPERLINK("#'Quotes'!A227","EDIT QUOTE"))</f>
        <v/>
      </c>
      <c r="N227" s="14" t="str">
        <f>IF(Quotes!$A227="","",IF(Quotes!C227="","",Quotes!C227))</f>
        <v/>
      </c>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row>
    <row r="228" spans="1:44" ht="40" customHeight="1" x14ac:dyDescent="0.35">
      <c r="A228" s="18" t="str">
        <f>IF(Quotes!$A228="","",IF(Quotes!A228="","",Quotes!A228))</f>
        <v/>
      </c>
      <c r="B228" s="18" t="str">
        <f>IF(Quotes!$A228="","",IF(Quotes!U228="","",Quotes!U228))</f>
        <v/>
      </c>
      <c r="C228" s="18" t="str">
        <f>IF(Quotes!$A228="","",IF(Quotes!Z228="","",Quotes!Z228))</f>
        <v/>
      </c>
      <c r="D228" s="22" t="str">
        <f>IF(Quotes!$A228="","",IF(Quotes!E228="","",Quotes!E228))</f>
        <v/>
      </c>
      <c r="E228" s="18" t="str">
        <f>IFERROR(IF(INDEX(Jobs!$P$9:$P$258,MATCH(Quotes!B228,Jobs!$A$9:$A$258,0))="","",HYPERLINK("#'"&amp;INDEX(Jobs!$P$9:$P$258,MATCH(Quotes!B228,Jobs!$A$9:$A$258,0))&amp;"'!A1","OPEN JOB")),"")</f>
        <v/>
      </c>
      <c r="F228" s="22" t="str">
        <f>IF(Quotes!$A228="","",IF(Quotes!F228="","",Quotes!F228))</f>
        <v/>
      </c>
      <c r="G228" s="23" t="str">
        <f>IF(Quotes!$A228="","",IF(Quotes!G228="","",Quotes!G228))</f>
        <v/>
      </c>
      <c r="H228" s="23" t="str">
        <f>IF(Quotes!$A228="","",IF(Quotes!H228="","",Quotes!H228))</f>
        <v/>
      </c>
      <c r="I228" s="22" t="str">
        <f>IF(Quotes!$A228="","",IF(Quotes!I228="","",Quotes!I228))</f>
        <v/>
      </c>
      <c r="J228" s="19" t="str">
        <f>IF(Quotes!$A228="","",IF(Quotes!AD228="","",Quotes!AD228))</f>
        <v/>
      </c>
      <c r="K228" s="19" t="str">
        <f>IF(Quotes!$A228="","",IF(Quotes!AF228="","",Quotes!AF228))</f>
        <v/>
      </c>
      <c r="L228" s="18" t="str">
        <f>IF(Quotes!$A228="","",IF(Quotes!V228="","",Quotes!V228))</f>
        <v/>
      </c>
      <c r="M228" s="18" t="str">
        <f>IF(A228="","",HYPERLINK("#'Quotes'!A228","EDIT QUOTE"))</f>
        <v/>
      </c>
      <c r="N228" s="18" t="str">
        <f>IF(Quotes!$A228="","",IF(Quotes!C228="","",Quotes!C228))</f>
        <v/>
      </c>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row>
    <row r="229" spans="1:44" ht="40" customHeight="1" x14ac:dyDescent="0.35">
      <c r="A229" s="14" t="str">
        <f>IF(Quotes!$A229="","",IF(Quotes!A229="","",Quotes!A229))</f>
        <v/>
      </c>
      <c r="B229" s="14" t="str">
        <f>IF(Quotes!$A229="","",IF(Quotes!U229="","",Quotes!U229))</f>
        <v/>
      </c>
      <c r="C229" s="14" t="str">
        <f>IF(Quotes!$A229="","",IF(Quotes!Z229="","",Quotes!Z229))</f>
        <v/>
      </c>
      <c r="D229" s="22" t="str">
        <f>IF(Quotes!$A229="","",IF(Quotes!E229="","",Quotes!E229))</f>
        <v/>
      </c>
      <c r="E229" s="14" t="str">
        <f>IFERROR(IF(INDEX(Jobs!$P$9:$P$258,MATCH(Quotes!B229,Jobs!$A$9:$A$258,0))="","",HYPERLINK("#'"&amp;INDEX(Jobs!$P$9:$P$258,MATCH(Quotes!B229,Jobs!$A$9:$A$258,0))&amp;"'!A1","OPEN JOB")),"")</f>
        <v/>
      </c>
      <c r="F229" s="22" t="str">
        <f>IF(Quotes!$A229="","",IF(Quotes!F229="","",Quotes!F229))</f>
        <v/>
      </c>
      <c r="G229" s="23" t="str">
        <f>IF(Quotes!$A229="","",IF(Quotes!G229="","",Quotes!G229))</f>
        <v/>
      </c>
      <c r="H229" s="23" t="str">
        <f>IF(Quotes!$A229="","",IF(Quotes!H229="","",Quotes!H229))</f>
        <v/>
      </c>
      <c r="I229" s="22" t="str">
        <f>IF(Quotes!$A229="","",IF(Quotes!I229="","",Quotes!I229))</f>
        <v/>
      </c>
      <c r="J229" s="16" t="str">
        <f>IF(Quotes!$A229="","",IF(Quotes!AD229="","",Quotes!AD229))</f>
        <v/>
      </c>
      <c r="K229" s="16" t="str">
        <f>IF(Quotes!$A229="","",IF(Quotes!AF229="","",Quotes!AF229))</f>
        <v/>
      </c>
      <c r="L229" s="14" t="str">
        <f>IF(Quotes!$A229="","",IF(Quotes!V229="","",Quotes!V229))</f>
        <v/>
      </c>
      <c r="M229" s="14" t="str">
        <f>IF(A229="","",HYPERLINK("#'Quotes'!A229","EDIT QUOTE"))</f>
        <v/>
      </c>
      <c r="N229" s="14" t="str">
        <f>IF(Quotes!$A229="","",IF(Quotes!C229="","",Quotes!C229))</f>
        <v/>
      </c>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row>
    <row r="230" spans="1:44" ht="40" customHeight="1" x14ac:dyDescent="0.35">
      <c r="A230" s="18" t="str">
        <f>IF(Quotes!$A230="","",IF(Quotes!A230="","",Quotes!A230))</f>
        <v/>
      </c>
      <c r="B230" s="18" t="str">
        <f>IF(Quotes!$A230="","",IF(Quotes!U230="","",Quotes!U230))</f>
        <v/>
      </c>
      <c r="C230" s="18" t="str">
        <f>IF(Quotes!$A230="","",IF(Quotes!Z230="","",Quotes!Z230))</f>
        <v/>
      </c>
      <c r="D230" s="22" t="str">
        <f>IF(Quotes!$A230="","",IF(Quotes!E230="","",Quotes!E230))</f>
        <v/>
      </c>
      <c r="E230" s="18" t="str">
        <f>IFERROR(IF(INDEX(Jobs!$P$9:$P$258,MATCH(Quotes!B230,Jobs!$A$9:$A$258,0))="","",HYPERLINK("#'"&amp;INDEX(Jobs!$P$9:$P$258,MATCH(Quotes!B230,Jobs!$A$9:$A$258,0))&amp;"'!A1","OPEN JOB")),"")</f>
        <v/>
      </c>
      <c r="F230" s="22" t="str">
        <f>IF(Quotes!$A230="","",IF(Quotes!F230="","",Quotes!F230))</f>
        <v/>
      </c>
      <c r="G230" s="23" t="str">
        <f>IF(Quotes!$A230="","",IF(Quotes!G230="","",Quotes!G230))</f>
        <v/>
      </c>
      <c r="H230" s="23" t="str">
        <f>IF(Quotes!$A230="","",IF(Quotes!H230="","",Quotes!H230))</f>
        <v/>
      </c>
      <c r="I230" s="22" t="str">
        <f>IF(Quotes!$A230="","",IF(Quotes!I230="","",Quotes!I230))</f>
        <v/>
      </c>
      <c r="J230" s="19" t="str">
        <f>IF(Quotes!$A230="","",IF(Quotes!AD230="","",Quotes!AD230))</f>
        <v/>
      </c>
      <c r="K230" s="19" t="str">
        <f>IF(Quotes!$A230="","",IF(Quotes!AF230="","",Quotes!AF230))</f>
        <v/>
      </c>
      <c r="L230" s="18" t="str">
        <f>IF(Quotes!$A230="","",IF(Quotes!V230="","",Quotes!V230))</f>
        <v/>
      </c>
      <c r="M230" s="18" t="str">
        <f>IF(A230="","",HYPERLINK("#'Quotes'!A230","EDIT QUOTE"))</f>
        <v/>
      </c>
      <c r="N230" s="18" t="str">
        <f>IF(Quotes!$A230="","",IF(Quotes!C230="","",Quotes!C230))</f>
        <v/>
      </c>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row>
    <row r="231" spans="1:44" ht="40" customHeight="1" x14ac:dyDescent="0.35">
      <c r="A231" s="14" t="str">
        <f>IF(Quotes!$A231="","",IF(Quotes!A231="","",Quotes!A231))</f>
        <v/>
      </c>
      <c r="B231" s="14" t="str">
        <f>IF(Quotes!$A231="","",IF(Quotes!U231="","",Quotes!U231))</f>
        <v/>
      </c>
      <c r="C231" s="14" t="str">
        <f>IF(Quotes!$A231="","",IF(Quotes!Z231="","",Quotes!Z231))</f>
        <v/>
      </c>
      <c r="D231" s="22" t="str">
        <f>IF(Quotes!$A231="","",IF(Quotes!E231="","",Quotes!E231))</f>
        <v/>
      </c>
      <c r="E231" s="14" t="str">
        <f>IFERROR(IF(INDEX(Jobs!$P$9:$P$258,MATCH(Quotes!B231,Jobs!$A$9:$A$258,0))="","",HYPERLINK("#'"&amp;INDEX(Jobs!$P$9:$P$258,MATCH(Quotes!B231,Jobs!$A$9:$A$258,0))&amp;"'!A1","OPEN JOB")),"")</f>
        <v/>
      </c>
      <c r="F231" s="22" t="str">
        <f>IF(Quotes!$A231="","",IF(Quotes!F231="","",Quotes!F231))</f>
        <v/>
      </c>
      <c r="G231" s="23" t="str">
        <f>IF(Quotes!$A231="","",IF(Quotes!G231="","",Quotes!G231))</f>
        <v/>
      </c>
      <c r="H231" s="23" t="str">
        <f>IF(Quotes!$A231="","",IF(Quotes!H231="","",Quotes!H231))</f>
        <v/>
      </c>
      <c r="I231" s="22" t="str">
        <f>IF(Quotes!$A231="","",IF(Quotes!I231="","",Quotes!I231))</f>
        <v/>
      </c>
      <c r="J231" s="16" t="str">
        <f>IF(Quotes!$A231="","",IF(Quotes!AD231="","",Quotes!AD231))</f>
        <v/>
      </c>
      <c r="K231" s="16" t="str">
        <f>IF(Quotes!$A231="","",IF(Quotes!AF231="","",Quotes!AF231))</f>
        <v/>
      </c>
      <c r="L231" s="14" t="str">
        <f>IF(Quotes!$A231="","",IF(Quotes!V231="","",Quotes!V231))</f>
        <v/>
      </c>
      <c r="M231" s="14" t="str">
        <f>IF(A231="","",HYPERLINK("#'Quotes'!A231","EDIT QUOTE"))</f>
        <v/>
      </c>
      <c r="N231" s="14" t="str">
        <f>IF(Quotes!$A231="","",IF(Quotes!C231="","",Quotes!C231))</f>
        <v/>
      </c>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row>
    <row r="232" spans="1:44" ht="40" customHeight="1" x14ac:dyDescent="0.35">
      <c r="A232" s="18" t="str">
        <f>IF(Quotes!$A232="","",IF(Quotes!A232="","",Quotes!A232))</f>
        <v/>
      </c>
      <c r="B232" s="18" t="str">
        <f>IF(Quotes!$A232="","",IF(Quotes!U232="","",Quotes!U232))</f>
        <v/>
      </c>
      <c r="C232" s="18" t="str">
        <f>IF(Quotes!$A232="","",IF(Quotes!Z232="","",Quotes!Z232))</f>
        <v/>
      </c>
      <c r="D232" s="22" t="str">
        <f>IF(Quotes!$A232="","",IF(Quotes!E232="","",Quotes!E232))</f>
        <v/>
      </c>
      <c r="E232" s="18" t="str">
        <f>IFERROR(IF(INDEX(Jobs!$P$9:$P$258,MATCH(Quotes!B232,Jobs!$A$9:$A$258,0))="","",HYPERLINK("#'"&amp;INDEX(Jobs!$P$9:$P$258,MATCH(Quotes!B232,Jobs!$A$9:$A$258,0))&amp;"'!A1","OPEN JOB")),"")</f>
        <v/>
      </c>
      <c r="F232" s="22" t="str">
        <f>IF(Quotes!$A232="","",IF(Quotes!F232="","",Quotes!F232))</f>
        <v/>
      </c>
      <c r="G232" s="23" t="str">
        <f>IF(Quotes!$A232="","",IF(Quotes!G232="","",Quotes!G232))</f>
        <v/>
      </c>
      <c r="H232" s="23" t="str">
        <f>IF(Quotes!$A232="","",IF(Quotes!H232="","",Quotes!H232))</f>
        <v/>
      </c>
      <c r="I232" s="22" t="str">
        <f>IF(Quotes!$A232="","",IF(Quotes!I232="","",Quotes!I232))</f>
        <v/>
      </c>
      <c r="J232" s="19" t="str">
        <f>IF(Quotes!$A232="","",IF(Quotes!AD232="","",Quotes!AD232))</f>
        <v/>
      </c>
      <c r="K232" s="19" t="str">
        <f>IF(Quotes!$A232="","",IF(Quotes!AF232="","",Quotes!AF232))</f>
        <v/>
      </c>
      <c r="L232" s="18" t="str">
        <f>IF(Quotes!$A232="","",IF(Quotes!V232="","",Quotes!V232))</f>
        <v/>
      </c>
      <c r="M232" s="18" t="str">
        <f>IF(A232="","",HYPERLINK("#'Quotes'!A232","EDIT QUOTE"))</f>
        <v/>
      </c>
      <c r="N232" s="18" t="str">
        <f>IF(Quotes!$A232="","",IF(Quotes!C232="","",Quotes!C232))</f>
        <v/>
      </c>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row>
    <row r="233" spans="1:44" ht="40" customHeight="1" x14ac:dyDescent="0.35">
      <c r="A233" s="14" t="str">
        <f>IF(Quotes!$A233="","",IF(Quotes!A233="","",Quotes!A233))</f>
        <v/>
      </c>
      <c r="B233" s="14" t="str">
        <f>IF(Quotes!$A233="","",IF(Quotes!U233="","",Quotes!U233))</f>
        <v/>
      </c>
      <c r="C233" s="14" t="str">
        <f>IF(Quotes!$A233="","",IF(Quotes!Z233="","",Quotes!Z233))</f>
        <v/>
      </c>
      <c r="D233" s="22" t="str">
        <f>IF(Quotes!$A233="","",IF(Quotes!E233="","",Quotes!E233))</f>
        <v/>
      </c>
      <c r="E233" s="14" t="str">
        <f>IFERROR(IF(INDEX(Jobs!$P$9:$P$258,MATCH(Quotes!B233,Jobs!$A$9:$A$258,0))="","",HYPERLINK("#'"&amp;INDEX(Jobs!$P$9:$P$258,MATCH(Quotes!B233,Jobs!$A$9:$A$258,0))&amp;"'!A1","OPEN JOB")),"")</f>
        <v/>
      </c>
      <c r="F233" s="22" t="str">
        <f>IF(Quotes!$A233="","",IF(Quotes!F233="","",Quotes!F233))</f>
        <v/>
      </c>
      <c r="G233" s="23" t="str">
        <f>IF(Quotes!$A233="","",IF(Quotes!G233="","",Quotes!G233))</f>
        <v/>
      </c>
      <c r="H233" s="23" t="str">
        <f>IF(Quotes!$A233="","",IF(Quotes!H233="","",Quotes!H233))</f>
        <v/>
      </c>
      <c r="I233" s="22" t="str">
        <f>IF(Quotes!$A233="","",IF(Quotes!I233="","",Quotes!I233))</f>
        <v/>
      </c>
      <c r="J233" s="16" t="str">
        <f>IF(Quotes!$A233="","",IF(Quotes!AD233="","",Quotes!AD233))</f>
        <v/>
      </c>
      <c r="K233" s="16" t="str">
        <f>IF(Quotes!$A233="","",IF(Quotes!AF233="","",Quotes!AF233))</f>
        <v/>
      </c>
      <c r="L233" s="14" t="str">
        <f>IF(Quotes!$A233="","",IF(Quotes!V233="","",Quotes!V233))</f>
        <v/>
      </c>
      <c r="M233" s="14" t="str">
        <f>IF(A233="","",HYPERLINK("#'Quotes'!A233","EDIT QUOTE"))</f>
        <v/>
      </c>
      <c r="N233" s="14" t="str">
        <f>IF(Quotes!$A233="","",IF(Quotes!C233="","",Quotes!C233))</f>
        <v/>
      </c>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row>
    <row r="234" spans="1:44" ht="40" customHeight="1" x14ac:dyDescent="0.35">
      <c r="A234" s="18" t="str">
        <f>IF(Quotes!$A234="","",IF(Quotes!A234="","",Quotes!A234))</f>
        <v/>
      </c>
      <c r="B234" s="18" t="str">
        <f>IF(Quotes!$A234="","",IF(Quotes!U234="","",Quotes!U234))</f>
        <v/>
      </c>
      <c r="C234" s="18" t="str">
        <f>IF(Quotes!$A234="","",IF(Quotes!Z234="","",Quotes!Z234))</f>
        <v/>
      </c>
      <c r="D234" s="22" t="str">
        <f>IF(Quotes!$A234="","",IF(Quotes!E234="","",Quotes!E234))</f>
        <v/>
      </c>
      <c r="E234" s="18" t="str">
        <f>IFERROR(IF(INDEX(Jobs!$P$9:$P$258,MATCH(Quotes!B234,Jobs!$A$9:$A$258,0))="","",HYPERLINK("#'"&amp;INDEX(Jobs!$P$9:$P$258,MATCH(Quotes!B234,Jobs!$A$9:$A$258,0))&amp;"'!A1","OPEN JOB")),"")</f>
        <v/>
      </c>
      <c r="F234" s="22" t="str">
        <f>IF(Quotes!$A234="","",IF(Quotes!F234="","",Quotes!F234))</f>
        <v/>
      </c>
      <c r="G234" s="23" t="str">
        <f>IF(Quotes!$A234="","",IF(Quotes!G234="","",Quotes!G234))</f>
        <v/>
      </c>
      <c r="H234" s="23" t="str">
        <f>IF(Quotes!$A234="","",IF(Quotes!H234="","",Quotes!H234))</f>
        <v/>
      </c>
      <c r="I234" s="22" t="str">
        <f>IF(Quotes!$A234="","",IF(Quotes!I234="","",Quotes!I234))</f>
        <v/>
      </c>
      <c r="J234" s="19" t="str">
        <f>IF(Quotes!$A234="","",IF(Quotes!AD234="","",Quotes!AD234))</f>
        <v/>
      </c>
      <c r="K234" s="19" t="str">
        <f>IF(Quotes!$A234="","",IF(Quotes!AF234="","",Quotes!AF234))</f>
        <v/>
      </c>
      <c r="L234" s="18" t="str">
        <f>IF(Quotes!$A234="","",IF(Quotes!V234="","",Quotes!V234))</f>
        <v/>
      </c>
      <c r="M234" s="18" t="str">
        <f>IF(A234="","",HYPERLINK("#'Quotes'!A234","EDIT QUOTE"))</f>
        <v/>
      </c>
      <c r="N234" s="18" t="str">
        <f>IF(Quotes!$A234="","",IF(Quotes!C234="","",Quotes!C234))</f>
        <v/>
      </c>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row>
    <row r="235" spans="1:44" ht="40" customHeight="1" x14ac:dyDescent="0.35">
      <c r="A235" s="14" t="str">
        <f>IF(Quotes!$A235="","",IF(Quotes!A235="","",Quotes!A235))</f>
        <v/>
      </c>
      <c r="B235" s="14" t="str">
        <f>IF(Quotes!$A235="","",IF(Quotes!U235="","",Quotes!U235))</f>
        <v/>
      </c>
      <c r="C235" s="14" t="str">
        <f>IF(Quotes!$A235="","",IF(Quotes!Z235="","",Quotes!Z235))</f>
        <v/>
      </c>
      <c r="D235" s="22" t="str">
        <f>IF(Quotes!$A235="","",IF(Quotes!E235="","",Quotes!E235))</f>
        <v/>
      </c>
      <c r="E235" s="14" t="str">
        <f>IFERROR(IF(INDEX(Jobs!$P$9:$P$258,MATCH(Quotes!B235,Jobs!$A$9:$A$258,0))="","",HYPERLINK("#'"&amp;INDEX(Jobs!$P$9:$P$258,MATCH(Quotes!B235,Jobs!$A$9:$A$258,0))&amp;"'!A1","OPEN JOB")),"")</f>
        <v/>
      </c>
      <c r="F235" s="22" t="str">
        <f>IF(Quotes!$A235="","",IF(Quotes!F235="","",Quotes!F235))</f>
        <v/>
      </c>
      <c r="G235" s="23" t="str">
        <f>IF(Quotes!$A235="","",IF(Quotes!G235="","",Quotes!G235))</f>
        <v/>
      </c>
      <c r="H235" s="23" t="str">
        <f>IF(Quotes!$A235="","",IF(Quotes!H235="","",Quotes!H235))</f>
        <v/>
      </c>
      <c r="I235" s="22" t="str">
        <f>IF(Quotes!$A235="","",IF(Quotes!I235="","",Quotes!I235))</f>
        <v/>
      </c>
      <c r="J235" s="16" t="str">
        <f>IF(Quotes!$A235="","",IF(Quotes!AD235="","",Quotes!AD235))</f>
        <v/>
      </c>
      <c r="K235" s="16" t="str">
        <f>IF(Quotes!$A235="","",IF(Quotes!AF235="","",Quotes!AF235))</f>
        <v/>
      </c>
      <c r="L235" s="14" t="str">
        <f>IF(Quotes!$A235="","",IF(Quotes!V235="","",Quotes!V235))</f>
        <v/>
      </c>
      <c r="M235" s="14" t="str">
        <f>IF(A235="","",HYPERLINK("#'Quotes'!A235","EDIT QUOTE"))</f>
        <v/>
      </c>
      <c r="N235" s="14" t="str">
        <f>IF(Quotes!$A235="","",IF(Quotes!C235="","",Quotes!C235))</f>
        <v/>
      </c>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row>
    <row r="236" spans="1:44" ht="40" customHeight="1" x14ac:dyDescent="0.35">
      <c r="A236" s="18" t="str">
        <f>IF(Quotes!$A236="","",IF(Quotes!A236="","",Quotes!A236))</f>
        <v/>
      </c>
      <c r="B236" s="18" t="str">
        <f>IF(Quotes!$A236="","",IF(Quotes!U236="","",Quotes!U236))</f>
        <v/>
      </c>
      <c r="C236" s="18" t="str">
        <f>IF(Quotes!$A236="","",IF(Quotes!Z236="","",Quotes!Z236))</f>
        <v/>
      </c>
      <c r="D236" s="22" t="str">
        <f>IF(Quotes!$A236="","",IF(Quotes!E236="","",Quotes!E236))</f>
        <v/>
      </c>
      <c r="E236" s="18" t="str">
        <f>IFERROR(IF(INDEX(Jobs!$P$9:$P$258,MATCH(Quotes!B236,Jobs!$A$9:$A$258,0))="","",HYPERLINK("#'"&amp;INDEX(Jobs!$P$9:$P$258,MATCH(Quotes!B236,Jobs!$A$9:$A$258,0))&amp;"'!A1","OPEN JOB")),"")</f>
        <v/>
      </c>
      <c r="F236" s="22" t="str">
        <f>IF(Quotes!$A236="","",IF(Quotes!F236="","",Quotes!F236))</f>
        <v/>
      </c>
      <c r="G236" s="23" t="str">
        <f>IF(Quotes!$A236="","",IF(Quotes!G236="","",Quotes!G236))</f>
        <v/>
      </c>
      <c r="H236" s="23" t="str">
        <f>IF(Quotes!$A236="","",IF(Quotes!H236="","",Quotes!H236))</f>
        <v/>
      </c>
      <c r="I236" s="22" t="str">
        <f>IF(Quotes!$A236="","",IF(Quotes!I236="","",Quotes!I236))</f>
        <v/>
      </c>
      <c r="J236" s="19" t="str">
        <f>IF(Quotes!$A236="","",IF(Quotes!AD236="","",Quotes!AD236))</f>
        <v/>
      </c>
      <c r="K236" s="19" t="str">
        <f>IF(Quotes!$A236="","",IF(Quotes!AF236="","",Quotes!AF236))</f>
        <v/>
      </c>
      <c r="L236" s="18" t="str">
        <f>IF(Quotes!$A236="","",IF(Quotes!V236="","",Quotes!V236))</f>
        <v/>
      </c>
      <c r="M236" s="18" t="str">
        <f>IF(A236="","",HYPERLINK("#'Quotes'!A236","EDIT QUOTE"))</f>
        <v/>
      </c>
      <c r="N236" s="18" t="str">
        <f>IF(Quotes!$A236="","",IF(Quotes!C236="","",Quotes!C236))</f>
        <v/>
      </c>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row>
    <row r="237" spans="1:44" ht="40" customHeight="1" x14ac:dyDescent="0.35">
      <c r="A237" s="14" t="str">
        <f>IF(Quotes!$A237="","",IF(Quotes!A237="","",Quotes!A237))</f>
        <v/>
      </c>
      <c r="B237" s="14" t="str">
        <f>IF(Quotes!$A237="","",IF(Quotes!U237="","",Quotes!U237))</f>
        <v/>
      </c>
      <c r="C237" s="14" t="str">
        <f>IF(Quotes!$A237="","",IF(Quotes!Z237="","",Quotes!Z237))</f>
        <v/>
      </c>
      <c r="D237" s="22" t="str">
        <f>IF(Quotes!$A237="","",IF(Quotes!E237="","",Quotes!E237))</f>
        <v/>
      </c>
      <c r="E237" s="14" t="str">
        <f>IFERROR(IF(INDEX(Jobs!$P$9:$P$258,MATCH(Quotes!B237,Jobs!$A$9:$A$258,0))="","",HYPERLINK("#'"&amp;INDEX(Jobs!$P$9:$P$258,MATCH(Quotes!B237,Jobs!$A$9:$A$258,0))&amp;"'!A1","OPEN JOB")),"")</f>
        <v/>
      </c>
      <c r="F237" s="22" t="str">
        <f>IF(Quotes!$A237="","",IF(Quotes!F237="","",Quotes!F237))</f>
        <v/>
      </c>
      <c r="G237" s="23" t="str">
        <f>IF(Quotes!$A237="","",IF(Quotes!G237="","",Quotes!G237))</f>
        <v/>
      </c>
      <c r="H237" s="23" t="str">
        <f>IF(Quotes!$A237="","",IF(Quotes!H237="","",Quotes!H237))</f>
        <v/>
      </c>
      <c r="I237" s="22" t="str">
        <f>IF(Quotes!$A237="","",IF(Quotes!I237="","",Quotes!I237))</f>
        <v/>
      </c>
      <c r="J237" s="16" t="str">
        <f>IF(Quotes!$A237="","",IF(Quotes!AD237="","",Quotes!AD237))</f>
        <v/>
      </c>
      <c r="K237" s="16" t="str">
        <f>IF(Quotes!$A237="","",IF(Quotes!AF237="","",Quotes!AF237))</f>
        <v/>
      </c>
      <c r="L237" s="14" t="str">
        <f>IF(Quotes!$A237="","",IF(Quotes!V237="","",Quotes!V237))</f>
        <v/>
      </c>
      <c r="M237" s="14" t="str">
        <f>IF(A237="","",HYPERLINK("#'Quotes'!A237","EDIT QUOTE"))</f>
        <v/>
      </c>
      <c r="N237" s="14" t="str">
        <f>IF(Quotes!$A237="","",IF(Quotes!C237="","",Quotes!C237))</f>
        <v/>
      </c>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row>
    <row r="238" spans="1:44" ht="40" customHeight="1" x14ac:dyDescent="0.35">
      <c r="A238" s="18" t="str">
        <f>IF(Quotes!$A238="","",IF(Quotes!A238="","",Quotes!A238))</f>
        <v/>
      </c>
      <c r="B238" s="18" t="str">
        <f>IF(Quotes!$A238="","",IF(Quotes!U238="","",Quotes!U238))</f>
        <v/>
      </c>
      <c r="C238" s="18" t="str">
        <f>IF(Quotes!$A238="","",IF(Quotes!Z238="","",Quotes!Z238))</f>
        <v/>
      </c>
      <c r="D238" s="22" t="str">
        <f>IF(Quotes!$A238="","",IF(Quotes!E238="","",Quotes!E238))</f>
        <v/>
      </c>
      <c r="E238" s="18" t="str">
        <f>IFERROR(IF(INDEX(Jobs!$P$9:$P$258,MATCH(Quotes!B238,Jobs!$A$9:$A$258,0))="","",HYPERLINK("#'"&amp;INDEX(Jobs!$P$9:$P$258,MATCH(Quotes!B238,Jobs!$A$9:$A$258,0))&amp;"'!A1","OPEN JOB")),"")</f>
        <v/>
      </c>
      <c r="F238" s="22" t="str">
        <f>IF(Quotes!$A238="","",IF(Quotes!F238="","",Quotes!F238))</f>
        <v/>
      </c>
      <c r="G238" s="23" t="str">
        <f>IF(Quotes!$A238="","",IF(Quotes!G238="","",Quotes!G238))</f>
        <v/>
      </c>
      <c r="H238" s="23" t="str">
        <f>IF(Quotes!$A238="","",IF(Quotes!H238="","",Quotes!H238))</f>
        <v/>
      </c>
      <c r="I238" s="22" t="str">
        <f>IF(Quotes!$A238="","",IF(Quotes!I238="","",Quotes!I238))</f>
        <v/>
      </c>
      <c r="J238" s="19" t="str">
        <f>IF(Quotes!$A238="","",IF(Quotes!AD238="","",Quotes!AD238))</f>
        <v/>
      </c>
      <c r="K238" s="19" t="str">
        <f>IF(Quotes!$A238="","",IF(Quotes!AF238="","",Quotes!AF238))</f>
        <v/>
      </c>
      <c r="L238" s="18" t="str">
        <f>IF(Quotes!$A238="","",IF(Quotes!V238="","",Quotes!V238))</f>
        <v/>
      </c>
      <c r="M238" s="18" t="str">
        <f>IF(A238="","",HYPERLINK("#'Quotes'!A238","EDIT QUOTE"))</f>
        <v/>
      </c>
      <c r="N238" s="18" t="str">
        <f>IF(Quotes!$A238="","",IF(Quotes!C238="","",Quotes!C238))</f>
        <v/>
      </c>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row>
    <row r="239" spans="1:44" ht="40" customHeight="1" x14ac:dyDescent="0.35">
      <c r="A239" s="14" t="str">
        <f>IF(Quotes!$A239="","",IF(Quotes!A239="","",Quotes!A239))</f>
        <v/>
      </c>
      <c r="B239" s="14" t="str">
        <f>IF(Quotes!$A239="","",IF(Quotes!U239="","",Quotes!U239))</f>
        <v/>
      </c>
      <c r="C239" s="14" t="str">
        <f>IF(Quotes!$A239="","",IF(Quotes!Z239="","",Quotes!Z239))</f>
        <v/>
      </c>
      <c r="D239" s="22" t="str">
        <f>IF(Quotes!$A239="","",IF(Quotes!E239="","",Quotes!E239))</f>
        <v/>
      </c>
      <c r="E239" s="14" t="str">
        <f>IFERROR(IF(INDEX(Jobs!$P$9:$P$258,MATCH(Quotes!B239,Jobs!$A$9:$A$258,0))="","",HYPERLINK("#'"&amp;INDEX(Jobs!$P$9:$P$258,MATCH(Quotes!B239,Jobs!$A$9:$A$258,0))&amp;"'!A1","OPEN JOB")),"")</f>
        <v/>
      </c>
      <c r="F239" s="22" t="str">
        <f>IF(Quotes!$A239="","",IF(Quotes!F239="","",Quotes!F239))</f>
        <v/>
      </c>
      <c r="G239" s="23" t="str">
        <f>IF(Quotes!$A239="","",IF(Quotes!G239="","",Quotes!G239))</f>
        <v/>
      </c>
      <c r="H239" s="23" t="str">
        <f>IF(Quotes!$A239="","",IF(Quotes!H239="","",Quotes!H239))</f>
        <v/>
      </c>
      <c r="I239" s="22" t="str">
        <f>IF(Quotes!$A239="","",IF(Quotes!I239="","",Quotes!I239))</f>
        <v/>
      </c>
      <c r="J239" s="16" t="str">
        <f>IF(Quotes!$A239="","",IF(Quotes!AD239="","",Quotes!AD239))</f>
        <v/>
      </c>
      <c r="K239" s="16" t="str">
        <f>IF(Quotes!$A239="","",IF(Quotes!AF239="","",Quotes!AF239))</f>
        <v/>
      </c>
      <c r="L239" s="14" t="str">
        <f>IF(Quotes!$A239="","",IF(Quotes!V239="","",Quotes!V239))</f>
        <v/>
      </c>
      <c r="M239" s="14" t="str">
        <f>IF(A239="","",HYPERLINK("#'Quotes'!A239","EDIT QUOTE"))</f>
        <v/>
      </c>
      <c r="N239" s="14" t="str">
        <f>IF(Quotes!$A239="","",IF(Quotes!C239="","",Quotes!C239))</f>
        <v/>
      </c>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row>
    <row r="240" spans="1:44" ht="40" customHeight="1" x14ac:dyDescent="0.35">
      <c r="A240" s="18" t="str">
        <f>IF(Quotes!$A240="","",IF(Quotes!A240="","",Quotes!A240))</f>
        <v/>
      </c>
      <c r="B240" s="18" t="str">
        <f>IF(Quotes!$A240="","",IF(Quotes!U240="","",Quotes!U240))</f>
        <v/>
      </c>
      <c r="C240" s="18" t="str">
        <f>IF(Quotes!$A240="","",IF(Quotes!Z240="","",Quotes!Z240))</f>
        <v/>
      </c>
      <c r="D240" s="22" t="str">
        <f>IF(Quotes!$A240="","",IF(Quotes!E240="","",Quotes!E240))</f>
        <v/>
      </c>
      <c r="E240" s="18" t="str">
        <f>IFERROR(IF(INDEX(Jobs!$P$9:$P$258,MATCH(Quotes!B240,Jobs!$A$9:$A$258,0))="","",HYPERLINK("#'"&amp;INDEX(Jobs!$P$9:$P$258,MATCH(Quotes!B240,Jobs!$A$9:$A$258,0))&amp;"'!A1","OPEN JOB")),"")</f>
        <v/>
      </c>
      <c r="F240" s="22" t="str">
        <f>IF(Quotes!$A240="","",IF(Quotes!F240="","",Quotes!F240))</f>
        <v/>
      </c>
      <c r="G240" s="23" t="str">
        <f>IF(Quotes!$A240="","",IF(Quotes!G240="","",Quotes!G240))</f>
        <v/>
      </c>
      <c r="H240" s="23" t="str">
        <f>IF(Quotes!$A240="","",IF(Quotes!H240="","",Quotes!H240))</f>
        <v/>
      </c>
      <c r="I240" s="22" t="str">
        <f>IF(Quotes!$A240="","",IF(Quotes!I240="","",Quotes!I240))</f>
        <v/>
      </c>
      <c r="J240" s="19" t="str">
        <f>IF(Quotes!$A240="","",IF(Quotes!AD240="","",Quotes!AD240))</f>
        <v/>
      </c>
      <c r="K240" s="19" t="str">
        <f>IF(Quotes!$A240="","",IF(Quotes!AF240="","",Quotes!AF240))</f>
        <v/>
      </c>
      <c r="L240" s="18" t="str">
        <f>IF(Quotes!$A240="","",IF(Quotes!V240="","",Quotes!V240))</f>
        <v/>
      </c>
      <c r="M240" s="18" t="str">
        <f>IF(A240="","",HYPERLINK("#'Quotes'!A240","EDIT QUOTE"))</f>
        <v/>
      </c>
      <c r="N240" s="18" t="str">
        <f>IF(Quotes!$A240="","",IF(Quotes!C240="","",Quotes!C240))</f>
        <v/>
      </c>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row>
    <row r="241" spans="1:44" ht="40" customHeight="1" x14ac:dyDescent="0.35">
      <c r="A241" s="14" t="str">
        <f>IF(Quotes!$A241="","",IF(Quotes!A241="","",Quotes!A241))</f>
        <v/>
      </c>
      <c r="B241" s="14" t="str">
        <f>IF(Quotes!$A241="","",IF(Quotes!U241="","",Quotes!U241))</f>
        <v/>
      </c>
      <c r="C241" s="14" t="str">
        <f>IF(Quotes!$A241="","",IF(Quotes!Z241="","",Quotes!Z241))</f>
        <v/>
      </c>
      <c r="D241" s="22" t="str">
        <f>IF(Quotes!$A241="","",IF(Quotes!E241="","",Quotes!E241))</f>
        <v/>
      </c>
      <c r="E241" s="14" t="str">
        <f>IFERROR(IF(INDEX(Jobs!$P$9:$P$258,MATCH(Quotes!B241,Jobs!$A$9:$A$258,0))="","",HYPERLINK("#'"&amp;INDEX(Jobs!$P$9:$P$258,MATCH(Quotes!B241,Jobs!$A$9:$A$258,0))&amp;"'!A1","OPEN JOB")),"")</f>
        <v/>
      </c>
      <c r="F241" s="22" t="str">
        <f>IF(Quotes!$A241="","",IF(Quotes!F241="","",Quotes!F241))</f>
        <v/>
      </c>
      <c r="G241" s="23" t="str">
        <f>IF(Quotes!$A241="","",IF(Quotes!G241="","",Quotes!G241))</f>
        <v/>
      </c>
      <c r="H241" s="23" t="str">
        <f>IF(Quotes!$A241="","",IF(Quotes!H241="","",Quotes!H241))</f>
        <v/>
      </c>
      <c r="I241" s="22" t="str">
        <f>IF(Quotes!$A241="","",IF(Quotes!I241="","",Quotes!I241))</f>
        <v/>
      </c>
      <c r="J241" s="16" t="str">
        <f>IF(Quotes!$A241="","",IF(Quotes!AD241="","",Quotes!AD241))</f>
        <v/>
      </c>
      <c r="K241" s="16" t="str">
        <f>IF(Quotes!$A241="","",IF(Quotes!AF241="","",Quotes!AF241))</f>
        <v/>
      </c>
      <c r="L241" s="14" t="str">
        <f>IF(Quotes!$A241="","",IF(Quotes!V241="","",Quotes!V241))</f>
        <v/>
      </c>
      <c r="M241" s="14" t="str">
        <f>IF(A241="","",HYPERLINK("#'Quotes'!A241","EDIT QUOTE"))</f>
        <v/>
      </c>
      <c r="N241" s="14" t="str">
        <f>IF(Quotes!$A241="","",IF(Quotes!C241="","",Quotes!C241))</f>
        <v/>
      </c>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row>
    <row r="242" spans="1:44" ht="40" customHeight="1" x14ac:dyDescent="0.35">
      <c r="A242" s="18" t="str">
        <f>IF(Quotes!$A242="","",IF(Quotes!A242="","",Quotes!A242))</f>
        <v/>
      </c>
      <c r="B242" s="18" t="str">
        <f>IF(Quotes!$A242="","",IF(Quotes!U242="","",Quotes!U242))</f>
        <v/>
      </c>
      <c r="C242" s="18" t="str">
        <f>IF(Quotes!$A242="","",IF(Quotes!Z242="","",Quotes!Z242))</f>
        <v/>
      </c>
      <c r="D242" s="22" t="str">
        <f>IF(Quotes!$A242="","",IF(Quotes!E242="","",Quotes!E242))</f>
        <v/>
      </c>
      <c r="E242" s="18" t="str">
        <f>IFERROR(IF(INDEX(Jobs!$P$9:$P$258,MATCH(Quotes!B242,Jobs!$A$9:$A$258,0))="","",HYPERLINK("#'"&amp;INDEX(Jobs!$P$9:$P$258,MATCH(Quotes!B242,Jobs!$A$9:$A$258,0))&amp;"'!A1","OPEN JOB")),"")</f>
        <v/>
      </c>
      <c r="F242" s="22" t="str">
        <f>IF(Quotes!$A242="","",IF(Quotes!F242="","",Quotes!F242))</f>
        <v/>
      </c>
      <c r="G242" s="23" t="str">
        <f>IF(Quotes!$A242="","",IF(Quotes!G242="","",Quotes!G242))</f>
        <v/>
      </c>
      <c r="H242" s="23" t="str">
        <f>IF(Quotes!$A242="","",IF(Quotes!H242="","",Quotes!H242))</f>
        <v/>
      </c>
      <c r="I242" s="22" t="str">
        <f>IF(Quotes!$A242="","",IF(Quotes!I242="","",Quotes!I242))</f>
        <v/>
      </c>
      <c r="J242" s="19" t="str">
        <f>IF(Quotes!$A242="","",IF(Quotes!AD242="","",Quotes!AD242))</f>
        <v/>
      </c>
      <c r="K242" s="19" t="str">
        <f>IF(Quotes!$A242="","",IF(Quotes!AF242="","",Quotes!AF242))</f>
        <v/>
      </c>
      <c r="L242" s="18" t="str">
        <f>IF(Quotes!$A242="","",IF(Quotes!V242="","",Quotes!V242))</f>
        <v/>
      </c>
      <c r="M242" s="18" t="str">
        <f>IF(A242="","",HYPERLINK("#'Quotes'!A242","EDIT QUOTE"))</f>
        <v/>
      </c>
      <c r="N242" s="18" t="str">
        <f>IF(Quotes!$A242="","",IF(Quotes!C242="","",Quotes!C242))</f>
        <v/>
      </c>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row>
    <row r="243" spans="1:44" ht="40" customHeight="1" x14ac:dyDescent="0.35">
      <c r="A243" s="14" t="str">
        <f>IF(Quotes!$A243="","",IF(Quotes!A243="","",Quotes!A243))</f>
        <v/>
      </c>
      <c r="B243" s="14" t="str">
        <f>IF(Quotes!$A243="","",IF(Quotes!U243="","",Quotes!U243))</f>
        <v/>
      </c>
      <c r="C243" s="14" t="str">
        <f>IF(Quotes!$A243="","",IF(Quotes!Z243="","",Quotes!Z243))</f>
        <v/>
      </c>
      <c r="D243" s="22" t="str">
        <f>IF(Quotes!$A243="","",IF(Quotes!E243="","",Quotes!E243))</f>
        <v/>
      </c>
      <c r="E243" s="14" t="str">
        <f>IFERROR(IF(INDEX(Jobs!$P$9:$P$258,MATCH(Quotes!B243,Jobs!$A$9:$A$258,0))="","",HYPERLINK("#'"&amp;INDEX(Jobs!$P$9:$P$258,MATCH(Quotes!B243,Jobs!$A$9:$A$258,0))&amp;"'!A1","OPEN JOB")),"")</f>
        <v/>
      </c>
      <c r="F243" s="22" t="str">
        <f>IF(Quotes!$A243="","",IF(Quotes!F243="","",Quotes!F243))</f>
        <v/>
      </c>
      <c r="G243" s="23" t="str">
        <f>IF(Quotes!$A243="","",IF(Quotes!G243="","",Quotes!G243))</f>
        <v/>
      </c>
      <c r="H243" s="23" t="str">
        <f>IF(Quotes!$A243="","",IF(Quotes!H243="","",Quotes!H243))</f>
        <v/>
      </c>
      <c r="I243" s="22" t="str">
        <f>IF(Quotes!$A243="","",IF(Quotes!I243="","",Quotes!I243))</f>
        <v/>
      </c>
      <c r="J243" s="16" t="str">
        <f>IF(Quotes!$A243="","",IF(Quotes!AD243="","",Quotes!AD243))</f>
        <v/>
      </c>
      <c r="K243" s="16" t="str">
        <f>IF(Quotes!$A243="","",IF(Quotes!AF243="","",Quotes!AF243))</f>
        <v/>
      </c>
      <c r="L243" s="14" t="str">
        <f>IF(Quotes!$A243="","",IF(Quotes!V243="","",Quotes!V243))</f>
        <v/>
      </c>
      <c r="M243" s="14" t="str">
        <f>IF(A243="","",HYPERLINK("#'Quotes'!A243","EDIT QUOTE"))</f>
        <v/>
      </c>
      <c r="N243" s="14" t="str">
        <f>IF(Quotes!$A243="","",IF(Quotes!C243="","",Quotes!C243))</f>
        <v/>
      </c>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row>
    <row r="244" spans="1:44" ht="40" customHeight="1" x14ac:dyDescent="0.35">
      <c r="A244" s="18" t="str">
        <f>IF(Quotes!$A244="","",IF(Quotes!A244="","",Quotes!A244))</f>
        <v/>
      </c>
      <c r="B244" s="18" t="str">
        <f>IF(Quotes!$A244="","",IF(Quotes!U244="","",Quotes!U244))</f>
        <v/>
      </c>
      <c r="C244" s="18" t="str">
        <f>IF(Quotes!$A244="","",IF(Quotes!Z244="","",Quotes!Z244))</f>
        <v/>
      </c>
      <c r="D244" s="22" t="str">
        <f>IF(Quotes!$A244="","",IF(Quotes!E244="","",Quotes!E244))</f>
        <v/>
      </c>
      <c r="E244" s="18" t="str">
        <f>IFERROR(IF(INDEX(Jobs!$P$9:$P$258,MATCH(Quotes!B244,Jobs!$A$9:$A$258,0))="","",HYPERLINK("#'"&amp;INDEX(Jobs!$P$9:$P$258,MATCH(Quotes!B244,Jobs!$A$9:$A$258,0))&amp;"'!A1","OPEN JOB")),"")</f>
        <v/>
      </c>
      <c r="F244" s="22" t="str">
        <f>IF(Quotes!$A244="","",IF(Quotes!F244="","",Quotes!F244))</f>
        <v/>
      </c>
      <c r="G244" s="23" t="str">
        <f>IF(Quotes!$A244="","",IF(Quotes!G244="","",Quotes!G244))</f>
        <v/>
      </c>
      <c r="H244" s="23" t="str">
        <f>IF(Quotes!$A244="","",IF(Quotes!H244="","",Quotes!H244))</f>
        <v/>
      </c>
      <c r="I244" s="22" t="str">
        <f>IF(Quotes!$A244="","",IF(Quotes!I244="","",Quotes!I244))</f>
        <v/>
      </c>
      <c r="J244" s="19" t="str">
        <f>IF(Quotes!$A244="","",IF(Quotes!AD244="","",Quotes!AD244))</f>
        <v/>
      </c>
      <c r="K244" s="19" t="str">
        <f>IF(Quotes!$A244="","",IF(Quotes!AF244="","",Quotes!AF244))</f>
        <v/>
      </c>
      <c r="L244" s="18" t="str">
        <f>IF(Quotes!$A244="","",IF(Quotes!V244="","",Quotes!V244))</f>
        <v/>
      </c>
      <c r="M244" s="18" t="str">
        <f>IF(A244="","",HYPERLINK("#'Quotes'!A244","EDIT QUOTE"))</f>
        <v/>
      </c>
      <c r="N244" s="18" t="str">
        <f>IF(Quotes!$A244="","",IF(Quotes!C244="","",Quotes!C244))</f>
        <v/>
      </c>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row>
    <row r="245" spans="1:44" ht="40" customHeight="1" x14ac:dyDescent="0.35">
      <c r="A245" s="14" t="str">
        <f>IF(Quotes!$A245="","",IF(Quotes!A245="","",Quotes!A245))</f>
        <v/>
      </c>
      <c r="B245" s="14" t="str">
        <f>IF(Quotes!$A245="","",IF(Quotes!U245="","",Quotes!U245))</f>
        <v/>
      </c>
      <c r="C245" s="14" t="str">
        <f>IF(Quotes!$A245="","",IF(Quotes!Z245="","",Quotes!Z245))</f>
        <v/>
      </c>
      <c r="D245" s="22" t="str">
        <f>IF(Quotes!$A245="","",IF(Quotes!E245="","",Quotes!E245))</f>
        <v/>
      </c>
      <c r="E245" s="14" t="str">
        <f>IFERROR(IF(INDEX(Jobs!$P$9:$P$258,MATCH(Quotes!B245,Jobs!$A$9:$A$258,0))="","",HYPERLINK("#'"&amp;INDEX(Jobs!$P$9:$P$258,MATCH(Quotes!B245,Jobs!$A$9:$A$258,0))&amp;"'!A1","OPEN JOB")),"")</f>
        <v/>
      </c>
      <c r="F245" s="22" t="str">
        <f>IF(Quotes!$A245="","",IF(Quotes!F245="","",Quotes!F245))</f>
        <v/>
      </c>
      <c r="G245" s="23" t="str">
        <f>IF(Quotes!$A245="","",IF(Quotes!G245="","",Quotes!G245))</f>
        <v/>
      </c>
      <c r="H245" s="23" t="str">
        <f>IF(Quotes!$A245="","",IF(Quotes!H245="","",Quotes!H245))</f>
        <v/>
      </c>
      <c r="I245" s="22" t="str">
        <f>IF(Quotes!$A245="","",IF(Quotes!I245="","",Quotes!I245))</f>
        <v/>
      </c>
      <c r="J245" s="16" t="str">
        <f>IF(Quotes!$A245="","",IF(Quotes!AD245="","",Quotes!AD245))</f>
        <v/>
      </c>
      <c r="K245" s="16" t="str">
        <f>IF(Quotes!$A245="","",IF(Quotes!AF245="","",Quotes!AF245))</f>
        <v/>
      </c>
      <c r="L245" s="14" t="str">
        <f>IF(Quotes!$A245="","",IF(Quotes!V245="","",Quotes!V245))</f>
        <v/>
      </c>
      <c r="M245" s="14" t="str">
        <f>IF(A245="","",HYPERLINK("#'Quotes'!A245","EDIT QUOTE"))</f>
        <v/>
      </c>
      <c r="N245" s="14" t="str">
        <f>IF(Quotes!$A245="","",IF(Quotes!C245="","",Quotes!C245))</f>
        <v/>
      </c>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row>
    <row r="246" spans="1:44" ht="40" customHeight="1" x14ac:dyDescent="0.35">
      <c r="A246" s="18" t="str">
        <f>IF(Quotes!$A246="","",IF(Quotes!A246="","",Quotes!A246))</f>
        <v/>
      </c>
      <c r="B246" s="18" t="str">
        <f>IF(Quotes!$A246="","",IF(Quotes!U246="","",Quotes!U246))</f>
        <v/>
      </c>
      <c r="C246" s="18" t="str">
        <f>IF(Quotes!$A246="","",IF(Quotes!Z246="","",Quotes!Z246))</f>
        <v/>
      </c>
      <c r="D246" s="22" t="str">
        <f>IF(Quotes!$A246="","",IF(Quotes!E246="","",Quotes!E246))</f>
        <v/>
      </c>
      <c r="E246" s="18" t="str">
        <f>IFERROR(IF(INDEX(Jobs!$P$9:$P$258,MATCH(Quotes!B246,Jobs!$A$9:$A$258,0))="","",HYPERLINK("#'"&amp;INDEX(Jobs!$P$9:$P$258,MATCH(Quotes!B246,Jobs!$A$9:$A$258,0))&amp;"'!A1","OPEN JOB")),"")</f>
        <v/>
      </c>
      <c r="F246" s="22" t="str">
        <f>IF(Quotes!$A246="","",IF(Quotes!F246="","",Quotes!F246))</f>
        <v/>
      </c>
      <c r="G246" s="23" t="str">
        <f>IF(Quotes!$A246="","",IF(Quotes!G246="","",Quotes!G246))</f>
        <v/>
      </c>
      <c r="H246" s="23" t="str">
        <f>IF(Quotes!$A246="","",IF(Quotes!H246="","",Quotes!H246))</f>
        <v/>
      </c>
      <c r="I246" s="22" t="str">
        <f>IF(Quotes!$A246="","",IF(Quotes!I246="","",Quotes!I246))</f>
        <v/>
      </c>
      <c r="J246" s="19" t="str">
        <f>IF(Quotes!$A246="","",IF(Quotes!AD246="","",Quotes!AD246))</f>
        <v/>
      </c>
      <c r="K246" s="19" t="str">
        <f>IF(Quotes!$A246="","",IF(Quotes!AF246="","",Quotes!AF246))</f>
        <v/>
      </c>
      <c r="L246" s="18" t="str">
        <f>IF(Quotes!$A246="","",IF(Quotes!V246="","",Quotes!V246))</f>
        <v/>
      </c>
      <c r="M246" s="18" t="str">
        <f>IF(A246="","",HYPERLINK("#'Quotes'!A246","EDIT QUOTE"))</f>
        <v/>
      </c>
      <c r="N246" s="18" t="str">
        <f>IF(Quotes!$A246="","",IF(Quotes!C246="","",Quotes!C246))</f>
        <v/>
      </c>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row>
    <row r="247" spans="1:44" ht="40" customHeight="1" x14ac:dyDescent="0.35">
      <c r="A247" s="14" t="str">
        <f>IF(Quotes!$A247="","",IF(Quotes!A247="","",Quotes!A247))</f>
        <v/>
      </c>
      <c r="B247" s="14" t="str">
        <f>IF(Quotes!$A247="","",IF(Quotes!U247="","",Quotes!U247))</f>
        <v/>
      </c>
      <c r="C247" s="14" t="str">
        <f>IF(Quotes!$A247="","",IF(Quotes!Z247="","",Quotes!Z247))</f>
        <v/>
      </c>
      <c r="D247" s="22" t="str">
        <f>IF(Quotes!$A247="","",IF(Quotes!E247="","",Quotes!E247))</f>
        <v/>
      </c>
      <c r="E247" s="14" t="str">
        <f>IFERROR(IF(INDEX(Jobs!$P$9:$P$258,MATCH(Quotes!B247,Jobs!$A$9:$A$258,0))="","",HYPERLINK("#'"&amp;INDEX(Jobs!$P$9:$P$258,MATCH(Quotes!B247,Jobs!$A$9:$A$258,0))&amp;"'!A1","OPEN JOB")),"")</f>
        <v/>
      </c>
      <c r="F247" s="22" t="str">
        <f>IF(Quotes!$A247="","",IF(Quotes!F247="","",Quotes!F247))</f>
        <v/>
      </c>
      <c r="G247" s="23" t="str">
        <f>IF(Quotes!$A247="","",IF(Quotes!G247="","",Quotes!G247))</f>
        <v/>
      </c>
      <c r="H247" s="23" t="str">
        <f>IF(Quotes!$A247="","",IF(Quotes!H247="","",Quotes!H247))</f>
        <v/>
      </c>
      <c r="I247" s="22" t="str">
        <f>IF(Quotes!$A247="","",IF(Quotes!I247="","",Quotes!I247))</f>
        <v/>
      </c>
      <c r="J247" s="16" t="str">
        <f>IF(Quotes!$A247="","",IF(Quotes!AD247="","",Quotes!AD247))</f>
        <v/>
      </c>
      <c r="K247" s="16" t="str">
        <f>IF(Quotes!$A247="","",IF(Quotes!AF247="","",Quotes!AF247))</f>
        <v/>
      </c>
      <c r="L247" s="14" t="str">
        <f>IF(Quotes!$A247="","",IF(Quotes!V247="","",Quotes!V247))</f>
        <v/>
      </c>
      <c r="M247" s="14" t="str">
        <f>IF(A247="","",HYPERLINK("#'Quotes'!A247","EDIT QUOTE"))</f>
        <v/>
      </c>
      <c r="N247" s="14" t="str">
        <f>IF(Quotes!$A247="","",IF(Quotes!C247="","",Quotes!C247))</f>
        <v/>
      </c>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row>
    <row r="248" spans="1:44" ht="40" customHeight="1" x14ac:dyDescent="0.35">
      <c r="A248" s="18" t="str">
        <f>IF(Quotes!$A248="","",IF(Quotes!A248="","",Quotes!A248))</f>
        <v/>
      </c>
      <c r="B248" s="18" t="str">
        <f>IF(Quotes!$A248="","",IF(Quotes!U248="","",Quotes!U248))</f>
        <v/>
      </c>
      <c r="C248" s="18" t="str">
        <f>IF(Quotes!$A248="","",IF(Quotes!Z248="","",Quotes!Z248))</f>
        <v/>
      </c>
      <c r="D248" s="22" t="str">
        <f>IF(Quotes!$A248="","",IF(Quotes!E248="","",Quotes!E248))</f>
        <v/>
      </c>
      <c r="E248" s="18" t="str">
        <f>IFERROR(IF(INDEX(Jobs!$P$9:$P$258,MATCH(Quotes!B248,Jobs!$A$9:$A$258,0))="","",HYPERLINK("#'"&amp;INDEX(Jobs!$P$9:$P$258,MATCH(Quotes!B248,Jobs!$A$9:$A$258,0))&amp;"'!A1","OPEN JOB")),"")</f>
        <v/>
      </c>
      <c r="F248" s="22" t="str">
        <f>IF(Quotes!$A248="","",IF(Quotes!F248="","",Quotes!F248))</f>
        <v/>
      </c>
      <c r="G248" s="23" t="str">
        <f>IF(Quotes!$A248="","",IF(Quotes!G248="","",Quotes!G248))</f>
        <v/>
      </c>
      <c r="H248" s="23" t="str">
        <f>IF(Quotes!$A248="","",IF(Quotes!H248="","",Quotes!H248))</f>
        <v/>
      </c>
      <c r="I248" s="22" t="str">
        <f>IF(Quotes!$A248="","",IF(Quotes!I248="","",Quotes!I248))</f>
        <v/>
      </c>
      <c r="J248" s="19" t="str">
        <f>IF(Quotes!$A248="","",IF(Quotes!AD248="","",Quotes!AD248))</f>
        <v/>
      </c>
      <c r="K248" s="19" t="str">
        <f>IF(Quotes!$A248="","",IF(Quotes!AF248="","",Quotes!AF248))</f>
        <v/>
      </c>
      <c r="L248" s="18" t="str">
        <f>IF(Quotes!$A248="","",IF(Quotes!V248="","",Quotes!V248))</f>
        <v/>
      </c>
      <c r="M248" s="18" t="str">
        <f>IF(A248="","",HYPERLINK("#'Quotes'!A248","EDIT QUOTE"))</f>
        <v/>
      </c>
      <c r="N248" s="18" t="str">
        <f>IF(Quotes!$A248="","",IF(Quotes!C248="","",Quotes!C248))</f>
        <v/>
      </c>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row>
    <row r="249" spans="1:44" ht="40" customHeight="1" x14ac:dyDescent="0.35">
      <c r="A249" s="14" t="str">
        <f>IF(Quotes!$A249="","",IF(Quotes!A249="","",Quotes!A249))</f>
        <v/>
      </c>
      <c r="B249" s="14" t="str">
        <f>IF(Quotes!$A249="","",IF(Quotes!U249="","",Quotes!U249))</f>
        <v/>
      </c>
      <c r="C249" s="14" t="str">
        <f>IF(Quotes!$A249="","",IF(Quotes!Z249="","",Quotes!Z249))</f>
        <v/>
      </c>
      <c r="D249" s="22" t="str">
        <f>IF(Quotes!$A249="","",IF(Quotes!E249="","",Quotes!E249))</f>
        <v/>
      </c>
      <c r="E249" s="14" t="str">
        <f>IFERROR(IF(INDEX(Jobs!$P$9:$P$258,MATCH(Quotes!B249,Jobs!$A$9:$A$258,0))="","",HYPERLINK("#'"&amp;INDEX(Jobs!$P$9:$P$258,MATCH(Quotes!B249,Jobs!$A$9:$A$258,0))&amp;"'!A1","OPEN JOB")),"")</f>
        <v/>
      </c>
      <c r="F249" s="22" t="str">
        <f>IF(Quotes!$A249="","",IF(Quotes!F249="","",Quotes!F249))</f>
        <v/>
      </c>
      <c r="G249" s="23" t="str">
        <f>IF(Quotes!$A249="","",IF(Quotes!G249="","",Quotes!G249))</f>
        <v/>
      </c>
      <c r="H249" s="23" t="str">
        <f>IF(Quotes!$A249="","",IF(Quotes!H249="","",Quotes!H249))</f>
        <v/>
      </c>
      <c r="I249" s="22" t="str">
        <f>IF(Quotes!$A249="","",IF(Quotes!I249="","",Quotes!I249))</f>
        <v/>
      </c>
      <c r="J249" s="16" t="str">
        <f>IF(Quotes!$A249="","",IF(Quotes!AD249="","",Quotes!AD249))</f>
        <v/>
      </c>
      <c r="K249" s="16" t="str">
        <f>IF(Quotes!$A249="","",IF(Quotes!AF249="","",Quotes!AF249))</f>
        <v/>
      </c>
      <c r="L249" s="14" t="str">
        <f>IF(Quotes!$A249="","",IF(Quotes!V249="","",Quotes!V249))</f>
        <v/>
      </c>
      <c r="M249" s="14" t="str">
        <f>IF(A249="","",HYPERLINK("#'Quotes'!A249","EDIT QUOTE"))</f>
        <v/>
      </c>
      <c r="N249" s="14" t="str">
        <f>IF(Quotes!$A249="","",IF(Quotes!C249="","",Quotes!C249))</f>
        <v/>
      </c>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row>
    <row r="250" spans="1:44" ht="40" customHeight="1" x14ac:dyDescent="0.35">
      <c r="A250" s="18" t="str">
        <f>IF(Quotes!$A250="","",IF(Quotes!A250="","",Quotes!A250))</f>
        <v/>
      </c>
      <c r="B250" s="18" t="str">
        <f>IF(Quotes!$A250="","",IF(Quotes!U250="","",Quotes!U250))</f>
        <v/>
      </c>
      <c r="C250" s="18" t="str">
        <f>IF(Quotes!$A250="","",IF(Quotes!Z250="","",Quotes!Z250))</f>
        <v/>
      </c>
      <c r="D250" s="22" t="str">
        <f>IF(Quotes!$A250="","",IF(Quotes!E250="","",Quotes!E250))</f>
        <v/>
      </c>
      <c r="E250" s="18" t="str">
        <f>IFERROR(IF(INDEX(Jobs!$P$9:$P$258,MATCH(Quotes!B250,Jobs!$A$9:$A$258,0))="","",HYPERLINK("#'"&amp;INDEX(Jobs!$P$9:$P$258,MATCH(Quotes!B250,Jobs!$A$9:$A$258,0))&amp;"'!A1","OPEN JOB")),"")</f>
        <v/>
      </c>
      <c r="F250" s="22" t="str">
        <f>IF(Quotes!$A250="","",IF(Quotes!F250="","",Quotes!F250))</f>
        <v/>
      </c>
      <c r="G250" s="23" t="str">
        <f>IF(Quotes!$A250="","",IF(Quotes!G250="","",Quotes!G250))</f>
        <v/>
      </c>
      <c r="H250" s="23" t="str">
        <f>IF(Quotes!$A250="","",IF(Quotes!H250="","",Quotes!H250))</f>
        <v/>
      </c>
      <c r="I250" s="22" t="str">
        <f>IF(Quotes!$A250="","",IF(Quotes!I250="","",Quotes!I250))</f>
        <v/>
      </c>
      <c r="J250" s="19" t="str">
        <f>IF(Quotes!$A250="","",IF(Quotes!AD250="","",Quotes!AD250))</f>
        <v/>
      </c>
      <c r="K250" s="19" t="str">
        <f>IF(Quotes!$A250="","",IF(Quotes!AF250="","",Quotes!AF250))</f>
        <v/>
      </c>
      <c r="L250" s="18" t="str">
        <f>IF(Quotes!$A250="","",IF(Quotes!V250="","",Quotes!V250))</f>
        <v/>
      </c>
      <c r="M250" s="18" t="str">
        <f>IF(A250="","",HYPERLINK("#'Quotes'!A250","EDIT QUOTE"))</f>
        <v/>
      </c>
      <c r="N250" s="18" t="str">
        <f>IF(Quotes!$A250="","",IF(Quotes!C250="","",Quotes!C250))</f>
        <v/>
      </c>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row>
    <row r="251" spans="1:44" ht="40" customHeight="1" x14ac:dyDescent="0.35">
      <c r="A251" s="14" t="str">
        <f>IF(Quotes!$A251="","",IF(Quotes!A251="","",Quotes!A251))</f>
        <v/>
      </c>
      <c r="B251" s="14" t="str">
        <f>IF(Quotes!$A251="","",IF(Quotes!U251="","",Quotes!U251))</f>
        <v/>
      </c>
      <c r="C251" s="14" t="str">
        <f>IF(Quotes!$A251="","",IF(Quotes!Z251="","",Quotes!Z251))</f>
        <v/>
      </c>
      <c r="D251" s="22" t="str">
        <f>IF(Quotes!$A251="","",IF(Quotes!E251="","",Quotes!E251))</f>
        <v/>
      </c>
      <c r="E251" s="14" t="str">
        <f>IFERROR(IF(INDEX(Jobs!$P$9:$P$258,MATCH(Quotes!B251,Jobs!$A$9:$A$258,0))="","",HYPERLINK("#'"&amp;INDEX(Jobs!$P$9:$P$258,MATCH(Quotes!B251,Jobs!$A$9:$A$258,0))&amp;"'!A1","OPEN JOB")),"")</f>
        <v/>
      </c>
      <c r="F251" s="22" t="str">
        <f>IF(Quotes!$A251="","",IF(Quotes!F251="","",Quotes!F251))</f>
        <v/>
      </c>
      <c r="G251" s="23" t="str">
        <f>IF(Quotes!$A251="","",IF(Quotes!G251="","",Quotes!G251))</f>
        <v/>
      </c>
      <c r="H251" s="23" t="str">
        <f>IF(Quotes!$A251="","",IF(Quotes!H251="","",Quotes!H251))</f>
        <v/>
      </c>
      <c r="I251" s="22" t="str">
        <f>IF(Quotes!$A251="","",IF(Quotes!I251="","",Quotes!I251))</f>
        <v/>
      </c>
      <c r="J251" s="16" t="str">
        <f>IF(Quotes!$A251="","",IF(Quotes!AD251="","",Quotes!AD251))</f>
        <v/>
      </c>
      <c r="K251" s="16" t="str">
        <f>IF(Quotes!$A251="","",IF(Quotes!AF251="","",Quotes!AF251))</f>
        <v/>
      </c>
      <c r="L251" s="14" t="str">
        <f>IF(Quotes!$A251="","",IF(Quotes!V251="","",Quotes!V251))</f>
        <v/>
      </c>
      <c r="M251" s="14" t="str">
        <f>IF(A251="","",HYPERLINK("#'Quotes'!A251","EDIT QUOTE"))</f>
        <v/>
      </c>
      <c r="N251" s="14" t="str">
        <f>IF(Quotes!$A251="","",IF(Quotes!C251="","",Quotes!C251))</f>
        <v/>
      </c>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row>
    <row r="252" spans="1:44" ht="40" customHeight="1" x14ac:dyDescent="0.35">
      <c r="A252" s="18" t="str">
        <f>IF(Quotes!$A252="","",IF(Quotes!A252="","",Quotes!A252))</f>
        <v/>
      </c>
      <c r="B252" s="18" t="str">
        <f>IF(Quotes!$A252="","",IF(Quotes!U252="","",Quotes!U252))</f>
        <v/>
      </c>
      <c r="C252" s="18" t="str">
        <f>IF(Quotes!$A252="","",IF(Quotes!Z252="","",Quotes!Z252))</f>
        <v/>
      </c>
      <c r="D252" s="22" t="str">
        <f>IF(Quotes!$A252="","",IF(Quotes!E252="","",Quotes!E252))</f>
        <v/>
      </c>
      <c r="E252" s="18" t="str">
        <f>IFERROR(IF(INDEX(Jobs!$P$9:$P$258,MATCH(Quotes!B252,Jobs!$A$9:$A$258,0))="","",HYPERLINK("#'"&amp;INDEX(Jobs!$P$9:$P$258,MATCH(Quotes!B252,Jobs!$A$9:$A$258,0))&amp;"'!A1","OPEN JOB")),"")</f>
        <v/>
      </c>
      <c r="F252" s="22" t="str">
        <f>IF(Quotes!$A252="","",IF(Quotes!F252="","",Quotes!F252))</f>
        <v/>
      </c>
      <c r="G252" s="23" t="str">
        <f>IF(Quotes!$A252="","",IF(Quotes!G252="","",Quotes!G252))</f>
        <v/>
      </c>
      <c r="H252" s="23" t="str">
        <f>IF(Quotes!$A252="","",IF(Quotes!H252="","",Quotes!H252))</f>
        <v/>
      </c>
      <c r="I252" s="22" t="str">
        <f>IF(Quotes!$A252="","",IF(Quotes!I252="","",Quotes!I252))</f>
        <v/>
      </c>
      <c r="J252" s="19" t="str">
        <f>IF(Quotes!$A252="","",IF(Quotes!AD252="","",Quotes!AD252))</f>
        <v/>
      </c>
      <c r="K252" s="19" t="str">
        <f>IF(Quotes!$A252="","",IF(Quotes!AF252="","",Quotes!AF252))</f>
        <v/>
      </c>
      <c r="L252" s="18" t="str">
        <f>IF(Quotes!$A252="","",IF(Quotes!V252="","",Quotes!V252))</f>
        <v/>
      </c>
      <c r="M252" s="18" t="str">
        <f>IF(A252="","",HYPERLINK("#'Quotes'!A252","EDIT QUOTE"))</f>
        <v/>
      </c>
      <c r="N252" s="18" t="str">
        <f>IF(Quotes!$A252="","",IF(Quotes!C252="","",Quotes!C252))</f>
        <v/>
      </c>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row>
    <row r="253" spans="1:44" ht="40" customHeight="1" x14ac:dyDescent="0.35">
      <c r="A253" s="14" t="str">
        <f>IF(Quotes!$A253="","",IF(Quotes!A253="","",Quotes!A253))</f>
        <v/>
      </c>
      <c r="B253" s="14" t="str">
        <f>IF(Quotes!$A253="","",IF(Quotes!U253="","",Quotes!U253))</f>
        <v/>
      </c>
      <c r="C253" s="14" t="str">
        <f>IF(Quotes!$A253="","",IF(Quotes!Z253="","",Quotes!Z253))</f>
        <v/>
      </c>
      <c r="D253" s="22" t="str">
        <f>IF(Quotes!$A253="","",IF(Quotes!E253="","",Quotes!E253))</f>
        <v/>
      </c>
      <c r="E253" s="14" t="str">
        <f>IFERROR(IF(INDEX(Jobs!$P$9:$P$258,MATCH(Quotes!B253,Jobs!$A$9:$A$258,0))="","",HYPERLINK("#'"&amp;INDEX(Jobs!$P$9:$P$258,MATCH(Quotes!B253,Jobs!$A$9:$A$258,0))&amp;"'!A1","OPEN JOB")),"")</f>
        <v/>
      </c>
      <c r="F253" s="22" t="str">
        <f>IF(Quotes!$A253="","",IF(Quotes!F253="","",Quotes!F253))</f>
        <v/>
      </c>
      <c r="G253" s="23" t="str">
        <f>IF(Quotes!$A253="","",IF(Quotes!G253="","",Quotes!G253))</f>
        <v/>
      </c>
      <c r="H253" s="23" t="str">
        <f>IF(Quotes!$A253="","",IF(Quotes!H253="","",Quotes!H253))</f>
        <v/>
      </c>
      <c r="I253" s="22" t="str">
        <f>IF(Quotes!$A253="","",IF(Quotes!I253="","",Quotes!I253))</f>
        <v/>
      </c>
      <c r="J253" s="16" t="str">
        <f>IF(Quotes!$A253="","",IF(Quotes!AD253="","",Quotes!AD253))</f>
        <v/>
      </c>
      <c r="K253" s="16" t="str">
        <f>IF(Quotes!$A253="","",IF(Quotes!AF253="","",Quotes!AF253))</f>
        <v/>
      </c>
      <c r="L253" s="14" t="str">
        <f>IF(Quotes!$A253="","",IF(Quotes!V253="","",Quotes!V253))</f>
        <v/>
      </c>
      <c r="M253" s="14" t="str">
        <f>IF(A253="","",HYPERLINK("#'Quotes'!A253","EDIT QUOTE"))</f>
        <v/>
      </c>
      <c r="N253" s="14" t="str">
        <f>IF(Quotes!$A253="","",IF(Quotes!C253="","",Quotes!C253))</f>
        <v/>
      </c>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row>
    <row r="254" spans="1:44" ht="40" customHeight="1" x14ac:dyDescent="0.35">
      <c r="A254" s="18" t="str">
        <f>IF(Quotes!$A254="","",IF(Quotes!A254="","",Quotes!A254))</f>
        <v/>
      </c>
      <c r="B254" s="18" t="str">
        <f>IF(Quotes!$A254="","",IF(Quotes!U254="","",Quotes!U254))</f>
        <v/>
      </c>
      <c r="C254" s="18" t="str">
        <f>IF(Quotes!$A254="","",IF(Quotes!Z254="","",Quotes!Z254))</f>
        <v/>
      </c>
      <c r="D254" s="22" t="str">
        <f>IF(Quotes!$A254="","",IF(Quotes!E254="","",Quotes!E254))</f>
        <v/>
      </c>
      <c r="E254" s="18" t="str">
        <f>IFERROR(IF(INDEX(Jobs!$P$9:$P$258,MATCH(Quotes!B254,Jobs!$A$9:$A$258,0))="","",HYPERLINK("#'"&amp;INDEX(Jobs!$P$9:$P$258,MATCH(Quotes!B254,Jobs!$A$9:$A$258,0))&amp;"'!A1","OPEN JOB")),"")</f>
        <v/>
      </c>
      <c r="F254" s="22" t="str">
        <f>IF(Quotes!$A254="","",IF(Quotes!F254="","",Quotes!F254))</f>
        <v/>
      </c>
      <c r="G254" s="23" t="str">
        <f>IF(Quotes!$A254="","",IF(Quotes!G254="","",Quotes!G254))</f>
        <v/>
      </c>
      <c r="H254" s="23" t="str">
        <f>IF(Quotes!$A254="","",IF(Quotes!H254="","",Quotes!H254))</f>
        <v/>
      </c>
      <c r="I254" s="22" t="str">
        <f>IF(Quotes!$A254="","",IF(Quotes!I254="","",Quotes!I254))</f>
        <v/>
      </c>
      <c r="J254" s="19" t="str">
        <f>IF(Quotes!$A254="","",IF(Quotes!AD254="","",Quotes!AD254))</f>
        <v/>
      </c>
      <c r="K254" s="19" t="str">
        <f>IF(Quotes!$A254="","",IF(Quotes!AF254="","",Quotes!AF254))</f>
        <v/>
      </c>
      <c r="L254" s="18" t="str">
        <f>IF(Quotes!$A254="","",IF(Quotes!V254="","",Quotes!V254))</f>
        <v/>
      </c>
      <c r="M254" s="18" t="str">
        <f>IF(A254="","",HYPERLINK("#'Quotes'!A254","EDIT QUOTE"))</f>
        <v/>
      </c>
      <c r="N254" s="18" t="str">
        <f>IF(Quotes!$A254="","",IF(Quotes!C254="","",Quotes!C254))</f>
        <v/>
      </c>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row>
    <row r="255" spans="1:44" ht="40" customHeight="1" x14ac:dyDescent="0.35">
      <c r="A255" s="14" t="str">
        <f>IF(Quotes!$A255="","",IF(Quotes!A255="","",Quotes!A255))</f>
        <v/>
      </c>
      <c r="B255" s="14" t="str">
        <f>IF(Quotes!$A255="","",IF(Quotes!U255="","",Quotes!U255))</f>
        <v/>
      </c>
      <c r="C255" s="14" t="str">
        <f>IF(Quotes!$A255="","",IF(Quotes!Z255="","",Quotes!Z255))</f>
        <v/>
      </c>
      <c r="D255" s="22" t="str">
        <f>IF(Quotes!$A255="","",IF(Quotes!E255="","",Quotes!E255))</f>
        <v/>
      </c>
      <c r="E255" s="14" t="str">
        <f>IFERROR(IF(INDEX(Jobs!$P$9:$P$258,MATCH(Quotes!B255,Jobs!$A$9:$A$258,0))="","",HYPERLINK("#'"&amp;INDEX(Jobs!$P$9:$P$258,MATCH(Quotes!B255,Jobs!$A$9:$A$258,0))&amp;"'!A1","OPEN JOB")),"")</f>
        <v/>
      </c>
      <c r="F255" s="22" t="str">
        <f>IF(Quotes!$A255="","",IF(Quotes!F255="","",Quotes!F255))</f>
        <v/>
      </c>
      <c r="G255" s="23" t="str">
        <f>IF(Quotes!$A255="","",IF(Quotes!G255="","",Quotes!G255))</f>
        <v/>
      </c>
      <c r="H255" s="23" t="str">
        <f>IF(Quotes!$A255="","",IF(Quotes!H255="","",Quotes!H255))</f>
        <v/>
      </c>
      <c r="I255" s="22" t="str">
        <f>IF(Quotes!$A255="","",IF(Quotes!I255="","",Quotes!I255))</f>
        <v/>
      </c>
      <c r="J255" s="16" t="str">
        <f>IF(Quotes!$A255="","",IF(Quotes!AD255="","",Quotes!AD255))</f>
        <v/>
      </c>
      <c r="K255" s="16" t="str">
        <f>IF(Quotes!$A255="","",IF(Quotes!AF255="","",Quotes!AF255))</f>
        <v/>
      </c>
      <c r="L255" s="14" t="str">
        <f>IF(Quotes!$A255="","",IF(Quotes!V255="","",Quotes!V255))</f>
        <v/>
      </c>
      <c r="M255" s="14" t="str">
        <f>IF(A255="","",HYPERLINK("#'Quotes'!A255","EDIT QUOTE"))</f>
        <v/>
      </c>
      <c r="N255" s="14" t="str">
        <f>IF(Quotes!$A255="","",IF(Quotes!C255="","",Quotes!C255))</f>
        <v/>
      </c>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row>
    <row r="256" spans="1:44" ht="40" customHeight="1" x14ac:dyDescent="0.35">
      <c r="A256" s="18" t="str">
        <f>IF(Quotes!$A256="","",IF(Quotes!A256="","",Quotes!A256))</f>
        <v/>
      </c>
      <c r="B256" s="18" t="str">
        <f>IF(Quotes!$A256="","",IF(Quotes!U256="","",Quotes!U256))</f>
        <v/>
      </c>
      <c r="C256" s="18" t="str">
        <f>IF(Quotes!$A256="","",IF(Quotes!Z256="","",Quotes!Z256))</f>
        <v/>
      </c>
      <c r="D256" s="22" t="str">
        <f>IF(Quotes!$A256="","",IF(Quotes!E256="","",Quotes!E256))</f>
        <v/>
      </c>
      <c r="E256" s="18" t="str">
        <f>IFERROR(IF(INDEX(Jobs!$P$9:$P$258,MATCH(Quotes!B256,Jobs!$A$9:$A$258,0))="","",HYPERLINK("#'"&amp;INDEX(Jobs!$P$9:$P$258,MATCH(Quotes!B256,Jobs!$A$9:$A$258,0))&amp;"'!A1","OPEN JOB")),"")</f>
        <v/>
      </c>
      <c r="F256" s="22" t="str">
        <f>IF(Quotes!$A256="","",IF(Quotes!F256="","",Quotes!F256))</f>
        <v/>
      </c>
      <c r="G256" s="23" t="str">
        <f>IF(Quotes!$A256="","",IF(Quotes!G256="","",Quotes!G256))</f>
        <v/>
      </c>
      <c r="H256" s="23" t="str">
        <f>IF(Quotes!$A256="","",IF(Quotes!H256="","",Quotes!H256))</f>
        <v/>
      </c>
      <c r="I256" s="22" t="str">
        <f>IF(Quotes!$A256="","",IF(Quotes!I256="","",Quotes!I256))</f>
        <v/>
      </c>
      <c r="J256" s="19" t="str">
        <f>IF(Quotes!$A256="","",IF(Quotes!AD256="","",Quotes!AD256))</f>
        <v/>
      </c>
      <c r="K256" s="19" t="str">
        <f>IF(Quotes!$A256="","",IF(Quotes!AF256="","",Quotes!AF256))</f>
        <v/>
      </c>
      <c r="L256" s="18" t="str">
        <f>IF(Quotes!$A256="","",IF(Quotes!V256="","",Quotes!V256))</f>
        <v/>
      </c>
      <c r="M256" s="18" t="str">
        <f>IF(A256="","",HYPERLINK("#'Quotes'!A256","EDIT QUOTE"))</f>
        <v/>
      </c>
      <c r="N256" s="18" t="str">
        <f>IF(Quotes!$A256="","",IF(Quotes!C256="","",Quotes!C256))</f>
        <v/>
      </c>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row>
    <row r="257" spans="1:44" ht="40" customHeight="1" x14ac:dyDescent="0.35">
      <c r="A257" s="14" t="str">
        <f>IF(Quotes!$A257="","",IF(Quotes!A257="","",Quotes!A257))</f>
        <v/>
      </c>
      <c r="B257" s="14" t="str">
        <f>IF(Quotes!$A257="","",IF(Quotes!U257="","",Quotes!U257))</f>
        <v/>
      </c>
      <c r="C257" s="14" t="str">
        <f>IF(Quotes!$A257="","",IF(Quotes!Z257="","",Quotes!Z257))</f>
        <v/>
      </c>
      <c r="D257" s="22" t="str">
        <f>IF(Quotes!$A257="","",IF(Quotes!E257="","",Quotes!E257))</f>
        <v/>
      </c>
      <c r="E257" s="14" t="str">
        <f>IFERROR(IF(INDEX(Jobs!$P$9:$P$258,MATCH(Quotes!B257,Jobs!$A$9:$A$258,0))="","",HYPERLINK("#'"&amp;INDEX(Jobs!$P$9:$P$258,MATCH(Quotes!B257,Jobs!$A$9:$A$258,0))&amp;"'!A1","OPEN JOB")),"")</f>
        <v/>
      </c>
      <c r="F257" s="22" t="str">
        <f>IF(Quotes!$A257="","",IF(Quotes!F257="","",Quotes!F257))</f>
        <v/>
      </c>
      <c r="G257" s="23" t="str">
        <f>IF(Quotes!$A257="","",IF(Quotes!G257="","",Quotes!G257))</f>
        <v/>
      </c>
      <c r="H257" s="23" t="str">
        <f>IF(Quotes!$A257="","",IF(Quotes!H257="","",Quotes!H257))</f>
        <v/>
      </c>
      <c r="I257" s="22" t="str">
        <f>IF(Quotes!$A257="","",IF(Quotes!I257="","",Quotes!I257))</f>
        <v/>
      </c>
      <c r="J257" s="16" t="str">
        <f>IF(Quotes!$A257="","",IF(Quotes!AD257="","",Quotes!AD257))</f>
        <v/>
      </c>
      <c r="K257" s="16" t="str">
        <f>IF(Quotes!$A257="","",IF(Quotes!AF257="","",Quotes!AF257))</f>
        <v/>
      </c>
      <c r="L257" s="14" t="str">
        <f>IF(Quotes!$A257="","",IF(Quotes!V257="","",Quotes!V257))</f>
        <v/>
      </c>
      <c r="M257" s="14" t="str">
        <f>IF(A257="","",HYPERLINK("#'Quotes'!A257","EDIT QUOTE"))</f>
        <v/>
      </c>
      <c r="N257" s="14" t="str">
        <f>IF(Quotes!$A257="","",IF(Quotes!C257="","",Quotes!C257))</f>
        <v/>
      </c>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row>
    <row r="258" spans="1:44" ht="40" customHeight="1" x14ac:dyDescent="0.35">
      <c r="A258" s="18" t="str">
        <f>IF(Quotes!$A258="","",IF(Quotes!A258="","",Quotes!A258))</f>
        <v/>
      </c>
      <c r="B258" s="18" t="str">
        <f>IF(Quotes!$A258="","",IF(Quotes!U258="","",Quotes!U258))</f>
        <v/>
      </c>
      <c r="C258" s="18" t="str">
        <f>IF(Quotes!$A258="","",IF(Quotes!Z258="","",Quotes!Z258))</f>
        <v/>
      </c>
      <c r="D258" s="22" t="str">
        <f>IF(Quotes!$A258="","",IF(Quotes!E258="","",Quotes!E258))</f>
        <v/>
      </c>
      <c r="E258" s="18" t="str">
        <f>IFERROR(IF(INDEX(Jobs!$P$9:$P$258,MATCH(Quotes!B258,Jobs!$A$9:$A$258,0))="","",HYPERLINK("#'"&amp;INDEX(Jobs!$P$9:$P$258,MATCH(Quotes!B258,Jobs!$A$9:$A$258,0))&amp;"'!A1","OPEN JOB")),"")</f>
        <v/>
      </c>
      <c r="F258" s="22" t="str">
        <f>IF(Quotes!$A258="","",IF(Quotes!F258="","",Quotes!F258))</f>
        <v/>
      </c>
      <c r="G258" s="23" t="str">
        <f>IF(Quotes!$A258="","",IF(Quotes!G258="","",Quotes!G258))</f>
        <v/>
      </c>
      <c r="H258" s="23" t="str">
        <f>IF(Quotes!$A258="","",IF(Quotes!H258="","",Quotes!H258))</f>
        <v/>
      </c>
      <c r="I258" s="22" t="str">
        <f>IF(Quotes!$A258="","",IF(Quotes!I258="","",Quotes!I258))</f>
        <v/>
      </c>
      <c r="J258" s="19" t="str">
        <f>IF(Quotes!$A258="","",IF(Quotes!AD258="","",Quotes!AD258))</f>
        <v/>
      </c>
      <c r="K258" s="19" t="str">
        <f>IF(Quotes!$A258="","",IF(Quotes!AF258="","",Quotes!AF258))</f>
        <v/>
      </c>
      <c r="L258" s="18" t="str">
        <f>IF(Quotes!$A258="","",IF(Quotes!V258="","",Quotes!V258))</f>
        <v/>
      </c>
      <c r="M258" s="18" t="str">
        <f>IF(A258="","",HYPERLINK("#'Quotes'!A258","EDIT QUOTE"))</f>
        <v/>
      </c>
      <c r="N258" s="18" t="str">
        <f>IF(Quotes!$A258="","",IF(Quotes!C258="","",Quotes!C258))</f>
        <v/>
      </c>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row>
  </sheetData>
  <sheetProtection password="8651" sheet="1" autoFilter="0"/>
  <mergeCells count="5">
    <mergeCell ref="A1:M2"/>
    <mergeCell ref="E6:I6"/>
    <mergeCell ref="A3:M3"/>
    <mergeCell ref="J6:M6"/>
    <mergeCell ref="B6:D6"/>
  </mergeCells>
  <conditionalFormatting sqref="F9:F258">
    <cfRule type="cellIs" dxfId="14" priority="1" operator="equal">
      <formula>"Selected"</formula>
    </cfRule>
  </conditionalFormatting>
  <dataValidations count="4">
    <dataValidation type="list" allowBlank="1" showErrorMessage="1" errorTitle="Check this entry" error="Use a value from the shared list." sqref="B6" xr:uid="{00000000-0002-0000-0400-000000000000}">
      <formula1>lstPilotSupplierFilter</formula1>
    </dataValidation>
    <dataValidation type="list" allowBlank="1" showErrorMessage="1" errorTitle="Check this entry" error="Use a value from the shared list." sqref="F9:F258" xr:uid="{00000000-0002-0000-0400-000001000000}">
      <formula1>lstQuoteStatus</formula1>
    </dataValidation>
    <dataValidation type="list" allowBlank="1" showErrorMessage="1" errorTitle="Check this entry" error="Use a value from the shared list." sqref="I9:I258" xr:uid="{00000000-0002-0000-0400-000002000000}">
      <formula1>lstCurrency</formula1>
    </dataValidation>
    <dataValidation type="decimal" operator="greaterThanOrEqual" allowBlank="1" showErrorMessage="1" errorTitle="Check this entry" error="Enter a valid date or a non-negative number, as applicable." sqref="G9:H258" xr:uid="{00000000-0002-0000-0400-000003000000}">
      <formula1>0</formula1>
    </dataValidation>
  </dataValidations>
  <hyperlinks>
    <hyperlink ref="A4" location="'Overview'!A1" display="Overview" xr:uid="{00000000-0004-0000-0400-000000000000}"/>
    <hyperlink ref="B4" location="'Jobs'!A1" display="Jobs" xr:uid="{00000000-0004-0000-0400-000001000000}"/>
    <hyperlink ref="C4" location="'Suppliers'!A1" display="Suppliers" xr:uid="{00000000-0004-0000-0400-000002000000}"/>
    <hyperlink ref="D4" location="'Budget'!A1" display="Budget" xr:uid="{00000000-0004-0000-0400-000003000000}"/>
    <hyperlink ref="E4" location="'Quotes'!A1" display="Quotes" xr:uid="{00000000-0004-0000-0400-000004000000}"/>
    <hyperlink ref="F4" location="'Print Summary'!A1" display="Print summary" xr:uid="{00000000-0004-0000-0400-000005000000}"/>
    <hyperlink ref="G4" location="'Read Me'!A1" display="Guide" xr:uid="{00000000-0004-0000-0400-000006000000}"/>
    <hyperlink ref="E6" location="'Suppliers'!A1" display="SUPPLIER DIRECTORY" xr:uid="{00000000-0004-0000-0400-000007000000}"/>
  </hyperlinks>
  <pageMargins left="0.25" right="0.25" top="0.4" bottom="0.4" header="0.5" footer="0.5"/>
  <pageSetup paperSize="9" fitToHeight="0" orientation="landscape"/>
  <headerFooter>
    <oddFooter>&amp;LKERRY | DRYDOCK 2027&amp;CKERRY | Drydock 2027&amp;RPage &amp;P of &amp;N</oddFoot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769A5"/>
    <pageSetUpPr fitToPage="1"/>
  </sheetPr>
  <dimension ref="A1:AT258"/>
  <sheetViews>
    <sheetView showGridLines="0" zoomScale="90" workbookViewId="0">
      <pane xSplit="2" ySplit="8" topLeftCell="C9" activePane="bottomRight" state="frozen"/>
      <selection pane="topRight"/>
      <selection pane="bottomLeft"/>
      <selection pane="bottomRight"/>
    </sheetView>
  </sheetViews>
  <sheetFormatPr defaultRowHeight="14.5" outlineLevelCol="1" x14ac:dyDescent="0.35"/>
  <cols>
    <col min="1" max="1" width="20" customWidth="1"/>
    <col min="2" max="2" width="13" customWidth="1"/>
    <col min="3" max="3" width="12" hidden="1" customWidth="1" outlineLevel="1"/>
    <col min="4" max="4" width="16" hidden="1" customWidth="1" outlineLevel="1"/>
    <col min="5" max="5" width="28" customWidth="1"/>
    <col min="6" max="6" width="21" customWidth="1"/>
    <col min="7" max="8" width="20" customWidth="1"/>
    <col min="9" max="9" width="12" customWidth="1"/>
    <col min="10" max="12" width="15" hidden="1" customWidth="1" outlineLevel="1"/>
    <col min="13" max="13" width="22" hidden="1" customWidth="1" outlineLevel="1"/>
    <col min="14" max="15" width="52" hidden="1" customWidth="1" outlineLevel="1"/>
    <col min="16" max="17" width="66" hidden="1" customWidth="1" outlineLevel="1"/>
    <col min="18" max="18" width="12" hidden="1" customWidth="1" outlineLevel="1"/>
    <col min="19" max="19" width="48" hidden="1" customWidth="1" outlineLevel="1"/>
    <col min="20" max="20" width="45" hidden="1" customWidth="1" outlineLevel="1"/>
    <col min="21" max="21" width="28" customWidth="1" outlineLevel="1"/>
    <col min="22" max="41" width="20" hidden="1" customWidth="1" outlineLevel="1"/>
    <col min="42" max="44" width="18" customWidth="1"/>
    <col min="45" max="46" width="13" hidden="1" customWidth="1"/>
  </cols>
  <sheetData>
    <row r="1" spans="1:46" ht="27" customHeight="1" x14ac:dyDescent="0.35">
      <c r="A1" s="71" t="s">
        <v>479</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row>
    <row r="2" spans="1:46" ht="20" customHeight="1" x14ac:dyDescent="0.35">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row>
    <row r="3" spans="1:46" ht="21" customHeight="1" x14ac:dyDescent="0.35">
      <c r="A3" s="69" t="s">
        <v>480</v>
      </c>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row>
    <row r="4" spans="1:46" ht="29" customHeight="1" x14ac:dyDescent="0.35">
      <c r="A4" s="11" t="s">
        <v>3</v>
      </c>
      <c r="B4" s="11" t="s">
        <v>4</v>
      </c>
      <c r="C4" s="20"/>
      <c r="D4" s="20"/>
      <c r="E4" s="11" t="s">
        <v>5</v>
      </c>
      <c r="F4" s="11" t="s">
        <v>6</v>
      </c>
      <c r="G4" s="12" t="s">
        <v>7</v>
      </c>
      <c r="H4" s="11" t="s">
        <v>8</v>
      </c>
      <c r="I4" s="11" t="s">
        <v>53</v>
      </c>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row>
    <row r="5" spans="1:46" ht="10" customHeight="1" x14ac:dyDescent="0.3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46" ht="30" customHeight="1" x14ac:dyDescent="0.35">
      <c r="A6" s="70" t="s">
        <v>340</v>
      </c>
      <c r="B6" s="39"/>
      <c r="C6" s="20"/>
      <c r="D6" s="20"/>
      <c r="E6" s="75" t="s">
        <v>481</v>
      </c>
      <c r="F6" s="39"/>
      <c r="G6" s="39"/>
      <c r="H6" s="39"/>
      <c r="I6" s="39"/>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72" t="s">
        <v>482</v>
      </c>
      <c r="AQ6" s="39"/>
      <c r="AR6" s="39"/>
    </row>
    <row r="7" spans="1:46" ht="11" customHeight="1" x14ac:dyDescent="0.3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row>
    <row r="8" spans="1:46" ht="34" customHeight="1" x14ac:dyDescent="0.35">
      <c r="A8" s="13" t="s">
        <v>469</v>
      </c>
      <c r="B8" s="13" t="s">
        <v>55</v>
      </c>
      <c r="C8" s="13" t="s">
        <v>343</v>
      </c>
      <c r="D8" s="13" t="s">
        <v>346</v>
      </c>
      <c r="E8" s="13" t="s">
        <v>472</v>
      </c>
      <c r="F8" s="13" t="s">
        <v>483</v>
      </c>
      <c r="G8" s="13" t="s">
        <v>474</v>
      </c>
      <c r="H8" s="13" t="s">
        <v>475</v>
      </c>
      <c r="I8" s="13" t="s">
        <v>476</v>
      </c>
      <c r="J8" s="13" t="s">
        <v>87</v>
      </c>
      <c r="K8" s="13" t="s">
        <v>484</v>
      </c>
      <c r="L8" s="13" t="s">
        <v>485</v>
      </c>
      <c r="M8" s="13" t="s">
        <v>486</v>
      </c>
      <c r="N8" s="13" t="s">
        <v>487</v>
      </c>
      <c r="O8" s="13" t="s">
        <v>488</v>
      </c>
      <c r="P8" s="13" t="s">
        <v>489</v>
      </c>
      <c r="Q8" s="13" t="s">
        <v>490</v>
      </c>
      <c r="R8" s="13" t="s">
        <v>69</v>
      </c>
      <c r="S8" s="13" t="s">
        <v>491</v>
      </c>
      <c r="T8" s="13" t="s">
        <v>492</v>
      </c>
      <c r="U8" s="13" t="s">
        <v>470</v>
      </c>
      <c r="V8" s="13" t="s">
        <v>493</v>
      </c>
      <c r="W8" s="13" t="s">
        <v>494</v>
      </c>
      <c r="X8" s="13" t="s">
        <v>495</v>
      </c>
      <c r="Y8" s="13" t="s">
        <v>57</v>
      </c>
      <c r="Z8" s="13" t="s">
        <v>56</v>
      </c>
      <c r="AA8" s="13" t="s">
        <v>496</v>
      </c>
      <c r="AB8" s="13" t="s">
        <v>497</v>
      </c>
      <c r="AC8" s="13" t="s">
        <v>498</v>
      </c>
      <c r="AD8" s="13" t="s">
        <v>477</v>
      </c>
      <c r="AE8" s="13" t="s">
        <v>499</v>
      </c>
      <c r="AF8" s="13" t="s">
        <v>500</v>
      </c>
      <c r="AG8" s="13" t="s">
        <v>501</v>
      </c>
      <c r="AH8" s="13" t="s">
        <v>502</v>
      </c>
      <c r="AI8" s="13" t="s">
        <v>61</v>
      </c>
      <c r="AJ8" s="13" t="s">
        <v>503</v>
      </c>
      <c r="AK8" s="13" t="s">
        <v>504</v>
      </c>
      <c r="AL8" s="13" t="s">
        <v>505</v>
      </c>
      <c r="AM8" s="13" t="s">
        <v>506</v>
      </c>
      <c r="AN8" s="13" t="s">
        <v>507</v>
      </c>
      <c r="AO8" s="13" t="s">
        <v>508</v>
      </c>
      <c r="AP8" s="13" t="s">
        <v>59</v>
      </c>
      <c r="AQ8" s="13" t="s">
        <v>509</v>
      </c>
      <c r="AR8" s="13" t="s">
        <v>510</v>
      </c>
      <c r="AS8" t="s">
        <v>511</v>
      </c>
      <c r="AT8" t="s">
        <v>512</v>
      </c>
    </row>
    <row r="9" spans="1:46" ht="40" customHeight="1" x14ac:dyDescent="0.35">
      <c r="A9" s="14" t="s">
        <v>513</v>
      </c>
      <c r="B9" s="37" t="s">
        <v>246</v>
      </c>
      <c r="C9" s="14" t="s">
        <v>356</v>
      </c>
      <c r="D9" s="15" t="s">
        <v>359</v>
      </c>
      <c r="E9" s="15" t="s">
        <v>514</v>
      </c>
      <c r="F9" s="15" t="s">
        <v>515</v>
      </c>
      <c r="G9" s="24">
        <v>44800</v>
      </c>
      <c r="H9" s="24"/>
      <c r="I9" s="15" t="s">
        <v>516</v>
      </c>
      <c r="J9" s="17"/>
      <c r="K9" s="17"/>
      <c r="L9" s="17"/>
      <c r="M9" s="15"/>
      <c r="N9" s="25" t="s">
        <v>517</v>
      </c>
      <c r="O9" s="15"/>
      <c r="P9" s="15" t="s">
        <v>518</v>
      </c>
      <c r="Q9" s="15"/>
      <c r="R9" s="15" t="s">
        <v>79</v>
      </c>
      <c r="S9" s="14" t="s">
        <v>519</v>
      </c>
      <c r="T9" s="14" t="s">
        <v>520</v>
      </c>
      <c r="U9" s="14" t="str">
        <f>IF(A9="","",IFERROR(IF(LEN(INDEX(Suppliers!$B$9:$B$508,MATCH(C9,Suppliers!$A$9:$A$508,0))&amp;"")=0,"",INDEX(Suppliers!$B$9:$B$508,MATCH(C9,Suppliers!$A$9:$A$508,0))),""))</f>
        <v>RENK</v>
      </c>
      <c r="V9" s="14" t="str">
        <f>IF(A9="","",IFERROR(IF(LEN(INDEX(Suppliers!$E$9:$E$508,MATCH(D9,Suppliers!$D$9:$D$508,0))&amp;"")=0,"",INDEX(Suppliers!$E$9:$E$508,MATCH(D9,Suppliers!$D$9:$D$508,0))),""))</f>
        <v>RENKINFO</v>
      </c>
      <c r="W9" s="14" t="str">
        <f>IF(A9="","",IFERROR(IF(LEN(INDEX(Suppliers!$F$9:$F$508,MATCH(D9,Suppliers!$D$9:$D$508,0))&amp;"")=0,"",INDEX(Suppliers!$F$9:$F$508,MATCH(D9,Suppliers!$D$9:$D$508,0))),""))</f>
        <v>info.renk-benelux@renk.com</v>
      </c>
      <c r="X9" s="14" t="str">
        <f>IF(A9="","",IFERROR(IF(LEN(INDEX(Suppliers!$G$9:$G$508,MATCH(D9,Suppliers!$D$9:$D$508,0))&amp;"")=0,"",INDEX(Suppliers!$G$9:$G$508,MATCH(D9,Suppliers!$D$9:$D$508,0))),""))</f>
        <v/>
      </c>
      <c r="Y9" s="14" t="str">
        <f>IF(A9="","",IFERROR(INDEX(Jobs!$C$9:$C$258,MATCH(B9,Jobs!$A$9:$A$258,0)),""))</f>
        <v>Engine</v>
      </c>
      <c r="Z9" s="14" t="str">
        <f>IF(A9="","",IFERROR(INDEX(Jobs!$B$9:$B$258,MATCH(B9,Jobs!$A$9:$A$258,0)),""))</f>
        <v>Service of reduction gears STB/PS</v>
      </c>
      <c r="AA9" s="16">
        <f>IF(A9="","",IFERROR(VLOOKUP(I9,Lists!$E$9:$F$14,2,FALSE),0))</f>
        <v>1</v>
      </c>
      <c r="AB9" s="16">
        <f t="shared" ref="AB9:AB72" si="0">IF(A9="","",IF(AND(ISNUMBER(G9),G9&gt;=0,AA9&gt;0),G9/AA9,""))</f>
        <v>44800</v>
      </c>
      <c r="AC9" s="16">
        <f t="shared" ref="AC9:AC72" si="1">IF(A9="","",IF(AND(ISNUMBER(H9),H9&gt;=0),H9,IF(AND(ISNUMBER(G9),G9&gt;=0),G9,"")))</f>
        <v>44800</v>
      </c>
      <c r="AD9" s="16">
        <f t="shared" ref="AD9:AD72" si="2">IF(A9="","",IF(AND(ISNUMBER(AC9),AA9&gt;0),AC9/AA9,""))</f>
        <v>44800</v>
      </c>
      <c r="AE9" s="16" t="str">
        <f t="shared" ref="AE9:AE72" si="3">IF(A9="","",IF(AND(ISNUMBER(G9),ISNUMBER(H9),G9&gt;=0,H9&gt;=0),G9-H9,""))</f>
        <v/>
      </c>
      <c r="AF9" s="16" t="str">
        <f t="shared" ref="AF9:AF72" si="4">IF(A9="","",IF(AND(ISNUMBER(AE9),AA9&gt;0),AE9/AA9,""))</f>
        <v/>
      </c>
      <c r="AG9" s="26" t="str">
        <f t="shared" ref="AG9:AG72" si="5">IF(A9="","",IF(AND(ISNUMBER(AE9),ISNUMBER(G9),G9&gt;0),AE9/G9,""))</f>
        <v/>
      </c>
      <c r="AH9" s="16">
        <f t="shared" ref="AH9:AH72" si="6">IF(A9="","",IF(AND(F9="Selected",ISNUMBER(AB9)),AB9,0))</f>
        <v>44800</v>
      </c>
      <c r="AI9" s="16">
        <f t="shared" ref="AI9:AI72" si="7">IF(A9="","",IF(AND(F9="Selected",ISNUMBER(AD9)),AD9,0))</f>
        <v>44800</v>
      </c>
      <c r="AJ9" s="16">
        <f t="shared" ref="AJ9:AJ72" si="8">IF(A9="","",IF(AND(F9="Selected",ISNUMBER(AF9)),AF9,0))</f>
        <v>0</v>
      </c>
      <c r="AK9" s="14">
        <f>IF(AND(A9&lt;&gt;"",F9="Selected"),COUNTIF($F$9:F9,"Selected"),"")</f>
        <v>1</v>
      </c>
      <c r="AL9" s="14">
        <f>IF(A9="","",COUNTIF($B$9:B9,B9))</f>
        <v>1</v>
      </c>
      <c r="AM9" s="14" t="str">
        <f>IF(A9="","",IF(COUNTIF(Jobs!$A$9:$A$258,B9)&lt;&gt;1,"Check JobID",IF(COUNTIF(Suppliers!$D$9:$D$508,D9)&lt;&gt;1,"Check contact",IF(AA9&lt;=0,"Currency / FX missing",IF(NOT(ISNUMBER(G9)),"Original price missing",IF(G9&lt;0,"Invalid original price",IF(AND(H9&lt;&gt;"",NOT(ISNUMBER(H9))),"Invalid final price",IF(AND(ISNUMBER(H9),H9&lt;0),"Invalid final price",IF(AND(F9="Selected",COUNTIFS($B$9:$B$258,B9,$E$9:$E$258,E9,$F$9:$F$258,"Selected")&gt;1),"Selected scope overlap",IF(AND(ISNUMBER(H9),H9&gt;G9),"Price increased",IF(LEN(H9&amp;"")=0,"Final price pending","OK")))))))))))</f>
        <v>Final price pending</v>
      </c>
      <c r="AN9" s="16">
        <f t="shared" ref="AN9:AN72" si="9">IF(A9="","",IF(AND(F9="Selected",ISNUMBER(AF9),ISNUMBER(AB9)),AB9,0))</f>
        <v>0</v>
      </c>
      <c r="AO9" s="14" t="str">
        <f>IF(A9="","",IFERROR(IF(INDEX(Suppliers!$A$9:$A$508,MATCH(D9,Suppliers!$D$9:$D$508,0))=C9,"OK","Contact / supplier mismatch"),"Contact missing"))</f>
        <v>OK</v>
      </c>
      <c r="AP9" s="14" t="str">
        <f>IF(OR(A9="",IFERROR(INDEX(Jobs!$P$9:$P$258,MATCH(B9,Jobs!$A$9:$A$258,0)),"")=""),"",HYPERLINK("#'"&amp;IFERROR(INDEX(Jobs!$P$9:$P$258,MATCH(B9,Jobs!$A$9:$A$258,0)),"")&amp;"'!A1","OPEN JOB"))</f>
        <v>OPEN JOB</v>
      </c>
      <c r="AQ9" s="14" t="s">
        <v>521</v>
      </c>
      <c r="AR9" s="14"/>
      <c r="AS9" t="str">
        <f t="shared" ref="AS9:AS72" si="10">IF(A9="","","J:"&amp;B9&amp;"_N:"&amp;AL9)</f>
        <v>J:3103.01_N:1</v>
      </c>
      <c r="AT9" t="str">
        <f t="shared" ref="AT9:AT72" si="11">IF(A9="","","Q:"&amp;A9)</f>
        <v>Q:3103.01-Q1</v>
      </c>
    </row>
    <row r="10" spans="1:46" ht="40" customHeight="1" x14ac:dyDescent="0.35">
      <c r="A10" s="18" t="s">
        <v>522</v>
      </c>
      <c r="B10" s="37" t="s">
        <v>80</v>
      </c>
      <c r="C10" s="18" t="s">
        <v>365</v>
      </c>
      <c r="D10" s="15" t="s">
        <v>368</v>
      </c>
      <c r="E10" s="15" t="s">
        <v>514</v>
      </c>
      <c r="F10" s="15" t="s">
        <v>515</v>
      </c>
      <c r="G10" s="24">
        <v>62994.38</v>
      </c>
      <c r="H10" s="24"/>
      <c r="I10" s="15" t="s">
        <v>523</v>
      </c>
      <c r="J10" s="17"/>
      <c r="K10" s="17"/>
      <c r="L10" s="17"/>
      <c r="M10" s="15"/>
      <c r="N10" s="25" t="s">
        <v>524</v>
      </c>
      <c r="O10" s="15"/>
      <c r="P10" s="15"/>
      <c r="Q10" s="15"/>
      <c r="R10" s="15" t="s">
        <v>79</v>
      </c>
      <c r="S10" s="18" t="s">
        <v>525</v>
      </c>
      <c r="T10" s="18" t="s">
        <v>526</v>
      </c>
      <c r="U10" s="18" t="str">
        <f>IF(A10="","",IFERROR(IF(LEN(INDEX(Suppliers!$B$9:$B$508,MATCH(C10,Suppliers!$A$9:$A$508,0))&amp;"")=0,"",INDEX(Suppliers!$B$9:$B$508,MATCH(C10,Suppliers!$A$9:$A$508,0))),""))</f>
        <v>BAC IMPALLOY</v>
      </c>
      <c r="V10" s="18" t="str">
        <f>IF(A10="","",IFERROR(IF(LEN(INDEX(Suppliers!$E$9:$E$508,MATCH(D10,Suppliers!$D$9:$D$508,0))&amp;"")=0,"",INDEX(Suppliers!$E$9:$E$508,MATCH(D10,Suppliers!$D$9:$D$508,0))),""))</f>
        <v>Ole Elrum</v>
      </c>
      <c r="W10" s="18" t="str">
        <f>IF(A10="","",IFERROR(IF(LEN(INDEX(Suppliers!$F$9:$F$508,MATCH(D10,Suppliers!$D$9:$D$508,0))&amp;"")=0,"",INDEX(Suppliers!$F$9:$F$508,MATCH(D10,Suppliers!$D$9:$D$508,0))),""))</f>
        <v>N/A</v>
      </c>
      <c r="X10" s="18">
        <f>IF(A10="","",IFERROR(IF(LEN(INDEX(Suppliers!$G$9:$G$508,MATCH(D10,Suppliers!$D$9:$D$508,0))&amp;"")=0,"",INDEX(Suppliers!$G$9:$G$508,MATCH(D10,Suppliers!$D$9:$D$508,0))),""))</f>
        <v>70268900</v>
      </c>
      <c r="Y10" s="18" t="str">
        <f>IF(A10="","",IFERROR(INDEX(Jobs!$C$9:$C$258,MATCH(B10,Jobs!$A$9:$A$258,0)),""))</f>
        <v>Hull</v>
      </c>
      <c r="Z10" s="18" t="str">
        <f>IF(A10="","",IFERROR(INDEX(Jobs!$B$9:$B$258,MATCH(B10,Jobs!$A$9:$A$258,0)),""))</f>
        <v>Corrosion prevention anodes</v>
      </c>
      <c r="AA10" s="19">
        <f>IF(A10="","",IFERROR(VLOOKUP(I10,Lists!$E$9:$F$14,2,FALSE),0))</f>
        <v>7.4755000000000003</v>
      </c>
      <c r="AB10" s="19">
        <f t="shared" si="0"/>
        <v>8426.7781419303046</v>
      </c>
      <c r="AC10" s="19">
        <f t="shared" si="1"/>
        <v>62994.38</v>
      </c>
      <c r="AD10" s="19">
        <f t="shared" si="2"/>
        <v>8426.7781419303046</v>
      </c>
      <c r="AE10" s="19" t="str">
        <f t="shared" si="3"/>
        <v/>
      </c>
      <c r="AF10" s="19" t="str">
        <f t="shared" si="4"/>
        <v/>
      </c>
      <c r="AG10" s="27" t="str">
        <f t="shared" si="5"/>
        <v/>
      </c>
      <c r="AH10" s="19">
        <f t="shared" si="6"/>
        <v>8426.7781419303046</v>
      </c>
      <c r="AI10" s="19">
        <f t="shared" si="7"/>
        <v>8426.7781419303046</v>
      </c>
      <c r="AJ10" s="19">
        <f t="shared" si="8"/>
        <v>0</v>
      </c>
      <c r="AK10" s="18">
        <f>IF(AND(A10&lt;&gt;"",F10="Selected"),COUNTIF($F$9:F10,"Selected"),"")</f>
        <v>2</v>
      </c>
      <c r="AL10" s="18">
        <f>IF(A10="","",COUNTIF($B$9:B10,B10))</f>
        <v>1</v>
      </c>
      <c r="AM10" s="18" t="str">
        <f>IF(A10="","",IF(COUNTIF(Jobs!$A$9:$A$258,B10)&lt;&gt;1,"Check JobID",IF(COUNTIF(Suppliers!$D$9:$D$508,D10)&lt;&gt;1,"Check contact",IF(AA10&lt;=0,"Currency / FX missing",IF(NOT(ISNUMBER(G10)),"Original price missing",IF(G10&lt;0,"Invalid original price",IF(AND(H10&lt;&gt;"",NOT(ISNUMBER(H10))),"Invalid final price",IF(AND(ISNUMBER(H10),H10&lt;0),"Invalid final price",IF(AND(F10="Selected",COUNTIFS($B$9:$B$258,B10,$E$9:$E$258,E10,$F$9:$F$258,"Selected")&gt;1),"Selected scope overlap",IF(AND(ISNUMBER(H10),H10&gt;G10),"Price increased",IF(LEN(H10&amp;"")=0,"Final price pending","OK")))))))))))</f>
        <v>Final price pending</v>
      </c>
      <c r="AN10" s="19">
        <f t="shared" si="9"/>
        <v>0</v>
      </c>
      <c r="AO10" s="18" t="str">
        <f>IF(A10="","",IFERROR(IF(INDEX(Suppliers!$A$9:$A$508,MATCH(D10,Suppliers!$D$9:$D$508,0))=C10,"OK","Contact / supplier mismatch"),"Contact missing"))</f>
        <v>OK</v>
      </c>
      <c r="AP10" s="18" t="str">
        <f>IF(OR(A10="",IFERROR(INDEX(Jobs!$P$9:$P$258,MATCH(B10,Jobs!$A$9:$A$258,0)),"")=""),"",HYPERLINK("#'"&amp;IFERROR(INDEX(Jobs!$P$9:$P$258,MATCH(B10,Jobs!$A$9:$A$258,0)),"")&amp;"'!A1","OPEN JOB"))</f>
        <v>OPEN JOB</v>
      </c>
      <c r="AQ10" s="18" t="s">
        <v>521</v>
      </c>
      <c r="AR10" s="18"/>
      <c r="AS10" t="str">
        <f t="shared" si="10"/>
        <v>J:1001.02_N:1</v>
      </c>
      <c r="AT10" t="str">
        <f t="shared" si="11"/>
        <v>Q:1001.02-Q1</v>
      </c>
    </row>
    <row r="11" spans="1:46" ht="40" customHeight="1" x14ac:dyDescent="0.35">
      <c r="A11" s="14" t="s">
        <v>527</v>
      </c>
      <c r="B11" s="37" t="s">
        <v>85</v>
      </c>
      <c r="C11" s="14" t="s">
        <v>373</v>
      </c>
      <c r="D11" s="15" t="s">
        <v>376</v>
      </c>
      <c r="E11" s="15" t="s">
        <v>514</v>
      </c>
      <c r="F11" s="15" t="s">
        <v>82</v>
      </c>
      <c r="G11" s="24">
        <v>30832.74</v>
      </c>
      <c r="H11" s="24"/>
      <c r="I11" s="15" t="s">
        <v>516</v>
      </c>
      <c r="J11" s="17"/>
      <c r="K11" s="17"/>
      <c r="L11" s="17"/>
      <c r="M11" s="15"/>
      <c r="N11" s="25" t="s">
        <v>528</v>
      </c>
      <c r="O11" s="15"/>
      <c r="P11" s="15"/>
      <c r="Q11" s="15"/>
      <c r="R11" s="15" t="s">
        <v>79</v>
      </c>
      <c r="S11" s="14" t="s">
        <v>529</v>
      </c>
      <c r="T11" s="14" t="s">
        <v>530</v>
      </c>
      <c r="U11" s="14" t="str">
        <f>IF(A11="","",IFERROR(IF(LEN(INDEX(Suppliers!$B$9:$B$508,MATCH(C11,Suppliers!$A$9:$A$508,0))&amp;"")=0,"",INDEX(Suppliers!$B$9:$B$508,MATCH(C11,Suppliers!$A$9:$A$508,0))),""))</f>
        <v>HEMPEL</v>
      </c>
      <c r="V11" s="14" t="str">
        <f>IF(A11="","",IFERROR(IF(LEN(INDEX(Suppliers!$E$9:$E$508,MATCH(D11,Suppliers!$D$9:$D$508,0))&amp;"")=0,"",INDEX(Suppliers!$E$9:$E$508,MATCH(D11,Suppliers!$D$9:$D$508,0))),""))</f>
        <v>Björn Smit</v>
      </c>
      <c r="W11" s="14" t="str">
        <f>IF(A11="","",IFERROR(IF(LEN(INDEX(Suppliers!$F$9:$F$508,MATCH(D11,Suppliers!$D$9:$D$508,0))&amp;"")=0,"",INDEX(Suppliers!$F$9:$F$508,MATCH(D11,Suppliers!$D$9:$D$508,0))),""))</f>
        <v>BJS@hempel.com</v>
      </c>
      <c r="X11" s="14">
        <f>IF(A11="","",IFERROR(IF(LEN(INDEX(Suppliers!$G$9:$G$508,MATCH(D11,Suppliers!$D$9:$D$508,0))&amp;"")=0,"",INDEX(Suppliers!$G$9:$G$508,MATCH(D11,Suppliers!$D$9:$D$508,0))),""))</f>
        <v>709187649</v>
      </c>
      <c r="Y11" s="14" t="str">
        <f>IF(A11="","",IFERROR(INDEX(Jobs!$C$9:$C$258,MATCH(B11,Jobs!$A$9:$A$258,0)),""))</f>
        <v>Hull</v>
      </c>
      <c r="Z11" s="14" t="str">
        <f>IF(A11="","",IFERROR(INDEX(Jobs!$B$9:$B$258,MATCH(B11,Jobs!$A$9:$A$258,0)),""))</f>
        <v>Bottom treatment and paint</v>
      </c>
      <c r="AA11" s="16">
        <f>IF(A11="","",IFERROR(VLOOKUP(I11,Lists!$E$9:$F$14,2,FALSE),0))</f>
        <v>1</v>
      </c>
      <c r="AB11" s="16">
        <f t="shared" si="0"/>
        <v>30832.74</v>
      </c>
      <c r="AC11" s="16">
        <f t="shared" si="1"/>
        <v>30832.74</v>
      </c>
      <c r="AD11" s="16">
        <f t="shared" si="2"/>
        <v>30832.74</v>
      </c>
      <c r="AE11" s="16" t="str">
        <f t="shared" si="3"/>
        <v/>
      </c>
      <c r="AF11" s="16" t="str">
        <f t="shared" si="4"/>
        <v/>
      </c>
      <c r="AG11" s="26" t="str">
        <f t="shared" si="5"/>
        <v/>
      </c>
      <c r="AH11" s="16">
        <f t="shared" si="6"/>
        <v>0</v>
      </c>
      <c r="AI11" s="16">
        <f t="shared" si="7"/>
        <v>0</v>
      </c>
      <c r="AJ11" s="16">
        <f t="shared" si="8"/>
        <v>0</v>
      </c>
      <c r="AK11" s="14" t="str">
        <f>IF(AND(A11&lt;&gt;"",F11="Selected"),COUNTIF($F$9:F11,"Selected"),"")</f>
        <v/>
      </c>
      <c r="AL11" s="14">
        <f>IF(A11="","",COUNTIF($B$9:B11,B11))</f>
        <v>1</v>
      </c>
      <c r="AM11" s="14" t="str">
        <f>IF(A11="","",IF(COUNTIF(Jobs!$A$9:$A$258,B11)&lt;&gt;1,"Check JobID",IF(COUNTIF(Suppliers!$D$9:$D$508,D11)&lt;&gt;1,"Check contact",IF(AA11&lt;=0,"Currency / FX missing",IF(NOT(ISNUMBER(G11)),"Original price missing",IF(G11&lt;0,"Invalid original price",IF(AND(H11&lt;&gt;"",NOT(ISNUMBER(H11))),"Invalid final price",IF(AND(ISNUMBER(H11),H11&lt;0),"Invalid final price",IF(AND(F11="Selected",COUNTIFS($B$9:$B$258,B11,$E$9:$E$258,E11,$F$9:$F$258,"Selected")&gt;1),"Selected scope overlap",IF(AND(ISNUMBER(H11),H11&gt;G11),"Price increased",IF(LEN(H11&amp;"")=0,"Final price pending","OK")))))))))))</f>
        <v>Final price pending</v>
      </c>
      <c r="AN11" s="16">
        <f t="shared" si="9"/>
        <v>0</v>
      </c>
      <c r="AO11" s="14" t="str">
        <f>IF(A11="","",IFERROR(IF(INDEX(Suppliers!$A$9:$A$508,MATCH(D11,Suppliers!$D$9:$D$508,0))=C11,"OK","Contact / supplier mismatch"),"Contact missing"))</f>
        <v>OK</v>
      </c>
      <c r="AP11" s="14" t="str">
        <f>IF(OR(A11="",IFERROR(INDEX(Jobs!$P$9:$P$258,MATCH(B11,Jobs!$A$9:$A$258,0)),"")=""),"",HYPERLINK("#'"&amp;IFERROR(INDEX(Jobs!$P$9:$P$258,MATCH(B11,Jobs!$A$9:$A$258,0)),"")&amp;"'!A1","OPEN JOB"))</f>
        <v>OPEN JOB</v>
      </c>
      <c r="AQ11" s="14" t="s">
        <v>521</v>
      </c>
      <c r="AR11" s="14"/>
      <c r="AS11" t="str">
        <f t="shared" si="10"/>
        <v>J:1001.03_N:1</v>
      </c>
      <c r="AT11" t="str">
        <f t="shared" si="11"/>
        <v>Q:1001.03-Q1</v>
      </c>
    </row>
    <row r="12" spans="1:46" ht="40" customHeight="1" x14ac:dyDescent="0.35">
      <c r="A12" s="18" t="s">
        <v>531</v>
      </c>
      <c r="B12" s="37" t="s">
        <v>85</v>
      </c>
      <c r="C12" s="18" t="s">
        <v>380</v>
      </c>
      <c r="D12" s="15" t="s">
        <v>382</v>
      </c>
      <c r="E12" s="15" t="s">
        <v>514</v>
      </c>
      <c r="F12" s="15" t="s">
        <v>82</v>
      </c>
      <c r="G12" s="24">
        <v>66843.320000000007</v>
      </c>
      <c r="H12" s="24"/>
      <c r="I12" s="15" t="s">
        <v>516</v>
      </c>
      <c r="J12" s="17"/>
      <c r="K12" s="17"/>
      <c r="L12" s="17"/>
      <c r="M12" s="15"/>
      <c r="N12" s="25" t="s">
        <v>532</v>
      </c>
      <c r="O12" s="15"/>
      <c r="P12" s="15" t="s">
        <v>533</v>
      </c>
      <c r="Q12" s="15"/>
      <c r="R12" s="15" t="s">
        <v>79</v>
      </c>
      <c r="S12" s="18" t="s">
        <v>534</v>
      </c>
      <c r="T12" s="18" t="s">
        <v>530</v>
      </c>
      <c r="U12" s="18" t="str">
        <f>IF(A12="","",IFERROR(IF(LEN(INDEX(Suppliers!$B$9:$B$508,MATCH(C12,Suppliers!$A$9:$A$508,0))&amp;"")=0,"",INDEX(Suppliers!$B$9:$B$508,MATCH(C12,Suppliers!$A$9:$A$508,0))),""))</f>
        <v>Chugoku paints</v>
      </c>
      <c r="V12" s="18" t="str">
        <f>IF(A12="","",IFERROR(IF(LEN(INDEX(Suppliers!$E$9:$E$508,MATCH(D12,Suppliers!$D$9:$D$508,0))&amp;"")=0,"",INDEX(Suppliers!$E$9:$E$508,MATCH(D12,Suppliers!$D$9:$D$508,0))),""))</f>
        <v xml:space="preserve">Peter </v>
      </c>
      <c r="W12" s="18" t="str">
        <f>IF(A12="","",IFERROR(IF(LEN(INDEX(Suppliers!$F$9:$F$508,MATCH(D12,Suppliers!$D$9:$D$508,0))&amp;"")=0,"",INDEX(Suppliers!$F$9:$F$508,MATCH(D12,Suppliers!$D$9:$D$508,0))),""))</f>
        <v>sales@cmpeurope.eu</v>
      </c>
      <c r="X12" s="18">
        <f>IF(A12="","",IFERROR(IF(LEN(INDEX(Suppliers!$G$9:$G$508,MATCH(D12,Suppliers!$D$9:$D$508,0))&amp;"")=0,"",INDEX(Suppliers!$G$9:$G$508,MATCH(D12,Suppliers!$D$9:$D$508,0))),""))</f>
        <v>627136325</v>
      </c>
      <c r="Y12" s="18" t="str">
        <f>IF(A12="","",IFERROR(INDEX(Jobs!$C$9:$C$258,MATCH(B12,Jobs!$A$9:$A$258,0)),""))</f>
        <v>Hull</v>
      </c>
      <c r="Z12" s="18" t="str">
        <f>IF(A12="","",IFERROR(INDEX(Jobs!$B$9:$B$258,MATCH(B12,Jobs!$A$9:$A$258,0)),""))</f>
        <v>Bottom treatment and paint</v>
      </c>
      <c r="AA12" s="19">
        <f>IF(A12="","",IFERROR(VLOOKUP(I12,Lists!$E$9:$F$14,2,FALSE),0))</f>
        <v>1</v>
      </c>
      <c r="AB12" s="19">
        <f t="shared" si="0"/>
        <v>66843.320000000007</v>
      </c>
      <c r="AC12" s="19">
        <f t="shared" si="1"/>
        <v>66843.320000000007</v>
      </c>
      <c r="AD12" s="19">
        <f t="shared" si="2"/>
        <v>66843.320000000007</v>
      </c>
      <c r="AE12" s="19" t="str">
        <f t="shared" si="3"/>
        <v/>
      </c>
      <c r="AF12" s="19" t="str">
        <f t="shared" si="4"/>
        <v/>
      </c>
      <c r="AG12" s="27" t="str">
        <f t="shared" si="5"/>
        <v/>
      </c>
      <c r="AH12" s="19">
        <f t="shared" si="6"/>
        <v>0</v>
      </c>
      <c r="AI12" s="19">
        <f t="shared" si="7"/>
        <v>0</v>
      </c>
      <c r="AJ12" s="19">
        <f t="shared" si="8"/>
        <v>0</v>
      </c>
      <c r="AK12" s="18" t="str">
        <f>IF(AND(A12&lt;&gt;"",F12="Selected"),COUNTIF($F$9:F12,"Selected"),"")</f>
        <v/>
      </c>
      <c r="AL12" s="18">
        <f>IF(A12="","",COUNTIF($B$9:B12,B12))</f>
        <v>2</v>
      </c>
      <c r="AM12" s="18" t="str">
        <f>IF(A12="","",IF(COUNTIF(Jobs!$A$9:$A$258,B12)&lt;&gt;1,"Check JobID",IF(COUNTIF(Suppliers!$D$9:$D$508,D12)&lt;&gt;1,"Check contact",IF(AA12&lt;=0,"Currency / FX missing",IF(NOT(ISNUMBER(G12)),"Original price missing",IF(G12&lt;0,"Invalid original price",IF(AND(H12&lt;&gt;"",NOT(ISNUMBER(H12))),"Invalid final price",IF(AND(ISNUMBER(H12),H12&lt;0),"Invalid final price",IF(AND(F12="Selected",COUNTIFS($B$9:$B$258,B12,$E$9:$E$258,E12,$F$9:$F$258,"Selected")&gt;1),"Selected scope overlap",IF(AND(ISNUMBER(H12),H12&gt;G12),"Price increased",IF(LEN(H12&amp;"")=0,"Final price pending","OK")))))))))))</f>
        <v>Final price pending</v>
      </c>
      <c r="AN12" s="19">
        <f t="shared" si="9"/>
        <v>0</v>
      </c>
      <c r="AO12" s="18" t="str">
        <f>IF(A12="","",IFERROR(IF(INDEX(Suppliers!$A$9:$A$508,MATCH(D12,Suppliers!$D$9:$D$508,0))=C12,"OK","Contact / supplier mismatch"),"Contact missing"))</f>
        <v>OK</v>
      </c>
      <c r="AP12" s="18" t="str">
        <f>IF(OR(A12="",IFERROR(INDEX(Jobs!$P$9:$P$258,MATCH(B12,Jobs!$A$9:$A$258,0)),"")=""),"",HYPERLINK("#'"&amp;IFERROR(INDEX(Jobs!$P$9:$P$258,MATCH(B12,Jobs!$A$9:$A$258,0)),"")&amp;"'!A1","OPEN JOB"))</f>
        <v>OPEN JOB</v>
      </c>
      <c r="AQ12" s="18" t="s">
        <v>521</v>
      </c>
      <c r="AR12" s="18"/>
      <c r="AS12" t="str">
        <f t="shared" si="10"/>
        <v>J:1001.03_N:2</v>
      </c>
      <c r="AT12" t="str">
        <f t="shared" si="11"/>
        <v>Q:1001.03-Q2</v>
      </c>
    </row>
    <row r="13" spans="1:46" ht="40" customHeight="1" x14ac:dyDescent="0.35">
      <c r="A13" s="14" t="s">
        <v>535</v>
      </c>
      <c r="B13" s="37" t="s">
        <v>265</v>
      </c>
      <c r="C13" s="14" t="s">
        <v>386</v>
      </c>
      <c r="D13" s="15" t="s">
        <v>389</v>
      </c>
      <c r="E13" s="15" t="s">
        <v>514</v>
      </c>
      <c r="F13" s="15" t="s">
        <v>87</v>
      </c>
      <c r="G13" s="24"/>
      <c r="H13" s="24"/>
      <c r="I13" s="15"/>
      <c r="J13" s="17"/>
      <c r="K13" s="17"/>
      <c r="L13" s="17"/>
      <c r="M13" s="15"/>
      <c r="N13" s="15"/>
      <c r="O13" s="15"/>
      <c r="P13" s="15"/>
      <c r="Q13" s="15"/>
      <c r="R13" s="15" t="s">
        <v>79</v>
      </c>
      <c r="S13" s="14"/>
      <c r="T13" s="14" t="s">
        <v>536</v>
      </c>
      <c r="U13" s="14" t="str">
        <f>IF(A13="","",IFERROR(IF(LEN(INDEX(Suppliers!$B$9:$B$508,MATCH(C13,Suppliers!$A$9:$A$508,0))&amp;"")=0,"",INDEX(Suppliers!$B$9:$B$508,MATCH(C13,Suppliers!$A$9:$A$508,0))),""))</f>
        <v>MAN</v>
      </c>
      <c r="V13" s="14" t="str">
        <f>IF(A13="","",IFERROR(IF(LEN(INDEX(Suppliers!$E$9:$E$508,MATCH(D13,Suppliers!$D$9:$D$508,0))&amp;"")=0,"",INDEX(Suppliers!$E$9:$E$508,MATCH(D13,Suppliers!$D$9:$D$508,0))),""))</f>
        <v>N/A</v>
      </c>
      <c r="W13" s="14" t="str">
        <f>IF(A13="","",IFERROR(IF(LEN(INDEX(Suppliers!$F$9:$F$508,MATCH(D13,Suppliers!$D$9:$D$508,0))&amp;"")=0,"",INDEX(Suppliers!$F$9:$F$508,MATCH(D13,Suppliers!$D$9:$D$508,0))),""))</f>
        <v>N/A</v>
      </c>
      <c r="X13" s="14" t="str">
        <f>IF(A13="","",IFERROR(IF(LEN(INDEX(Suppliers!$G$9:$G$508,MATCH(D13,Suppliers!$D$9:$D$508,0))&amp;"")=0,"",INDEX(Suppliers!$G$9:$G$508,MATCH(D13,Suppliers!$D$9:$D$508,0))),""))</f>
        <v>N/A</v>
      </c>
      <c r="Y13" s="14" t="str">
        <f>IF(A13="","",IFERROR(INDEX(Jobs!$C$9:$C$258,MATCH(B13,Jobs!$A$9:$A$258,0)),""))</f>
        <v>Engine</v>
      </c>
      <c r="Z13" s="14" t="str">
        <f>IF(A13="","",IFERROR(INDEX(Jobs!$B$9:$B$258,MATCH(B13,Jobs!$A$9:$A$258,0)),""))</f>
        <v>Main engine overhaul</v>
      </c>
      <c r="AA13" s="16">
        <f>IF(A13="","",IFERROR(VLOOKUP(I13,Lists!$E$9:$F$14,2,FALSE),0))</f>
        <v>0</v>
      </c>
      <c r="AB13" s="16" t="str">
        <f t="shared" si="0"/>
        <v/>
      </c>
      <c r="AC13" s="16" t="str">
        <f t="shared" si="1"/>
        <v/>
      </c>
      <c r="AD13" s="16" t="str">
        <f t="shared" si="2"/>
        <v/>
      </c>
      <c r="AE13" s="16" t="str">
        <f t="shared" si="3"/>
        <v/>
      </c>
      <c r="AF13" s="16" t="str">
        <f t="shared" si="4"/>
        <v/>
      </c>
      <c r="AG13" s="26" t="str">
        <f t="shared" si="5"/>
        <v/>
      </c>
      <c r="AH13" s="16">
        <f t="shared" si="6"/>
        <v>0</v>
      </c>
      <c r="AI13" s="16">
        <f t="shared" si="7"/>
        <v>0</v>
      </c>
      <c r="AJ13" s="16">
        <f t="shared" si="8"/>
        <v>0</v>
      </c>
      <c r="AK13" s="14" t="str">
        <f>IF(AND(A13&lt;&gt;"",F13="Selected"),COUNTIF($F$9:F13,"Selected"),"")</f>
        <v/>
      </c>
      <c r="AL13" s="14">
        <f>IF(A13="","",COUNTIF($B$9:B13,B13))</f>
        <v>1</v>
      </c>
      <c r="AM13" s="14" t="str">
        <f>IF(A13="","",IF(COUNTIF(Jobs!$A$9:$A$258,B13)&lt;&gt;1,"Check JobID",IF(COUNTIF(Suppliers!$D$9:$D$508,D13)&lt;&gt;1,"Check contact",IF(AA13&lt;=0,"Currency / FX missing",IF(NOT(ISNUMBER(G13)),"Original price missing",IF(G13&lt;0,"Invalid original price",IF(AND(H13&lt;&gt;"",NOT(ISNUMBER(H13))),"Invalid final price",IF(AND(ISNUMBER(H13),H13&lt;0),"Invalid final price",IF(AND(F13="Selected",COUNTIFS($B$9:$B$258,B13,$E$9:$E$258,E13,$F$9:$F$258,"Selected")&gt;1),"Selected scope overlap",IF(AND(ISNUMBER(H13),H13&gt;G13),"Price increased",IF(LEN(H13&amp;"")=0,"Final price pending","OK")))))))))))</f>
        <v>Currency / FX missing</v>
      </c>
      <c r="AN13" s="16">
        <f t="shared" si="9"/>
        <v>0</v>
      </c>
      <c r="AO13" s="14" t="str">
        <f>IF(A13="","",IFERROR(IF(INDEX(Suppliers!$A$9:$A$508,MATCH(D13,Suppliers!$D$9:$D$508,0))=C13,"OK","Contact / supplier mismatch"),"Contact missing"))</f>
        <v>OK</v>
      </c>
      <c r="AP13" s="14" t="str">
        <f>IF(OR(A13="",IFERROR(INDEX(Jobs!$P$9:$P$258,MATCH(B13,Jobs!$A$9:$A$258,0)),"")=""),"",HYPERLINK("#'"&amp;IFERROR(INDEX(Jobs!$P$9:$P$258,MATCH(B13,Jobs!$A$9:$A$258,0)),"")&amp;"'!A1","OPEN JOB"))</f>
        <v>OPEN JOB</v>
      </c>
      <c r="AQ13" s="14"/>
      <c r="AR13" s="14"/>
      <c r="AS13" t="str">
        <f t="shared" si="10"/>
        <v>J:3149.01_N:1</v>
      </c>
      <c r="AT13" t="str">
        <f t="shared" si="11"/>
        <v>Q:3149.01-Q1</v>
      </c>
    </row>
    <row r="14" spans="1:46" ht="40" customHeight="1" x14ac:dyDescent="0.35">
      <c r="A14" s="18" t="s">
        <v>537</v>
      </c>
      <c r="B14" s="37" t="s">
        <v>331</v>
      </c>
      <c r="C14" s="18" t="s">
        <v>391</v>
      </c>
      <c r="D14" s="15" t="s">
        <v>394</v>
      </c>
      <c r="E14" s="15" t="s">
        <v>514</v>
      </c>
      <c r="F14" s="15" t="s">
        <v>515</v>
      </c>
      <c r="G14" s="24">
        <v>250000</v>
      </c>
      <c r="H14" s="24"/>
      <c r="I14" s="15" t="s">
        <v>516</v>
      </c>
      <c r="J14" s="17"/>
      <c r="K14" s="17"/>
      <c r="L14" s="17"/>
      <c r="M14" s="15"/>
      <c r="N14" s="25" t="s">
        <v>538</v>
      </c>
      <c r="O14" s="15"/>
      <c r="P14" s="15" t="s">
        <v>539</v>
      </c>
      <c r="Q14" s="15"/>
      <c r="R14" s="15" t="s">
        <v>79</v>
      </c>
      <c r="S14" s="18" t="s">
        <v>540</v>
      </c>
      <c r="T14" s="18" t="s">
        <v>541</v>
      </c>
      <c r="U14" s="18" t="str">
        <f>IF(A14="","",IFERROR(IF(LEN(INDEX(Suppliers!$B$9:$B$508,MATCH(C14,Suppliers!$A$9:$A$508,0))&amp;"")=0,"",INDEX(Suppliers!$B$9:$B$508,MATCH(C14,Suppliers!$A$9:$A$508,0))),""))</f>
        <v>PINNFABB</v>
      </c>
      <c r="V14" s="18" t="str">
        <f>IF(A14="","",IFERROR(IF(LEN(INDEX(Suppliers!$E$9:$E$508,MATCH(D14,Suppliers!$D$9:$D$508,0))&amp;"")=0,"",INDEX(Suppliers!$E$9:$E$508,MATCH(D14,Suppliers!$D$9:$D$508,0))),""))</f>
        <v xml:space="preserve">MATT </v>
      </c>
      <c r="W14" s="18" t="str">
        <f>IF(A14="","",IFERROR(IF(LEN(INDEX(Suppliers!$F$9:$F$508,MATCH(D14,Suppliers!$D$9:$D$508,0))&amp;"")=0,"",INDEX(Suppliers!$F$9:$F$508,MATCH(D14,Suppliers!$D$9:$D$508,0))),""))</f>
        <v>matteo.fabbricotti@pinfabb.com</v>
      </c>
      <c r="X14" s="18">
        <f>IF(A14="","",IFERROR(IF(LEN(INDEX(Suppliers!$G$9:$G$508,MATCH(D14,Suppliers!$D$9:$D$508,0))&amp;"")=0,"",INDEX(Suppliers!$G$9:$G$508,MATCH(D14,Suppliers!$D$9:$D$508,0))),""))</f>
        <v>3470637034</v>
      </c>
      <c r="Y14" s="18" t="str">
        <f>IF(A14="","",IFERROR(INDEX(Jobs!$C$9:$C$258,MATCH(B14,Jobs!$A$9:$A$258,0)),""))</f>
        <v>Engine</v>
      </c>
      <c r="Z14" s="18" t="str">
        <f>IF(A14="","",IFERROR(INDEX(Jobs!$B$9:$B$258,MATCH(B14,Jobs!$A$9:$A$258,0)),""))</f>
        <v>Stabilizers</v>
      </c>
      <c r="AA14" s="19">
        <f>IF(A14="","",IFERROR(VLOOKUP(I14,Lists!$E$9:$F$14,2,FALSE),0))</f>
        <v>1</v>
      </c>
      <c r="AB14" s="19">
        <f t="shared" si="0"/>
        <v>250000</v>
      </c>
      <c r="AC14" s="19">
        <f t="shared" si="1"/>
        <v>250000</v>
      </c>
      <c r="AD14" s="19">
        <f t="shared" si="2"/>
        <v>250000</v>
      </c>
      <c r="AE14" s="19" t="str">
        <f t="shared" si="3"/>
        <v/>
      </c>
      <c r="AF14" s="19" t="str">
        <f t="shared" si="4"/>
        <v/>
      </c>
      <c r="AG14" s="27" t="str">
        <f t="shared" si="5"/>
        <v/>
      </c>
      <c r="AH14" s="19">
        <f t="shared" si="6"/>
        <v>250000</v>
      </c>
      <c r="AI14" s="19">
        <f t="shared" si="7"/>
        <v>250000</v>
      </c>
      <c r="AJ14" s="19">
        <f t="shared" si="8"/>
        <v>0</v>
      </c>
      <c r="AK14" s="18">
        <f>IF(AND(A14&lt;&gt;"",F14="Selected"),COUNTIF($F$9:F14,"Selected"),"")</f>
        <v>3</v>
      </c>
      <c r="AL14" s="18">
        <f>IF(A14="","",COUNTIF($B$9:B14,B14))</f>
        <v>1</v>
      </c>
      <c r="AM14" s="18" t="str">
        <f>IF(A14="","",IF(COUNTIF(Jobs!$A$9:$A$258,B14)&lt;&gt;1,"Check JobID",IF(COUNTIF(Suppliers!$D$9:$D$508,D14)&lt;&gt;1,"Check contact",IF(AA14&lt;=0,"Currency / FX missing",IF(NOT(ISNUMBER(G14)),"Original price missing",IF(G14&lt;0,"Invalid original price",IF(AND(H14&lt;&gt;"",NOT(ISNUMBER(H14))),"Invalid final price",IF(AND(ISNUMBER(H14),H14&lt;0),"Invalid final price",IF(AND(F14="Selected",COUNTIFS($B$9:$B$258,B14,$E$9:$E$258,E14,$F$9:$F$258,"Selected")&gt;1),"Selected scope overlap",IF(AND(ISNUMBER(H14),H14&gt;G14),"Price increased",IF(LEN(H14&amp;"")=0,"Final price pending","OK")))))))))))</f>
        <v>Final price pending</v>
      </c>
      <c r="AN14" s="19">
        <f t="shared" si="9"/>
        <v>0</v>
      </c>
      <c r="AO14" s="18" t="str">
        <f>IF(A14="","",IFERROR(IF(INDEX(Suppliers!$A$9:$A$508,MATCH(D14,Suppliers!$D$9:$D$508,0))=C14,"OK","Contact / supplier mismatch"),"Contact missing"))</f>
        <v>OK</v>
      </c>
      <c r="AP14" s="18" t="str">
        <f>IF(OR(A14="",IFERROR(INDEX(Jobs!$P$9:$P$258,MATCH(B14,Jobs!$A$9:$A$258,0)),"")=""),"",HYPERLINK("#'"&amp;IFERROR(INDEX(Jobs!$P$9:$P$258,MATCH(B14,Jobs!$A$9:$A$258,0)),"")&amp;"'!A1","OPEN JOB"))</f>
        <v>OPEN JOB</v>
      </c>
      <c r="AQ14" s="18" t="s">
        <v>521</v>
      </c>
      <c r="AR14" s="18"/>
      <c r="AS14" t="str">
        <f t="shared" si="10"/>
        <v>J:3812.01_N:1</v>
      </c>
      <c r="AT14" t="str">
        <f t="shared" si="11"/>
        <v>Q:3812.01-Q1</v>
      </c>
    </row>
    <row r="15" spans="1:46" ht="40" customHeight="1" x14ac:dyDescent="0.35">
      <c r="A15" s="14" t="s">
        <v>542</v>
      </c>
      <c r="B15" s="37" t="s">
        <v>269</v>
      </c>
      <c r="C15" s="14" t="s">
        <v>410</v>
      </c>
      <c r="D15" s="15" t="s">
        <v>413</v>
      </c>
      <c r="E15" s="15" t="s">
        <v>514</v>
      </c>
      <c r="F15" s="15" t="s">
        <v>82</v>
      </c>
      <c r="G15" s="24">
        <v>5970</v>
      </c>
      <c r="H15" s="24"/>
      <c r="I15" s="15" t="s">
        <v>516</v>
      </c>
      <c r="J15" s="17"/>
      <c r="K15" s="17"/>
      <c r="L15" s="17"/>
      <c r="M15" s="15"/>
      <c r="N15" s="25" t="s">
        <v>543</v>
      </c>
      <c r="O15" s="15"/>
      <c r="P15" s="15" t="s">
        <v>544</v>
      </c>
      <c r="Q15" s="15"/>
      <c r="R15" s="15" t="s">
        <v>79</v>
      </c>
      <c r="S15" s="14" t="s">
        <v>545</v>
      </c>
      <c r="T15" s="14" t="s">
        <v>546</v>
      </c>
      <c r="U15" s="14" t="str">
        <f>IF(A15="","",IFERROR(IF(LEN(INDEX(Suppliers!$B$9:$B$508,MATCH(C15,Suppliers!$A$9:$A$508,0))&amp;"")=0,"",INDEX(Suppliers!$B$9:$B$508,MATCH(C15,Suppliers!$A$9:$A$508,0))),""))</f>
        <v>PJCircular</v>
      </c>
      <c r="V15" s="14" t="str">
        <f>IF(A15="","",IFERROR(IF(LEN(INDEX(Suppliers!$E$9:$E$508,MATCH(D15,Suppliers!$D$9:$D$508,0))&amp;"")=0,"",INDEX(Suppliers!$E$9:$E$508,MATCH(D15,Suppliers!$D$9:$D$508,0))),""))</f>
        <v/>
      </c>
      <c r="W15" s="14" t="str">
        <f>IF(A15="","",IFERROR(IF(LEN(INDEX(Suppliers!$F$9:$F$508,MATCH(D15,Suppliers!$D$9:$D$508,0))&amp;"")=0,"",INDEX(Suppliers!$F$9:$F$508,MATCH(D15,Suppliers!$D$9:$D$508,0))),""))</f>
        <v>pjcircular@pjcircular.com</v>
      </c>
      <c r="X15" s="14" t="str">
        <f>IF(A15="","",IFERROR(IF(LEN(INDEX(Suppliers!$G$9:$G$508,MATCH(D15,Suppliers!$D$9:$D$508,0))&amp;"")=0,"",INDEX(Suppliers!$G$9:$G$508,MATCH(D15,Suppliers!$D$9:$D$508,0))),""))</f>
        <v xml:space="preserve"> 39 29 15 53</v>
      </c>
      <c r="Y15" s="14" t="str">
        <f>IF(A15="","",IFERROR(INDEX(Jobs!$C$9:$C$258,MATCH(B15,Jobs!$A$9:$A$258,0)),""))</f>
        <v>Engine</v>
      </c>
      <c r="Z15" s="14" t="str">
        <f>IF(A15="","",IFERROR(INDEX(Jobs!$B$9:$B$258,MATCH(B15,Jobs!$A$9:$A$258,0)),""))</f>
        <v>Governor overhaul</v>
      </c>
      <c r="AA15" s="16">
        <f>IF(A15="","",IFERROR(VLOOKUP(I15,Lists!$E$9:$F$14,2,FALSE),0))</f>
        <v>1</v>
      </c>
      <c r="AB15" s="16">
        <f t="shared" si="0"/>
        <v>5970</v>
      </c>
      <c r="AC15" s="16">
        <f t="shared" si="1"/>
        <v>5970</v>
      </c>
      <c r="AD15" s="16">
        <f t="shared" si="2"/>
        <v>5970</v>
      </c>
      <c r="AE15" s="16" t="str">
        <f t="shared" si="3"/>
        <v/>
      </c>
      <c r="AF15" s="16" t="str">
        <f t="shared" si="4"/>
        <v/>
      </c>
      <c r="AG15" s="26" t="str">
        <f t="shared" si="5"/>
        <v/>
      </c>
      <c r="AH15" s="16">
        <f t="shared" si="6"/>
        <v>0</v>
      </c>
      <c r="AI15" s="16">
        <f t="shared" si="7"/>
        <v>0</v>
      </c>
      <c r="AJ15" s="16">
        <f t="shared" si="8"/>
        <v>0</v>
      </c>
      <c r="AK15" s="14" t="str">
        <f>IF(AND(A15&lt;&gt;"",F15="Selected"),COUNTIF($F$9:F15,"Selected"),"")</f>
        <v/>
      </c>
      <c r="AL15" s="14">
        <f>IF(A15="","",COUNTIF($B$9:B15,B15))</f>
        <v>1</v>
      </c>
      <c r="AM15" s="14" t="str">
        <f>IF(A15="","",IF(COUNTIF(Jobs!$A$9:$A$258,B15)&lt;&gt;1,"Check JobID",IF(COUNTIF(Suppliers!$D$9:$D$508,D15)&lt;&gt;1,"Check contact",IF(AA15&lt;=0,"Currency / FX missing",IF(NOT(ISNUMBER(G15)),"Original price missing",IF(G15&lt;0,"Invalid original price",IF(AND(H15&lt;&gt;"",NOT(ISNUMBER(H15))),"Invalid final price",IF(AND(ISNUMBER(H15),H15&lt;0),"Invalid final price",IF(AND(F15="Selected",COUNTIFS($B$9:$B$258,B15,$E$9:$E$258,E15,$F$9:$F$258,"Selected")&gt;1),"Selected scope overlap",IF(AND(ISNUMBER(H15),H15&gt;G15),"Price increased",IF(LEN(H15&amp;"")=0,"Final price pending","OK")))))))))))</f>
        <v>Final price pending</v>
      </c>
      <c r="AN15" s="16">
        <f t="shared" si="9"/>
        <v>0</v>
      </c>
      <c r="AO15" s="14" t="str">
        <f>IF(A15="","",IFERROR(IF(INDEX(Suppliers!$A$9:$A$508,MATCH(D15,Suppliers!$D$9:$D$508,0))=C15,"OK","Contact / supplier mismatch"),"Contact missing"))</f>
        <v>OK</v>
      </c>
      <c r="AP15" s="14" t="str">
        <f>IF(OR(A15="",IFERROR(INDEX(Jobs!$P$9:$P$258,MATCH(B15,Jobs!$A$9:$A$258,0)),"")=""),"",HYPERLINK("#'"&amp;IFERROR(INDEX(Jobs!$P$9:$P$258,MATCH(B15,Jobs!$A$9:$A$258,0)),"")&amp;"'!A1","OPEN JOB"))</f>
        <v>OPEN JOB</v>
      </c>
      <c r="AQ15" s="14" t="s">
        <v>521</v>
      </c>
      <c r="AR15" s="14"/>
      <c r="AS15" t="str">
        <f t="shared" si="10"/>
        <v>J:3149.02_N:1</v>
      </c>
      <c r="AT15" t="str">
        <f t="shared" si="11"/>
        <v>Q:3149.02-Q1</v>
      </c>
    </row>
    <row r="16" spans="1:46" ht="40" customHeight="1" x14ac:dyDescent="0.35">
      <c r="A16" s="18" t="s">
        <v>547</v>
      </c>
      <c r="B16" s="37" t="s">
        <v>269</v>
      </c>
      <c r="C16" s="18" t="s">
        <v>418</v>
      </c>
      <c r="D16" s="15" t="s">
        <v>420</v>
      </c>
      <c r="E16" s="15" t="s">
        <v>514</v>
      </c>
      <c r="F16" s="15" t="s">
        <v>82</v>
      </c>
      <c r="G16" s="24">
        <v>9195.52</v>
      </c>
      <c r="H16" s="24"/>
      <c r="I16" s="15" t="s">
        <v>516</v>
      </c>
      <c r="J16" s="17"/>
      <c r="K16" s="17"/>
      <c r="L16" s="17"/>
      <c r="M16" s="15"/>
      <c r="N16" s="25" t="s">
        <v>548</v>
      </c>
      <c r="O16" s="15"/>
      <c r="P16" s="15" t="s">
        <v>549</v>
      </c>
      <c r="Q16" s="15"/>
      <c r="R16" s="15" t="s">
        <v>79</v>
      </c>
      <c r="S16" s="18" t="s">
        <v>550</v>
      </c>
      <c r="T16" s="18" t="s">
        <v>546</v>
      </c>
      <c r="U16" s="18" t="str">
        <f>IF(A16="","",IFERROR(IF(LEN(INDEX(Suppliers!$B$9:$B$508,MATCH(C16,Suppliers!$A$9:$A$508,0))&amp;"")=0,"",INDEX(Suppliers!$B$9:$B$508,MATCH(C16,Suppliers!$A$9:$A$508,0))),""))</f>
        <v xml:space="preserve">TURNER </v>
      </c>
      <c r="V16" s="18" t="str">
        <f>IF(A16="","",IFERROR(IF(LEN(INDEX(Suppliers!$E$9:$E$508,MATCH(D16,Suppliers!$D$9:$D$508,0))&amp;"")=0,"",INDEX(Suppliers!$E$9:$E$508,MATCH(D16,Suppliers!$D$9:$D$508,0))),""))</f>
        <v>N/A</v>
      </c>
      <c r="W16" s="18" t="str">
        <f>IF(A16="","",IFERROR(IF(LEN(INDEX(Suppliers!$F$9:$F$508,MATCH(D16,Suppliers!$D$9:$D$508,0))&amp;"")=0,"",INDEX(Suppliers!$F$9:$F$508,MATCH(D16,Suppliers!$D$9:$D$508,0))),""))</f>
        <v>info.nl@turner-ecs.com</v>
      </c>
      <c r="X16" s="18" t="str">
        <f>IF(A16="","",IFERROR(IF(LEN(INDEX(Suppliers!$G$9:$G$508,MATCH(D16,Suppliers!$D$9:$D$508,0))&amp;"")=0,"",INDEX(Suppliers!$G$9:$G$508,MATCH(D16,Suppliers!$D$9:$D$508,0))),""))</f>
        <v>23 566 2300</v>
      </c>
      <c r="Y16" s="18" t="str">
        <f>IF(A16="","",IFERROR(INDEX(Jobs!$C$9:$C$258,MATCH(B16,Jobs!$A$9:$A$258,0)),""))</f>
        <v>Engine</v>
      </c>
      <c r="Z16" s="18" t="str">
        <f>IF(A16="","",IFERROR(INDEX(Jobs!$B$9:$B$258,MATCH(B16,Jobs!$A$9:$A$258,0)),""))</f>
        <v>Governor overhaul</v>
      </c>
      <c r="AA16" s="19">
        <f>IF(A16="","",IFERROR(VLOOKUP(I16,Lists!$E$9:$F$14,2,FALSE),0))</f>
        <v>1</v>
      </c>
      <c r="AB16" s="19">
        <f t="shared" si="0"/>
        <v>9195.52</v>
      </c>
      <c r="AC16" s="19">
        <f t="shared" si="1"/>
        <v>9195.52</v>
      </c>
      <c r="AD16" s="19">
        <f t="shared" si="2"/>
        <v>9195.52</v>
      </c>
      <c r="AE16" s="19" t="str">
        <f t="shared" si="3"/>
        <v/>
      </c>
      <c r="AF16" s="19" t="str">
        <f t="shared" si="4"/>
        <v/>
      </c>
      <c r="AG16" s="27" t="str">
        <f t="shared" si="5"/>
        <v/>
      </c>
      <c r="AH16" s="19">
        <f t="shared" si="6"/>
        <v>0</v>
      </c>
      <c r="AI16" s="19">
        <f t="shared" si="7"/>
        <v>0</v>
      </c>
      <c r="AJ16" s="19">
        <f t="shared" si="8"/>
        <v>0</v>
      </c>
      <c r="AK16" s="18" t="str">
        <f>IF(AND(A16&lt;&gt;"",F16="Selected"),COUNTIF($F$9:F16,"Selected"),"")</f>
        <v/>
      </c>
      <c r="AL16" s="18">
        <f>IF(A16="","",COUNTIF($B$9:B16,B16))</f>
        <v>2</v>
      </c>
      <c r="AM16" s="18" t="str">
        <f>IF(A16="","",IF(COUNTIF(Jobs!$A$9:$A$258,B16)&lt;&gt;1,"Check JobID",IF(COUNTIF(Suppliers!$D$9:$D$508,D16)&lt;&gt;1,"Check contact",IF(AA16&lt;=0,"Currency / FX missing",IF(NOT(ISNUMBER(G16)),"Original price missing",IF(G16&lt;0,"Invalid original price",IF(AND(H16&lt;&gt;"",NOT(ISNUMBER(H16))),"Invalid final price",IF(AND(ISNUMBER(H16),H16&lt;0),"Invalid final price",IF(AND(F16="Selected",COUNTIFS($B$9:$B$258,B16,$E$9:$E$258,E16,$F$9:$F$258,"Selected")&gt;1),"Selected scope overlap",IF(AND(ISNUMBER(H16),H16&gt;G16),"Price increased",IF(LEN(H16&amp;"")=0,"Final price pending","OK")))))))))))</f>
        <v>Final price pending</v>
      </c>
      <c r="AN16" s="19">
        <f t="shared" si="9"/>
        <v>0</v>
      </c>
      <c r="AO16" s="18" t="str">
        <f>IF(A16="","",IFERROR(IF(INDEX(Suppliers!$A$9:$A$508,MATCH(D16,Suppliers!$D$9:$D$508,0))=C16,"OK","Contact / supplier mismatch"),"Contact missing"))</f>
        <v>OK</v>
      </c>
      <c r="AP16" s="18" t="str">
        <f>IF(OR(A16="",IFERROR(INDEX(Jobs!$P$9:$P$258,MATCH(B16,Jobs!$A$9:$A$258,0)),"")=""),"",HYPERLINK("#'"&amp;IFERROR(INDEX(Jobs!$P$9:$P$258,MATCH(B16,Jobs!$A$9:$A$258,0)),"")&amp;"'!A1","OPEN JOB"))</f>
        <v>OPEN JOB</v>
      </c>
      <c r="AQ16" s="18" t="s">
        <v>521</v>
      </c>
      <c r="AR16" s="18"/>
      <c r="AS16" t="str">
        <f t="shared" si="10"/>
        <v>J:3149.02_N:2</v>
      </c>
      <c r="AT16" t="str">
        <f t="shared" si="11"/>
        <v>Q:3149.02-Q2</v>
      </c>
    </row>
    <row r="17" spans="1:46" ht="40" customHeight="1" x14ac:dyDescent="0.35">
      <c r="A17" s="14" t="s">
        <v>551</v>
      </c>
      <c r="B17" s="37" t="s">
        <v>227</v>
      </c>
      <c r="C17" s="14" t="s">
        <v>424</v>
      </c>
      <c r="D17" s="15" t="s">
        <v>427</v>
      </c>
      <c r="E17" s="15" t="s">
        <v>514</v>
      </c>
      <c r="F17" s="15" t="s">
        <v>82</v>
      </c>
      <c r="G17" s="24">
        <v>79618</v>
      </c>
      <c r="H17" s="24"/>
      <c r="I17" s="15" t="s">
        <v>516</v>
      </c>
      <c r="J17" s="17"/>
      <c r="K17" s="17"/>
      <c r="L17" s="17"/>
      <c r="M17" s="15" t="s">
        <v>552</v>
      </c>
      <c r="N17" s="25" t="s">
        <v>553</v>
      </c>
      <c r="O17" s="15"/>
      <c r="P17" s="15"/>
      <c r="Q17" s="15"/>
      <c r="R17" s="15" t="s">
        <v>79</v>
      </c>
      <c r="S17" s="14" t="s">
        <v>554</v>
      </c>
      <c r="T17" s="14" t="s">
        <v>555</v>
      </c>
      <c r="U17" s="14" t="str">
        <f>IF(A17="","",IFERROR(IF(LEN(INDEX(Suppliers!$B$9:$B$508,MATCH(C17,Suppliers!$A$9:$A$508,0))&amp;"")=0,"",INDEX(Suppliers!$B$9:$B$508,MATCH(C17,Suppliers!$A$9:$A$508,0))),""))</f>
        <v>Autronica Fire and Security AS</v>
      </c>
      <c r="V17" s="14" t="str">
        <f>IF(A17="","",IFERROR(IF(LEN(INDEX(Suppliers!$E$9:$E$508,MATCH(D17,Suppliers!$D$9:$D$508,0))&amp;"")=0,"",INDEX(Suppliers!$E$9:$E$508,MATCH(D17,Suppliers!$D$9:$D$508,0))),""))</f>
        <v>Stian Hilde</v>
      </c>
      <c r="W17" s="14" t="str">
        <f>IF(A17="","",IFERROR(IF(LEN(INDEX(Suppliers!$F$9:$F$508,MATCH(D17,Suppliers!$D$9:$D$508,0))&amp;"")=0,"",INDEX(Suppliers!$F$9:$F$508,MATCH(D17,Suppliers!$D$9:$D$508,0))),""))</f>
        <v>stian.hilde@autronicagroup.com</v>
      </c>
      <c r="X17" s="14">
        <f>IF(A17="","",IFERROR(IF(LEN(INDEX(Suppliers!$G$9:$G$508,MATCH(D17,Suppliers!$D$9:$D$508,0))&amp;"")=0,"",INDEX(Suppliers!$G$9:$G$508,MATCH(D17,Suppliers!$D$9:$D$508,0))),""))</f>
        <v>91919555</v>
      </c>
      <c r="Y17" s="14" t="str">
        <f>IF(A17="","",IFERROR(INDEX(Jobs!$C$9:$C$258,MATCH(B17,Jobs!$A$9:$A$258,0)),""))</f>
        <v>Deck</v>
      </c>
      <c r="Z17" s="14" t="str">
        <f>IF(A17="","",IFERROR(INDEX(Jobs!$B$9:$B$258,MATCH(B17,Jobs!$A$9:$A$258,0)),""))</f>
        <v>Fire detection system</v>
      </c>
      <c r="AA17" s="16">
        <f>IF(A17="","",IFERROR(VLOOKUP(I17,Lists!$E$9:$F$14,2,FALSE),0))</f>
        <v>1</v>
      </c>
      <c r="AB17" s="16">
        <f t="shared" si="0"/>
        <v>79618</v>
      </c>
      <c r="AC17" s="16">
        <f t="shared" si="1"/>
        <v>79618</v>
      </c>
      <c r="AD17" s="16">
        <f t="shared" si="2"/>
        <v>79618</v>
      </c>
      <c r="AE17" s="16" t="str">
        <f t="shared" si="3"/>
        <v/>
      </c>
      <c r="AF17" s="16" t="str">
        <f t="shared" si="4"/>
        <v/>
      </c>
      <c r="AG17" s="26" t="str">
        <f t="shared" si="5"/>
        <v/>
      </c>
      <c r="AH17" s="16">
        <f t="shared" si="6"/>
        <v>0</v>
      </c>
      <c r="AI17" s="16">
        <f t="shared" si="7"/>
        <v>0</v>
      </c>
      <c r="AJ17" s="16">
        <f t="shared" si="8"/>
        <v>0</v>
      </c>
      <c r="AK17" s="14" t="str">
        <f>IF(AND(A17&lt;&gt;"",F17="Selected"),COUNTIF($F$9:F17,"Selected"),"")</f>
        <v/>
      </c>
      <c r="AL17" s="14">
        <f>IF(A17="","",COUNTIF($B$9:B17,B17))</f>
        <v>1</v>
      </c>
      <c r="AM17" s="14" t="str">
        <f>IF(A17="","",IF(COUNTIF(Jobs!$A$9:$A$258,B17)&lt;&gt;1,"Check JobID",IF(COUNTIF(Suppliers!$D$9:$D$508,D17)&lt;&gt;1,"Check contact",IF(AA17&lt;=0,"Currency / FX missing",IF(NOT(ISNUMBER(G17)),"Original price missing",IF(G17&lt;0,"Invalid original price",IF(AND(H17&lt;&gt;"",NOT(ISNUMBER(H17))),"Invalid final price",IF(AND(ISNUMBER(H17),H17&lt;0),"Invalid final price",IF(AND(F17="Selected",COUNTIFS($B$9:$B$258,B17,$E$9:$E$258,E17,$F$9:$F$258,"Selected")&gt;1),"Selected scope overlap",IF(AND(ISNUMBER(H17),H17&gt;G17),"Price increased",IF(LEN(H17&amp;"")=0,"Final price pending","OK")))))))))))</f>
        <v>Final price pending</v>
      </c>
      <c r="AN17" s="16">
        <f t="shared" si="9"/>
        <v>0</v>
      </c>
      <c r="AO17" s="14" t="str">
        <f>IF(A17="","",IFERROR(IF(INDEX(Suppliers!$A$9:$A$508,MATCH(D17,Suppliers!$D$9:$D$508,0))=C17,"OK","Contact / supplier mismatch"),"Contact missing"))</f>
        <v>OK</v>
      </c>
      <c r="AP17" s="14" t="str">
        <f>IF(OR(A17="",IFERROR(INDEX(Jobs!$P$9:$P$258,MATCH(B17,Jobs!$A$9:$A$258,0)),"")=""),"",HYPERLINK("#'"&amp;IFERROR(INDEX(Jobs!$P$9:$P$258,MATCH(B17,Jobs!$A$9:$A$258,0)),"")&amp;"'!A1","OPEN JOB"))</f>
        <v>OPEN JOB</v>
      </c>
      <c r="AQ17" s="14" t="s">
        <v>521</v>
      </c>
      <c r="AR17" s="14"/>
      <c r="AS17" t="str">
        <f t="shared" si="10"/>
        <v>J:1500.01_N:1</v>
      </c>
      <c r="AT17" t="str">
        <f t="shared" si="11"/>
        <v>Q:1500.01-Q1</v>
      </c>
    </row>
    <row r="18" spans="1:46" ht="40" customHeight="1" x14ac:dyDescent="0.35">
      <c r="A18" s="18" t="s">
        <v>556</v>
      </c>
      <c r="B18" s="37" t="s">
        <v>227</v>
      </c>
      <c r="C18" s="18" t="s">
        <v>432</v>
      </c>
      <c r="D18" s="15" t="s">
        <v>434</v>
      </c>
      <c r="E18" s="15" t="s">
        <v>514</v>
      </c>
      <c r="F18" s="15" t="s">
        <v>557</v>
      </c>
      <c r="G18" s="24"/>
      <c r="H18" s="24"/>
      <c r="I18" s="15"/>
      <c r="J18" s="17"/>
      <c r="K18" s="17"/>
      <c r="L18" s="17"/>
      <c r="M18" s="15" t="s">
        <v>558</v>
      </c>
      <c r="N18" s="15"/>
      <c r="O18" s="15"/>
      <c r="P18" s="15"/>
      <c r="Q18" s="15"/>
      <c r="R18" s="15" t="s">
        <v>79</v>
      </c>
      <c r="S18" s="18"/>
      <c r="T18" s="18" t="s">
        <v>555</v>
      </c>
      <c r="U18" s="18" t="str">
        <f>IF(A18="","",IFERROR(IF(LEN(INDEX(Suppliers!$B$9:$B$508,MATCH(C18,Suppliers!$A$9:$A$508,0))&amp;"")=0,"",INDEX(Suppliers!$B$9:$B$508,MATCH(C18,Suppliers!$A$9:$A$508,0))),""))</f>
        <v>Consillium</v>
      </c>
      <c r="V18" s="18" t="str">
        <f>IF(A18="","",IFERROR(IF(LEN(INDEX(Suppliers!$E$9:$E$508,MATCH(D18,Suppliers!$D$9:$D$508,0))&amp;"")=0,"",INDEX(Suppliers!$E$9:$E$508,MATCH(D18,Suppliers!$D$9:$D$508,0))),""))</f>
        <v>Martin</v>
      </c>
      <c r="W18" s="18" t="str">
        <f>IF(A18="","",IFERROR(IF(LEN(INDEX(Suppliers!$F$9:$F$508,MATCH(D18,Suppliers!$D$9:$D$508,0))&amp;"")=0,"",INDEX(Suppliers!$F$9:$F$508,MATCH(D18,Suppliers!$D$9:$D$508,0))),""))</f>
        <v>Martin.Noer@consiliumsafety.com</v>
      </c>
      <c r="X18" s="18" t="str">
        <f>IF(A18="","",IFERROR(IF(LEN(INDEX(Suppliers!$G$9:$G$508,MATCH(D18,Suppliers!$D$9:$D$508,0))&amp;"")=0,"",INDEX(Suppliers!$G$9:$G$508,MATCH(D18,Suppliers!$D$9:$D$508,0))),""))</f>
        <v>20 30 69 96</v>
      </c>
      <c r="Y18" s="18" t="str">
        <f>IF(A18="","",IFERROR(INDEX(Jobs!$C$9:$C$258,MATCH(B18,Jobs!$A$9:$A$258,0)),""))</f>
        <v>Deck</v>
      </c>
      <c r="Z18" s="18" t="str">
        <f>IF(A18="","",IFERROR(INDEX(Jobs!$B$9:$B$258,MATCH(B18,Jobs!$A$9:$A$258,0)),""))</f>
        <v>Fire detection system</v>
      </c>
      <c r="AA18" s="19">
        <f>IF(A18="","",IFERROR(VLOOKUP(I18,Lists!$E$9:$F$14,2,FALSE),0))</f>
        <v>0</v>
      </c>
      <c r="AB18" s="19" t="str">
        <f t="shared" si="0"/>
        <v/>
      </c>
      <c r="AC18" s="19" t="str">
        <f t="shared" si="1"/>
        <v/>
      </c>
      <c r="AD18" s="19" t="str">
        <f t="shared" si="2"/>
        <v/>
      </c>
      <c r="AE18" s="19" t="str">
        <f t="shared" si="3"/>
        <v/>
      </c>
      <c r="AF18" s="19" t="str">
        <f t="shared" si="4"/>
        <v/>
      </c>
      <c r="AG18" s="27" t="str">
        <f t="shared" si="5"/>
        <v/>
      </c>
      <c r="AH18" s="19">
        <f t="shared" si="6"/>
        <v>0</v>
      </c>
      <c r="AI18" s="19">
        <f t="shared" si="7"/>
        <v>0</v>
      </c>
      <c r="AJ18" s="19">
        <f t="shared" si="8"/>
        <v>0</v>
      </c>
      <c r="AK18" s="18" t="str">
        <f>IF(AND(A18&lt;&gt;"",F18="Selected"),COUNTIF($F$9:F18,"Selected"),"")</f>
        <v/>
      </c>
      <c r="AL18" s="18">
        <f>IF(A18="","",COUNTIF($B$9:B18,B18))</f>
        <v>2</v>
      </c>
      <c r="AM18" s="18" t="str">
        <f>IF(A18="","",IF(COUNTIF(Jobs!$A$9:$A$258,B18)&lt;&gt;1,"Check JobID",IF(COUNTIF(Suppliers!$D$9:$D$508,D18)&lt;&gt;1,"Check contact",IF(AA18&lt;=0,"Currency / FX missing",IF(NOT(ISNUMBER(G18)),"Original price missing",IF(G18&lt;0,"Invalid original price",IF(AND(H18&lt;&gt;"",NOT(ISNUMBER(H18))),"Invalid final price",IF(AND(ISNUMBER(H18),H18&lt;0),"Invalid final price",IF(AND(F18="Selected",COUNTIFS($B$9:$B$258,B18,$E$9:$E$258,E18,$F$9:$F$258,"Selected")&gt;1),"Selected scope overlap",IF(AND(ISNUMBER(H18),H18&gt;G18),"Price increased",IF(LEN(H18&amp;"")=0,"Final price pending","OK")))))))))))</f>
        <v>Currency / FX missing</v>
      </c>
      <c r="AN18" s="19">
        <f t="shared" si="9"/>
        <v>0</v>
      </c>
      <c r="AO18" s="18" t="str">
        <f>IF(A18="","",IFERROR(IF(INDEX(Suppliers!$A$9:$A$508,MATCH(D18,Suppliers!$D$9:$D$508,0))=C18,"OK","Contact / supplier mismatch"),"Contact missing"))</f>
        <v>OK</v>
      </c>
      <c r="AP18" s="18" t="str">
        <f>IF(OR(A18="",IFERROR(INDEX(Jobs!$P$9:$P$258,MATCH(B18,Jobs!$A$9:$A$258,0)),"")=""),"",HYPERLINK("#'"&amp;IFERROR(INDEX(Jobs!$P$9:$P$258,MATCH(B18,Jobs!$A$9:$A$258,0)),"")&amp;"'!A1","OPEN JOB"))</f>
        <v>OPEN JOB</v>
      </c>
      <c r="AQ18" s="18"/>
      <c r="AR18" s="18"/>
      <c r="AS18" t="str">
        <f t="shared" si="10"/>
        <v>J:1500.01_N:2</v>
      </c>
      <c r="AT18" t="str">
        <f t="shared" si="11"/>
        <v>Q:1500.01-Q2</v>
      </c>
    </row>
    <row r="19" spans="1:46" ht="40" customHeight="1" x14ac:dyDescent="0.35">
      <c r="A19" s="14" t="s">
        <v>559</v>
      </c>
      <c r="B19" s="37" t="s">
        <v>327</v>
      </c>
      <c r="C19" s="14" t="s">
        <v>439</v>
      </c>
      <c r="D19" s="15" t="s">
        <v>442</v>
      </c>
      <c r="E19" s="15" t="s">
        <v>514</v>
      </c>
      <c r="F19" s="15" t="s">
        <v>82</v>
      </c>
      <c r="G19" s="24">
        <v>525692</v>
      </c>
      <c r="H19" s="24"/>
      <c r="I19" s="15" t="s">
        <v>560</v>
      </c>
      <c r="J19" s="17"/>
      <c r="K19" s="17"/>
      <c r="L19" s="17"/>
      <c r="M19" s="15">
        <v>4258326</v>
      </c>
      <c r="N19" s="25" t="s">
        <v>561</v>
      </c>
      <c r="O19" s="15"/>
      <c r="P19" s="15" t="s">
        <v>562</v>
      </c>
      <c r="Q19" s="15"/>
      <c r="R19" s="15" t="s">
        <v>79</v>
      </c>
      <c r="S19" s="14" t="s">
        <v>563</v>
      </c>
      <c r="T19" s="14" t="s">
        <v>564</v>
      </c>
      <c r="U19" s="14" t="str">
        <f>IF(A19="","",IFERROR(IF(LEN(INDEX(Suppliers!$B$9:$B$508,MATCH(C19,Suppliers!$A$9:$A$508,0))&amp;"")=0,"",INDEX(Suppliers!$B$9:$B$508,MATCH(C19,Suppliers!$A$9:$A$508,0))),""))</f>
        <v>BRUNVOLL</v>
      </c>
      <c r="V19" s="14" t="str">
        <f>IF(A19="","",IFERROR(IF(LEN(INDEX(Suppliers!$E$9:$E$508,MATCH(D19,Suppliers!$D$9:$D$508,0))&amp;"")=0,"",INDEX(Suppliers!$E$9:$E$508,MATCH(D19,Suppliers!$D$9:$D$508,0))),""))</f>
        <v/>
      </c>
      <c r="W19" s="14" t="str">
        <f>IF(A19="","",IFERROR(IF(LEN(INDEX(Suppliers!$F$9:$F$508,MATCH(D19,Suppliers!$D$9:$D$508,0))&amp;"")=0,"",INDEX(Suppliers!$F$9:$F$508,MATCH(D19,Suppliers!$D$9:$D$508,0))),""))</f>
        <v>office@brunvoll.no</v>
      </c>
      <c r="X19" s="14" t="str">
        <f>IF(A19="","",IFERROR(IF(LEN(INDEX(Suppliers!$G$9:$G$508,MATCH(D19,Suppliers!$D$9:$D$508,0))&amp;"")=0,"",INDEX(Suppliers!$G$9:$G$508,MATCH(D19,Suppliers!$D$9:$D$508,0))),""))</f>
        <v>71 21 96 00</v>
      </c>
      <c r="Y19" s="14" t="str">
        <f>IF(A19="","",IFERROR(INDEX(Jobs!$C$9:$C$258,MATCH(B19,Jobs!$A$9:$A$258,0)),""))</f>
        <v>Engine</v>
      </c>
      <c r="Z19" s="14" t="str">
        <f>IF(A19="","",IFERROR(INDEX(Jobs!$B$9:$B$258,MATCH(B19,Jobs!$A$9:$A$258,0)),""))</f>
        <v>Thruster PLC upgrade - YARD INFO ONLY</v>
      </c>
      <c r="AA19" s="16">
        <f>IF(A19="","",IFERROR(VLOOKUP(I19,Lists!$E$9:$F$14,2,FALSE),0))</f>
        <v>10.84</v>
      </c>
      <c r="AB19" s="16">
        <f t="shared" si="0"/>
        <v>48495.571955719555</v>
      </c>
      <c r="AC19" s="16">
        <f t="shared" si="1"/>
        <v>525692</v>
      </c>
      <c r="AD19" s="16">
        <f t="shared" si="2"/>
        <v>48495.571955719555</v>
      </c>
      <c r="AE19" s="16" t="str">
        <f t="shared" si="3"/>
        <v/>
      </c>
      <c r="AF19" s="16" t="str">
        <f t="shared" si="4"/>
        <v/>
      </c>
      <c r="AG19" s="26" t="str">
        <f t="shared" si="5"/>
        <v/>
      </c>
      <c r="AH19" s="16">
        <f t="shared" si="6"/>
        <v>0</v>
      </c>
      <c r="AI19" s="16">
        <f t="shared" si="7"/>
        <v>0</v>
      </c>
      <c r="AJ19" s="16">
        <f t="shared" si="8"/>
        <v>0</v>
      </c>
      <c r="AK19" s="14" t="str">
        <f>IF(AND(A19&lt;&gt;"",F19="Selected"),COUNTIF($F$9:F19,"Selected"),"")</f>
        <v/>
      </c>
      <c r="AL19" s="14">
        <f>IF(A19="","",COUNTIF($B$9:B19,B19))</f>
        <v>1</v>
      </c>
      <c r="AM19" s="14" t="str">
        <f>IF(A19="","",IF(COUNTIF(Jobs!$A$9:$A$258,B19)&lt;&gt;1,"Check JobID",IF(COUNTIF(Suppliers!$D$9:$D$508,D19)&lt;&gt;1,"Check contact",IF(AA19&lt;=0,"Currency / FX missing",IF(NOT(ISNUMBER(G19)),"Original price missing",IF(G19&lt;0,"Invalid original price",IF(AND(H19&lt;&gt;"",NOT(ISNUMBER(H19))),"Invalid final price",IF(AND(ISNUMBER(H19),H19&lt;0),"Invalid final price",IF(AND(F19="Selected",COUNTIFS($B$9:$B$258,B19,$E$9:$E$258,E19,$F$9:$F$258,"Selected")&gt;1),"Selected scope overlap",IF(AND(ISNUMBER(H19),H19&gt;G19),"Price increased",IF(LEN(H19&amp;"")=0,"Final price pending","OK")))))))))))</f>
        <v>Final price pending</v>
      </c>
      <c r="AN19" s="16">
        <f t="shared" si="9"/>
        <v>0</v>
      </c>
      <c r="AO19" s="14" t="str">
        <f>IF(A19="","",IFERROR(IF(INDEX(Suppliers!$A$9:$A$508,MATCH(D19,Suppliers!$D$9:$D$508,0))=C19,"OK","Contact / supplier mismatch"),"Contact missing"))</f>
        <v>OK</v>
      </c>
      <c r="AP19" s="14" t="str">
        <f>IF(OR(A19="",IFERROR(INDEX(Jobs!$P$9:$P$258,MATCH(B19,Jobs!$A$9:$A$258,0)),"")=""),"",HYPERLINK("#'"&amp;IFERROR(INDEX(Jobs!$P$9:$P$258,MATCH(B19,Jobs!$A$9:$A$258,0)),"")&amp;"'!A1","OPEN JOB"))</f>
        <v>OPEN JOB</v>
      </c>
      <c r="AQ19" s="14" t="s">
        <v>521</v>
      </c>
      <c r="AR19" s="14"/>
      <c r="AS19" t="str">
        <f t="shared" si="10"/>
        <v>J:3811.02_N:1</v>
      </c>
      <c r="AT19" t="str">
        <f t="shared" si="11"/>
        <v>Q:3811.02-Q1</v>
      </c>
    </row>
    <row r="20" spans="1:46" ht="40" customHeight="1" x14ac:dyDescent="0.35">
      <c r="A20" s="18" t="s">
        <v>565</v>
      </c>
      <c r="B20" s="37" t="s">
        <v>323</v>
      </c>
      <c r="C20" s="18" t="s">
        <v>439</v>
      </c>
      <c r="D20" s="15" t="s">
        <v>442</v>
      </c>
      <c r="E20" s="15" t="s">
        <v>566</v>
      </c>
      <c r="F20" s="15" t="s">
        <v>515</v>
      </c>
      <c r="G20" s="24">
        <v>392210</v>
      </c>
      <c r="H20" s="24"/>
      <c r="I20" s="15" t="s">
        <v>560</v>
      </c>
      <c r="J20" s="17"/>
      <c r="K20" s="17"/>
      <c r="L20" s="17"/>
      <c r="M20" s="15">
        <v>4258303</v>
      </c>
      <c r="N20" s="25" t="s">
        <v>567</v>
      </c>
      <c r="O20" s="15"/>
      <c r="P20" s="15" t="s">
        <v>568</v>
      </c>
      <c r="Q20" s="15"/>
      <c r="R20" s="15" t="s">
        <v>79</v>
      </c>
      <c r="S20" s="18" t="s">
        <v>569</v>
      </c>
      <c r="T20" s="18" t="s">
        <v>570</v>
      </c>
      <c r="U20" s="18" t="str">
        <f>IF(A20="","",IFERROR(IF(LEN(INDEX(Suppliers!$B$9:$B$508,MATCH(C20,Suppliers!$A$9:$A$508,0))&amp;"")=0,"",INDEX(Suppliers!$B$9:$B$508,MATCH(C20,Suppliers!$A$9:$A$508,0))),""))</f>
        <v>BRUNVOLL</v>
      </c>
      <c r="V20" s="18" t="str">
        <f>IF(A20="","",IFERROR(IF(LEN(INDEX(Suppliers!$E$9:$E$508,MATCH(D20,Suppliers!$D$9:$D$508,0))&amp;"")=0,"",INDEX(Suppliers!$E$9:$E$508,MATCH(D20,Suppliers!$D$9:$D$508,0))),""))</f>
        <v/>
      </c>
      <c r="W20" s="18" t="str">
        <f>IF(A20="","",IFERROR(IF(LEN(INDEX(Suppliers!$F$9:$F$508,MATCH(D20,Suppliers!$D$9:$D$508,0))&amp;"")=0,"",INDEX(Suppliers!$F$9:$F$508,MATCH(D20,Suppliers!$D$9:$D$508,0))),""))</f>
        <v>office@brunvoll.no</v>
      </c>
      <c r="X20" s="18" t="str">
        <f>IF(A20="","",IFERROR(IF(LEN(INDEX(Suppliers!$G$9:$G$508,MATCH(D20,Suppliers!$D$9:$D$508,0))&amp;"")=0,"",INDEX(Suppliers!$G$9:$G$508,MATCH(D20,Suppliers!$D$9:$D$508,0))),""))</f>
        <v>71 21 96 00</v>
      </c>
      <c r="Y20" s="18" t="str">
        <f>IF(A20="","",IFERROR(INDEX(Jobs!$C$9:$C$258,MATCH(B20,Jobs!$A$9:$A$258,0)),""))</f>
        <v>Engine</v>
      </c>
      <c r="Z20" s="18" t="str">
        <f>IF(A20="","",IFERROR(INDEX(Jobs!$B$9:$B$258,MATCH(B20,Jobs!$A$9:$A$258,0)),""))</f>
        <v>Bow thrusters overhaul</v>
      </c>
      <c r="AA20" s="19">
        <f>IF(A20="","",IFERROR(VLOOKUP(I20,Lists!$E$9:$F$14,2,FALSE),0))</f>
        <v>10.84</v>
      </c>
      <c r="AB20" s="19">
        <f t="shared" si="0"/>
        <v>36181.734317343173</v>
      </c>
      <c r="AC20" s="19">
        <f t="shared" si="1"/>
        <v>392210</v>
      </c>
      <c r="AD20" s="19">
        <f t="shared" si="2"/>
        <v>36181.734317343173</v>
      </c>
      <c r="AE20" s="19" t="str">
        <f t="shared" si="3"/>
        <v/>
      </c>
      <c r="AF20" s="19" t="str">
        <f t="shared" si="4"/>
        <v/>
      </c>
      <c r="AG20" s="27" t="str">
        <f t="shared" si="5"/>
        <v/>
      </c>
      <c r="AH20" s="19">
        <f t="shared" si="6"/>
        <v>36181.734317343173</v>
      </c>
      <c r="AI20" s="19">
        <f t="shared" si="7"/>
        <v>36181.734317343173</v>
      </c>
      <c r="AJ20" s="19">
        <f t="shared" si="8"/>
        <v>0</v>
      </c>
      <c r="AK20" s="18">
        <f>IF(AND(A20&lt;&gt;"",F20="Selected"),COUNTIF($F$9:F20,"Selected"),"")</f>
        <v>4</v>
      </c>
      <c r="AL20" s="18">
        <f>IF(A20="","",COUNTIF($B$9:B20,B20))</f>
        <v>1</v>
      </c>
      <c r="AM20" s="18" t="str">
        <f>IF(A20="","",IF(COUNTIF(Jobs!$A$9:$A$258,B20)&lt;&gt;1,"Check JobID",IF(COUNTIF(Suppliers!$D$9:$D$508,D20)&lt;&gt;1,"Check contact",IF(AA20&lt;=0,"Currency / FX missing",IF(NOT(ISNUMBER(G20)),"Original price missing",IF(G20&lt;0,"Invalid original price",IF(AND(H20&lt;&gt;"",NOT(ISNUMBER(H20))),"Invalid final price",IF(AND(ISNUMBER(H20),H20&lt;0),"Invalid final price",IF(AND(F20="Selected",COUNTIFS($B$9:$B$258,B20,$E$9:$E$258,E20,$F$9:$F$258,"Selected")&gt;1),"Selected scope overlap",IF(AND(ISNUMBER(H20),H20&gt;G20),"Price increased",IF(LEN(H20&amp;"")=0,"Final price pending","OK")))))))))))</f>
        <v>Final price pending</v>
      </c>
      <c r="AN20" s="19">
        <f t="shared" si="9"/>
        <v>0</v>
      </c>
      <c r="AO20" s="18" t="str">
        <f>IF(A20="","",IFERROR(IF(INDEX(Suppliers!$A$9:$A$508,MATCH(D20,Suppliers!$D$9:$D$508,0))=C20,"OK","Contact / supplier mismatch"),"Contact missing"))</f>
        <v>OK</v>
      </c>
      <c r="AP20" s="18" t="str">
        <f>IF(OR(A20="",IFERROR(INDEX(Jobs!$P$9:$P$258,MATCH(B20,Jobs!$A$9:$A$258,0)),"")=""),"",HYPERLINK("#'"&amp;IFERROR(INDEX(Jobs!$P$9:$P$258,MATCH(B20,Jobs!$A$9:$A$258,0)),"")&amp;"'!A1","OPEN JOB"))</f>
        <v>OPEN JOB</v>
      </c>
      <c r="AQ20" s="18" t="s">
        <v>521</v>
      </c>
      <c r="AR20" s="18"/>
      <c r="AS20" t="str">
        <f t="shared" si="10"/>
        <v>J:3811.01_N:1</v>
      </c>
      <c r="AT20" t="str">
        <f t="shared" si="11"/>
        <v>Q:3811.01-Q1</v>
      </c>
    </row>
    <row r="21" spans="1:46" ht="40" customHeight="1" x14ac:dyDescent="0.35">
      <c r="A21" s="14" t="s">
        <v>571</v>
      </c>
      <c r="B21" s="37" t="s">
        <v>177</v>
      </c>
      <c r="C21" s="14" t="s">
        <v>446</v>
      </c>
      <c r="D21" s="15" t="s">
        <v>449</v>
      </c>
      <c r="E21" s="15" t="s">
        <v>514</v>
      </c>
      <c r="F21" s="15" t="s">
        <v>515</v>
      </c>
      <c r="G21" s="24">
        <v>42681</v>
      </c>
      <c r="H21" s="24"/>
      <c r="I21" s="15" t="s">
        <v>516</v>
      </c>
      <c r="J21" s="17"/>
      <c r="K21" s="17"/>
      <c r="L21" s="17"/>
      <c r="M21" s="15" t="s">
        <v>572</v>
      </c>
      <c r="N21" s="25" t="s">
        <v>573</v>
      </c>
      <c r="O21" s="15"/>
      <c r="P21" s="15" t="s">
        <v>574</v>
      </c>
      <c r="Q21" s="15"/>
      <c r="R21" s="15"/>
      <c r="S21" s="14" t="s">
        <v>575</v>
      </c>
      <c r="T21" s="14" t="s">
        <v>576</v>
      </c>
      <c r="U21" s="14" t="str">
        <f>IF(A21="","",IFERROR(IF(LEN(INDEX(Suppliers!$B$9:$B$508,MATCH(C21,Suppliers!$A$9:$A$508,0))&amp;"")=0,"",INDEX(Suppliers!$B$9:$B$508,MATCH(C21,Suppliers!$A$9:$A$508,0))),""))</f>
        <v xml:space="preserve">Neuver maritime </v>
      </c>
      <c r="V21" s="14" t="str">
        <f>IF(A21="","",IFERROR(IF(LEN(INDEX(Suppliers!$E$9:$E$508,MATCH(D21,Suppliers!$D$9:$D$508,0))&amp;"")=0,"",INDEX(Suppliers!$E$9:$E$508,MATCH(D21,Suppliers!$D$9:$D$508,0))),""))</f>
        <v>Hilde Omvik Kyte</v>
      </c>
      <c r="W21" s="14" t="str">
        <f>IF(A21="","",IFERROR(IF(LEN(INDEX(Suppliers!$F$9:$F$508,MATCH(D21,Suppliers!$D$9:$D$508,0))&amp;"")=0,"",INDEX(Suppliers!$F$9:$F$508,MATCH(D21,Suppliers!$D$9:$D$508,0))),""))</f>
        <v>support@neuver.com</v>
      </c>
      <c r="X21" s="14" t="str">
        <f>IF(A21="","",IFERROR(IF(LEN(INDEX(Suppliers!$G$9:$G$508,MATCH(D21,Suppliers!$D$9:$D$508,0))&amp;"")=0,"",INDEX(Suppliers!$G$9:$G$508,MATCH(D21,Suppliers!$D$9:$D$508,0))),""))</f>
        <v>48 28 85 00</v>
      </c>
      <c r="Y21" s="14" t="str">
        <f>IF(A21="","",IFERROR(INDEX(Jobs!$C$9:$C$258,MATCH(B21,Jobs!$A$9:$A$258,0)),""))</f>
        <v>Engine</v>
      </c>
      <c r="Z21" s="14" t="str">
        <f>IF(A21="","",IFERROR(INDEX(Jobs!$B$9:$B$258,MATCH(B21,Jobs!$A$9:$A$258,0)),""))</f>
        <v>Steering gears overhaul</v>
      </c>
      <c r="AA21" s="16">
        <f>IF(A21="","",IFERROR(VLOOKUP(I21,Lists!$E$9:$F$14,2,FALSE),0))</f>
        <v>1</v>
      </c>
      <c r="AB21" s="16">
        <f t="shared" si="0"/>
        <v>42681</v>
      </c>
      <c r="AC21" s="16">
        <f t="shared" si="1"/>
        <v>42681</v>
      </c>
      <c r="AD21" s="16">
        <f t="shared" si="2"/>
        <v>42681</v>
      </c>
      <c r="AE21" s="16" t="str">
        <f t="shared" si="3"/>
        <v/>
      </c>
      <c r="AF21" s="16" t="str">
        <f t="shared" si="4"/>
        <v/>
      </c>
      <c r="AG21" s="26" t="str">
        <f t="shared" si="5"/>
        <v/>
      </c>
      <c r="AH21" s="16">
        <f t="shared" si="6"/>
        <v>42681</v>
      </c>
      <c r="AI21" s="16">
        <f t="shared" si="7"/>
        <v>42681</v>
      </c>
      <c r="AJ21" s="16">
        <f t="shared" si="8"/>
        <v>0</v>
      </c>
      <c r="AK21" s="14">
        <f>IF(AND(A21&lt;&gt;"",F21="Selected"),COUNTIF($F$9:F21,"Selected"),"")</f>
        <v>5</v>
      </c>
      <c r="AL21" s="14">
        <f>IF(A21="","",COUNTIF($B$9:B21,B21))</f>
        <v>1</v>
      </c>
      <c r="AM21" s="14" t="str">
        <f>IF(A21="","",IF(COUNTIF(Jobs!$A$9:$A$258,B21)&lt;&gt;1,"Check JobID",IF(COUNTIF(Suppliers!$D$9:$D$508,D21)&lt;&gt;1,"Check contact",IF(AA21&lt;=0,"Currency / FX missing",IF(NOT(ISNUMBER(G21)),"Original price missing",IF(G21&lt;0,"Invalid original price",IF(AND(H21&lt;&gt;"",NOT(ISNUMBER(H21))),"Invalid final price",IF(AND(ISNUMBER(H21),H21&lt;0),"Invalid final price",IF(AND(F21="Selected",COUNTIFS($B$9:$B$258,B21,$E$9:$E$258,E21,$F$9:$F$258,"Selected")&gt;1),"Selected scope overlap",IF(AND(ISNUMBER(H21),H21&gt;G21),"Price increased",IF(LEN(H21&amp;"")=0,"Final price pending","OK")))))))))))</f>
        <v>Final price pending</v>
      </c>
      <c r="AN21" s="16">
        <f t="shared" si="9"/>
        <v>0</v>
      </c>
      <c r="AO21" s="14" t="str">
        <f>IF(A21="","",IFERROR(IF(INDEX(Suppliers!$A$9:$A$508,MATCH(D21,Suppliers!$D$9:$D$508,0))=C21,"OK","Contact / supplier mismatch"),"Contact missing"))</f>
        <v>OK</v>
      </c>
      <c r="AP21" s="14" t="str">
        <f>IF(OR(A21="",IFERROR(INDEX(Jobs!$P$9:$P$258,MATCH(B21,Jobs!$A$9:$A$258,0)),"")=""),"",HYPERLINK("#'"&amp;IFERROR(INDEX(Jobs!$P$9:$P$258,MATCH(B21,Jobs!$A$9:$A$258,0)),"")&amp;"'!A1","OPEN JOB"))</f>
        <v>OPEN JOB</v>
      </c>
      <c r="AQ21" s="14" t="s">
        <v>521</v>
      </c>
      <c r="AR21" s="14"/>
      <c r="AS21" t="str">
        <f t="shared" si="10"/>
        <v>J:1303.01_N:1</v>
      </c>
      <c r="AT21" t="str">
        <f t="shared" si="11"/>
        <v>Q:1303.01-Q1</v>
      </c>
    </row>
    <row r="22" spans="1:46" ht="40" customHeight="1" x14ac:dyDescent="0.35">
      <c r="A22" s="18" t="s">
        <v>577</v>
      </c>
      <c r="B22" s="37" t="s">
        <v>177</v>
      </c>
      <c r="C22" s="18" t="s">
        <v>446</v>
      </c>
      <c r="D22" s="15" t="s">
        <v>449</v>
      </c>
      <c r="E22" s="15" t="s">
        <v>514</v>
      </c>
      <c r="F22" s="15" t="s">
        <v>82</v>
      </c>
      <c r="G22" s="24">
        <v>54778.2</v>
      </c>
      <c r="H22" s="24"/>
      <c r="I22" s="15" t="s">
        <v>516</v>
      </c>
      <c r="J22" s="17"/>
      <c r="K22" s="17"/>
      <c r="L22" s="17"/>
      <c r="M22" s="15" t="s">
        <v>578</v>
      </c>
      <c r="N22" s="25" t="s">
        <v>579</v>
      </c>
      <c r="O22" s="15"/>
      <c r="P22" s="15" t="s">
        <v>580</v>
      </c>
      <c r="Q22" s="15"/>
      <c r="R22" s="15"/>
      <c r="S22" s="18" t="s">
        <v>581</v>
      </c>
      <c r="T22" s="18" t="s">
        <v>576</v>
      </c>
      <c r="U22" s="18" t="str">
        <f>IF(A22="","",IFERROR(IF(LEN(INDEX(Suppliers!$B$9:$B$508,MATCH(C22,Suppliers!$A$9:$A$508,0))&amp;"")=0,"",INDEX(Suppliers!$B$9:$B$508,MATCH(C22,Suppliers!$A$9:$A$508,0))),""))</f>
        <v xml:space="preserve">Neuver maritime </v>
      </c>
      <c r="V22" s="18" t="str">
        <f>IF(A22="","",IFERROR(IF(LEN(INDEX(Suppliers!$E$9:$E$508,MATCH(D22,Suppliers!$D$9:$D$508,0))&amp;"")=0,"",INDEX(Suppliers!$E$9:$E$508,MATCH(D22,Suppliers!$D$9:$D$508,0))),""))</f>
        <v>Hilde Omvik Kyte</v>
      </c>
      <c r="W22" s="18" t="str">
        <f>IF(A22="","",IFERROR(IF(LEN(INDEX(Suppliers!$F$9:$F$508,MATCH(D22,Suppliers!$D$9:$D$508,0))&amp;"")=0,"",INDEX(Suppliers!$F$9:$F$508,MATCH(D22,Suppliers!$D$9:$D$508,0))),""))</f>
        <v>support@neuver.com</v>
      </c>
      <c r="X22" s="18" t="str">
        <f>IF(A22="","",IFERROR(IF(LEN(INDEX(Suppliers!$G$9:$G$508,MATCH(D22,Suppliers!$D$9:$D$508,0))&amp;"")=0,"",INDEX(Suppliers!$G$9:$G$508,MATCH(D22,Suppliers!$D$9:$D$508,0))),""))</f>
        <v>48 28 85 00</v>
      </c>
      <c r="Y22" s="18" t="str">
        <f>IF(A22="","",IFERROR(INDEX(Jobs!$C$9:$C$258,MATCH(B22,Jobs!$A$9:$A$258,0)),""))</f>
        <v>Engine</v>
      </c>
      <c r="Z22" s="18" t="str">
        <f>IF(A22="","",IFERROR(INDEX(Jobs!$B$9:$B$258,MATCH(B22,Jobs!$A$9:$A$258,0)),""))</f>
        <v>Steering gears overhaul</v>
      </c>
      <c r="AA22" s="19">
        <f>IF(A22="","",IFERROR(VLOOKUP(I22,Lists!$E$9:$F$14,2,FALSE),0))</f>
        <v>1</v>
      </c>
      <c r="AB22" s="19">
        <f t="shared" si="0"/>
        <v>54778.2</v>
      </c>
      <c r="AC22" s="19">
        <f t="shared" si="1"/>
        <v>54778.2</v>
      </c>
      <c r="AD22" s="19">
        <f t="shared" si="2"/>
        <v>54778.2</v>
      </c>
      <c r="AE22" s="19" t="str">
        <f t="shared" si="3"/>
        <v/>
      </c>
      <c r="AF22" s="19" t="str">
        <f t="shared" si="4"/>
        <v/>
      </c>
      <c r="AG22" s="27" t="str">
        <f t="shared" si="5"/>
        <v/>
      </c>
      <c r="AH22" s="19">
        <f t="shared" si="6"/>
        <v>0</v>
      </c>
      <c r="AI22" s="19">
        <f t="shared" si="7"/>
        <v>0</v>
      </c>
      <c r="AJ22" s="19">
        <f t="shared" si="8"/>
        <v>0</v>
      </c>
      <c r="AK22" s="18" t="str">
        <f>IF(AND(A22&lt;&gt;"",F22="Selected"),COUNTIF($F$9:F22,"Selected"),"")</f>
        <v/>
      </c>
      <c r="AL22" s="18">
        <f>IF(A22="","",COUNTIF($B$9:B22,B22))</f>
        <v>2</v>
      </c>
      <c r="AM22" s="18" t="str">
        <f>IF(A22="","",IF(COUNTIF(Jobs!$A$9:$A$258,B22)&lt;&gt;1,"Check JobID",IF(COUNTIF(Suppliers!$D$9:$D$508,D22)&lt;&gt;1,"Check contact",IF(AA22&lt;=0,"Currency / FX missing",IF(NOT(ISNUMBER(G22)),"Original price missing",IF(G22&lt;0,"Invalid original price",IF(AND(H22&lt;&gt;"",NOT(ISNUMBER(H22))),"Invalid final price",IF(AND(ISNUMBER(H22),H22&lt;0),"Invalid final price",IF(AND(F22="Selected",COUNTIFS($B$9:$B$258,B22,$E$9:$E$258,E22,$F$9:$F$258,"Selected")&gt;1),"Selected scope overlap",IF(AND(ISNUMBER(H22),H22&gt;G22),"Price increased",IF(LEN(H22&amp;"")=0,"Final price pending","OK")))))))))))</f>
        <v>Final price pending</v>
      </c>
      <c r="AN22" s="19">
        <f t="shared" si="9"/>
        <v>0</v>
      </c>
      <c r="AO22" s="18" t="str">
        <f>IF(A22="","",IFERROR(IF(INDEX(Suppliers!$A$9:$A$508,MATCH(D22,Suppliers!$D$9:$D$508,0))=C22,"OK","Contact / supplier mismatch"),"Contact missing"))</f>
        <v>OK</v>
      </c>
      <c r="AP22" s="18" t="str">
        <f>IF(OR(A22="",IFERROR(INDEX(Jobs!$P$9:$P$258,MATCH(B22,Jobs!$A$9:$A$258,0)),"")=""),"",HYPERLINK("#'"&amp;IFERROR(INDEX(Jobs!$P$9:$P$258,MATCH(B22,Jobs!$A$9:$A$258,0)),"")&amp;"'!A1","OPEN JOB"))</f>
        <v>OPEN JOB</v>
      </c>
      <c r="AQ22" s="18" t="s">
        <v>521</v>
      </c>
      <c r="AR22" s="18"/>
      <c r="AS22" t="str">
        <f t="shared" si="10"/>
        <v>J:1303.01_N:2</v>
      </c>
      <c r="AT22" t="str">
        <f t="shared" si="11"/>
        <v>Q:1303.01-Q2</v>
      </c>
    </row>
    <row r="23" spans="1:46" ht="40" customHeight="1" x14ac:dyDescent="0.35">
      <c r="A23" s="14" t="s">
        <v>582</v>
      </c>
      <c r="B23" s="37" t="s">
        <v>323</v>
      </c>
      <c r="C23" s="14" t="s">
        <v>439</v>
      </c>
      <c r="D23" s="15" t="s">
        <v>442</v>
      </c>
      <c r="E23" s="15" t="s">
        <v>583</v>
      </c>
      <c r="F23" s="15" t="s">
        <v>515</v>
      </c>
      <c r="G23" s="24">
        <v>1171237.3999999999</v>
      </c>
      <c r="H23" s="24"/>
      <c r="I23" s="15" t="s">
        <v>560</v>
      </c>
      <c r="J23" s="17"/>
      <c r="K23" s="17"/>
      <c r="L23" s="17"/>
      <c r="M23" s="15"/>
      <c r="N23" s="25" t="s">
        <v>584</v>
      </c>
      <c r="O23" s="15"/>
      <c r="P23" s="15" t="s">
        <v>585</v>
      </c>
      <c r="Q23" s="15"/>
      <c r="R23" s="15"/>
      <c r="S23" s="14" t="s">
        <v>586</v>
      </c>
      <c r="T23" s="14" t="s">
        <v>570</v>
      </c>
      <c r="U23" s="14" t="str">
        <f>IF(A23="","",IFERROR(IF(LEN(INDEX(Suppliers!$B$9:$B$508,MATCH(C23,Suppliers!$A$9:$A$508,0))&amp;"")=0,"",INDEX(Suppliers!$B$9:$B$508,MATCH(C23,Suppliers!$A$9:$A$508,0))),""))</f>
        <v>BRUNVOLL</v>
      </c>
      <c r="V23" s="14" t="str">
        <f>IF(A23="","",IFERROR(IF(LEN(INDEX(Suppliers!$E$9:$E$508,MATCH(D23,Suppliers!$D$9:$D$508,0))&amp;"")=0,"",INDEX(Suppliers!$E$9:$E$508,MATCH(D23,Suppliers!$D$9:$D$508,0))),""))</f>
        <v/>
      </c>
      <c r="W23" s="14" t="str">
        <f>IF(A23="","",IFERROR(IF(LEN(INDEX(Suppliers!$F$9:$F$508,MATCH(D23,Suppliers!$D$9:$D$508,0))&amp;"")=0,"",INDEX(Suppliers!$F$9:$F$508,MATCH(D23,Suppliers!$D$9:$D$508,0))),""))</f>
        <v>office@brunvoll.no</v>
      </c>
      <c r="X23" s="14" t="str">
        <f>IF(A23="","",IFERROR(IF(LEN(INDEX(Suppliers!$G$9:$G$508,MATCH(D23,Suppliers!$D$9:$D$508,0))&amp;"")=0,"",INDEX(Suppliers!$G$9:$G$508,MATCH(D23,Suppliers!$D$9:$D$508,0))),""))</f>
        <v>71 21 96 00</v>
      </c>
      <c r="Y23" s="14" t="str">
        <f>IF(A23="","",IFERROR(INDEX(Jobs!$C$9:$C$258,MATCH(B23,Jobs!$A$9:$A$258,0)),""))</f>
        <v>Engine</v>
      </c>
      <c r="Z23" s="14" t="str">
        <f>IF(A23="","",IFERROR(INDEX(Jobs!$B$9:$B$258,MATCH(B23,Jobs!$A$9:$A$258,0)),""))</f>
        <v>Bow thrusters overhaul</v>
      </c>
      <c r="AA23" s="16">
        <f>IF(A23="","",IFERROR(VLOOKUP(I23,Lists!$E$9:$F$14,2,FALSE),0))</f>
        <v>10.84</v>
      </c>
      <c r="AB23" s="16">
        <f t="shared" si="0"/>
        <v>108047.73062730627</v>
      </c>
      <c r="AC23" s="16">
        <f t="shared" si="1"/>
        <v>1171237.3999999999</v>
      </c>
      <c r="AD23" s="16">
        <f t="shared" si="2"/>
        <v>108047.73062730627</v>
      </c>
      <c r="AE23" s="16" t="str">
        <f t="shared" si="3"/>
        <v/>
      </c>
      <c r="AF23" s="16" t="str">
        <f t="shared" si="4"/>
        <v/>
      </c>
      <c r="AG23" s="26" t="str">
        <f t="shared" si="5"/>
        <v/>
      </c>
      <c r="AH23" s="16">
        <f t="shared" si="6"/>
        <v>108047.73062730627</v>
      </c>
      <c r="AI23" s="16">
        <f t="shared" si="7"/>
        <v>108047.73062730627</v>
      </c>
      <c r="AJ23" s="16">
        <f t="shared" si="8"/>
        <v>0</v>
      </c>
      <c r="AK23" s="14">
        <f>IF(AND(A23&lt;&gt;"",F23="Selected"),COUNTIF($F$9:F23,"Selected"),"")</f>
        <v>6</v>
      </c>
      <c r="AL23" s="14">
        <f>IF(A23="","",COUNTIF($B$9:B23,B23))</f>
        <v>2</v>
      </c>
      <c r="AM23" s="14" t="str">
        <f>IF(A23="","",IF(COUNTIF(Jobs!$A$9:$A$258,B23)&lt;&gt;1,"Check JobID",IF(COUNTIF(Suppliers!$D$9:$D$508,D23)&lt;&gt;1,"Check contact",IF(AA23&lt;=0,"Currency / FX missing",IF(NOT(ISNUMBER(G23)),"Original price missing",IF(G23&lt;0,"Invalid original price",IF(AND(H23&lt;&gt;"",NOT(ISNUMBER(H23))),"Invalid final price",IF(AND(ISNUMBER(H23),H23&lt;0),"Invalid final price",IF(AND(F23="Selected",COUNTIFS($B$9:$B$258,B23,$E$9:$E$258,E23,$F$9:$F$258,"Selected")&gt;1),"Selected scope overlap",IF(AND(ISNUMBER(H23),H23&gt;G23),"Price increased",IF(LEN(H23&amp;"")=0,"Final price pending","OK")))))))))))</f>
        <v>Final price pending</v>
      </c>
      <c r="AN23" s="16">
        <f t="shared" si="9"/>
        <v>0</v>
      </c>
      <c r="AO23" s="14" t="str">
        <f>IF(A23="","",IFERROR(IF(INDEX(Suppliers!$A$9:$A$508,MATCH(D23,Suppliers!$D$9:$D$508,0))=C23,"OK","Contact / supplier mismatch"),"Contact missing"))</f>
        <v>OK</v>
      </c>
      <c r="AP23" s="14" t="str">
        <f>IF(OR(A23="",IFERROR(INDEX(Jobs!$P$9:$P$258,MATCH(B23,Jobs!$A$9:$A$258,0)),"")=""),"",HYPERLINK("#'"&amp;IFERROR(INDEX(Jobs!$P$9:$P$258,MATCH(B23,Jobs!$A$9:$A$258,0)),"")&amp;"'!A1","OPEN JOB"))</f>
        <v>OPEN JOB</v>
      </c>
      <c r="AQ23" s="14" t="s">
        <v>521</v>
      </c>
      <c r="AR23" s="14"/>
      <c r="AS23" t="str">
        <f t="shared" si="10"/>
        <v>J:3811.01_N:2</v>
      </c>
      <c r="AT23" t="str">
        <f t="shared" si="11"/>
        <v>Q:3811.01-Q2</v>
      </c>
    </row>
    <row r="24" spans="1:46" ht="40" customHeight="1" x14ac:dyDescent="0.35">
      <c r="A24" s="18" t="s">
        <v>587</v>
      </c>
      <c r="B24" s="37" t="s">
        <v>312</v>
      </c>
      <c r="C24" s="18" t="s">
        <v>399</v>
      </c>
      <c r="D24" s="15" t="s">
        <v>402</v>
      </c>
      <c r="E24" s="15" t="s">
        <v>514</v>
      </c>
      <c r="F24" s="15" t="s">
        <v>82</v>
      </c>
      <c r="G24" s="24">
        <v>290637.58</v>
      </c>
      <c r="H24" s="24"/>
      <c r="I24" s="15" t="s">
        <v>523</v>
      </c>
      <c r="J24" s="17"/>
      <c r="K24" s="17"/>
      <c r="L24" s="17"/>
      <c r="M24" s="15">
        <v>301354849</v>
      </c>
      <c r="N24" s="25" t="s">
        <v>588</v>
      </c>
      <c r="O24" s="15"/>
      <c r="P24" s="15" t="s">
        <v>589</v>
      </c>
      <c r="Q24" s="15"/>
      <c r="R24" s="15"/>
      <c r="S24" s="18" t="s">
        <v>590</v>
      </c>
      <c r="T24" s="18" t="s">
        <v>591</v>
      </c>
      <c r="U24" s="18" t="str">
        <f>IF(A24="","",IFERROR(IF(LEN(INDEX(Suppliers!$B$9:$B$508,MATCH(C24,Suppliers!$A$9:$A$508,0))&amp;"")=0,"",INDEX(Suppliers!$B$9:$B$508,MATCH(C24,Suppliers!$A$9:$A$508,0))),""))</f>
        <v>WÀRTSILA</v>
      </c>
      <c r="V24" s="18" t="str">
        <f>IF(A24="","",IFERROR(IF(LEN(INDEX(Suppliers!$E$9:$E$508,MATCH(D24,Suppliers!$D$9:$D$508,0))&amp;"")=0,"",INDEX(Suppliers!$E$9:$E$508,MATCH(D24,Suppliers!$D$9:$D$508,0))),""))</f>
        <v>N/A</v>
      </c>
      <c r="W24" s="18" t="str">
        <f>IF(A24="","",IFERROR(IF(LEN(INDEX(Suppliers!$F$9:$F$508,MATCH(D24,Suppliers!$D$9:$D$508,0))&amp;"")=0,"",INDEX(Suppliers!$F$9:$F$508,MATCH(D24,Suppliers!$D$9:$D$508,0))),""))</f>
        <v>N/A</v>
      </c>
      <c r="X24" s="18" t="str">
        <f>IF(A24="","",IFERROR(IF(LEN(INDEX(Suppliers!$G$9:$G$508,MATCH(D24,Suppliers!$D$9:$D$508,0))&amp;"")=0,"",INDEX(Suppliers!$G$9:$G$508,MATCH(D24,Suppliers!$D$9:$D$508,0))),""))</f>
        <v>N/A</v>
      </c>
      <c r="Y24" s="18" t="str">
        <f>IF(A24="","",IFERROR(INDEX(Jobs!$C$9:$C$258,MATCH(B24,Jobs!$A$9:$A$258,0)),""))</f>
        <v>Engine</v>
      </c>
      <c r="Z24" s="18" t="str">
        <f>IF(A24="","",IFERROR(INDEX(Jobs!$B$9:$B$258,MATCH(B24,Jobs!$A$9:$A$258,0)),""))</f>
        <v>Stern tube seals</v>
      </c>
      <c r="AA24" s="19">
        <f>IF(A24="","",IFERROR(VLOOKUP(I24,Lists!$E$9:$F$14,2,FALSE),0))</f>
        <v>7.4755000000000003</v>
      </c>
      <c r="AB24" s="19">
        <f t="shared" si="0"/>
        <v>38878.681024680627</v>
      </c>
      <c r="AC24" s="19">
        <f t="shared" si="1"/>
        <v>290637.58</v>
      </c>
      <c r="AD24" s="19">
        <f t="shared" si="2"/>
        <v>38878.681024680627</v>
      </c>
      <c r="AE24" s="19" t="str">
        <f t="shared" si="3"/>
        <v/>
      </c>
      <c r="AF24" s="19" t="str">
        <f t="shared" si="4"/>
        <v/>
      </c>
      <c r="AG24" s="27" t="str">
        <f t="shared" si="5"/>
        <v/>
      </c>
      <c r="AH24" s="19">
        <f t="shared" si="6"/>
        <v>0</v>
      </c>
      <c r="AI24" s="19">
        <f t="shared" si="7"/>
        <v>0</v>
      </c>
      <c r="AJ24" s="19">
        <f t="shared" si="8"/>
        <v>0</v>
      </c>
      <c r="AK24" s="18" t="str">
        <f>IF(AND(A24&lt;&gt;"",F24="Selected"),COUNTIF($F$9:F24,"Selected"),"")</f>
        <v/>
      </c>
      <c r="AL24" s="18">
        <f>IF(A24="","",COUNTIF($B$9:B24,B24))</f>
        <v>1</v>
      </c>
      <c r="AM24" s="18" t="str">
        <f>IF(A24="","",IF(COUNTIF(Jobs!$A$9:$A$258,B24)&lt;&gt;1,"Check JobID",IF(COUNTIF(Suppliers!$D$9:$D$508,D24)&lt;&gt;1,"Check contact",IF(AA24&lt;=0,"Currency / FX missing",IF(NOT(ISNUMBER(G24)),"Original price missing",IF(G24&lt;0,"Invalid original price",IF(AND(H24&lt;&gt;"",NOT(ISNUMBER(H24))),"Invalid final price",IF(AND(ISNUMBER(H24),H24&lt;0),"Invalid final price",IF(AND(F24="Selected",COUNTIFS($B$9:$B$258,B24,$E$9:$E$258,E24,$F$9:$F$258,"Selected")&gt;1),"Selected scope overlap",IF(AND(ISNUMBER(H24),H24&gt;G24),"Price increased",IF(LEN(H24&amp;"")=0,"Final price pending","OK")))))))))))</f>
        <v>Final price pending</v>
      </c>
      <c r="AN24" s="19">
        <f t="shared" si="9"/>
        <v>0</v>
      </c>
      <c r="AO24" s="18" t="str">
        <f>IF(A24="","",IFERROR(IF(INDEX(Suppliers!$A$9:$A$508,MATCH(D24,Suppliers!$D$9:$D$508,0))=C24,"OK","Contact / supplier mismatch"),"Contact missing"))</f>
        <v>OK</v>
      </c>
      <c r="AP24" s="18" t="str">
        <f>IF(OR(A24="",IFERROR(INDEX(Jobs!$P$9:$P$258,MATCH(B24,Jobs!$A$9:$A$258,0)),"")=""),"",HYPERLINK("#'"&amp;IFERROR(INDEX(Jobs!$P$9:$P$258,MATCH(B24,Jobs!$A$9:$A$258,0)),"")&amp;"'!A1","OPEN JOB"))</f>
        <v>OPEN JOB</v>
      </c>
      <c r="AQ24" s="18" t="s">
        <v>521</v>
      </c>
      <c r="AR24" s="18"/>
      <c r="AS24" t="str">
        <f t="shared" si="10"/>
        <v>J:3802.01_N:1</v>
      </c>
      <c r="AT24" t="str">
        <f t="shared" si="11"/>
        <v>Q:3802.01-Q1</v>
      </c>
    </row>
    <row r="25" spans="1:46" ht="40" customHeight="1" x14ac:dyDescent="0.35">
      <c r="A25" s="14" t="s">
        <v>592</v>
      </c>
      <c r="B25" s="37" t="s">
        <v>312</v>
      </c>
      <c r="C25" s="14" t="s">
        <v>399</v>
      </c>
      <c r="D25" s="15" t="s">
        <v>402</v>
      </c>
      <c r="E25" s="15" t="s">
        <v>514</v>
      </c>
      <c r="F25" s="15" t="s">
        <v>82</v>
      </c>
      <c r="G25" s="24">
        <v>34420</v>
      </c>
      <c r="H25" s="24"/>
      <c r="I25" s="15" t="s">
        <v>516</v>
      </c>
      <c r="J25" s="17"/>
      <c r="K25" s="17"/>
      <c r="L25" s="17"/>
      <c r="M25" s="15"/>
      <c r="N25" s="25" t="s">
        <v>593</v>
      </c>
      <c r="O25" s="15"/>
      <c r="P25" s="15" t="s">
        <v>594</v>
      </c>
      <c r="Q25" s="15"/>
      <c r="R25" s="15"/>
      <c r="S25" s="14" t="s">
        <v>595</v>
      </c>
      <c r="T25" s="14" t="s">
        <v>591</v>
      </c>
      <c r="U25" s="14" t="str">
        <f>IF(A25="","",IFERROR(IF(LEN(INDEX(Suppliers!$B$9:$B$508,MATCH(C25,Suppliers!$A$9:$A$508,0))&amp;"")=0,"",INDEX(Suppliers!$B$9:$B$508,MATCH(C25,Suppliers!$A$9:$A$508,0))),""))</f>
        <v>WÀRTSILA</v>
      </c>
      <c r="V25" s="14" t="str">
        <f>IF(A25="","",IFERROR(IF(LEN(INDEX(Suppliers!$E$9:$E$508,MATCH(D25,Suppliers!$D$9:$D$508,0))&amp;"")=0,"",INDEX(Suppliers!$E$9:$E$508,MATCH(D25,Suppliers!$D$9:$D$508,0))),""))</f>
        <v>N/A</v>
      </c>
      <c r="W25" s="14" t="str">
        <f>IF(A25="","",IFERROR(IF(LEN(INDEX(Suppliers!$F$9:$F$508,MATCH(D25,Suppliers!$D$9:$D$508,0))&amp;"")=0,"",INDEX(Suppliers!$F$9:$F$508,MATCH(D25,Suppliers!$D$9:$D$508,0))),""))</f>
        <v>N/A</v>
      </c>
      <c r="X25" s="14" t="str">
        <f>IF(A25="","",IFERROR(IF(LEN(INDEX(Suppliers!$G$9:$G$508,MATCH(D25,Suppliers!$D$9:$D$508,0))&amp;"")=0,"",INDEX(Suppliers!$G$9:$G$508,MATCH(D25,Suppliers!$D$9:$D$508,0))),""))</f>
        <v>N/A</v>
      </c>
      <c r="Y25" s="14" t="str">
        <f>IF(A25="","",IFERROR(INDEX(Jobs!$C$9:$C$258,MATCH(B25,Jobs!$A$9:$A$258,0)),""))</f>
        <v>Engine</v>
      </c>
      <c r="Z25" s="14" t="str">
        <f>IF(A25="","",IFERROR(INDEX(Jobs!$B$9:$B$258,MATCH(B25,Jobs!$A$9:$A$258,0)),""))</f>
        <v>Stern tube seals</v>
      </c>
      <c r="AA25" s="16">
        <f>IF(A25="","",IFERROR(VLOOKUP(I25,Lists!$E$9:$F$14,2,FALSE),0))</f>
        <v>1</v>
      </c>
      <c r="AB25" s="16">
        <f t="shared" si="0"/>
        <v>34420</v>
      </c>
      <c r="AC25" s="16">
        <f t="shared" si="1"/>
        <v>34420</v>
      </c>
      <c r="AD25" s="16">
        <f t="shared" si="2"/>
        <v>34420</v>
      </c>
      <c r="AE25" s="16" t="str">
        <f t="shared" si="3"/>
        <v/>
      </c>
      <c r="AF25" s="16" t="str">
        <f t="shared" si="4"/>
        <v/>
      </c>
      <c r="AG25" s="26" t="str">
        <f t="shared" si="5"/>
        <v/>
      </c>
      <c r="AH25" s="16">
        <f t="shared" si="6"/>
        <v>0</v>
      </c>
      <c r="AI25" s="16">
        <f t="shared" si="7"/>
        <v>0</v>
      </c>
      <c r="AJ25" s="16">
        <f t="shared" si="8"/>
        <v>0</v>
      </c>
      <c r="AK25" s="14" t="str">
        <f>IF(AND(A25&lt;&gt;"",F25="Selected"),COUNTIF($F$9:F25,"Selected"),"")</f>
        <v/>
      </c>
      <c r="AL25" s="14">
        <f>IF(A25="","",COUNTIF($B$9:B25,B25))</f>
        <v>2</v>
      </c>
      <c r="AM25" s="14" t="str">
        <f>IF(A25="","",IF(COUNTIF(Jobs!$A$9:$A$258,B25)&lt;&gt;1,"Check JobID",IF(COUNTIF(Suppliers!$D$9:$D$508,D25)&lt;&gt;1,"Check contact",IF(AA25&lt;=0,"Currency / FX missing",IF(NOT(ISNUMBER(G25)),"Original price missing",IF(G25&lt;0,"Invalid original price",IF(AND(H25&lt;&gt;"",NOT(ISNUMBER(H25))),"Invalid final price",IF(AND(ISNUMBER(H25),H25&lt;0),"Invalid final price",IF(AND(F25="Selected",COUNTIFS($B$9:$B$258,B25,$E$9:$E$258,E25,$F$9:$F$258,"Selected")&gt;1),"Selected scope overlap",IF(AND(ISNUMBER(H25),H25&gt;G25),"Price increased",IF(LEN(H25&amp;"")=0,"Final price pending","OK")))))))))))</f>
        <v>Final price pending</v>
      </c>
      <c r="AN25" s="16">
        <f t="shared" si="9"/>
        <v>0</v>
      </c>
      <c r="AO25" s="14" t="str">
        <f>IF(A25="","",IFERROR(IF(INDEX(Suppliers!$A$9:$A$508,MATCH(D25,Suppliers!$D$9:$D$508,0))=C25,"OK","Contact / supplier mismatch"),"Contact missing"))</f>
        <v>OK</v>
      </c>
      <c r="AP25" s="14" t="str">
        <f>IF(OR(A25="",IFERROR(INDEX(Jobs!$P$9:$P$258,MATCH(B25,Jobs!$A$9:$A$258,0)),"")=""),"",HYPERLINK("#'"&amp;IFERROR(INDEX(Jobs!$P$9:$P$258,MATCH(B25,Jobs!$A$9:$A$258,0)),"")&amp;"'!A1","OPEN JOB"))</f>
        <v>OPEN JOB</v>
      </c>
      <c r="AQ25" s="14" t="s">
        <v>521</v>
      </c>
      <c r="AR25" s="14"/>
      <c r="AS25" t="str">
        <f t="shared" si="10"/>
        <v>J:3802.01_N:2</v>
      </c>
      <c r="AT25" t="str">
        <f t="shared" si="11"/>
        <v>Q:3802.01-Q2</v>
      </c>
    </row>
    <row r="26" spans="1:46" ht="40" customHeight="1" x14ac:dyDescent="0.35">
      <c r="A26" s="18" t="s">
        <v>596</v>
      </c>
      <c r="B26" s="37" t="s">
        <v>316</v>
      </c>
      <c r="C26" s="18" t="s">
        <v>399</v>
      </c>
      <c r="D26" s="15" t="s">
        <v>402</v>
      </c>
      <c r="E26" s="15" t="s">
        <v>514</v>
      </c>
      <c r="F26" s="15" t="s">
        <v>82</v>
      </c>
      <c r="G26" s="24">
        <v>401719.08</v>
      </c>
      <c r="H26" s="24"/>
      <c r="I26" s="15" t="s">
        <v>516</v>
      </c>
      <c r="J26" s="17"/>
      <c r="K26" s="17"/>
      <c r="L26" s="17"/>
      <c r="M26" s="15"/>
      <c r="N26" s="25" t="s">
        <v>597</v>
      </c>
      <c r="O26" s="15"/>
      <c r="P26" s="15" t="s">
        <v>598</v>
      </c>
      <c r="Q26" s="15"/>
      <c r="R26" s="15"/>
      <c r="S26" s="18" t="s">
        <v>599</v>
      </c>
      <c r="T26" s="18" t="s">
        <v>600</v>
      </c>
      <c r="U26" s="18" t="str">
        <f>IF(A26="","",IFERROR(IF(LEN(INDEX(Suppliers!$B$9:$B$508,MATCH(C26,Suppliers!$A$9:$A$508,0))&amp;"")=0,"",INDEX(Suppliers!$B$9:$B$508,MATCH(C26,Suppliers!$A$9:$A$508,0))),""))</f>
        <v>WÀRTSILA</v>
      </c>
      <c r="V26" s="18" t="str">
        <f>IF(A26="","",IFERROR(IF(LEN(INDEX(Suppliers!$E$9:$E$508,MATCH(D26,Suppliers!$D$9:$D$508,0))&amp;"")=0,"",INDEX(Suppliers!$E$9:$E$508,MATCH(D26,Suppliers!$D$9:$D$508,0))),""))</f>
        <v>N/A</v>
      </c>
      <c r="W26" s="18" t="str">
        <f>IF(A26="","",IFERROR(IF(LEN(INDEX(Suppliers!$F$9:$F$508,MATCH(D26,Suppliers!$D$9:$D$508,0))&amp;"")=0,"",INDEX(Suppliers!$F$9:$F$508,MATCH(D26,Suppliers!$D$9:$D$508,0))),""))</f>
        <v>N/A</v>
      </c>
      <c r="X26" s="18" t="str">
        <f>IF(A26="","",IFERROR(IF(LEN(INDEX(Suppliers!$G$9:$G$508,MATCH(D26,Suppliers!$D$9:$D$508,0))&amp;"")=0,"",INDEX(Suppliers!$G$9:$G$508,MATCH(D26,Suppliers!$D$9:$D$508,0))),""))</f>
        <v>N/A</v>
      </c>
      <c r="Y26" s="18" t="str">
        <f>IF(A26="","",IFERROR(INDEX(Jobs!$C$9:$C$258,MATCH(B26,Jobs!$A$9:$A$258,0)),""))</f>
        <v>Engine</v>
      </c>
      <c r="Z26" s="18" t="str">
        <f>IF(A26="","",IFERROR(INDEX(Jobs!$B$9:$B$258,MATCH(B26,Jobs!$A$9:$A$258,0)),""))</f>
        <v>Main propeller OD box overhaul</v>
      </c>
      <c r="AA26" s="19">
        <f>IF(A26="","",IFERROR(VLOOKUP(I26,Lists!$E$9:$F$14,2,FALSE),0))</f>
        <v>1</v>
      </c>
      <c r="AB26" s="19">
        <f t="shared" si="0"/>
        <v>401719.08</v>
      </c>
      <c r="AC26" s="19">
        <f t="shared" si="1"/>
        <v>401719.08</v>
      </c>
      <c r="AD26" s="19">
        <f t="shared" si="2"/>
        <v>401719.08</v>
      </c>
      <c r="AE26" s="19" t="str">
        <f t="shared" si="3"/>
        <v/>
      </c>
      <c r="AF26" s="19" t="str">
        <f t="shared" si="4"/>
        <v/>
      </c>
      <c r="AG26" s="27" t="str">
        <f t="shared" si="5"/>
        <v/>
      </c>
      <c r="AH26" s="19">
        <f t="shared" si="6"/>
        <v>0</v>
      </c>
      <c r="AI26" s="19">
        <f t="shared" si="7"/>
        <v>0</v>
      </c>
      <c r="AJ26" s="19">
        <f t="shared" si="8"/>
        <v>0</v>
      </c>
      <c r="AK26" s="18" t="str">
        <f>IF(AND(A26&lt;&gt;"",F26="Selected"),COUNTIF($F$9:F26,"Selected"),"")</f>
        <v/>
      </c>
      <c r="AL26" s="18">
        <f>IF(A26="","",COUNTIF($B$9:B26,B26))</f>
        <v>1</v>
      </c>
      <c r="AM26" s="18" t="str">
        <f>IF(A26="","",IF(COUNTIF(Jobs!$A$9:$A$258,B26)&lt;&gt;1,"Check JobID",IF(COUNTIF(Suppliers!$D$9:$D$508,D26)&lt;&gt;1,"Check contact",IF(AA26&lt;=0,"Currency / FX missing",IF(NOT(ISNUMBER(G26)),"Original price missing",IF(G26&lt;0,"Invalid original price",IF(AND(H26&lt;&gt;"",NOT(ISNUMBER(H26))),"Invalid final price",IF(AND(ISNUMBER(H26),H26&lt;0),"Invalid final price",IF(AND(F26="Selected",COUNTIFS($B$9:$B$258,B26,$E$9:$E$258,E26,$F$9:$F$258,"Selected")&gt;1),"Selected scope overlap",IF(AND(ISNUMBER(H26),H26&gt;G26),"Price increased",IF(LEN(H26&amp;"")=0,"Final price pending","OK")))))))))))</f>
        <v>Final price pending</v>
      </c>
      <c r="AN26" s="19">
        <f t="shared" si="9"/>
        <v>0</v>
      </c>
      <c r="AO26" s="18" t="str">
        <f>IF(A26="","",IFERROR(IF(INDEX(Suppliers!$A$9:$A$508,MATCH(D26,Suppliers!$D$9:$D$508,0))=C26,"OK","Contact / supplier mismatch"),"Contact missing"))</f>
        <v>OK</v>
      </c>
      <c r="AP26" s="18" t="str">
        <f>IF(OR(A26="",IFERROR(INDEX(Jobs!$P$9:$P$258,MATCH(B26,Jobs!$A$9:$A$258,0)),"")=""),"",HYPERLINK("#'"&amp;IFERROR(INDEX(Jobs!$P$9:$P$258,MATCH(B26,Jobs!$A$9:$A$258,0)),"")&amp;"'!A1","OPEN JOB"))</f>
        <v>OPEN JOB</v>
      </c>
      <c r="AQ26" s="18" t="s">
        <v>521</v>
      </c>
      <c r="AR26" s="18"/>
      <c r="AS26" t="str">
        <f t="shared" si="10"/>
        <v>J:3805.02_N:1</v>
      </c>
      <c r="AT26" t="str">
        <f t="shared" si="11"/>
        <v>Q:3805.02-Q1</v>
      </c>
    </row>
    <row r="27" spans="1:46" ht="40" customHeight="1" x14ac:dyDescent="0.35">
      <c r="A27" s="14" t="s">
        <v>601</v>
      </c>
      <c r="B27" s="37" t="s">
        <v>331</v>
      </c>
      <c r="C27" s="14" t="s">
        <v>391</v>
      </c>
      <c r="D27" s="15" t="s">
        <v>394</v>
      </c>
      <c r="E27" s="15" t="s">
        <v>514</v>
      </c>
      <c r="F27" s="15" t="s">
        <v>82</v>
      </c>
      <c r="G27" s="24">
        <v>57705</v>
      </c>
      <c r="H27" s="24"/>
      <c r="I27" s="15" t="s">
        <v>516</v>
      </c>
      <c r="J27" s="17"/>
      <c r="K27" s="17"/>
      <c r="L27" s="17"/>
      <c r="M27" s="15"/>
      <c r="N27" s="25" t="s">
        <v>602</v>
      </c>
      <c r="O27" s="15"/>
      <c r="P27" s="15" t="s">
        <v>603</v>
      </c>
      <c r="Q27" s="15"/>
      <c r="R27" s="15"/>
      <c r="S27" s="14" t="s">
        <v>540</v>
      </c>
      <c r="T27" s="14" t="s">
        <v>541</v>
      </c>
      <c r="U27" s="14" t="str">
        <f>IF(A27="","",IFERROR(IF(LEN(INDEX(Suppliers!$B$9:$B$508,MATCH(C27,Suppliers!$A$9:$A$508,0))&amp;"")=0,"",INDEX(Suppliers!$B$9:$B$508,MATCH(C27,Suppliers!$A$9:$A$508,0))),""))</f>
        <v>PINNFABB</v>
      </c>
      <c r="V27" s="14" t="str">
        <f>IF(A27="","",IFERROR(IF(LEN(INDEX(Suppliers!$E$9:$E$508,MATCH(D27,Suppliers!$D$9:$D$508,0))&amp;"")=0,"",INDEX(Suppliers!$E$9:$E$508,MATCH(D27,Suppliers!$D$9:$D$508,0))),""))</f>
        <v xml:space="preserve">MATT </v>
      </c>
      <c r="W27" s="14" t="str">
        <f>IF(A27="","",IFERROR(IF(LEN(INDEX(Suppliers!$F$9:$F$508,MATCH(D27,Suppliers!$D$9:$D$508,0))&amp;"")=0,"",INDEX(Suppliers!$F$9:$F$508,MATCH(D27,Suppliers!$D$9:$D$508,0))),""))</f>
        <v>matteo.fabbricotti@pinfabb.com</v>
      </c>
      <c r="X27" s="14">
        <f>IF(A27="","",IFERROR(IF(LEN(INDEX(Suppliers!$G$9:$G$508,MATCH(D27,Suppliers!$D$9:$D$508,0))&amp;"")=0,"",INDEX(Suppliers!$G$9:$G$508,MATCH(D27,Suppliers!$D$9:$D$508,0))),""))</f>
        <v>3470637034</v>
      </c>
      <c r="Y27" s="14" t="str">
        <f>IF(A27="","",IFERROR(INDEX(Jobs!$C$9:$C$258,MATCH(B27,Jobs!$A$9:$A$258,0)),""))</f>
        <v>Engine</v>
      </c>
      <c r="Z27" s="14" t="str">
        <f>IF(A27="","",IFERROR(INDEX(Jobs!$B$9:$B$258,MATCH(B27,Jobs!$A$9:$A$258,0)),""))</f>
        <v>Stabilizers</v>
      </c>
      <c r="AA27" s="16">
        <f>IF(A27="","",IFERROR(VLOOKUP(I27,Lists!$E$9:$F$14,2,FALSE),0))</f>
        <v>1</v>
      </c>
      <c r="AB27" s="16">
        <f t="shared" si="0"/>
        <v>57705</v>
      </c>
      <c r="AC27" s="16">
        <f t="shared" si="1"/>
        <v>57705</v>
      </c>
      <c r="AD27" s="16">
        <f t="shared" si="2"/>
        <v>57705</v>
      </c>
      <c r="AE27" s="16" t="str">
        <f t="shared" si="3"/>
        <v/>
      </c>
      <c r="AF27" s="16" t="str">
        <f t="shared" si="4"/>
        <v/>
      </c>
      <c r="AG27" s="26" t="str">
        <f t="shared" si="5"/>
        <v/>
      </c>
      <c r="AH27" s="16">
        <f t="shared" si="6"/>
        <v>0</v>
      </c>
      <c r="AI27" s="16">
        <f t="shared" si="7"/>
        <v>0</v>
      </c>
      <c r="AJ27" s="16">
        <f t="shared" si="8"/>
        <v>0</v>
      </c>
      <c r="AK27" s="14" t="str">
        <f>IF(AND(A27&lt;&gt;"",F27="Selected"),COUNTIF($F$9:F27,"Selected"),"")</f>
        <v/>
      </c>
      <c r="AL27" s="14">
        <f>IF(A27="","",COUNTIF($B$9:B27,B27))</f>
        <v>2</v>
      </c>
      <c r="AM27" s="14" t="str">
        <f>IF(A27="","",IF(COUNTIF(Jobs!$A$9:$A$258,B27)&lt;&gt;1,"Check JobID",IF(COUNTIF(Suppliers!$D$9:$D$508,D27)&lt;&gt;1,"Check contact",IF(AA27&lt;=0,"Currency / FX missing",IF(NOT(ISNUMBER(G27)),"Original price missing",IF(G27&lt;0,"Invalid original price",IF(AND(H27&lt;&gt;"",NOT(ISNUMBER(H27))),"Invalid final price",IF(AND(ISNUMBER(H27),H27&lt;0),"Invalid final price",IF(AND(F27="Selected",COUNTIFS($B$9:$B$258,B27,$E$9:$E$258,E27,$F$9:$F$258,"Selected")&gt;1),"Selected scope overlap",IF(AND(ISNUMBER(H27),H27&gt;G27),"Price increased",IF(LEN(H27&amp;"")=0,"Final price pending","OK")))))))))))</f>
        <v>Final price pending</v>
      </c>
      <c r="AN27" s="16">
        <f t="shared" si="9"/>
        <v>0</v>
      </c>
      <c r="AO27" s="14" t="str">
        <f>IF(A27="","",IFERROR(IF(INDEX(Suppliers!$A$9:$A$508,MATCH(D27,Suppliers!$D$9:$D$508,0))=C27,"OK","Contact / supplier mismatch"),"Contact missing"))</f>
        <v>OK</v>
      </c>
      <c r="AP27" s="14" t="str">
        <f>IF(OR(A27="",IFERROR(INDEX(Jobs!$P$9:$P$258,MATCH(B27,Jobs!$A$9:$A$258,0)),"")=""),"",HYPERLINK("#'"&amp;IFERROR(INDEX(Jobs!$P$9:$P$258,MATCH(B27,Jobs!$A$9:$A$258,0)),"")&amp;"'!A1","OPEN JOB"))</f>
        <v>OPEN JOB</v>
      </c>
      <c r="AQ27" s="14" t="s">
        <v>521</v>
      </c>
      <c r="AR27" s="14"/>
      <c r="AS27" t="str">
        <f t="shared" si="10"/>
        <v>J:3812.01_N:2</v>
      </c>
      <c r="AT27" t="str">
        <f t="shared" si="11"/>
        <v>Q:3812.01-Q2</v>
      </c>
    </row>
    <row r="28" spans="1:46" ht="40" customHeight="1" x14ac:dyDescent="0.35">
      <c r="A28" s="18" t="s">
        <v>604</v>
      </c>
      <c r="B28" s="37" t="s">
        <v>331</v>
      </c>
      <c r="C28" s="18" t="s">
        <v>391</v>
      </c>
      <c r="D28" s="15" t="s">
        <v>394</v>
      </c>
      <c r="E28" s="15" t="s">
        <v>514</v>
      </c>
      <c r="F28" s="15" t="s">
        <v>82</v>
      </c>
      <c r="G28" s="24">
        <v>95922</v>
      </c>
      <c r="H28" s="24"/>
      <c r="I28" s="15" t="s">
        <v>516</v>
      </c>
      <c r="J28" s="17"/>
      <c r="K28" s="17"/>
      <c r="L28" s="17"/>
      <c r="M28" s="15"/>
      <c r="N28" s="25" t="s">
        <v>602</v>
      </c>
      <c r="O28" s="15"/>
      <c r="P28" s="15" t="s">
        <v>605</v>
      </c>
      <c r="Q28" s="15"/>
      <c r="R28" s="15"/>
      <c r="S28" s="18" t="s">
        <v>540</v>
      </c>
      <c r="T28" s="18" t="s">
        <v>541</v>
      </c>
      <c r="U28" s="18" t="str">
        <f>IF(A28="","",IFERROR(IF(LEN(INDEX(Suppliers!$B$9:$B$508,MATCH(C28,Suppliers!$A$9:$A$508,0))&amp;"")=0,"",INDEX(Suppliers!$B$9:$B$508,MATCH(C28,Suppliers!$A$9:$A$508,0))),""))</f>
        <v>PINNFABB</v>
      </c>
      <c r="V28" s="18" t="str">
        <f>IF(A28="","",IFERROR(IF(LEN(INDEX(Suppliers!$E$9:$E$508,MATCH(D28,Suppliers!$D$9:$D$508,0))&amp;"")=0,"",INDEX(Suppliers!$E$9:$E$508,MATCH(D28,Suppliers!$D$9:$D$508,0))),""))</f>
        <v xml:space="preserve">MATT </v>
      </c>
      <c r="W28" s="18" t="str">
        <f>IF(A28="","",IFERROR(IF(LEN(INDEX(Suppliers!$F$9:$F$508,MATCH(D28,Suppliers!$D$9:$D$508,0))&amp;"")=0,"",INDEX(Suppliers!$F$9:$F$508,MATCH(D28,Suppliers!$D$9:$D$508,0))),""))</f>
        <v>matteo.fabbricotti@pinfabb.com</v>
      </c>
      <c r="X28" s="18">
        <f>IF(A28="","",IFERROR(IF(LEN(INDEX(Suppliers!$G$9:$G$508,MATCH(D28,Suppliers!$D$9:$D$508,0))&amp;"")=0,"",INDEX(Suppliers!$G$9:$G$508,MATCH(D28,Suppliers!$D$9:$D$508,0))),""))</f>
        <v>3470637034</v>
      </c>
      <c r="Y28" s="18" t="str">
        <f>IF(A28="","",IFERROR(INDEX(Jobs!$C$9:$C$258,MATCH(B28,Jobs!$A$9:$A$258,0)),""))</f>
        <v>Engine</v>
      </c>
      <c r="Z28" s="18" t="str">
        <f>IF(A28="","",IFERROR(INDEX(Jobs!$B$9:$B$258,MATCH(B28,Jobs!$A$9:$A$258,0)),""))</f>
        <v>Stabilizers</v>
      </c>
      <c r="AA28" s="19">
        <f>IF(A28="","",IFERROR(VLOOKUP(I28,Lists!$E$9:$F$14,2,FALSE),0))</f>
        <v>1</v>
      </c>
      <c r="AB28" s="19">
        <f t="shared" si="0"/>
        <v>95922</v>
      </c>
      <c r="AC28" s="19">
        <f t="shared" si="1"/>
        <v>95922</v>
      </c>
      <c r="AD28" s="19">
        <f t="shared" si="2"/>
        <v>95922</v>
      </c>
      <c r="AE28" s="19" t="str">
        <f t="shared" si="3"/>
        <v/>
      </c>
      <c r="AF28" s="19" t="str">
        <f t="shared" si="4"/>
        <v/>
      </c>
      <c r="AG28" s="27" t="str">
        <f t="shared" si="5"/>
        <v/>
      </c>
      <c r="AH28" s="19">
        <f t="shared" si="6"/>
        <v>0</v>
      </c>
      <c r="AI28" s="19">
        <f t="shared" si="7"/>
        <v>0</v>
      </c>
      <c r="AJ28" s="19">
        <f t="shared" si="8"/>
        <v>0</v>
      </c>
      <c r="AK28" s="18" t="str">
        <f>IF(AND(A28&lt;&gt;"",F28="Selected"),COUNTIF($F$9:F28,"Selected"),"")</f>
        <v/>
      </c>
      <c r="AL28" s="18">
        <f>IF(A28="","",COUNTIF($B$9:B28,B28))</f>
        <v>3</v>
      </c>
      <c r="AM28" s="18" t="str">
        <f>IF(A28="","",IF(COUNTIF(Jobs!$A$9:$A$258,B28)&lt;&gt;1,"Check JobID",IF(COUNTIF(Suppliers!$D$9:$D$508,D28)&lt;&gt;1,"Check contact",IF(AA28&lt;=0,"Currency / FX missing",IF(NOT(ISNUMBER(G28)),"Original price missing",IF(G28&lt;0,"Invalid original price",IF(AND(H28&lt;&gt;"",NOT(ISNUMBER(H28))),"Invalid final price",IF(AND(ISNUMBER(H28),H28&lt;0),"Invalid final price",IF(AND(F28="Selected",COUNTIFS($B$9:$B$258,B28,$E$9:$E$258,E28,$F$9:$F$258,"Selected")&gt;1),"Selected scope overlap",IF(AND(ISNUMBER(H28),H28&gt;G28),"Price increased",IF(LEN(H28&amp;"")=0,"Final price pending","OK")))))))))))</f>
        <v>Final price pending</v>
      </c>
      <c r="AN28" s="19">
        <f t="shared" si="9"/>
        <v>0</v>
      </c>
      <c r="AO28" s="18" t="str">
        <f>IF(A28="","",IFERROR(IF(INDEX(Suppliers!$A$9:$A$508,MATCH(D28,Suppliers!$D$9:$D$508,0))=C28,"OK","Contact / supplier mismatch"),"Contact missing"))</f>
        <v>OK</v>
      </c>
      <c r="AP28" s="18" t="str">
        <f>IF(OR(A28="",IFERROR(INDEX(Jobs!$P$9:$P$258,MATCH(B28,Jobs!$A$9:$A$258,0)),"")=""),"",HYPERLINK("#'"&amp;IFERROR(INDEX(Jobs!$P$9:$P$258,MATCH(B28,Jobs!$A$9:$A$258,0)),"")&amp;"'!A1","OPEN JOB"))</f>
        <v>OPEN JOB</v>
      </c>
      <c r="AQ28" s="18" t="s">
        <v>521</v>
      </c>
      <c r="AR28" s="18"/>
      <c r="AS28" t="str">
        <f t="shared" si="10"/>
        <v>J:3812.01_N:3</v>
      </c>
      <c r="AT28" t="str">
        <f t="shared" si="11"/>
        <v>Q:3812.01-Q3</v>
      </c>
    </row>
    <row r="29" spans="1:46" ht="40" customHeight="1" x14ac:dyDescent="0.35">
      <c r="A29" s="14" t="s">
        <v>606</v>
      </c>
      <c r="B29" s="37" t="s">
        <v>85</v>
      </c>
      <c r="C29" s="14" t="s">
        <v>457</v>
      </c>
      <c r="D29" s="15" t="s">
        <v>459</v>
      </c>
      <c r="E29" s="15" t="s">
        <v>514</v>
      </c>
      <c r="F29" s="15" t="s">
        <v>82</v>
      </c>
      <c r="G29" s="24">
        <v>92498.47</v>
      </c>
      <c r="H29" s="24"/>
      <c r="I29" s="15" t="s">
        <v>516</v>
      </c>
      <c r="J29" s="17"/>
      <c r="K29" s="17"/>
      <c r="L29" s="17"/>
      <c r="M29" s="15"/>
      <c r="N29" s="25" t="s">
        <v>607</v>
      </c>
      <c r="O29" s="15"/>
      <c r="P29" s="15" t="s">
        <v>608</v>
      </c>
      <c r="Q29" s="15"/>
      <c r="R29" s="15" t="s">
        <v>79</v>
      </c>
      <c r="S29" s="14" t="s">
        <v>609</v>
      </c>
      <c r="T29" s="14" t="s">
        <v>530</v>
      </c>
      <c r="U29" s="14" t="str">
        <f>IF(A29="","",IFERROR(IF(LEN(INDEX(Suppliers!$B$9:$B$508,MATCH(C29,Suppliers!$A$9:$A$508,0))&amp;"")=0,"",INDEX(Suppliers!$B$9:$B$508,MATCH(C29,Suppliers!$A$9:$A$508,0))),""))</f>
        <v>NIPPON</v>
      </c>
      <c r="V29" s="14" t="str">
        <f>IF(A29="","",IFERROR(IF(LEN(INDEX(Suppliers!$E$9:$E$508,MATCH(D29,Suppliers!$D$9:$D$508,0))&amp;"")=0,"",INDEX(Suppliers!$E$9:$E$508,MATCH(D29,Suppliers!$D$9:$D$508,0))),""))</f>
        <v>Alex Uuetalu</v>
      </c>
      <c r="W29" s="14" t="str">
        <f>IF(A29="","",IFERROR(IF(LEN(INDEX(Suppliers!$F$9:$F$508,MATCH(D29,Suppliers!$D$9:$D$508,0))&amp;"")=0,"",INDEX(Suppliers!$F$9:$F$508,MATCH(D29,Suppliers!$D$9:$D$508,0))),""))</f>
        <v>viktor@vrepair.ee</v>
      </c>
      <c r="X29" s="14" t="str">
        <f>IF(A29="","",IFERROR(IF(LEN(INDEX(Suppliers!$G$9:$G$508,MATCH(D29,Suppliers!$D$9:$D$508,0))&amp;"")=0,"",INDEX(Suppliers!$G$9:$G$508,MATCH(D29,Suppliers!$D$9:$D$508,0))),""))</f>
        <v>N/A</v>
      </c>
      <c r="Y29" s="14" t="str">
        <f>IF(A29="","",IFERROR(INDEX(Jobs!$C$9:$C$258,MATCH(B29,Jobs!$A$9:$A$258,0)),""))</f>
        <v>Hull</v>
      </c>
      <c r="Z29" s="14" t="str">
        <f>IF(A29="","",IFERROR(INDEX(Jobs!$B$9:$B$258,MATCH(B29,Jobs!$A$9:$A$258,0)),""))</f>
        <v>Bottom treatment and paint</v>
      </c>
      <c r="AA29" s="16">
        <f>IF(A29="","",IFERROR(VLOOKUP(I29,Lists!$E$9:$F$14,2,FALSE),0))</f>
        <v>1</v>
      </c>
      <c r="AB29" s="16">
        <f t="shared" si="0"/>
        <v>92498.47</v>
      </c>
      <c r="AC29" s="16">
        <f t="shared" si="1"/>
        <v>92498.47</v>
      </c>
      <c r="AD29" s="16">
        <f t="shared" si="2"/>
        <v>92498.47</v>
      </c>
      <c r="AE29" s="16" t="str">
        <f t="shared" si="3"/>
        <v/>
      </c>
      <c r="AF29" s="16" t="str">
        <f t="shared" si="4"/>
        <v/>
      </c>
      <c r="AG29" s="26" t="str">
        <f t="shared" si="5"/>
        <v/>
      </c>
      <c r="AH29" s="16">
        <f t="shared" si="6"/>
        <v>0</v>
      </c>
      <c r="AI29" s="16">
        <f t="shared" si="7"/>
        <v>0</v>
      </c>
      <c r="AJ29" s="16">
        <f t="shared" si="8"/>
        <v>0</v>
      </c>
      <c r="AK29" s="14" t="str">
        <f>IF(AND(A29&lt;&gt;"",F29="Selected"),COUNTIF($F$9:F29,"Selected"),"")</f>
        <v/>
      </c>
      <c r="AL29" s="14">
        <f>IF(A29="","",COUNTIF($B$9:B29,B29))</f>
        <v>3</v>
      </c>
      <c r="AM29" s="14" t="str">
        <f>IF(A29="","",IF(COUNTIF(Jobs!$A$9:$A$258,B29)&lt;&gt;1,"Check JobID",IF(COUNTIF(Suppliers!$D$9:$D$508,D29)&lt;&gt;1,"Check contact",IF(AA29&lt;=0,"Currency / FX missing",IF(NOT(ISNUMBER(G29)),"Original price missing",IF(G29&lt;0,"Invalid original price",IF(AND(H29&lt;&gt;"",NOT(ISNUMBER(H29))),"Invalid final price",IF(AND(ISNUMBER(H29),H29&lt;0),"Invalid final price",IF(AND(F29="Selected",COUNTIFS($B$9:$B$258,B29,$E$9:$E$258,E29,$F$9:$F$258,"Selected")&gt;1),"Selected scope overlap",IF(AND(ISNUMBER(H29),H29&gt;G29),"Price increased",IF(LEN(H29&amp;"")=0,"Final price pending","OK")))))))))))</f>
        <v>Final price pending</v>
      </c>
      <c r="AN29" s="16">
        <f t="shared" si="9"/>
        <v>0</v>
      </c>
      <c r="AO29" s="14" t="str">
        <f>IF(A29="","",IFERROR(IF(INDEX(Suppliers!$A$9:$A$508,MATCH(D29,Suppliers!$D$9:$D$508,0))=C29,"OK","Contact / supplier mismatch"),"Contact missing"))</f>
        <v>OK</v>
      </c>
      <c r="AP29" s="14" t="str">
        <f>IF(OR(A29="",IFERROR(INDEX(Jobs!$P$9:$P$258,MATCH(B29,Jobs!$A$9:$A$258,0)),"")=""),"",HYPERLINK("#'"&amp;IFERROR(INDEX(Jobs!$P$9:$P$258,MATCH(B29,Jobs!$A$9:$A$258,0)),"")&amp;"'!A1","OPEN JOB"))</f>
        <v>OPEN JOB</v>
      </c>
      <c r="AQ29" s="14" t="s">
        <v>521</v>
      </c>
      <c r="AR29" s="14"/>
      <c r="AS29" t="str">
        <f t="shared" si="10"/>
        <v>J:1001.03_N:3</v>
      </c>
      <c r="AT29" t="str">
        <f t="shared" si="11"/>
        <v>Q:1001.03-Q3</v>
      </c>
    </row>
    <row r="30" spans="1:46" ht="40" customHeight="1" x14ac:dyDescent="0.35">
      <c r="A30" s="18" t="s">
        <v>610</v>
      </c>
      <c r="B30" s="37" t="s">
        <v>331</v>
      </c>
      <c r="C30" s="18" t="s">
        <v>391</v>
      </c>
      <c r="D30" s="15" t="s">
        <v>394</v>
      </c>
      <c r="E30" s="15" t="s">
        <v>514</v>
      </c>
      <c r="F30" s="15"/>
      <c r="G30" s="24"/>
      <c r="H30" s="24"/>
      <c r="I30" s="15"/>
      <c r="J30" s="17"/>
      <c r="K30" s="17"/>
      <c r="L30" s="17"/>
      <c r="M30" s="15"/>
      <c r="N30" s="15"/>
      <c r="O30" s="15"/>
      <c r="P30" s="15"/>
      <c r="Q30" s="15"/>
      <c r="R30" s="15"/>
      <c r="S30" s="18"/>
      <c r="T30" s="18" t="s">
        <v>541</v>
      </c>
      <c r="U30" s="18" t="str">
        <f>IF(A30="","",IFERROR(IF(LEN(INDEX(Suppliers!$B$9:$B$508,MATCH(C30,Suppliers!$A$9:$A$508,0))&amp;"")=0,"",INDEX(Suppliers!$B$9:$B$508,MATCH(C30,Suppliers!$A$9:$A$508,0))),""))</f>
        <v>PINNFABB</v>
      </c>
      <c r="V30" s="18" t="str">
        <f>IF(A30="","",IFERROR(IF(LEN(INDEX(Suppliers!$E$9:$E$508,MATCH(D30,Suppliers!$D$9:$D$508,0))&amp;"")=0,"",INDEX(Suppliers!$E$9:$E$508,MATCH(D30,Suppliers!$D$9:$D$508,0))),""))</f>
        <v xml:space="preserve">MATT </v>
      </c>
      <c r="W30" s="18" t="str">
        <f>IF(A30="","",IFERROR(IF(LEN(INDEX(Suppliers!$F$9:$F$508,MATCH(D30,Suppliers!$D$9:$D$508,0))&amp;"")=0,"",INDEX(Suppliers!$F$9:$F$508,MATCH(D30,Suppliers!$D$9:$D$508,0))),""))</f>
        <v>matteo.fabbricotti@pinfabb.com</v>
      </c>
      <c r="X30" s="18">
        <f>IF(A30="","",IFERROR(IF(LEN(INDEX(Suppliers!$G$9:$G$508,MATCH(D30,Suppliers!$D$9:$D$508,0))&amp;"")=0,"",INDEX(Suppliers!$G$9:$G$508,MATCH(D30,Suppliers!$D$9:$D$508,0))),""))</f>
        <v>3470637034</v>
      </c>
      <c r="Y30" s="18" t="str">
        <f>IF(A30="","",IFERROR(INDEX(Jobs!$C$9:$C$258,MATCH(B30,Jobs!$A$9:$A$258,0)),""))</f>
        <v>Engine</v>
      </c>
      <c r="Z30" s="18" t="str">
        <f>IF(A30="","",IFERROR(INDEX(Jobs!$B$9:$B$258,MATCH(B30,Jobs!$A$9:$A$258,0)),""))</f>
        <v>Stabilizers</v>
      </c>
      <c r="AA30" s="19">
        <f>IF(A30="","",IFERROR(VLOOKUP(I30,Lists!$E$9:$F$14,2,FALSE),0))</f>
        <v>0</v>
      </c>
      <c r="AB30" s="19" t="str">
        <f t="shared" si="0"/>
        <v/>
      </c>
      <c r="AC30" s="19" t="str">
        <f t="shared" si="1"/>
        <v/>
      </c>
      <c r="AD30" s="19" t="str">
        <f t="shared" si="2"/>
        <v/>
      </c>
      <c r="AE30" s="19" t="str">
        <f t="shared" si="3"/>
        <v/>
      </c>
      <c r="AF30" s="19" t="str">
        <f t="shared" si="4"/>
        <v/>
      </c>
      <c r="AG30" s="27" t="str">
        <f t="shared" si="5"/>
        <v/>
      </c>
      <c r="AH30" s="19">
        <f t="shared" si="6"/>
        <v>0</v>
      </c>
      <c r="AI30" s="19">
        <f t="shared" si="7"/>
        <v>0</v>
      </c>
      <c r="AJ30" s="19">
        <f t="shared" si="8"/>
        <v>0</v>
      </c>
      <c r="AK30" s="18" t="str">
        <f>IF(AND(A30&lt;&gt;"",F30="Selected"),COUNTIF($F$9:F30,"Selected"),"")</f>
        <v/>
      </c>
      <c r="AL30" s="18">
        <f>IF(A30="","",COUNTIF($B$9:B30,B30))</f>
        <v>4</v>
      </c>
      <c r="AM30" s="18" t="str">
        <f>IF(A30="","",IF(COUNTIF(Jobs!$A$9:$A$258,B30)&lt;&gt;1,"Check JobID",IF(COUNTIF(Suppliers!$D$9:$D$508,D30)&lt;&gt;1,"Check contact",IF(AA30&lt;=0,"Currency / FX missing",IF(NOT(ISNUMBER(G30)),"Original price missing",IF(G30&lt;0,"Invalid original price",IF(AND(H30&lt;&gt;"",NOT(ISNUMBER(H30))),"Invalid final price",IF(AND(ISNUMBER(H30),H30&lt;0),"Invalid final price",IF(AND(F30="Selected",COUNTIFS($B$9:$B$258,B30,$E$9:$E$258,E30,$F$9:$F$258,"Selected")&gt;1),"Selected scope overlap",IF(AND(ISNUMBER(H30),H30&gt;G30),"Price increased",IF(LEN(H30&amp;"")=0,"Final price pending","OK")))))))))))</f>
        <v>Currency / FX missing</v>
      </c>
      <c r="AN30" s="19">
        <f t="shared" si="9"/>
        <v>0</v>
      </c>
      <c r="AO30" s="18" t="str">
        <f>IF(A30="","",IFERROR(IF(INDEX(Suppliers!$A$9:$A$508,MATCH(D30,Suppliers!$D$9:$D$508,0))=C30,"OK","Contact / supplier mismatch"),"Contact missing"))</f>
        <v>OK</v>
      </c>
      <c r="AP30" s="18" t="str">
        <f>IF(OR(A30="",IFERROR(INDEX(Jobs!$P$9:$P$258,MATCH(B30,Jobs!$A$9:$A$258,0)),"")=""),"",HYPERLINK("#'"&amp;IFERROR(INDEX(Jobs!$P$9:$P$258,MATCH(B30,Jobs!$A$9:$A$258,0)),"")&amp;"'!A1","OPEN JOB"))</f>
        <v>OPEN JOB</v>
      </c>
      <c r="AQ30" s="18"/>
      <c r="AR30" s="18"/>
      <c r="AS30" t="str">
        <f t="shared" si="10"/>
        <v>J:3812.01_N:4</v>
      </c>
      <c r="AT30" t="str">
        <f t="shared" si="11"/>
        <v>Q:3812.01-Q4</v>
      </c>
    </row>
    <row r="31" spans="1:46" ht="40" customHeight="1" x14ac:dyDescent="0.35">
      <c r="A31" s="14"/>
      <c r="B31" s="37"/>
      <c r="C31" s="14"/>
      <c r="D31" s="15"/>
      <c r="E31" s="15"/>
      <c r="F31" s="15"/>
      <c r="G31" s="24"/>
      <c r="H31" s="24"/>
      <c r="I31" s="15"/>
      <c r="J31" s="17"/>
      <c r="K31" s="17"/>
      <c r="L31" s="17"/>
      <c r="M31" s="15"/>
      <c r="N31" s="15"/>
      <c r="O31" s="15"/>
      <c r="P31" s="15"/>
      <c r="Q31" s="15"/>
      <c r="R31" s="15"/>
      <c r="S31" s="14"/>
      <c r="T31" s="14"/>
      <c r="U31" s="14" t="str">
        <f>IF(A31="","",IFERROR(IF(LEN(INDEX(Suppliers!$B$9:$B$508,MATCH(C31,Suppliers!$A$9:$A$508,0))&amp;"")=0,"",INDEX(Suppliers!$B$9:$B$508,MATCH(C31,Suppliers!$A$9:$A$508,0))),""))</f>
        <v/>
      </c>
      <c r="V31" s="14" t="str">
        <f>IF(A31="","",IFERROR(IF(LEN(INDEX(Suppliers!$E$9:$E$508,MATCH(D31,Suppliers!$D$9:$D$508,0))&amp;"")=0,"",INDEX(Suppliers!$E$9:$E$508,MATCH(D31,Suppliers!$D$9:$D$508,0))),""))</f>
        <v/>
      </c>
      <c r="W31" s="14" t="str">
        <f>IF(A31="","",IFERROR(IF(LEN(INDEX(Suppliers!$F$9:$F$508,MATCH(D31,Suppliers!$D$9:$D$508,0))&amp;"")=0,"",INDEX(Suppliers!$F$9:$F$508,MATCH(D31,Suppliers!$D$9:$D$508,0))),""))</f>
        <v/>
      </c>
      <c r="X31" s="14" t="str">
        <f>IF(A31="","",IFERROR(IF(LEN(INDEX(Suppliers!$G$9:$G$508,MATCH(D31,Suppliers!$D$9:$D$508,0))&amp;"")=0,"",INDEX(Suppliers!$G$9:$G$508,MATCH(D31,Suppliers!$D$9:$D$508,0))),""))</f>
        <v/>
      </c>
      <c r="Y31" s="14" t="str">
        <f>IF(A31="","",IFERROR(INDEX(Jobs!$C$9:$C$258,MATCH(B31,Jobs!$A$9:$A$258,0)),""))</f>
        <v/>
      </c>
      <c r="Z31" s="14" t="str">
        <f>IF(A31="","",IFERROR(INDEX(Jobs!$B$9:$B$258,MATCH(B31,Jobs!$A$9:$A$258,0)),""))</f>
        <v/>
      </c>
      <c r="AA31" s="16" t="str">
        <f>IF(A31="","",IFERROR(VLOOKUP(I31,Lists!$E$9:$F$14,2,FALSE),0))</f>
        <v/>
      </c>
      <c r="AB31" s="16" t="str">
        <f t="shared" si="0"/>
        <v/>
      </c>
      <c r="AC31" s="16" t="str">
        <f t="shared" si="1"/>
        <v/>
      </c>
      <c r="AD31" s="16" t="str">
        <f t="shared" si="2"/>
        <v/>
      </c>
      <c r="AE31" s="16" t="str">
        <f t="shared" si="3"/>
        <v/>
      </c>
      <c r="AF31" s="16" t="str">
        <f t="shared" si="4"/>
        <v/>
      </c>
      <c r="AG31" s="26" t="str">
        <f t="shared" si="5"/>
        <v/>
      </c>
      <c r="AH31" s="16" t="str">
        <f t="shared" si="6"/>
        <v/>
      </c>
      <c r="AI31" s="16" t="str">
        <f t="shared" si="7"/>
        <v/>
      </c>
      <c r="AJ31" s="16" t="str">
        <f t="shared" si="8"/>
        <v/>
      </c>
      <c r="AK31" s="14" t="str">
        <f>IF(AND(A31&lt;&gt;"",F31="Selected"),COUNTIF($F$9:F31,"Selected"),"")</f>
        <v/>
      </c>
      <c r="AL31" s="14" t="str">
        <f>IF(A31="","",COUNTIF($B$9:B31,B31))</f>
        <v/>
      </c>
      <c r="AM31" s="14" t="str">
        <f>IF(A31="","",IF(COUNTIF(Jobs!$A$9:$A$258,B31)&lt;&gt;1,"Check JobID",IF(COUNTIF(Suppliers!$D$9:$D$508,D31)&lt;&gt;1,"Check contact",IF(AA31&lt;=0,"Currency / FX missing",IF(NOT(ISNUMBER(G31)),"Original price missing",IF(G31&lt;0,"Invalid original price",IF(AND(H31&lt;&gt;"",NOT(ISNUMBER(H31))),"Invalid final price",IF(AND(ISNUMBER(H31),H31&lt;0),"Invalid final price",IF(AND(F31="Selected",COUNTIFS($B$9:$B$258,B31,$E$9:$E$258,E31,$F$9:$F$258,"Selected")&gt;1),"Selected scope overlap",IF(AND(ISNUMBER(H31),H31&gt;G31),"Price increased",IF(LEN(H31&amp;"")=0,"Final price pending","OK")))))))))))</f>
        <v/>
      </c>
      <c r="AN31" s="16" t="str">
        <f t="shared" si="9"/>
        <v/>
      </c>
      <c r="AO31" s="14" t="str">
        <f>IF(A31="","",IFERROR(IF(INDEX(Suppliers!$A$9:$A$508,MATCH(D31,Suppliers!$D$9:$D$508,0))=C31,"OK","Contact / supplier mismatch"),"Contact missing"))</f>
        <v/>
      </c>
      <c r="AP31" s="14" t="str">
        <f>IF(OR(A31="",IFERROR(INDEX(Jobs!$P$9:$P$258,MATCH(B31,Jobs!$A$9:$A$258,0)),"")=""),"",HYPERLINK("#'"&amp;IFERROR(INDEX(Jobs!$P$9:$P$258,MATCH(B31,Jobs!$A$9:$A$258,0)),"")&amp;"'!A1","OPEN JOB"))</f>
        <v/>
      </c>
      <c r="AQ31" s="14"/>
      <c r="AR31" s="14"/>
      <c r="AS31" t="str">
        <f t="shared" si="10"/>
        <v/>
      </c>
      <c r="AT31" t="str">
        <f t="shared" si="11"/>
        <v/>
      </c>
    </row>
    <row r="32" spans="1:46" ht="40" customHeight="1" x14ac:dyDescent="0.35">
      <c r="A32" s="18"/>
      <c r="B32" s="37"/>
      <c r="C32" s="18"/>
      <c r="D32" s="15"/>
      <c r="E32" s="15"/>
      <c r="F32" s="15"/>
      <c r="G32" s="24"/>
      <c r="H32" s="24"/>
      <c r="I32" s="15"/>
      <c r="J32" s="17"/>
      <c r="K32" s="17"/>
      <c r="L32" s="17"/>
      <c r="M32" s="15"/>
      <c r="N32" s="15"/>
      <c r="O32" s="15"/>
      <c r="P32" s="15"/>
      <c r="Q32" s="15"/>
      <c r="R32" s="15"/>
      <c r="S32" s="18"/>
      <c r="T32" s="18"/>
      <c r="U32" s="18" t="str">
        <f>IF(A32="","",IFERROR(IF(LEN(INDEX(Suppliers!$B$9:$B$508,MATCH(C32,Suppliers!$A$9:$A$508,0))&amp;"")=0,"",INDEX(Suppliers!$B$9:$B$508,MATCH(C32,Suppliers!$A$9:$A$508,0))),""))</f>
        <v/>
      </c>
      <c r="V32" s="18" t="str">
        <f>IF(A32="","",IFERROR(IF(LEN(INDEX(Suppliers!$E$9:$E$508,MATCH(D32,Suppliers!$D$9:$D$508,0))&amp;"")=0,"",INDEX(Suppliers!$E$9:$E$508,MATCH(D32,Suppliers!$D$9:$D$508,0))),""))</f>
        <v/>
      </c>
      <c r="W32" s="18" t="str">
        <f>IF(A32="","",IFERROR(IF(LEN(INDEX(Suppliers!$F$9:$F$508,MATCH(D32,Suppliers!$D$9:$D$508,0))&amp;"")=0,"",INDEX(Suppliers!$F$9:$F$508,MATCH(D32,Suppliers!$D$9:$D$508,0))),""))</f>
        <v/>
      </c>
      <c r="X32" s="18" t="str">
        <f>IF(A32="","",IFERROR(IF(LEN(INDEX(Suppliers!$G$9:$G$508,MATCH(D32,Suppliers!$D$9:$D$508,0))&amp;"")=0,"",INDEX(Suppliers!$G$9:$G$508,MATCH(D32,Suppliers!$D$9:$D$508,0))),""))</f>
        <v/>
      </c>
      <c r="Y32" s="18" t="str">
        <f>IF(A32="","",IFERROR(INDEX(Jobs!$C$9:$C$258,MATCH(B32,Jobs!$A$9:$A$258,0)),""))</f>
        <v/>
      </c>
      <c r="Z32" s="18" t="str">
        <f>IF(A32="","",IFERROR(INDEX(Jobs!$B$9:$B$258,MATCH(B32,Jobs!$A$9:$A$258,0)),""))</f>
        <v/>
      </c>
      <c r="AA32" s="19" t="str">
        <f>IF(A32="","",IFERROR(VLOOKUP(I32,Lists!$E$9:$F$14,2,FALSE),0))</f>
        <v/>
      </c>
      <c r="AB32" s="19" t="str">
        <f t="shared" si="0"/>
        <v/>
      </c>
      <c r="AC32" s="19" t="str">
        <f t="shared" si="1"/>
        <v/>
      </c>
      <c r="AD32" s="19" t="str">
        <f t="shared" si="2"/>
        <v/>
      </c>
      <c r="AE32" s="19" t="str">
        <f t="shared" si="3"/>
        <v/>
      </c>
      <c r="AF32" s="19" t="str">
        <f t="shared" si="4"/>
        <v/>
      </c>
      <c r="AG32" s="27" t="str">
        <f t="shared" si="5"/>
        <v/>
      </c>
      <c r="AH32" s="19" t="str">
        <f t="shared" si="6"/>
        <v/>
      </c>
      <c r="AI32" s="19" t="str">
        <f t="shared" si="7"/>
        <v/>
      </c>
      <c r="AJ32" s="19" t="str">
        <f t="shared" si="8"/>
        <v/>
      </c>
      <c r="AK32" s="18" t="str">
        <f>IF(AND(A32&lt;&gt;"",F32="Selected"),COUNTIF($F$9:F32,"Selected"),"")</f>
        <v/>
      </c>
      <c r="AL32" s="18" t="str">
        <f>IF(A32="","",COUNTIF($B$9:B32,B32))</f>
        <v/>
      </c>
      <c r="AM32" s="18" t="str">
        <f>IF(A32="","",IF(COUNTIF(Jobs!$A$9:$A$258,B32)&lt;&gt;1,"Check JobID",IF(COUNTIF(Suppliers!$D$9:$D$508,D32)&lt;&gt;1,"Check contact",IF(AA32&lt;=0,"Currency / FX missing",IF(NOT(ISNUMBER(G32)),"Original price missing",IF(G32&lt;0,"Invalid original price",IF(AND(H32&lt;&gt;"",NOT(ISNUMBER(H32))),"Invalid final price",IF(AND(ISNUMBER(H32),H32&lt;0),"Invalid final price",IF(AND(F32="Selected",COUNTIFS($B$9:$B$258,B32,$E$9:$E$258,E32,$F$9:$F$258,"Selected")&gt;1),"Selected scope overlap",IF(AND(ISNUMBER(H32),H32&gt;G32),"Price increased",IF(LEN(H32&amp;"")=0,"Final price pending","OK")))))))))))</f>
        <v/>
      </c>
      <c r="AN32" s="19" t="str">
        <f t="shared" si="9"/>
        <v/>
      </c>
      <c r="AO32" s="18" t="str">
        <f>IF(A32="","",IFERROR(IF(INDEX(Suppliers!$A$9:$A$508,MATCH(D32,Suppliers!$D$9:$D$508,0))=C32,"OK","Contact / supplier mismatch"),"Contact missing"))</f>
        <v/>
      </c>
      <c r="AP32" s="18" t="str">
        <f>IF(OR(A32="",IFERROR(INDEX(Jobs!$P$9:$P$258,MATCH(B32,Jobs!$A$9:$A$258,0)),"")=""),"",HYPERLINK("#'"&amp;IFERROR(INDEX(Jobs!$P$9:$P$258,MATCH(B32,Jobs!$A$9:$A$258,0)),"")&amp;"'!A1","OPEN JOB"))</f>
        <v/>
      </c>
      <c r="AQ32" s="18"/>
      <c r="AR32" s="18"/>
      <c r="AS32" t="str">
        <f t="shared" si="10"/>
        <v/>
      </c>
      <c r="AT32" t="str">
        <f t="shared" si="11"/>
        <v/>
      </c>
    </row>
    <row r="33" spans="1:46" ht="40" customHeight="1" x14ac:dyDescent="0.35">
      <c r="A33" s="14"/>
      <c r="B33" s="37"/>
      <c r="C33" s="14"/>
      <c r="D33" s="15"/>
      <c r="E33" s="15"/>
      <c r="F33" s="15"/>
      <c r="G33" s="24"/>
      <c r="H33" s="24"/>
      <c r="I33" s="15"/>
      <c r="J33" s="17"/>
      <c r="K33" s="17"/>
      <c r="L33" s="17"/>
      <c r="M33" s="15"/>
      <c r="N33" s="15"/>
      <c r="O33" s="15"/>
      <c r="P33" s="15"/>
      <c r="Q33" s="15"/>
      <c r="R33" s="15"/>
      <c r="S33" s="14"/>
      <c r="T33" s="14"/>
      <c r="U33" s="14" t="str">
        <f>IF(A33="","",IFERROR(IF(LEN(INDEX(Suppliers!$B$9:$B$508,MATCH(C33,Suppliers!$A$9:$A$508,0))&amp;"")=0,"",INDEX(Suppliers!$B$9:$B$508,MATCH(C33,Suppliers!$A$9:$A$508,0))),""))</f>
        <v/>
      </c>
      <c r="V33" s="14" t="str">
        <f>IF(A33="","",IFERROR(IF(LEN(INDEX(Suppliers!$E$9:$E$508,MATCH(D33,Suppliers!$D$9:$D$508,0))&amp;"")=0,"",INDEX(Suppliers!$E$9:$E$508,MATCH(D33,Suppliers!$D$9:$D$508,0))),""))</f>
        <v/>
      </c>
      <c r="W33" s="14" t="str">
        <f>IF(A33="","",IFERROR(IF(LEN(INDEX(Suppliers!$F$9:$F$508,MATCH(D33,Suppliers!$D$9:$D$508,0))&amp;"")=0,"",INDEX(Suppliers!$F$9:$F$508,MATCH(D33,Suppliers!$D$9:$D$508,0))),""))</f>
        <v/>
      </c>
      <c r="X33" s="14" t="str">
        <f>IF(A33="","",IFERROR(IF(LEN(INDEX(Suppliers!$G$9:$G$508,MATCH(D33,Suppliers!$D$9:$D$508,0))&amp;"")=0,"",INDEX(Suppliers!$G$9:$G$508,MATCH(D33,Suppliers!$D$9:$D$508,0))),""))</f>
        <v/>
      </c>
      <c r="Y33" s="14" t="str">
        <f>IF(A33="","",IFERROR(INDEX(Jobs!$C$9:$C$258,MATCH(B33,Jobs!$A$9:$A$258,0)),""))</f>
        <v/>
      </c>
      <c r="Z33" s="14" t="str">
        <f>IF(A33="","",IFERROR(INDEX(Jobs!$B$9:$B$258,MATCH(B33,Jobs!$A$9:$A$258,0)),""))</f>
        <v/>
      </c>
      <c r="AA33" s="16" t="str">
        <f>IF(A33="","",IFERROR(VLOOKUP(I33,Lists!$E$9:$F$14,2,FALSE),0))</f>
        <v/>
      </c>
      <c r="AB33" s="16" t="str">
        <f t="shared" si="0"/>
        <v/>
      </c>
      <c r="AC33" s="16" t="str">
        <f t="shared" si="1"/>
        <v/>
      </c>
      <c r="AD33" s="16" t="str">
        <f t="shared" si="2"/>
        <v/>
      </c>
      <c r="AE33" s="16" t="str">
        <f t="shared" si="3"/>
        <v/>
      </c>
      <c r="AF33" s="16" t="str">
        <f t="shared" si="4"/>
        <v/>
      </c>
      <c r="AG33" s="26" t="str">
        <f t="shared" si="5"/>
        <v/>
      </c>
      <c r="AH33" s="16" t="str">
        <f t="shared" si="6"/>
        <v/>
      </c>
      <c r="AI33" s="16" t="str">
        <f t="shared" si="7"/>
        <v/>
      </c>
      <c r="AJ33" s="16" t="str">
        <f t="shared" si="8"/>
        <v/>
      </c>
      <c r="AK33" s="14" t="str">
        <f>IF(AND(A33&lt;&gt;"",F33="Selected"),COUNTIF($F$9:F33,"Selected"),"")</f>
        <v/>
      </c>
      <c r="AL33" s="14" t="str">
        <f>IF(A33="","",COUNTIF($B$9:B33,B33))</f>
        <v/>
      </c>
      <c r="AM33" s="14" t="str">
        <f>IF(A33="","",IF(COUNTIF(Jobs!$A$9:$A$258,B33)&lt;&gt;1,"Check JobID",IF(COUNTIF(Suppliers!$D$9:$D$508,D33)&lt;&gt;1,"Check contact",IF(AA33&lt;=0,"Currency / FX missing",IF(NOT(ISNUMBER(G33)),"Original price missing",IF(G33&lt;0,"Invalid original price",IF(AND(H33&lt;&gt;"",NOT(ISNUMBER(H33))),"Invalid final price",IF(AND(ISNUMBER(H33),H33&lt;0),"Invalid final price",IF(AND(F33="Selected",COUNTIFS($B$9:$B$258,B33,$E$9:$E$258,E33,$F$9:$F$258,"Selected")&gt;1),"Selected scope overlap",IF(AND(ISNUMBER(H33),H33&gt;G33),"Price increased",IF(LEN(H33&amp;"")=0,"Final price pending","OK")))))))))))</f>
        <v/>
      </c>
      <c r="AN33" s="16" t="str">
        <f t="shared" si="9"/>
        <v/>
      </c>
      <c r="AO33" s="14" t="str">
        <f>IF(A33="","",IFERROR(IF(INDEX(Suppliers!$A$9:$A$508,MATCH(D33,Suppliers!$D$9:$D$508,0))=C33,"OK","Contact / supplier mismatch"),"Contact missing"))</f>
        <v/>
      </c>
      <c r="AP33" s="14" t="str">
        <f>IF(OR(A33="",IFERROR(INDEX(Jobs!$P$9:$P$258,MATCH(B33,Jobs!$A$9:$A$258,0)),"")=""),"",HYPERLINK("#'"&amp;IFERROR(INDEX(Jobs!$P$9:$P$258,MATCH(B33,Jobs!$A$9:$A$258,0)),"")&amp;"'!A1","OPEN JOB"))</f>
        <v/>
      </c>
      <c r="AQ33" s="14"/>
      <c r="AR33" s="14"/>
      <c r="AS33" t="str">
        <f t="shared" si="10"/>
        <v/>
      </c>
      <c r="AT33" t="str">
        <f t="shared" si="11"/>
        <v/>
      </c>
    </row>
    <row r="34" spans="1:46" ht="40" customHeight="1" x14ac:dyDescent="0.35">
      <c r="A34" s="18"/>
      <c r="B34" s="37"/>
      <c r="C34" s="18"/>
      <c r="D34" s="15"/>
      <c r="E34" s="15"/>
      <c r="F34" s="15"/>
      <c r="G34" s="24"/>
      <c r="H34" s="24"/>
      <c r="I34" s="15"/>
      <c r="J34" s="17"/>
      <c r="K34" s="17"/>
      <c r="L34" s="17"/>
      <c r="M34" s="15"/>
      <c r="N34" s="15"/>
      <c r="O34" s="15"/>
      <c r="P34" s="15"/>
      <c r="Q34" s="15"/>
      <c r="R34" s="15"/>
      <c r="S34" s="18"/>
      <c r="T34" s="18"/>
      <c r="U34" s="18" t="str">
        <f>IF(A34="","",IFERROR(IF(LEN(INDEX(Suppliers!$B$9:$B$508,MATCH(C34,Suppliers!$A$9:$A$508,0))&amp;"")=0,"",INDEX(Suppliers!$B$9:$B$508,MATCH(C34,Suppliers!$A$9:$A$508,0))),""))</f>
        <v/>
      </c>
      <c r="V34" s="18" t="str">
        <f>IF(A34="","",IFERROR(IF(LEN(INDEX(Suppliers!$E$9:$E$508,MATCH(D34,Suppliers!$D$9:$D$508,0))&amp;"")=0,"",INDEX(Suppliers!$E$9:$E$508,MATCH(D34,Suppliers!$D$9:$D$508,0))),""))</f>
        <v/>
      </c>
      <c r="W34" s="18" t="str">
        <f>IF(A34="","",IFERROR(IF(LEN(INDEX(Suppliers!$F$9:$F$508,MATCH(D34,Suppliers!$D$9:$D$508,0))&amp;"")=0,"",INDEX(Suppliers!$F$9:$F$508,MATCH(D34,Suppliers!$D$9:$D$508,0))),""))</f>
        <v/>
      </c>
      <c r="X34" s="18" t="str">
        <f>IF(A34="","",IFERROR(IF(LEN(INDEX(Suppliers!$G$9:$G$508,MATCH(D34,Suppliers!$D$9:$D$508,0))&amp;"")=0,"",INDEX(Suppliers!$G$9:$G$508,MATCH(D34,Suppliers!$D$9:$D$508,0))),""))</f>
        <v/>
      </c>
      <c r="Y34" s="18" t="str">
        <f>IF(A34="","",IFERROR(INDEX(Jobs!$C$9:$C$258,MATCH(B34,Jobs!$A$9:$A$258,0)),""))</f>
        <v/>
      </c>
      <c r="Z34" s="18" t="str">
        <f>IF(A34="","",IFERROR(INDEX(Jobs!$B$9:$B$258,MATCH(B34,Jobs!$A$9:$A$258,0)),""))</f>
        <v/>
      </c>
      <c r="AA34" s="19" t="str">
        <f>IF(A34="","",IFERROR(VLOOKUP(I34,Lists!$E$9:$F$14,2,FALSE),0))</f>
        <v/>
      </c>
      <c r="AB34" s="19" t="str">
        <f t="shared" si="0"/>
        <v/>
      </c>
      <c r="AC34" s="19" t="str">
        <f t="shared" si="1"/>
        <v/>
      </c>
      <c r="AD34" s="19" t="str">
        <f t="shared" si="2"/>
        <v/>
      </c>
      <c r="AE34" s="19" t="str">
        <f t="shared" si="3"/>
        <v/>
      </c>
      <c r="AF34" s="19" t="str">
        <f t="shared" si="4"/>
        <v/>
      </c>
      <c r="AG34" s="27" t="str">
        <f t="shared" si="5"/>
        <v/>
      </c>
      <c r="AH34" s="19" t="str">
        <f t="shared" si="6"/>
        <v/>
      </c>
      <c r="AI34" s="19" t="str">
        <f t="shared" si="7"/>
        <v/>
      </c>
      <c r="AJ34" s="19" t="str">
        <f t="shared" si="8"/>
        <v/>
      </c>
      <c r="AK34" s="18" t="str">
        <f>IF(AND(A34&lt;&gt;"",F34="Selected"),COUNTIF($F$9:F34,"Selected"),"")</f>
        <v/>
      </c>
      <c r="AL34" s="18" t="str">
        <f>IF(A34="","",COUNTIF($B$9:B34,B34))</f>
        <v/>
      </c>
      <c r="AM34" s="18" t="str">
        <f>IF(A34="","",IF(COUNTIF(Jobs!$A$9:$A$258,B34)&lt;&gt;1,"Check JobID",IF(COUNTIF(Suppliers!$D$9:$D$508,D34)&lt;&gt;1,"Check contact",IF(AA34&lt;=0,"Currency / FX missing",IF(NOT(ISNUMBER(G34)),"Original price missing",IF(G34&lt;0,"Invalid original price",IF(AND(H34&lt;&gt;"",NOT(ISNUMBER(H34))),"Invalid final price",IF(AND(ISNUMBER(H34),H34&lt;0),"Invalid final price",IF(AND(F34="Selected",COUNTIFS($B$9:$B$258,B34,$E$9:$E$258,E34,$F$9:$F$258,"Selected")&gt;1),"Selected scope overlap",IF(AND(ISNUMBER(H34),H34&gt;G34),"Price increased",IF(LEN(H34&amp;"")=0,"Final price pending","OK")))))))))))</f>
        <v/>
      </c>
      <c r="AN34" s="19" t="str">
        <f t="shared" si="9"/>
        <v/>
      </c>
      <c r="AO34" s="18" t="str">
        <f>IF(A34="","",IFERROR(IF(INDEX(Suppliers!$A$9:$A$508,MATCH(D34,Suppliers!$D$9:$D$508,0))=C34,"OK","Contact / supplier mismatch"),"Contact missing"))</f>
        <v/>
      </c>
      <c r="AP34" s="18" t="str">
        <f>IF(OR(A34="",IFERROR(INDEX(Jobs!$P$9:$P$258,MATCH(B34,Jobs!$A$9:$A$258,0)),"")=""),"",HYPERLINK("#'"&amp;IFERROR(INDEX(Jobs!$P$9:$P$258,MATCH(B34,Jobs!$A$9:$A$258,0)),"")&amp;"'!A1","OPEN JOB"))</f>
        <v/>
      </c>
      <c r="AQ34" s="18"/>
      <c r="AR34" s="18"/>
      <c r="AS34" t="str">
        <f t="shared" si="10"/>
        <v/>
      </c>
      <c r="AT34" t="str">
        <f t="shared" si="11"/>
        <v/>
      </c>
    </row>
    <row r="35" spans="1:46" ht="40" customHeight="1" x14ac:dyDescent="0.35">
      <c r="A35" s="14"/>
      <c r="B35" s="37"/>
      <c r="C35" s="14"/>
      <c r="D35" s="15"/>
      <c r="E35" s="15"/>
      <c r="F35" s="15"/>
      <c r="G35" s="24"/>
      <c r="H35" s="24"/>
      <c r="I35" s="15"/>
      <c r="J35" s="17"/>
      <c r="K35" s="17"/>
      <c r="L35" s="17"/>
      <c r="M35" s="15"/>
      <c r="N35" s="15"/>
      <c r="O35" s="15"/>
      <c r="P35" s="15"/>
      <c r="Q35" s="15"/>
      <c r="R35" s="15"/>
      <c r="S35" s="14"/>
      <c r="T35" s="14"/>
      <c r="U35" s="14" t="str">
        <f>IF(A35="","",IFERROR(IF(LEN(INDEX(Suppliers!$B$9:$B$508,MATCH(C35,Suppliers!$A$9:$A$508,0))&amp;"")=0,"",INDEX(Suppliers!$B$9:$B$508,MATCH(C35,Suppliers!$A$9:$A$508,0))),""))</f>
        <v/>
      </c>
      <c r="V35" s="14" t="str">
        <f>IF(A35="","",IFERROR(IF(LEN(INDEX(Suppliers!$E$9:$E$508,MATCH(D35,Suppliers!$D$9:$D$508,0))&amp;"")=0,"",INDEX(Suppliers!$E$9:$E$508,MATCH(D35,Suppliers!$D$9:$D$508,0))),""))</f>
        <v/>
      </c>
      <c r="W35" s="14" t="str">
        <f>IF(A35="","",IFERROR(IF(LEN(INDEX(Suppliers!$F$9:$F$508,MATCH(D35,Suppliers!$D$9:$D$508,0))&amp;"")=0,"",INDEX(Suppliers!$F$9:$F$508,MATCH(D35,Suppliers!$D$9:$D$508,0))),""))</f>
        <v/>
      </c>
      <c r="X35" s="14" t="str">
        <f>IF(A35="","",IFERROR(IF(LEN(INDEX(Suppliers!$G$9:$G$508,MATCH(D35,Suppliers!$D$9:$D$508,0))&amp;"")=0,"",INDEX(Suppliers!$G$9:$G$508,MATCH(D35,Suppliers!$D$9:$D$508,0))),""))</f>
        <v/>
      </c>
      <c r="Y35" s="14" t="str">
        <f>IF(A35="","",IFERROR(INDEX(Jobs!$C$9:$C$258,MATCH(B35,Jobs!$A$9:$A$258,0)),""))</f>
        <v/>
      </c>
      <c r="Z35" s="14" t="str">
        <f>IF(A35="","",IFERROR(INDEX(Jobs!$B$9:$B$258,MATCH(B35,Jobs!$A$9:$A$258,0)),""))</f>
        <v/>
      </c>
      <c r="AA35" s="16" t="str">
        <f>IF(A35="","",IFERROR(VLOOKUP(I35,Lists!$E$9:$F$14,2,FALSE),0))</f>
        <v/>
      </c>
      <c r="AB35" s="16" t="str">
        <f t="shared" si="0"/>
        <v/>
      </c>
      <c r="AC35" s="16" t="str">
        <f t="shared" si="1"/>
        <v/>
      </c>
      <c r="AD35" s="16" t="str">
        <f t="shared" si="2"/>
        <v/>
      </c>
      <c r="AE35" s="16" t="str">
        <f t="shared" si="3"/>
        <v/>
      </c>
      <c r="AF35" s="16" t="str">
        <f t="shared" si="4"/>
        <v/>
      </c>
      <c r="AG35" s="26" t="str">
        <f t="shared" si="5"/>
        <v/>
      </c>
      <c r="AH35" s="16" t="str">
        <f t="shared" si="6"/>
        <v/>
      </c>
      <c r="AI35" s="16" t="str">
        <f t="shared" si="7"/>
        <v/>
      </c>
      <c r="AJ35" s="16" t="str">
        <f t="shared" si="8"/>
        <v/>
      </c>
      <c r="AK35" s="14" t="str">
        <f>IF(AND(A35&lt;&gt;"",F35="Selected"),COUNTIF($F$9:F35,"Selected"),"")</f>
        <v/>
      </c>
      <c r="AL35" s="14" t="str">
        <f>IF(A35="","",COUNTIF($B$9:B35,B35))</f>
        <v/>
      </c>
      <c r="AM35" s="14" t="str">
        <f>IF(A35="","",IF(COUNTIF(Jobs!$A$9:$A$258,B35)&lt;&gt;1,"Check JobID",IF(COUNTIF(Suppliers!$D$9:$D$508,D35)&lt;&gt;1,"Check contact",IF(AA35&lt;=0,"Currency / FX missing",IF(NOT(ISNUMBER(G35)),"Original price missing",IF(G35&lt;0,"Invalid original price",IF(AND(H35&lt;&gt;"",NOT(ISNUMBER(H35))),"Invalid final price",IF(AND(ISNUMBER(H35),H35&lt;0),"Invalid final price",IF(AND(F35="Selected",COUNTIFS($B$9:$B$258,B35,$E$9:$E$258,E35,$F$9:$F$258,"Selected")&gt;1),"Selected scope overlap",IF(AND(ISNUMBER(H35),H35&gt;G35),"Price increased",IF(LEN(H35&amp;"")=0,"Final price pending","OK")))))))))))</f>
        <v/>
      </c>
      <c r="AN35" s="16" t="str">
        <f t="shared" si="9"/>
        <v/>
      </c>
      <c r="AO35" s="14" t="str">
        <f>IF(A35="","",IFERROR(IF(INDEX(Suppliers!$A$9:$A$508,MATCH(D35,Suppliers!$D$9:$D$508,0))=C35,"OK","Contact / supplier mismatch"),"Contact missing"))</f>
        <v/>
      </c>
      <c r="AP35" s="14" t="str">
        <f>IF(OR(A35="",IFERROR(INDEX(Jobs!$P$9:$P$258,MATCH(B35,Jobs!$A$9:$A$258,0)),"")=""),"",HYPERLINK("#'"&amp;IFERROR(INDEX(Jobs!$P$9:$P$258,MATCH(B35,Jobs!$A$9:$A$258,0)),"")&amp;"'!A1","OPEN JOB"))</f>
        <v/>
      </c>
      <c r="AQ35" s="14"/>
      <c r="AR35" s="14"/>
      <c r="AS35" t="str">
        <f t="shared" si="10"/>
        <v/>
      </c>
      <c r="AT35" t="str">
        <f t="shared" si="11"/>
        <v/>
      </c>
    </row>
    <row r="36" spans="1:46" ht="40" customHeight="1" x14ac:dyDescent="0.35">
      <c r="A36" s="18"/>
      <c r="B36" s="37"/>
      <c r="C36" s="18"/>
      <c r="D36" s="15"/>
      <c r="E36" s="15"/>
      <c r="F36" s="15"/>
      <c r="G36" s="24"/>
      <c r="H36" s="24"/>
      <c r="I36" s="15"/>
      <c r="J36" s="17"/>
      <c r="K36" s="17"/>
      <c r="L36" s="17"/>
      <c r="M36" s="15"/>
      <c r="N36" s="15"/>
      <c r="O36" s="15"/>
      <c r="P36" s="15"/>
      <c r="Q36" s="15"/>
      <c r="R36" s="15"/>
      <c r="S36" s="18"/>
      <c r="T36" s="18"/>
      <c r="U36" s="18" t="str">
        <f>IF(A36="","",IFERROR(IF(LEN(INDEX(Suppliers!$B$9:$B$508,MATCH(C36,Suppliers!$A$9:$A$508,0))&amp;"")=0,"",INDEX(Suppliers!$B$9:$B$508,MATCH(C36,Suppliers!$A$9:$A$508,0))),""))</f>
        <v/>
      </c>
      <c r="V36" s="18" t="str">
        <f>IF(A36="","",IFERROR(IF(LEN(INDEX(Suppliers!$E$9:$E$508,MATCH(D36,Suppliers!$D$9:$D$508,0))&amp;"")=0,"",INDEX(Suppliers!$E$9:$E$508,MATCH(D36,Suppliers!$D$9:$D$508,0))),""))</f>
        <v/>
      </c>
      <c r="W36" s="18" t="str">
        <f>IF(A36="","",IFERROR(IF(LEN(INDEX(Suppliers!$F$9:$F$508,MATCH(D36,Suppliers!$D$9:$D$508,0))&amp;"")=0,"",INDEX(Suppliers!$F$9:$F$508,MATCH(D36,Suppliers!$D$9:$D$508,0))),""))</f>
        <v/>
      </c>
      <c r="X36" s="18" t="str">
        <f>IF(A36="","",IFERROR(IF(LEN(INDEX(Suppliers!$G$9:$G$508,MATCH(D36,Suppliers!$D$9:$D$508,0))&amp;"")=0,"",INDEX(Suppliers!$G$9:$G$508,MATCH(D36,Suppliers!$D$9:$D$508,0))),""))</f>
        <v/>
      </c>
      <c r="Y36" s="18" t="str">
        <f>IF(A36="","",IFERROR(INDEX(Jobs!$C$9:$C$258,MATCH(B36,Jobs!$A$9:$A$258,0)),""))</f>
        <v/>
      </c>
      <c r="Z36" s="18" t="str">
        <f>IF(A36="","",IFERROR(INDEX(Jobs!$B$9:$B$258,MATCH(B36,Jobs!$A$9:$A$258,0)),""))</f>
        <v/>
      </c>
      <c r="AA36" s="19" t="str">
        <f>IF(A36="","",IFERROR(VLOOKUP(I36,Lists!$E$9:$F$14,2,FALSE),0))</f>
        <v/>
      </c>
      <c r="AB36" s="19" t="str">
        <f t="shared" si="0"/>
        <v/>
      </c>
      <c r="AC36" s="19" t="str">
        <f t="shared" si="1"/>
        <v/>
      </c>
      <c r="AD36" s="19" t="str">
        <f t="shared" si="2"/>
        <v/>
      </c>
      <c r="AE36" s="19" t="str">
        <f t="shared" si="3"/>
        <v/>
      </c>
      <c r="AF36" s="19" t="str">
        <f t="shared" si="4"/>
        <v/>
      </c>
      <c r="AG36" s="27" t="str">
        <f t="shared" si="5"/>
        <v/>
      </c>
      <c r="AH36" s="19" t="str">
        <f t="shared" si="6"/>
        <v/>
      </c>
      <c r="AI36" s="19" t="str">
        <f t="shared" si="7"/>
        <v/>
      </c>
      <c r="AJ36" s="19" t="str">
        <f t="shared" si="8"/>
        <v/>
      </c>
      <c r="AK36" s="18" t="str">
        <f>IF(AND(A36&lt;&gt;"",F36="Selected"),COUNTIF($F$9:F36,"Selected"),"")</f>
        <v/>
      </c>
      <c r="AL36" s="18" t="str">
        <f>IF(A36="","",COUNTIF($B$9:B36,B36))</f>
        <v/>
      </c>
      <c r="AM36" s="18" t="str">
        <f>IF(A36="","",IF(COUNTIF(Jobs!$A$9:$A$258,B36)&lt;&gt;1,"Check JobID",IF(COUNTIF(Suppliers!$D$9:$D$508,D36)&lt;&gt;1,"Check contact",IF(AA36&lt;=0,"Currency / FX missing",IF(NOT(ISNUMBER(G36)),"Original price missing",IF(G36&lt;0,"Invalid original price",IF(AND(H36&lt;&gt;"",NOT(ISNUMBER(H36))),"Invalid final price",IF(AND(ISNUMBER(H36),H36&lt;0),"Invalid final price",IF(AND(F36="Selected",COUNTIFS($B$9:$B$258,B36,$E$9:$E$258,E36,$F$9:$F$258,"Selected")&gt;1),"Selected scope overlap",IF(AND(ISNUMBER(H36),H36&gt;G36),"Price increased",IF(LEN(H36&amp;"")=0,"Final price pending","OK")))))))))))</f>
        <v/>
      </c>
      <c r="AN36" s="19" t="str">
        <f t="shared" si="9"/>
        <v/>
      </c>
      <c r="AO36" s="18" t="str">
        <f>IF(A36="","",IFERROR(IF(INDEX(Suppliers!$A$9:$A$508,MATCH(D36,Suppliers!$D$9:$D$508,0))=C36,"OK","Contact / supplier mismatch"),"Contact missing"))</f>
        <v/>
      </c>
      <c r="AP36" s="18" t="str">
        <f>IF(OR(A36="",IFERROR(INDEX(Jobs!$P$9:$P$258,MATCH(B36,Jobs!$A$9:$A$258,0)),"")=""),"",HYPERLINK("#'"&amp;IFERROR(INDEX(Jobs!$P$9:$P$258,MATCH(B36,Jobs!$A$9:$A$258,0)),"")&amp;"'!A1","OPEN JOB"))</f>
        <v/>
      </c>
      <c r="AQ36" s="18"/>
      <c r="AR36" s="18"/>
      <c r="AS36" t="str">
        <f t="shared" si="10"/>
        <v/>
      </c>
      <c r="AT36" t="str">
        <f t="shared" si="11"/>
        <v/>
      </c>
    </row>
    <row r="37" spans="1:46" ht="40" customHeight="1" x14ac:dyDescent="0.35">
      <c r="A37" s="14"/>
      <c r="B37" s="37"/>
      <c r="C37" s="14"/>
      <c r="D37" s="15"/>
      <c r="E37" s="15"/>
      <c r="F37" s="15"/>
      <c r="G37" s="24"/>
      <c r="H37" s="24"/>
      <c r="I37" s="15"/>
      <c r="J37" s="17"/>
      <c r="K37" s="17"/>
      <c r="L37" s="17"/>
      <c r="M37" s="15"/>
      <c r="N37" s="15"/>
      <c r="O37" s="15"/>
      <c r="P37" s="15"/>
      <c r="Q37" s="15"/>
      <c r="R37" s="15"/>
      <c r="S37" s="14"/>
      <c r="T37" s="14"/>
      <c r="U37" s="14" t="str">
        <f>IF(A37="","",IFERROR(IF(LEN(INDEX(Suppliers!$B$9:$B$508,MATCH(C37,Suppliers!$A$9:$A$508,0))&amp;"")=0,"",INDEX(Suppliers!$B$9:$B$508,MATCH(C37,Suppliers!$A$9:$A$508,0))),""))</f>
        <v/>
      </c>
      <c r="V37" s="14" t="str">
        <f>IF(A37="","",IFERROR(IF(LEN(INDEX(Suppliers!$E$9:$E$508,MATCH(D37,Suppliers!$D$9:$D$508,0))&amp;"")=0,"",INDEX(Suppliers!$E$9:$E$508,MATCH(D37,Suppliers!$D$9:$D$508,0))),""))</f>
        <v/>
      </c>
      <c r="W37" s="14" t="str">
        <f>IF(A37="","",IFERROR(IF(LEN(INDEX(Suppliers!$F$9:$F$508,MATCH(D37,Suppliers!$D$9:$D$508,0))&amp;"")=0,"",INDEX(Suppliers!$F$9:$F$508,MATCH(D37,Suppliers!$D$9:$D$508,0))),""))</f>
        <v/>
      </c>
      <c r="X37" s="14" t="str">
        <f>IF(A37="","",IFERROR(IF(LEN(INDEX(Suppliers!$G$9:$G$508,MATCH(D37,Suppliers!$D$9:$D$508,0))&amp;"")=0,"",INDEX(Suppliers!$G$9:$G$508,MATCH(D37,Suppliers!$D$9:$D$508,0))),""))</f>
        <v/>
      </c>
      <c r="Y37" s="14" t="str">
        <f>IF(A37="","",IFERROR(INDEX(Jobs!$C$9:$C$258,MATCH(B37,Jobs!$A$9:$A$258,0)),""))</f>
        <v/>
      </c>
      <c r="Z37" s="14" t="str">
        <f>IF(A37="","",IFERROR(INDEX(Jobs!$B$9:$B$258,MATCH(B37,Jobs!$A$9:$A$258,0)),""))</f>
        <v/>
      </c>
      <c r="AA37" s="16" t="str">
        <f>IF(A37="","",IFERROR(VLOOKUP(I37,Lists!$E$9:$F$14,2,FALSE),0))</f>
        <v/>
      </c>
      <c r="AB37" s="16" t="str">
        <f t="shared" si="0"/>
        <v/>
      </c>
      <c r="AC37" s="16" t="str">
        <f t="shared" si="1"/>
        <v/>
      </c>
      <c r="AD37" s="16" t="str">
        <f t="shared" si="2"/>
        <v/>
      </c>
      <c r="AE37" s="16" t="str">
        <f t="shared" si="3"/>
        <v/>
      </c>
      <c r="AF37" s="16" t="str">
        <f t="shared" si="4"/>
        <v/>
      </c>
      <c r="AG37" s="26" t="str">
        <f t="shared" si="5"/>
        <v/>
      </c>
      <c r="AH37" s="16" t="str">
        <f t="shared" si="6"/>
        <v/>
      </c>
      <c r="AI37" s="16" t="str">
        <f t="shared" si="7"/>
        <v/>
      </c>
      <c r="AJ37" s="16" t="str">
        <f t="shared" si="8"/>
        <v/>
      </c>
      <c r="AK37" s="14" t="str">
        <f>IF(AND(A37&lt;&gt;"",F37="Selected"),COUNTIF($F$9:F37,"Selected"),"")</f>
        <v/>
      </c>
      <c r="AL37" s="14" t="str">
        <f>IF(A37="","",COUNTIF($B$9:B37,B37))</f>
        <v/>
      </c>
      <c r="AM37" s="14" t="str">
        <f>IF(A37="","",IF(COUNTIF(Jobs!$A$9:$A$258,B37)&lt;&gt;1,"Check JobID",IF(COUNTIF(Suppliers!$D$9:$D$508,D37)&lt;&gt;1,"Check contact",IF(AA37&lt;=0,"Currency / FX missing",IF(NOT(ISNUMBER(G37)),"Original price missing",IF(G37&lt;0,"Invalid original price",IF(AND(H37&lt;&gt;"",NOT(ISNUMBER(H37))),"Invalid final price",IF(AND(ISNUMBER(H37),H37&lt;0),"Invalid final price",IF(AND(F37="Selected",COUNTIFS($B$9:$B$258,B37,$E$9:$E$258,E37,$F$9:$F$258,"Selected")&gt;1),"Selected scope overlap",IF(AND(ISNUMBER(H37),H37&gt;G37),"Price increased",IF(LEN(H37&amp;"")=0,"Final price pending","OK")))))))))))</f>
        <v/>
      </c>
      <c r="AN37" s="16" t="str">
        <f t="shared" si="9"/>
        <v/>
      </c>
      <c r="AO37" s="14" t="str">
        <f>IF(A37="","",IFERROR(IF(INDEX(Suppliers!$A$9:$A$508,MATCH(D37,Suppliers!$D$9:$D$508,0))=C37,"OK","Contact / supplier mismatch"),"Contact missing"))</f>
        <v/>
      </c>
      <c r="AP37" s="14" t="str">
        <f>IF(OR(A37="",IFERROR(INDEX(Jobs!$P$9:$P$258,MATCH(B37,Jobs!$A$9:$A$258,0)),"")=""),"",HYPERLINK("#'"&amp;IFERROR(INDEX(Jobs!$P$9:$P$258,MATCH(B37,Jobs!$A$9:$A$258,0)),"")&amp;"'!A1","OPEN JOB"))</f>
        <v/>
      </c>
      <c r="AQ37" s="14"/>
      <c r="AR37" s="14"/>
      <c r="AS37" t="str">
        <f t="shared" si="10"/>
        <v/>
      </c>
      <c r="AT37" t="str">
        <f t="shared" si="11"/>
        <v/>
      </c>
    </row>
    <row r="38" spans="1:46" ht="40" customHeight="1" x14ac:dyDescent="0.35">
      <c r="A38" s="18"/>
      <c r="B38" s="37"/>
      <c r="C38" s="18"/>
      <c r="D38" s="15"/>
      <c r="E38" s="15"/>
      <c r="F38" s="15"/>
      <c r="G38" s="24"/>
      <c r="H38" s="24"/>
      <c r="I38" s="15"/>
      <c r="J38" s="17"/>
      <c r="K38" s="17"/>
      <c r="L38" s="17"/>
      <c r="M38" s="15"/>
      <c r="N38" s="15"/>
      <c r="O38" s="15"/>
      <c r="P38" s="15"/>
      <c r="Q38" s="15"/>
      <c r="R38" s="15"/>
      <c r="S38" s="18"/>
      <c r="T38" s="18"/>
      <c r="U38" s="18" t="str">
        <f>IF(A38="","",IFERROR(IF(LEN(INDEX(Suppliers!$B$9:$B$508,MATCH(C38,Suppliers!$A$9:$A$508,0))&amp;"")=0,"",INDEX(Suppliers!$B$9:$B$508,MATCH(C38,Suppliers!$A$9:$A$508,0))),""))</f>
        <v/>
      </c>
      <c r="V38" s="18" t="str">
        <f>IF(A38="","",IFERROR(IF(LEN(INDEX(Suppliers!$E$9:$E$508,MATCH(D38,Suppliers!$D$9:$D$508,0))&amp;"")=0,"",INDEX(Suppliers!$E$9:$E$508,MATCH(D38,Suppliers!$D$9:$D$508,0))),""))</f>
        <v/>
      </c>
      <c r="W38" s="18" t="str">
        <f>IF(A38="","",IFERROR(IF(LEN(INDEX(Suppliers!$F$9:$F$508,MATCH(D38,Suppliers!$D$9:$D$508,0))&amp;"")=0,"",INDEX(Suppliers!$F$9:$F$508,MATCH(D38,Suppliers!$D$9:$D$508,0))),""))</f>
        <v/>
      </c>
      <c r="X38" s="18" t="str">
        <f>IF(A38="","",IFERROR(IF(LEN(INDEX(Suppliers!$G$9:$G$508,MATCH(D38,Suppliers!$D$9:$D$508,0))&amp;"")=0,"",INDEX(Suppliers!$G$9:$G$508,MATCH(D38,Suppliers!$D$9:$D$508,0))),""))</f>
        <v/>
      </c>
      <c r="Y38" s="18" t="str">
        <f>IF(A38="","",IFERROR(INDEX(Jobs!$C$9:$C$258,MATCH(B38,Jobs!$A$9:$A$258,0)),""))</f>
        <v/>
      </c>
      <c r="Z38" s="18" t="str">
        <f>IF(A38="","",IFERROR(INDEX(Jobs!$B$9:$B$258,MATCH(B38,Jobs!$A$9:$A$258,0)),""))</f>
        <v/>
      </c>
      <c r="AA38" s="19" t="str">
        <f>IF(A38="","",IFERROR(VLOOKUP(I38,Lists!$E$9:$F$14,2,FALSE),0))</f>
        <v/>
      </c>
      <c r="AB38" s="19" t="str">
        <f t="shared" si="0"/>
        <v/>
      </c>
      <c r="AC38" s="19" t="str">
        <f t="shared" si="1"/>
        <v/>
      </c>
      <c r="AD38" s="19" t="str">
        <f t="shared" si="2"/>
        <v/>
      </c>
      <c r="AE38" s="19" t="str">
        <f t="shared" si="3"/>
        <v/>
      </c>
      <c r="AF38" s="19" t="str">
        <f t="shared" si="4"/>
        <v/>
      </c>
      <c r="AG38" s="27" t="str">
        <f t="shared" si="5"/>
        <v/>
      </c>
      <c r="AH38" s="19" t="str">
        <f t="shared" si="6"/>
        <v/>
      </c>
      <c r="AI38" s="19" t="str">
        <f t="shared" si="7"/>
        <v/>
      </c>
      <c r="AJ38" s="19" t="str">
        <f t="shared" si="8"/>
        <v/>
      </c>
      <c r="AK38" s="18" t="str">
        <f>IF(AND(A38&lt;&gt;"",F38="Selected"),COUNTIF($F$9:F38,"Selected"),"")</f>
        <v/>
      </c>
      <c r="AL38" s="18" t="str">
        <f>IF(A38="","",COUNTIF($B$9:B38,B38))</f>
        <v/>
      </c>
      <c r="AM38" s="18" t="str">
        <f>IF(A38="","",IF(COUNTIF(Jobs!$A$9:$A$258,B38)&lt;&gt;1,"Check JobID",IF(COUNTIF(Suppliers!$D$9:$D$508,D38)&lt;&gt;1,"Check contact",IF(AA38&lt;=0,"Currency / FX missing",IF(NOT(ISNUMBER(G38)),"Original price missing",IF(G38&lt;0,"Invalid original price",IF(AND(H38&lt;&gt;"",NOT(ISNUMBER(H38))),"Invalid final price",IF(AND(ISNUMBER(H38),H38&lt;0),"Invalid final price",IF(AND(F38="Selected",COUNTIFS($B$9:$B$258,B38,$E$9:$E$258,E38,$F$9:$F$258,"Selected")&gt;1),"Selected scope overlap",IF(AND(ISNUMBER(H38),H38&gt;G38),"Price increased",IF(LEN(H38&amp;"")=0,"Final price pending","OK")))))))))))</f>
        <v/>
      </c>
      <c r="AN38" s="19" t="str">
        <f t="shared" si="9"/>
        <v/>
      </c>
      <c r="AO38" s="18" t="str">
        <f>IF(A38="","",IFERROR(IF(INDEX(Suppliers!$A$9:$A$508,MATCH(D38,Suppliers!$D$9:$D$508,0))=C38,"OK","Contact / supplier mismatch"),"Contact missing"))</f>
        <v/>
      </c>
      <c r="AP38" s="18" t="str">
        <f>IF(OR(A38="",IFERROR(INDEX(Jobs!$P$9:$P$258,MATCH(B38,Jobs!$A$9:$A$258,0)),"")=""),"",HYPERLINK("#'"&amp;IFERROR(INDEX(Jobs!$P$9:$P$258,MATCH(B38,Jobs!$A$9:$A$258,0)),"")&amp;"'!A1","OPEN JOB"))</f>
        <v/>
      </c>
      <c r="AQ38" s="18"/>
      <c r="AR38" s="18"/>
      <c r="AS38" t="str">
        <f t="shared" si="10"/>
        <v/>
      </c>
      <c r="AT38" t="str">
        <f t="shared" si="11"/>
        <v/>
      </c>
    </row>
    <row r="39" spans="1:46" ht="40" customHeight="1" x14ac:dyDescent="0.35">
      <c r="A39" s="14"/>
      <c r="B39" s="37"/>
      <c r="C39" s="14"/>
      <c r="D39" s="15"/>
      <c r="E39" s="15"/>
      <c r="F39" s="15"/>
      <c r="G39" s="24"/>
      <c r="H39" s="24"/>
      <c r="I39" s="15"/>
      <c r="J39" s="17"/>
      <c r="K39" s="17"/>
      <c r="L39" s="17"/>
      <c r="M39" s="15"/>
      <c r="N39" s="15"/>
      <c r="O39" s="15"/>
      <c r="P39" s="15"/>
      <c r="Q39" s="15"/>
      <c r="R39" s="15"/>
      <c r="S39" s="14"/>
      <c r="T39" s="14"/>
      <c r="U39" s="14" t="str">
        <f>IF(A39="","",IFERROR(IF(LEN(INDEX(Suppliers!$B$9:$B$508,MATCH(C39,Suppliers!$A$9:$A$508,0))&amp;"")=0,"",INDEX(Suppliers!$B$9:$B$508,MATCH(C39,Suppliers!$A$9:$A$508,0))),""))</f>
        <v/>
      </c>
      <c r="V39" s="14" t="str">
        <f>IF(A39="","",IFERROR(IF(LEN(INDEX(Suppliers!$E$9:$E$508,MATCH(D39,Suppliers!$D$9:$D$508,0))&amp;"")=0,"",INDEX(Suppliers!$E$9:$E$508,MATCH(D39,Suppliers!$D$9:$D$508,0))),""))</f>
        <v/>
      </c>
      <c r="W39" s="14" t="str">
        <f>IF(A39="","",IFERROR(IF(LEN(INDEX(Suppliers!$F$9:$F$508,MATCH(D39,Suppliers!$D$9:$D$508,0))&amp;"")=0,"",INDEX(Suppliers!$F$9:$F$508,MATCH(D39,Suppliers!$D$9:$D$508,0))),""))</f>
        <v/>
      </c>
      <c r="X39" s="14" t="str">
        <f>IF(A39="","",IFERROR(IF(LEN(INDEX(Suppliers!$G$9:$G$508,MATCH(D39,Suppliers!$D$9:$D$508,0))&amp;"")=0,"",INDEX(Suppliers!$G$9:$G$508,MATCH(D39,Suppliers!$D$9:$D$508,0))),""))</f>
        <v/>
      </c>
      <c r="Y39" s="14" t="str">
        <f>IF(A39="","",IFERROR(INDEX(Jobs!$C$9:$C$258,MATCH(B39,Jobs!$A$9:$A$258,0)),""))</f>
        <v/>
      </c>
      <c r="Z39" s="14" t="str">
        <f>IF(A39="","",IFERROR(INDEX(Jobs!$B$9:$B$258,MATCH(B39,Jobs!$A$9:$A$258,0)),""))</f>
        <v/>
      </c>
      <c r="AA39" s="16" t="str">
        <f>IF(A39="","",IFERROR(VLOOKUP(I39,Lists!$E$9:$F$14,2,FALSE),0))</f>
        <v/>
      </c>
      <c r="AB39" s="16" t="str">
        <f t="shared" si="0"/>
        <v/>
      </c>
      <c r="AC39" s="16" t="str">
        <f t="shared" si="1"/>
        <v/>
      </c>
      <c r="AD39" s="16" t="str">
        <f t="shared" si="2"/>
        <v/>
      </c>
      <c r="AE39" s="16" t="str">
        <f t="shared" si="3"/>
        <v/>
      </c>
      <c r="AF39" s="16" t="str">
        <f t="shared" si="4"/>
        <v/>
      </c>
      <c r="AG39" s="26" t="str">
        <f t="shared" si="5"/>
        <v/>
      </c>
      <c r="AH39" s="16" t="str">
        <f t="shared" si="6"/>
        <v/>
      </c>
      <c r="AI39" s="16" t="str">
        <f t="shared" si="7"/>
        <v/>
      </c>
      <c r="AJ39" s="16" t="str">
        <f t="shared" si="8"/>
        <v/>
      </c>
      <c r="AK39" s="14" t="str">
        <f>IF(AND(A39&lt;&gt;"",F39="Selected"),COUNTIF($F$9:F39,"Selected"),"")</f>
        <v/>
      </c>
      <c r="AL39" s="14" t="str">
        <f>IF(A39="","",COUNTIF($B$9:B39,B39))</f>
        <v/>
      </c>
      <c r="AM39" s="14" t="str">
        <f>IF(A39="","",IF(COUNTIF(Jobs!$A$9:$A$258,B39)&lt;&gt;1,"Check JobID",IF(COUNTIF(Suppliers!$D$9:$D$508,D39)&lt;&gt;1,"Check contact",IF(AA39&lt;=0,"Currency / FX missing",IF(NOT(ISNUMBER(G39)),"Original price missing",IF(G39&lt;0,"Invalid original price",IF(AND(H39&lt;&gt;"",NOT(ISNUMBER(H39))),"Invalid final price",IF(AND(ISNUMBER(H39),H39&lt;0),"Invalid final price",IF(AND(F39="Selected",COUNTIFS($B$9:$B$258,B39,$E$9:$E$258,E39,$F$9:$F$258,"Selected")&gt;1),"Selected scope overlap",IF(AND(ISNUMBER(H39),H39&gt;G39),"Price increased",IF(LEN(H39&amp;"")=0,"Final price pending","OK")))))))))))</f>
        <v/>
      </c>
      <c r="AN39" s="16" t="str">
        <f t="shared" si="9"/>
        <v/>
      </c>
      <c r="AO39" s="14" t="str">
        <f>IF(A39="","",IFERROR(IF(INDEX(Suppliers!$A$9:$A$508,MATCH(D39,Suppliers!$D$9:$D$508,0))=C39,"OK","Contact / supplier mismatch"),"Contact missing"))</f>
        <v/>
      </c>
      <c r="AP39" s="14" t="str">
        <f>IF(OR(A39="",IFERROR(INDEX(Jobs!$P$9:$P$258,MATCH(B39,Jobs!$A$9:$A$258,0)),"")=""),"",HYPERLINK("#'"&amp;IFERROR(INDEX(Jobs!$P$9:$P$258,MATCH(B39,Jobs!$A$9:$A$258,0)),"")&amp;"'!A1","OPEN JOB"))</f>
        <v/>
      </c>
      <c r="AQ39" s="14"/>
      <c r="AR39" s="14"/>
      <c r="AS39" t="str">
        <f t="shared" si="10"/>
        <v/>
      </c>
      <c r="AT39" t="str">
        <f t="shared" si="11"/>
        <v/>
      </c>
    </row>
    <row r="40" spans="1:46" ht="40" customHeight="1" x14ac:dyDescent="0.35">
      <c r="A40" s="18"/>
      <c r="B40" s="37"/>
      <c r="C40" s="18"/>
      <c r="D40" s="15"/>
      <c r="E40" s="15"/>
      <c r="F40" s="15"/>
      <c r="G40" s="24"/>
      <c r="H40" s="24"/>
      <c r="I40" s="15"/>
      <c r="J40" s="17"/>
      <c r="K40" s="17"/>
      <c r="L40" s="17"/>
      <c r="M40" s="15"/>
      <c r="N40" s="15"/>
      <c r="O40" s="15"/>
      <c r="P40" s="15"/>
      <c r="Q40" s="15"/>
      <c r="R40" s="15"/>
      <c r="S40" s="18"/>
      <c r="T40" s="18"/>
      <c r="U40" s="18" t="str">
        <f>IF(A40="","",IFERROR(IF(LEN(INDEX(Suppliers!$B$9:$B$508,MATCH(C40,Suppliers!$A$9:$A$508,0))&amp;"")=0,"",INDEX(Suppliers!$B$9:$B$508,MATCH(C40,Suppliers!$A$9:$A$508,0))),""))</f>
        <v/>
      </c>
      <c r="V40" s="18" t="str">
        <f>IF(A40="","",IFERROR(IF(LEN(INDEX(Suppliers!$E$9:$E$508,MATCH(D40,Suppliers!$D$9:$D$508,0))&amp;"")=0,"",INDEX(Suppliers!$E$9:$E$508,MATCH(D40,Suppliers!$D$9:$D$508,0))),""))</f>
        <v/>
      </c>
      <c r="W40" s="18" t="str">
        <f>IF(A40="","",IFERROR(IF(LEN(INDEX(Suppliers!$F$9:$F$508,MATCH(D40,Suppliers!$D$9:$D$508,0))&amp;"")=0,"",INDEX(Suppliers!$F$9:$F$508,MATCH(D40,Suppliers!$D$9:$D$508,0))),""))</f>
        <v/>
      </c>
      <c r="X40" s="18" t="str">
        <f>IF(A40="","",IFERROR(IF(LEN(INDEX(Suppliers!$G$9:$G$508,MATCH(D40,Suppliers!$D$9:$D$508,0))&amp;"")=0,"",INDEX(Suppliers!$G$9:$G$508,MATCH(D40,Suppliers!$D$9:$D$508,0))),""))</f>
        <v/>
      </c>
      <c r="Y40" s="18" t="str">
        <f>IF(A40="","",IFERROR(INDEX(Jobs!$C$9:$C$258,MATCH(B40,Jobs!$A$9:$A$258,0)),""))</f>
        <v/>
      </c>
      <c r="Z40" s="18" t="str">
        <f>IF(A40="","",IFERROR(INDEX(Jobs!$B$9:$B$258,MATCH(B40,Jobs!$A$9:$A$258,0)),""))</f>
        <v/>
      </c>
      <c r="AA40" s="19" t="str">
        <f>IF(A40="","",IFERROR(VLOOKUP(I40,Lists!$E$9:$F$14,2,FALSE),0))</f>
        <v/>
      </c>
      <c r="AB40" s="19" t="str">
        <f t="shared" si="0"/>
        <v/>
      </c>
      <c r="AC40" s="19" t="str">
        <f t="shared" si="1"/>
        <v/>
      </c>
      <c r="AD40" s="19" t="str">
        <f t="shared" si="2"/>
        <v/>
      </c>
      <c r="AE40" s="19" t="str">
        <f t="shared" si="3"/>
        <v/>
      </c>
      <c r="AF40" s="19" t="str">
        <f t="shared" si="4"/>
        <v/>
      </c>
      <c r="AG40" s="27" t="str">
        <f t="shared" si="5"/>
        <v/>
      </c>
      <c r="AH40" s="19" t="str">
        <f t="shared" si="6"/>
        <v/>
      </c>
      <c r="AI40" s="19" t="str">
        <f t="shared" si="7"/>
        <v/>
      </c>
      <c r="AJ40" s="19" t="str">
        <f t="shared" si="8"/>
        <v/>
      </c>
      <c r="AK40" s="18" t="str">
        <f>IF(AND(A40&lt;&gt;"",F40="Selected"),COUNTIF($F$9:F40,"Selected"),"")</f>
        <v/>
      </c>
      <c r="AL40" s="18" t="str">
        <f>IF(A40="","",COUNTIF($B$9:B40,B40))</f>
        <v/>
      </c>
      <c r="AM40" s="18" t="str">
        <f>IF(A40="","",IF(COUNTIF(Jobs!$A$9:$A$258,B40)&lt;&gt;1,"Check JobID",IF(COUNTIF(Suppliers!$D$9:$D$508,D40)&lt;&gt;1,"Check contact",IF(AA40&lt;=0,"Currency / FX missing",IF(NOT(ISNUMBER(G40)),"Original price missing",IF(G40&lt;0,"Invalid original price",IF(AND(H40&lt;&gt;"",NOT(ISNUMBER(H40))),"Invalid final price",IF(AND(ISNUMBER(H40),H40&lt;0),"Invalid final price",IF(AND(F40="Selected",COUNTIFS($B$9:$B$258,B40,$E$9:$E$258,E40,$F$9:$F$258,"Selected")&gt;1),"Selected scope overlap",IF(AND(ISNUMBER(H40),H40&gt;G40),"Price increased",IF(LEN(H40&amp;"")=0,"Final price pending","OK")))))))))))</f>
        <v/>
      </c>
      <c r="AN40" s="19" t="str">
        <f t="shared" si="9"/>
        <v/>
      </c>
      <c r="AO40" s="18" t="str">
        <f>IF(A40="","",IFERROR(IF(INDEX(Suppliers!$A$9:$A$508,MATCH(D40,Suppliers!$D$9:$D$508,0))=C40,"OK","Contact / supplier mismatch"),"Contact missing"))</f>
        <v/>
      </c>
      <c r="AP40" s="18" t="str">
        <f>IF(OR(A40="",IFERROR(INDEX(Jobs!$P$9:$P$258,MATCH(B40,Jobs!$A$9:$A$258,0)),"")=""),"",HYPERLINK("#'"&amp;IFERROR(INDEX(Jobs!$P$9:$P$258,MATCH(B40,Jobs!$A$9:$A$258,0)),"")&amp;"'!A1","OPEN JOB"))</f>
        <v/>
      </c>
      <c r="AQ40" s="18"/>
      <c r="AR40" s="18"/>
      <c r="AS40" t="str">
        <f t="shared" si="10"/>
        <v/>
      </c>
      <c r="AT40" t="str">
        <f t="shared" si="11"/>
        <v/>
      </c>
    </row>
    <row r="41" spans="1:46" ht="40" customHeight="1" x14ac:dyDescent="0.35">
      <c r="A41" s="14"/>
      <c r="B41" s="37"/>
      <c r="C41" s="14"/>
      <c r="D41" s="15"/>
      <c r="E41" s="15"/>
      <c r="F41" s="15"/>
      <c r="G41" s="24"/>
      <c r="H41" s="24"/>
      <c r="I41" s="15"/>
      <c r="J41" s="17"/>
      <c r="K41" s="17"/>
      <c r="L41" s="17"/>
      <c r="M41" s="15"/>
      <c r="N41" s="15"/>
      <c r="O41" s="15"/>
      <c r="P41" s="15"/>
      <c r="Q41" s="15"/>
      <c r="R41" s="15"/>
      <c r="S41" s="14"/>
      <c r="T41" s="14"/>
      <c r="U41" s="14" t="str">
        <f>IF(A41="","",IFERROR(IF(LEN(INDEX(Suppliers!$B$9:$B$508,MATCH(C41,Suppliers!$A$9:$A$508,0))&amp;"")=0,"",INDEX(Suppliers!$B$9:$B$508,MATCH(C41,Suppliers!$A$9:$A$508,0))),""))</f>
        <v/>
      </c>
      <c r="V41" s="14" t="str">
        <f>IF(A41="","",IFERROR(IF(LEN(INDEX(Suppliers!$E$9:$E$508,MATCH(D41,Suppliers!$D$9:$D$508,0))&amp;"")=0,"",INDEX(Suppliers!$E$9:$E$508,MATCH(D41,Suppliers!$D$9:$D$508,0))),""))</f>
        <v/>
      </c>
      <c r="W41" s="14" t="str">
        <f>IF(A41="","",IFERROR(IF(LEN(INDEX(Suppliers!$F$9:$F$508,MATCH(D41,Suppliers!$D$9:$D$508,0))&amp;"")=0,"",INDEX(Suppliers!$F$9:$F$508,MATCH(D41,Suppliers!$D$9:$D$508,0))),""))</f>
        <v/>
      </c>
      <c r="X41" s="14" t="str">
        <f>IF(A41="","",IFERROR(IF(LEN(INDEX(Suppliers!$G$9:$G$508,MATCH(D41,Suppliers!$D$9:$D$508,0))&amp;"")=0,"",INDEX(Suppliers!$G$9:$G$508,MATCH(D41,Suppliers!$D$9:$D$508,0))),""))</f>
        <v/>
      </c>
      <c r="Y41" s="14" t="str">
        <f>IF(A41="","",IFERROR(INDEX(Jobs!$C$9:$C$258,MATCH(B41,Jobs!$A$9:$A$258,0)),""))</f>
        <v/>
      </c>
      <c r="Z41" s="14" t="str">
        <f>IF(A41="","",IFERROR(INDEX(Jobs!$B$9:$B$258,MATCH(B41,Jobs!$A$9:$A$258,0)),""))</f>
        <v/>
      </c>
      <c r="AA41" s="16" t="str">
        <f>IF(A41="","",IFERROR(VLOOKUP(I41,Lists!$E$9:$F$14,2,FALSE),0))</f>
        <v/>
      </c>
      <c r="AB41" s="16" t="str">
        <f t="shared" si="0"/>
        <v/>
      </c>
      <c r="AC41" s="16" t="str">
        <f t="shared" si="1"/>
        <v/>
      </c>
      <c r="AD41" s="16" t="str">
        <f t="shared" si="2"/>
        <v/>
      </c>
      <c r="AE41" s="16" t="str">
        <f t="shared" si="3"/>
        <v/>
      </c>
      <c r="AF41" s="16" t="str">
        <f t="shared" si="4"/>
        <v/>
      </c>
      <c r="AG41" s="26" t="str">
        <f t="shared" si="5"/>
        <v/>
      </c>
      <c r="AH41" s="16" t="str">
        <f t="shared" si="6"/>
        <v/>
      </c>
      <c r="AI41" s="16" t="str">
        <f t="shared" si="7"/>
        <v/>
      </c>
      <c r="AJ41" s="16" t="str">
        <f t="shared" si="8"/>
        <v/>
      </c>
      <c r="AK41" s="14" t="str">
        <f>IF(AND(A41&lt;&gt;"",F41="Selected"),COUNTIF($F$9:F41,"Selected"),"")</f>
        <v/>
      </c>
      <c r="AL41" s="14" t="str">
        <f>IF(A41="","",COUNTIF($B$9:B41,B41))</f>
        <v/>
      </c>
      <c r="AM41" s="14" t="str">
        <f>IF(A41="","",IF(COUNTIF(Jobs!$A$9:$A$258,B41)&lt;&gt;1,"Check JobID",IF(COUNTIF(Suppliers!$D$9:$D$508,D41)&lt;&gt;1,"Check contact",IF(AA41&lt;=0,"Currency / FX missing",IF(NOT(ISNUMBER(G41)),"Original price missing",IF(G41&lt;0,"Invalid original price",IF(AND(H41&lt;&gt;"",NOT(ISNUMBER(H41))),"Invalid final price",IF(AND(ISNUMBER(H41),H41&lt;0),"Invalid final price",IF(AND(F41="Selected",COUNTIFS($B$9:$B$258,B41,$E$9:$E$258,E41,$F$9:$F$258,"Selected")&gt;1),"Selected scope overlap",IF(AND(ISNUMBER(H41),H41&gt;G41),"Price increased",IF(LEN(H41&amp;"")=0,"Final price pending","OK")))))))))))</f>
        <v/>
      </c>
      <c r="AN41" s="16" t="str">
        <f t="shared" si="9"/>
        <v/>
      </c>
      <c r="AO41" s="14" t="str">
        <f>IF(A41="","",IFERROR(IF(INDEX(Suppliers!$A$9:$A$508,MATCH(D41,Suppliers!$D$9:$D$508,0))=C41,"OK","Contact / supplier mismatch"),"Contact missing"))</f>
        <v/>
      </c>
      <c r="AP41" s="14" t="str">
        <f>IF(OR(A41="",IFERROR(INDEX(Jobs!$P$9:$P$258,MATCH(B41,Jobs!$A$9:$A$258,0)),"")=""),"",HYPERLINK("#'"&amp;IFERROR(INDEX(Jobs!$P$9:$P$258,MATCH(B41,Jobs!$A$9:$A$258,0)),"")&amp;"'!A1","OPEN JOB"))</f>
        <v/>
      </c>
      <c r="AQ41" s="14"/>
      <c r="AR41" s="14"/>
      <c r="AS41" t="str">
        <f t="shared" si="10"/>
        <v/>
      </c>
      <c r="AT41" t="str">
        <f t="shared" si="11"/>
        <v/>
      </c>
    </row>
    <row r="42" spans="1:46" ht="40" customHeight="1" x14ac:dyDescent="0.35">
      <c r="A42" s="18"/>
      <c r="B42" s="37"/>
      <c r="C42" s="18"/>
      <c r="D42" s="15"/>
      <c r="E42" s="15"/>
      <c r="F42" s="15"/>
      <c r="G42" s="24"/>
      <c r="H42" s="24"/>
      <c r="I42" s="15"/>
      <c r="J42" s="17"/>
      <c r="K42" s="17"/>
      <c r="L42" s="17"/>
      <c r="M42" s="15"/>
      <c r="N42" s="15"/>
      <c r="O42" s="15"/>
      <c r="P42" s="15"/>
      <c r="Q42" s="15"/>
      <c r="R42" s="15"/>
      <c r="S42" s="18"/>
      <c r="T42" s="18"/>
      <c r="U42" s="18" t="str">
        <f>IF(A42="","",IFERROR(IF(LEN(INDEX(Suppliers!$B$9:$B$508,MATCH(C42,Suppliers!$A$9:$A$508,0))&amp;"")=0,"",INDEX(Suppliers!$B$9:$B$508,MATCH(C42,Suppliers!$A$9:$A$508,0))),""))</f>
        <v/>
      </c>
      <c r="V42" s="18" t="str">
        <f>IF(A42="","",IFERROR(IF(LEN(INDEX(Suppliers!$E$9:$E$508,MATCH(D42,Suppliers!$D$9:$D$508,0))&amp;"")=0,"",INDEX(Suppliers!$E$9:$E$508,MATCH(D42,Suppliers!$D$9:$D$508,0))),""))</f>
        <v/>
      </c>
      <c r="W42" s="18" t="str">
        <f>IF(A42="","",IFERROR(IF(LEN(INDEX(Suppliers!$F$9:$F$508,MATCH(D42,Suppliers!$D$9:$D$508,0))&amp;"")=0,"",INDEX(Suppliers!$F$9:$F$508,MATCH(D42,Suppliers!$D$9:$D$508,0))),""))</f>
        <v/>
      </c>
      <c r="X42" s="18" t="str">
        <f>IF(A42="","",IFERROR(IF(LEN(INDEX(Suppliers!$G$9:$G$508,MATCH(D42,Suppliers!$D$9:$D$508,0))&amp;"")=0,"",INDEX(Suppliers!$G$9:$G$508,MATCH(D42,Suppliers!$D$9:$D$508,0))),""))</f>
        <v/>
      </c>
      <c r="Y42" s="18" t="str">
        <f>IF(A42="","",IFERROR(INDEX(Jobs!$C$9:$C$258,MATCH(B42,Jobs!$A$9:$A$258,0)),""))</f>
        <v/>
      </c>
      <c r="Z42" s="18" t="str">
        <f>IF(A42="","",IFERROR(INDEX(Jobs!$B$9:$B$258,MATCH(B42,Jobs!$A$9:$A$258,0)),""))</f>
        <v/>
      </c>
      <c r="AA42" s="19" t="str">
        <f>IF(A42="","",IFERROR(VLOOKUP(I42,Lists!$E$9:$F$14,2,FALSE),0))</f>
        <v/>
      </c>
      <c r="AB42" s="19" t="str">
        <f t="shared" si="0"/>
        <v/>
      </c>
      <c r="AC42" s="19" t="str">
        <f t="shared" si="1"/>
        <v/>
      </c>
      <c r="AD42" s="19" t="str">
        <f t="shared" si="2"/>
        <v/>
      </c>
      <c r="AE42" s="19" t="str">
        <f t="shared" si="3"/>
        <v/>
      </c>
      <c r="AF42" s="19" t="str">
        <f t="shared" si="4"/>
        <v/>
      </c>
      <c r="AG42" s="27" t="str">
        <f t="shared" si="5"/>
        <v/>
      </c>
      <c r="AH42" s="19" t="str">
        <f t="shared" si="6"/>
        <v/>
      </c>
      <c r="AI42" s="19" t="str">
        <f t="shared" si="7"/>
        <v/>
      </c>
      <c r="AJ42" s="19" t="str">
        <f t="shared" si="8"/>
        <v/>
      </c>
      <c r="AK42" s="18" t="str">
        <f>IF(AND(A42&lt;&gt;"",F42="Selected"),COUNTIF($F$9:F42,"Selected"),"")</f>
        <v/>
      </c>
      <c r="AL42" s="18" t="str">
        <f>IF(A42="","",COUNTIF($B$9:B42,B42))</f>
        <v/>
      </c>
      <c r="AM42" s="18" t="str">
        <f>IF(A42="","",IF(COUNTIF(Jobs!$A$9:$A$258,B42)&lt;&gt;1,"Check JobID",IF(COUNTIF(Suppliers!$D$9:$D$508,D42)&lt;&gt;1,"Check contact",IF(AA42&lt;=0,"Currency / FX missing",IF(NOT(ISNUMBER(G42)),"Original price missing",IF(G42&lt;0,"Invalid original price",IF(AND(H42&lt;&gt;"",NOT(ISNUMBER(H42))),"Invalid final price",IF(AND(ISNUMBER(H42),H42&lt;0),"Invalid final price",IF(AND(F42="Selected",COUNTIFS($B$9:$B$258,B42,$E$9:$E$258,E42,$F$9:$F$258,"Selected")&gt;1),"Selected scope overlap",IF(AND(ISNUMBER(H42),H42&gt;G42),"Price increased",IF(LEN(H42&amp;"")=0,"Final price pending","OK")))))))))))</f>
        <v/>
      </c>
      <c r="AN42" s="19" t="str">
        <f t="shared" si="9"/>
        <v/>
      </c>
      <c r="AO42" s="18" t="str">
        <f>IF(A42="","",IFERROR(IF(INDEX(Suppliers!$A$9:$A$508,MATCH(D42,Suppliers!$D$9:$D$508,0))=C42,"OK","Contact / supplier mismatch"),"Contact missing"))</f>
        <v/>
      </c>
      <c r="AP42" s="18" t="str">
        <f>IF(OR(A42="",IFERROR(INDEX(Jobs!$P$9:$P$258,MATCH(B42,Jobs!$A$9:$A$258,0)),"")=""),"",HYPERLINK("#'"&amp;IFERROR(INDEX(Jobs!$P$9:$P$258,MATCH(B42,Jobs!$A$9:$A$258,0)),"")&amp;"'!A1","OPEN JOB"))</f>
        <v/>
      </c>
      <c r="AQ42" s="18"/>
      <c r="AR42" s="18"/>
      <c r="AS42" t="str">
        <f t="shared" si="10"/>
        <v/>
      </c>
      <c r="AT42" t="str">
        <f t="shared" si="11"/>
        <v/>
      </c>
    </row>
    <row r="43" spans="1:46" ht="40" customHeight="1" x14ac:dyDescent="0.35">
      <c r="A43" s="14"/>
      <c r="B43" s="37"/>
      <c r="C43" s="14"/>
      <c r="D43" s="15"/>
      <c r="E43" s="15"/>
      <c r="F43" s="15"/>
      <c r="G43" s="24"/>
      <c r="H43" s="24"/>
      <c r="I43" s="15"/>
      <c r="J43" s="17"/>
      <c r="K43" s="17"/>
      <c r="L43" s="17"/>
      <c r="M43" s="15"/>
      <c r="N43" s="15"/>
      <c r="O43" s="15"/>
      <c r="P43" s="15"/>
      <c r="Q43" s="15"/>
      <c r="R43" s="15"/>
      <c r="S43" s="14"/>
      <c r="T43" s="14"/>
      <c r="U43" s="14" t="str">
        <f>IF(A43="","",IFERROR(IF(LEN(INDEX(Suppliers!$B$9:$B$508,MATCH(C43,Suppliers!$A$9:$A$508,0))&amp;"")=0,"",INDEX(Suppliers!$B$9:$B$508,MATCH(C43,Suppliers!$A$9:$A$508,0))),""))</f>
        <v/>
      </c>
      <c r="V43" s="14" t="str">
        <f>IF(A43="","",IFERROR(IF(LEN(INDEX(Suppliers!$E$9:$E$508,MATCH(D43,Suppliers!$D$9:$D$508,0))&amp;"")=0,"",INDEX(Suppliers!$E$9:$E$508,MATCH(D43,Suppliers!$D$9:$D$508,0))),""))</f>
        <v/>
      </c>
      <c r="W43" s="14" t="str">
        <f>IF(A43="","",IFERROR(IF(LEN(INDEX(Suppliers!$F$9:$F$508,MATCH(D43,Suppliers!$D$9:$D$508,0))&amp;"")=0,"",INDEX(Suppliers!$F$9:$F$508,MATCH(D43,Suppliers!$D$9:$D$508,0))),""))</f>
        <v/>
      </c>
      <c r="X43" s="14" t="str">
        <f>IF(A43="","",IFERROR(IF(LEN(INDEX(Suppliers!$G$9:$G$508,MATCH(D43,Suppliers!$D$9:$D$508,0))&amp;"")=0,"",INDEX(Suppliers!$G$9:$G$508,MATCH(D43,Suppliers!$D$9:$D$508,0))),""))</f>
        <v/>
      </c>
      <c r="Y43" s="14" t="str">
        <f>IF(A43="","",IFERROR(INDEX(Jobs!$C$9:$C$258,MATCH(B43,Jobs!$A$9:$A$258,0)),""))</f>
        <v/>
      </c>
      <c r="Z43" s="14" t="str">
        <f>IF(A43="","",IFERROR(INDEX(Jobs!$B$9:$B$258,MATCH(B43,Jobs!$A$9:$A$258,0)),""))</f>
        <v/>
      </c>
      <c r="AA43" s="16" t="str">
        <f>IF(A43="","",IFERROR(VLOOKUP(I43,Lists!$E$9:$F$14,2,FALSE),0))</f>
        <v/>
      </c>
      <c r="AB43" s="16" t="str">
        <f t="shared" si="0"/>
        <v/>
      </c>
      <c r="AC43" s="16" t="str">
        <f t="shared" si="1"/>
        <v/>
      </c>
      <c r="AD43" s="16" t="str">
        <f t="shared" si="2"/>
        <v/>
      </c>
      <c r="AE43" s="16" t="str">
        <f t="shared" si="3"/>
        <v/>
      </c>
      <c r="AF43" s="16" t="str">
        <f t="shared" si="4"/>
        <v/>
      </c>
      <c r="AG43" s="26" t="str">
        <f t="shared" si="5"/>
        <v/>
      </c>
      <c r="AH43" s="16" t="str">
        <f t="shared" si="6"/>
        <v/>
      </c>
      <c r="AI43" s="16" t="str">
        <f t="shared" si="7"/>
        <v/>
      </c>
      <c r="AJ43" s="16" t="str">
        <f t="shared" si="8"/>
        <v/>
      </c>
      <c r="AK43" s="14" t="str">
        <f>IF(AND(A43&lt;&gt;"",F43="Selected"),COUNTIF($F$9:F43,"Selected"),"")</f>
        <v/>
      </c>
      <c r="AL43" s="14" t="str">
        <f>IF(A43="","",COUNTIF($B$9:B43,B43))</f>
        <v/>
      </c>
      <c r="AM43" s="14" t="str">
        <f>IF(A43="","",IF(COUNTIF(Jobs!$A$9:$A$258,B43)&lt;&gt;1,"Check JobID",IF(COUNTIF(Suppliers!$D$9:$D$508,D43)&lt;&gt;1,"Check contact",IF(AA43&lt;=0,"Currency / FX missing",IF(NOT(ISNUMBER(G43)),"Original price missing",IF(G43&lt;0,"Invalid original price",IF(AND(H43&lt;&gt;"",NOT(ISNUMBER(H43))),"Invalid final price",IF(AND(ISNUMBER(H43),H43&lt;0),"Invalid final price",IF(AND(F43="Selected",COUNTIFS($B$9:$B$258,B43,$E$9:$E$258,E43,$F$9:$F$258,"Selected")&gt;1),"Selected scope overlap",IF(AND(ISNUMBER(H43),H43&gt;G43),"Price increased",IF(LEN(H43&amp;"")=0,"Final price pending","OK")))))))))))</f>
        <v/>
      </c>
      <c r="AN43" s="16" t="str">
        <f t="shared" si="9"/>
        <v/>
      </c>
      <c r="AO43" s="14" t="str">
        <f>IF(A43="","",IFERROR(IF(INDEX(Suppliers!$A$9:$A$508,MATCH(D43,Suppliers!$D$9:$D$508,0))=C43,"OK","Contact / supplier mismatch"),"Contact missing"))</f>
        <v/>
      </c>
      <c r="AP43" s="14" t="str">
        <f>IF(OR(A43="",IFERROR(INDEX(Jobs!$P$9:$P$258,MATCH(B43,Jobs!$A$9:$A$258,0)),"")=""),"",HYPERLINK("#'"&amp;IFERROR(INDEX(Jobs!$P$9:$P$258,MATCH(B43,Jobs!$A$9:$A$258,0)),"")&amp;"'!A1","OPEN JOB"))</f>
        <v/>
      </c>
      <c r="AQ43" s="14"/>
      <c r="AR43" s="14"/>
      <c r="AS43" t="str">
        <f t="shared" si="10"/>
        <v/>
      </c>
      <c r="AT43" t="str">
        <f t="shared" si="11"/>
        <v/>
      </c>
    </row>
    <row r="44" spans="1:46" ht="40" customHeight="1" x14ac:dyDescent="0.35">
      <c r="A44" s="18"/>
      <c r="B44" s="37"/>
      <c r="C44" s="18"/>
      <c r="D44" s="15"/>
      <c r="E44" s="15"/>
      <c r="F44" s="15"/>
      <c r="G44" s="24"/>
      <c r="H44" s="24"/>
      <c r="I44" s="15"/>
      <c r="J44" s="17"/>
      <c r="K44" s="17"/>
      <c r="L44" s="17"/>
      <c r="M44" s="15"/>
      <c r="N44" s="15"/>
      <c r="O44" s="15"/>
      <c r="P44" s="15"/>
      <c r="Q44" s="15"/>
      <c r="R44" s="15"/>
      <c r="S44" s="18"/>
      <c r="T44" s="18"/>
      <c r="U44" s="18" t="str">
        <f>IF(A44="","",IFERROR(IF(LEN(INDEX(Suppliers!$B$9:$B$508,MATCH(C44,Suppliers!$A$9:$A$508,0))&amp;"")=0,"",INDEX(Suppliers!$B$9:$B$508,MATCH(C44,Suppliers!$A$9:$A$508,0))),""))</f>
        <v/>
      </c>
      <c r="V44" s="18" t="str">
        <f>IF(A44="","",IFERROR(IF(LEN(INDEX(Suppliers!$E$9:$E$508,MATCH(D44,Suppliers!$D$9:$D$508,0))&amp;"")=0,"",INDEX(Suppliers!$E$9:$E$508,MATCH(D44,Suppliers!$D$9:$D$508,0))),""))</f>
        <v/>
      </c>
      <c r="W44" s="18" t="str">
        <f>IF(A44="","",IFERROR(IF(LEN(INDEX(Suppliers!$F$9:$F$508,MATCH(D44,Suppliers!$D$9:$D$508,0))&amp;"")=0,"",INDEX(Suppliers!$F$9:$F$508,MATCH(D44,Suppliers!$D$9:$D$508,0))),""))</f>
        <v/>
      </c>
      <c r="X44" s="18" t="str">
        <f>IF(A44="","",IFERROR(IF(LEN(INDEX(Suppliers!$G$9:$G$508,MATCH(D44,Suppliers!$D$9:$D$508,0))&amp;"")=0,"",INDEX(Suppliers!$G$9:$G$508,MATCH(D44,Suppliers!$D$9:$D$508,0))),""))</f>
        <v/>
      </c>
      <c r="Y44" s="18" t="str">
        <f>IF(A44="","",IFERROR(INDEX(Jobs!$C$9:$C$258,MATCH(B44,Jobs!$A$9:$A$258,0)),""))</f>
        <v/>
      </c>
      <c r="Z44" s="18" t="str">
        <f>IF(A44="","",IFERROR(INDEX(Jobs!$B$9:$B$258,MATCH(B44,Jobs!$A$9:$A$258,0)),""))</f>
        <v/>
      </c>
      <c r="AA44" s="19" t="str">
        <f>IF(A44="","",IFERROR(VLOOKUP(I44,Lists!$E$9:$F$14,2,FALSE),0))</f>
        <v/>
      </c>
      <c r="AB44" s="19" t="str">
        <f t="shared" si="0"/>
        <v/>
      </c>
      <c r="AC44" s="19" t="str">
        <f t="shared" si="1"/>
        <v/>
      </c>
      <c r="AD44" s="19" t="str">
        <f t="shared" si="2"/>
        <v/>
      </c>
      <c r="AE44" s="19" t="str">
        <f t="shared" si="3"/>
        <v/>
      </c>
      <c r="AF44" s="19" t="str">
        <f t="shared" si="4"/>
        <v/>
      </c>
      <c r="AG44" s="27" t="str">
        <f t="shared" si="5"/>
        <v/>
      </c>
      <c r="AH44" s="19" t="str">
        <f t="shared" si="6"/>
        <v/>
      </c>
      <c r="AI44" s="19" t="str">
        <f t="shared" si="7"/>
        <v/>
      </c>
      <c r="AJ44" s="19" t="str">
        <f t="shared" si="8"/>
        <v/>
      </c>
      <c r="AK44" s="18" t="str">
        <f>IF(AND(A44&lt;&gt;"",F44="Selected"),COUNTIF($F$9:F44,"Selected"),"")</f>
        <v/>
      </c>
      <c r="AL44" s="18" t="str">
        <f>IF(A44="","",COUNTIF($B$9:B44,B44))</f>
        <v/>
      </c>
      <c r="AM44" s="18" t="str">
        <f>IF(A44="","",IF(COUNTIF(Jobs!$A$9:$A$258,B44)&lt;&gt;1,"Check JobID",IF(COUNTIF(Suppliers!$D$9:$D$508,D44)&lt;&gt;1,"Check contact",IF(AA44&lt;=0,"Currency / FX missing",IF(NOT(ISNUMBER(G44)),"Original price missing",IF(G44&lt;0,"Invalid original price",IF(AND(H44&lt;&gt;"",NOT(ISNUMBER(H44))),"Invalid final price",IF(AND(ISNUMBER(H44),H44&lt;0),"Invalid final price",IF(AND(F44="Selected",COUNTIFS($B$9:$B$258,B44,$E$9:$E$258,E44,$F$9:$F$258,"Selected")&gt;1),"Selected scope overlap",IF(AND(ISNUMBER(H44),H44&gt;G44),"Price increased",IF(LEN(H44&amp;"")=0,"Final price pending","OK")))))))))))</f>
        <v/>
      </c>
      <c r="AN44" s="19" t="str">
        <f t="shared" si="9"/>
        <v/>
      </c>
      <c r="AO44" s="18" t="str">
        <f>IF(A44="","",IFERROR(IF(INDEX(Suppliers!$A$9:$A$508,MATCH(D44,Suppliers!$D$9:$D$508,0))=C44,"OK","Contact / supplier mismatch"),"Contact missing"))</f>
        <v/>
      </c>
      <c r="AP44" s="18" t="str">
        <f>IF(OR(A44="",IFERROR(INDEX(Jobs!$P$9:$P$258,MATCH(B44,Jobs!$A$9:$A$258,0)),"")=""),"",HYPERLINK("#'"&amp;IFERROR(INDEX(Jobs!$P$9:$P$258,MATCH(B44,Jobs!$A$9:$A$258,0)),"")&amp;"'!A1","OPEN JOB"))</f>
        <v/>
      </c>
      <c r="AQ44" s="18"/>
      <c r="AR44" s="18"/>
      <c r="AS44" t="str">
        <f t="shared" si="10"/>
        <v/>
      </c>
      <c r="AT44" t="str">
        <f t="shared" si="11"/>
        <v/>
      </c>
    </row>
    <row r="45" spans="1:46" ht="40" customHeight="1" x14ac:dyDescent="0.35">
      <c r="A45" s="14"/>
      <c r="B45" s="37"/>
      <c r="C45" s="14"/>
      <c r="D45" s="15"/>
      <c r="E45" s="15"/>
      <c r="F45" s="15"/>
      <c r="G45" s="24"/>
      <c r="H45" s="24"/>
      <c r="I45" s="15"/>
      <c r="J45" s="17"/>
      <c r="K45" s="17"/>
      <c r="L45" s="17"/>
      <c r="M45" s="15"/>
      <c r="N45" s="15"/>
      <c r="O45" s="15"/>
      <c r="P45" s="15"/>
      <c r="Q45" s="15"/>
      <c r="R45" s="15"/>
      <c r="S45" s="14"/>
      <c r="T45" s="14"/>
      <c r="U45" s="14" t="str">
        <f>IF(A45="","",IFERROR(IF(LEN(INDEX(Suppliers!$B$9:$B$508,MATCH(C45,Suppliers!$A$9:$A$508,0))&amp;"")=0,"",INDEX(Suppliers!$B$9:$B$508,MATCH(C45,Suppliers!$A$9:$A$508,0))),""))</f>
        <v/>
      </c>
      <c r="V45" s="14" t="str">
        <f>IF(A45="","",IFERROR(IF(LEN(INDEX(Suppliers!$E$9:$E$508,MATCH(D45,Suppliers!$D$9:$D$508,0))&amp;"")=0,"",INDEX(Suppliers!$E$9:$E$508,MATCH(D45,Suppliers!$D$9:$D$508,0))),""))</f>
        <v/>
      </c>
      <c r="W45" s="14" t="str">
        <f>IF(A45="","",IFERROR(IF(LEN(INDEX(Suppliers!$F$9:$F$508,MATCH(D45,Suppliers!$D$9:$D$508,0))&amp;"")=0,"",INDEX(Suppliers!$F$9:$F$508,MATCH(D45,Suppliers!$D$9:$D$508,0))),""))</f>
        <v/>
      </c>
      <c r="X45" s="14" t="str">
        <f>IF(A45="","",IFERROR(IF(LEN(INDEX(Suppliers!$G$9:$G$508,MATCH(D45,Suppliers!$D$9:$D$508,0))&amp;"")=0,"",INDEX(Suppliers!$G$9:$G$508,MATCH(D45,Suppliers!$D$9:$D$508,0))),""))</f>
        <v/>
      </c>
      <c r="Y45" s="14" t="str">
        <f>IF(A45="","",IFERROR(INDEX(Jobs!$C$9:$C$258,MATCH(B45,Jobs!$A$9:$A$258,0)),""))</f>
        <v/>
      </c>
      <c r="Z45" s="14" t="str">
        <f>IF(A45="","",IFERROR(INDEX(Jobs!$B$9:$B$258,MATCH(B45,Jobs!$A$9:$A$258,0)),""))</f>
        <v/>
      </c>
      <c r="AA45" s="16" t="str">
        <f>IF(A45="","",IFERROR(VLOOKUP(I45,Lists!$E$9:$F$14,2,FALSE),0))</f>
        <v/>
      </c>
      <c r="AB45" s="16" t="str">
        <f t="shared" si="0"/>
        <v/>
      </c>
      <c r="AC45" s="16" t="str">
        <f t="shared" si="1"/>
        <v/>
      </c>
      <c r="AD45" s="16" t="str">
        <f t="shared" si="2"/>
        <v/>
      </c>
      <c r="AE45" s="16" t="str">
        <f t="shared" si="3"/>
        <v/>
      </c>
      <c r="AF45" s="16" t="str">
        <f t="shared" si="4"/>
        <v/>
      </c>
      <c r="AG45" s="26" t="str">
        <f t="shared" si="5"/>
        <v/>
      </c>
      <c r="AH45" s="16" t="str">
        <f t="shared" si="6"/>
        <v/>
      </c>
      <c r="AI45" s="16" t="str">
        <f t="shared" si="7"/>
        <v/>
      </c>
      <c r="AJ45" s="16" t="str">
        <f t="shared" si="8"/>
        <v/>
      </c>
      <c r="AK45" s="14" t="str">
        <f>IF(AND(A45&lt;&gt;"",F45="Selected"),COUNTIF($F$9:F45,"Selected"),"")</f>
        <v/>
      </c>
      <c r="AL45" s="14" t="str">
        <f>IF(A45="","",COUNTIF($B$9:B45,B45))</f>
        <v/>
      </c>
      <c r="AM45" s="14" t="str">
        <f>IF(A45="","",IF(COUNTIF(Jobs!$A$9:$A$258,B45)&lt;&gt;1,"Check JobID",IF(COUNTIF(Suppliers!$D$9:$D$508,D45)&lt;&gt;1,"Check contact",IF(AA45&lt;=0,"Currency / FX missing",IF(NOT(ISNUMBER(G45)),"Original price missing",IF(G45&lt;0,"Invalid original price",IF(AND(H45&lt;&gt;"",NOT(ISNUMBER(H45))),"Invalid final price",IF(AND(ISNUMBER(H45),H45&lt;0),"Invalid final price",IF(AND(F45="Selected",COUNTIFS($B$9:$B$258,B45,$E$9:$E$258,E45,$F$9:$F$258,"Selected")&gt;1),"Selected scope overlap",IF(AND(ISNUMBER(H45),H45&gt;G45),"Price increased",IF(LEN(H45&amp;"")=0,"Final price pending","OK")))))))))))</f>
        <v/>
      </c>
      <c r="AN45" s="16" t="str">
        <f t="shared" si="9"/>
        <v/>
      </c>
      <c r="AO45" s="14" t="str">
        <f>IF(A45="","",IFERROR(IF(INDEX(Suppliers!$A$9:$A$508,MATCH(D45,Suppliers!$D$9:$D$508,0))=C45,"OK","Contact / supplier mismatch"),"Contact missing"))</f>
        <v/>
      </c>
      <c r="AP45" s="14" t="str">
        <f>IF(OR(A45="",IFERROR(INDEX(Jobs!$P$9:$P$258,MATCH(B45,Jobs!$A$9:$A$258,0)),"")=""),"",HYPERLINK("#'"&amp;IFERROR(INDEX(Jobs!$P$9:$P$258,MATCH(B45,Jobs!$A$9:$A$258,0)),"")&amp;"'!A1","OPEN JOB"))</f>
        <v/>
      </c>
      <c r="AQ45" s="14"/>
      <c r="AR45" s="14"/>
      <c r="AS45" t="str">
        <f t="shared" si="10"/>
        <v/>
      </c>
      <c r="AT45" t="str">
        <f t="shared" si="11"/>
        <v/>
      </c>
    </row>
    <row r="46" spans="1:46" ht="40" customHeight="1" x14ac:dyDescent="0.35">
      <c r="A46" s="18"/>
      <c r="B46" s="37"/>
      <c r="C46" s="18"/>
      <c r="D46" s="15"/>
      <c r="E46" s="15"/>
      <c r="F46" s="15"/>
      <c r="G46" s="24"/>
      <c r="H46" s="24"/>
      <c r="I46" s="15"/>
      <c r="J46" s="17"/>
      <c r="K46" s="17"/>
      <c r="L46" s="17"/>
      <c r="M46" s="15"/>
      <c r="N46" s="15"/>
      <c r="O46" s="15"/>
      <c r="P46" s="15"/>
      <c r="Q46" s="15"/>
      <c r="R46" s="15"/>
      <c r="S46" s="18"/>
      <c r="T46" s="18"/>
      <c r="U46" s="18" t="str">
        <f>IF(A46="","",IFERROR(IF(LEN(INDEX(Suppliers!$B$9:$B$508,MATCH(C46,Suppliers!$A$9:$A$508,0))&amp;"")=0,"",INDEX(Suppliers!$B$9:$B$508,MATCH(C46,Suppliers!$A$9:$A$508,0))),""))</f>
        <v/>
      </c>
      <c r="V46" s="18" t="str">
        <f>IF(A46="","",IFERROR(IF(LEN(INDEX(Suppliers!$E$9:$E$508,MATCH(D46,Suppliers!$D$9:$D$508,0))&amp;"")=0,"",INDEX(Suppliers!$E$9:$E$508,MATCH(D46,Suppliers!$D$9:$D$508,0))),""))</f>
        <v/>
      </c>
      <c r="W46" s="18" t="str">
        <f>IF(A46="","",IFERROR(IF(LEN(INDEX(Suppliers!$F$9:$F$508,MATCH(D46,Suppliers!$D$9:$D$508,0))&amp;"")=0,"",INDEX(Suppliers!$F$9:$F$508,MATCH(D46,Suppliers!$D$9:$D$508,0))),""))</f>
        <v/>
      </c>
      <c r="X46" s="18" t="str">
        <f>IF(A46="","",IFERROR(IF(LEN(INDEX(Suppliers!$G$9:$G$508,MATCH(D46,Suppliers!$D$9:$D$508,0))&amp;"")=0,"",INDEX(Suppliers!$G$9:$G$508,MATCH(D46,Suppliers!$D$9:$D$508,0))),""))</f>
        <v/>
      </c>
      <c r="Y46" s="18" t="str">
        <f>IF(A46="","",IFERROR(INDEX(Jobs!$C$9:$C$258,MATCH(B46,Jobs!$A$9:$A$258,0)),""))</f>
        <v/>
      </c>
      <c r="Z46" s="18" t="str">
        <f>IF(A46="","",IFERROR(INDEX(Jobs!$B$9:$B$258,MATCH(B46,Jobs!$A$9:$A$258,0)),""))</f>
        <v/>
      </c>
      <c r="AA46" s="19" t="str">
        <f>IF(A46="","",IFERROR(VLOOKUP(I46,Lists!$E$9:$F$14,2,FALSE),0))</f>
        <v/>
      </c>
      <c r="AB46" s="19" t="str">
        <f t="shared" si="0"/>
        <v/>
      </c>
      <c r="AC46" s="19" t="str">
        <f t="shared" si="1"/>
        <v/>
      </c>
      <c r="AD46" s="19" t="str">
        <f t="shared" si="2"/>
        <v/>
      </c>
      <c r="AE46" s="19" t="str">
        <f t="shared" si="3"/>
        <v/>
      </c>
      <c r="AF46" s="19" t="str">
        <f t="shared" si="4"/>
        <v/>
      </c>
      <c r="AG46" s="27" t="str">
        <f t="shared" si="5"/>
        <v/>
      </c>
      <c r="AH46" s="19" t="str">
        <f t="shared" si="6"/>
        <v/>
      </c>
      <c r="AI46" s="19" t="str">
        <f t="shared" si="7"/>
        <v/>
      </c>
      <c r="AJ46" s="19" t="str">
        <f t="shared" si="8"/>
        <v/>
      </c>
      <c r="AK46" s="18" t="str">
        <f>IF(AND(A46&lt;&gt;"",F46="Selected"),COUNTIF($F$9:F46,"Selected"),"")</f>
        <v/>
      </c>
      <c r="AL46" s="18" t="str">
        <f>IF(A46="","",COUNTIF($B$9:B46,B46))</f>
        <v/>
      </c>
      <c r="AM46" s="18" t="str">
        <f>IF(A46="","",IF(COUNTIF(Jobs!$A$9:$A$258,B46)&lt;&gt;1,"Check JobID",IF(COUNTIF(Suppliers!$D$9:$D$508,D46)&lt;&gt;1,"Check contact",IF(AA46&lt;=0,"Currency / FX missing",IF(NOT(ISNUMBER(G46)),"Original price missing",IF(G46&lt;0,"Invalid original price",IF(AND(H46&lt;&gt;"",NOT(ISNUMBER(H46))),"Invalid final price",IF(AND(ISNUMBER(H46),H46&lt;0),"Invalid final price",IF(AND(F46="Selected",COUNTIFS($B$9:$B$258,B46,$E$9:$E$258,E46,$F$9:$F$258,"Selected")&gt;1),"Selected scope overlap",IF(AND(ISNUMBER(H46),H46&gt;G46),"Price increased",IF(LEN(H46&amp;"")=0,"Final price pending","OK")))))))))))</f>
        <v/>
      </c>
      <c r="AN46" s="19" t="str">
        <f t="shared" si="9"/>
        <v/>
      </c>
      <c r="AO46" s="18" t="str">
        <f>IF(A46="","",IFERROR(IF(INDEX(Suppliers!$A$9:$A$508,MATCH(D46,Suppliers!$D$9:$D$508,0))=C46,"OK","Contact / supplier mismatch"),"Contact missing"))</f>
        <v/>
      </c>
      <c r="AP46" s="18" t="str">
        <f>IF(OR(A46="",IFERROR(INDEX(Jobs!$P$9:$P$258,MATCH(B46,Jobs!$A$9:$A$258,0)),"")=""),"",HYPERLINK("#'"&amp;IFERROR(INDEX(Jobs!$P$9:$P$258,MATCH(B46,Jobs!$A$9:$A$258,0)),"")&amp;"'!A1","OPEN JOB"))</f>
        <v/>
      </c>
      <c r="AQ46" s="18"/>
      <c r="AR46" s="18"/>
      <c r="AS46" t="str">
        <f t="shared" si="10"/>
        <v/>
      </c>
      <c r="AT46" t="str">
        <f t="shared" si="11"/>
        <v/>
      </c>
    </row>
    <row r="47" spans="1:46" ht="40" customHeight="1" x14ac:dyDescent="0.35">
      <c r="A47" s="14"/>
      <c r="B47" s="37"/>
      <c r="C47" s="14"/>
      <c r="D47" s="15"/>
      <c r="E47" s="15"/>
      <c r="F47" s="15"/>
      <c r="G47" s="24"/>
      <c r="H47" s="24"/>
      <c r="I47" s="15"/>
      <c r="J47" s="17"/>
      <c r="K47" s="17"/>
      <c r="L47" s="17"/>
      <c r="M47" s="15"/>
      <c r="N47" s="15"/>
      <c r="O47" s="15"/>
      <c r="P47" s="15"/>
      <c r="Q47" s="15"/>
      <c r="R47" s="15"/>
      <c r="S47" s="14"/>
      <c r="T47" s="14"/>
      <c r="U47" s="14" t="str">
        <f>IF(A47="","",IFERROR(IF(LEN(INDEX(Suppliers!$B$9:$B$508,MATCH(C47,Suppliers!$A$9:$A$508,0))&amp;"")=0,"",INDEX(Suppliers!$B$9:$B$508,MATCH(C47,Suppliers!$A$9:$A$508,0))),""))</f>
        <v/>
      </c>
      <c r="V47" s="14" t="str">
        <f>IF(A47="","",IFERROR(IF(LEN(INDEX(Suppliers!$E$9:$E$508,MATCH(D47,Suppliers!$D$9:$D$508,0))&amp;"")=0,"",INDEX(Suppliers!$E$9:$E$508,MATCH(D47,Suppliers!$D$9:$D$508,0))),""))</f>
        <v/>
      </c>
      <c r="W47" s="14" t="str">
        <f>IF(A47="","",IFERROR(IF(LEN(INDEX(Suppliers!$F$9:$F$508,MATCH(D47,Suppliers!$D$9:$D$508,0))&amp;"")=0,"",INDEX(Suppliers!$F$9:$F$508,MATCH(D47,Suppliers!$D$9:$D$508,0))),""))</f>
        <v/>
      </c>
      <c r="X47" s="14" t="str">
        <f>IF(A47="","",IFERROR(IF(LEN(INDEX(Suppliers!$G$9:$G$508,MATCH(D47,Suppliers!$D$9:$D$508,0))&amp;"")=0,"",INDEX(Suppliers!$G$9:$G$508,MATCH(D47,Suppliers!$D$9:$D$508,0))),""))</f>
        <v/>
      </c>
      <c r="Y47" s="14" t="str">
        <f>IF(A47="","",IFERROR(INDEX(Jobs!$C$9:$C$258,MATCH(B47,Jobs!$A$9:$A$258,0)),""))</f>
        <v/>
      </c>
      <c r="Z47" s="14" t="str">
        <f>IF(A47="","",IFERROR(INDEX(Jobs!$B$9:$B$258,MATCH(B47,Jobs!$A$9:$A$258,0)),""))</f>
        <v/>
      </c>
      <c r="AA47" s="16" t="str">
        <f>IF(A47="","",IFERROR(VLOOKUP(I47,Lists!$E$9:$F$14,2,FALSE),0))</f>
        <v/>
      </c>
      <c r="AB47" s="16" t="str">
        <f t="shared" si="0"/>
        <v/>
      </c>
      <c r="AC47" s="16" t="str">
        <f t="shared" si="1"/>
        <v/>
      </c>
      <c r="AD47" s="16" t="str">
        <f t="shared" si="2"/>
        <v/>
      </c>
      <c r="AE47" s="16" t="str">
        <f t="shared" si="3"/>
        <v/>
      </c>
      <c r="AF47" s="16" t="str">
        <f t="shared" si="4"/>
        <v/>
      </c>
      <c r="AG47" s="26" t="str">
        <f t="shared" si="5"/>
        <v/>
      </c>
      <c r="AH47" s="16" t="str">
        <f t="shared" si="6"/>
        <v/>
      </c>
      <c r="AI47" s="16" t="str">
        <f t="shared" si="7"/>
        <v/>
      </c>
      <c r="AJ47" s="16" t="str">
        <f t="shared" si="8"/>
        <v/>
      </c>
      <c r="AK47" s="14" t="str">
        <f>IF(AND(A47&lt;&gt;"",F47="Selected"),COUNTIF($F$9:F47,"Selected"),"")</f>
        <v/>
      </c>
      <c r="AL47" s="14" t="str">
        <f>IF(A47="","",COUNTIF($B$9:B47,B47))</f>
        <v/>
      </c>
      <c r="AM47" s="14" t="str">
        <f>IF(A47="","",IF(COUNTIF(Jobs!$A$9:$A$258,B47)&lt;&gt;1,"Check JobID",IF(COUNTIF(Suppliers!$D$9:$D$508,D47)&lt;&gt;1,"Check contact",IF(AA47&lt;=0,"Currency / FX missing",IF(NOT(ISNUMBER(G47)),"Original price missing",IF(G47&lt;0,"Invalid original price",IF(AND(H47&lt;&gt;"",NOT(ISNUMBER(H47))),"Invalid final price",IF(AND(ISNUMBER(H47),H47&lt;0),"Invalid final price",IF(AND(F47="Selected",COUNTIFS($B$9:$B$258,B47,$E$9:$E$258,E47,$F$9:$F$258,"Selected")&gt;1),"Selected scope overlap",IF(AND(ISNUMBER(H47),H47&gt;G47),"Price increased",IF(LEN(H47&amp;"")=0,"Final price pending","OK")))))))))))</f>
        <v/>
      </c>
      <c r="AN47" s="16" t="str">
        <f t="shared" si="9"/>
        <v/>
      </c>
      <c r="AO47" s="14" t="str">
        <f>IF(A47="","",IFERROR(IF(INDEX(Suppliers!$A$9:$A$508,MATCH(D47,Suppliers!$D$9:$D$508,0))=C47,"OK","Contact / supplier mismatch"),"Contact missing"))</f>
        <v/>
      </c>
      <c r="AP47" s="14" t="str">
        <f>IF(OR(A47="",IFERROR(INDEX(Jobs!$P$9:$P$258,MATCH(B47,Jobs!$A$9:$A$258,0)),"")=""),"",HYPERLINK("#'"&amp;IFERROR(INDEX(Jobs!$P$9:$P$258,MATCH(B47,Jobs!$A$9:$A$258,0)),"")&amp;"'!A1","OPEN JOB"))</f>
        <v/>
      </c>
      <c r="AQ47" s="14"/>
      <c r="AR47" s="14"/>
      <c r="AS47" t="str">
        <f t="shared" si="10"/>
        <v/>
      </c>
      <c r="AT47" t="str">
        <f t="shared" si="11"/>
        <v/>
      </c>
    </row>
    <row r="48" spans="1:46" ht="40" customHeight="1" x14ac:dyDescent="0.35">
      <c r="A48" s="18"/>
      <c r="B48" s="37"/>
      <c r="C48" s="18"/>
      <c r="D48" s="15"/>
      <c r="E48" s="15"/>
      <c r="F48" s="15"/>
      <c r="G48" s="24"/>
      <c r="H48" s="24"/>
      <c r="I48" s="15"/>
      <c r="J48" s="17"/>
      <c r="K48" s="17"/>
      <c r="L48" s="17"/>
      <c r="M48" s="15"/>
      <c r="N48" s="15"/>
      <c r="O48" s="15"/>
      <c r="P48" s="15"/>
      <c r="Q48" s="15"/>
      <c r="R48" s="15"/>
      <c r="S48" s="18"/>
      <c r="T48" s="18"/>
      <c r="U48" s="18" t="str">
        <f>IF(A48="","",IFERROR(IF(LEN(INDEX(Suppliers!$B$9:$B$508,MATCH(C48,Suppliers!$A$9:$A$508,0))&amp;"")=0,"",INDEX(Suppliers!$B$9:$B$508,MATCH(C48,Suppliers!$A$9:$A$508,0))),""))</f>
        <v/>
      </c>
      <c r="V48" s="18" t="str">
        <f>IF(A48="","",IFERROR(IF(LEN(INDEX(Suppliers!$E$9:$E$508,MATCH(D48,Suppliers!$D$9:$D$508,0))&amp;"")=0,"",INDEX(Suppliers!$E$9:$E$508,MATCH(D48,Suppliers!$D$9:$D$508,0))),""))</f>
        <v/>
      </c>
      <c r="W48" s="18" t="str">
        <f>IF(A48="","",IFERROR(IF(LEN(INDEX(Suppliers!$F$9:$F$508,MATCH(D48,Suppliers!$D$9:$D$508,0))&amp;"")=0,"",INDEX(Suppliers!$F$9:$F$508,MATCH(D48,Suppliers!$D$9:$D$508,0))),""))</f>
        <v/>
      </c>
      <c r="X48" s="18" t="str">
        <f>IF(A48="","",IFERROR(IF(LEN(INDEX(Suppliers!$G$9:$G$508,MATCH(D48,Suppliers!$D$9:$D$508,0))&amp;"")=0,"",INDEX(Suppliers!$G$9:$G$508,MATCH(D48,Suppliers!$D$9:$D$508,0))),""))</f>
        <v/>
      </c>
      <c r="Y48" s="18" t="str">
        <f>IF(A48="","",IFERROR(INDEX(Jobs!$C$9:$C$258,MATCH(B48,Jobs!$A$9:$A$258,0)),""))</f>
        <v/>
      </c>
      <c r="Z48" s="18" t="str">
        <f>IF(A48="","",IFERROR(INDEX(Jobs!$B$9:$B$258,MATCH(B48,Jobs!$A$9:$A$258,0)),""))</f>
        <v/>
      </c>
      <c r="AA48" s="19" t="str">
        <f>IF(A48="","",IFERROR(VLOOKUP(I48,Lists!$E$9:$F$14,2,FALSE),0))</f>
        <v/>
      </c>
      <c r="AB48" s="19" t="str">
        <f t="shared" si="0"/>
        <v/>
      </c>
      <c r="AC48" s="19" t="str">
        <f t="shared" si="1"/>
        <v/>
      </c>
      <c r="AD48" s="19" t="str">
        <f t="shared" si="2"/>
        <v/>
      </c>
      <c r="AE48" s="19" t="str">
        <f t="shared" si="3"/>
        <v/>
      </c>
      <c r="AF48" s="19" t="str">
        <f t="shared" si="4"/>
        <v/>
      </c>
      <c r="AG48" s="27" t="str">
        <f t="shared" si="5"/>
        <v/>
      </c>
      <c r="AH48" s="19" t="str">
        <f t="shared" si="6"/>
        <v/>
      </c>
      <c r="AI48" s="19" t="str">
        <f t="shared" si="7"/>
        <v/>
      </c>
      <c r="AJ48" s="19" t="str">
        <f t="shared" si="8"/>
        <v/>
      </c>
      <c r="AK48" s="18" t="str">
        <f>IF(AND(A48&lt;&gt;"",F48="Selected"),COUNTIF($F$9:F48,"Selected"),"")</f>
        <v/>
      </c>
      <c r="AL48" s="18" t="str">
        <f>IF(A48="","",COUNTIF($B$9:B48,B48))</f>
        <v/>
      </c>
      <c r="AM48" s="18" t="str">
        <f>IF(A48="","",IF(COUNTIF(Jobs!$A$9:$A$258,B48)&lt;&gt;1,"Check JobID",IF(COUNTIF(Suppliers!$D$9:$D$508,D48)&lt;&gt;1,"Check contact",IF(AA48&lt;=0,"Currency / FX missing",IF(NOT(ISNUMBER(G48)),"Original price missing",IF(G48&lt;0,"Invalid original price",IF(AND(H48&lt;&gt;"",NOT(ISNUMBER(H48))),"Invalid final price",IF(AND(ISNUMBER(H48),H48&lt;0),"Invalid final price",IF(AND(F48="Selected",COUNTIFS($B$9:$B$258,B48,$E$9:$E$258,E48,$F$9:$F$258,"Selected")&gt;1),"Selected scope overlap",IF(AND(ISNUMBER(H48),H48&gt;G48),"Price increased",IF(LEN(H48&amp;"")=0,"Final price pending","OK")))))))))))</f>
        <v/>
      </c>
      <c r="AN48" s="19" t="str">
        <f t="shared" si="9"/>
        <v/>
      </c>
      <c r="AO48" s="18" t="str">
        <f>IF(A48="","",IFERROR(IF(INDEX(Suppliers!$A$9:$A$508,MATCH(D48,Suppliers!$D$9:$D$508,0))=C48,"OK","Contact / supplier mismatch"),"Contact missing"))</f>
        <v/>
      </c>
      <c r="AP48" s="18" t="str">
        <f>IF(OR(A48="",IFERROR(INDEX(Jobs!$P$9:$P$258,MATCH(B48,Jobs!$A$9:$A$258,0)),"")=""),"",HYPERLINK("#'"&amp;IFERROR(INDEX(Jobs!$P$9:$P$258,MATCH(B48,Jobs!$A$9:$A$258,0)),"")&amp;"'!A1","OPEN JOB"))</f>
        <v/>
      </c>
      <c r="AQ48" s="18"/>
      <c r="AR48" s="18"/>
      <c r="AS48" t="str">
        <f t="shared" si="10"/>
        <v/>
      </c>
      <c r="AT48" t="str">
        <f t="shared" si="11"/>
        <v/>
      </c>
    </row>
    <row r="49" spans="1:46" ht="40" customHeight="1" x14ac:dyDescent="0.35">
      <c r="A49" s="14"/>
      <c r="B49" s="37"/>
      <c r="C49" s="14"/>
      <c r="D49" s="15"/>
      <c r="E49" s="15"/>
      <c r="F49" s="15"/>
      <c r="G49" s="24"/>
      <c r="H49" s="24"/>
      <c r="I49" s="15"/>
      <c r="J49" s="17"/>
      <c r="K49" s="17"/>
      <c r="L49" s="17"/>
      <c r="M49" s="15"/>
      <c r="N49" s="15"/>
      <c r="O49" s="15"/>
      <c r="P49" s="15"/>
      <c r="Q49" s="15"/>
      <c r="R49" s="15"/>
      <c r="S49" s="14"/>
      <c r="T49" s="14"/>
      <c r="U49" s="14" t="str">
        <f>IF(A49="","",IFERROR(IF(LEN(INDEX(Suppliers!$B$9:$B$508,MATCH(C49,Suppliers!$A$9:$A$508,0))&amp;"")=0,"",INDEX(Suppliers!$B$9:$B$508,MATCH(C49,Suppliers!$A$9:$A$508,0))),""))</f>
        <v/>
      </c>
      <c r="V49" s="14" t="str">
        <f>IF(A49="","",IFERROR(IF(LEN(INDEX(Suppliers!$E$9:$E$508,MATCH(D49,Suppliers!$D$9:$D$508,0))&amp;"")=0,"",INDEX(Suppliers!$E$9:$E$508,MATCH(D49,Suppliers!$D$9:$D$508,0))),""))</f>
        <v/>
      </c>
      <c r="W49" s="14" t="str">
        <f>IF(A49="","",IFERROR(IF(LEN(INDEX(Suppliers!$F$9:$F$508,MATCH(D49,Suppliers!$D$9:$D$508,0))&amp;"")=0,"",INDEX(Suppliers!$F$9:$F$508,MATCH(D49,Suppliers!$D$9:$D$508,0))),""))</f>
        <v/>
      </c>
      <c r="X49" s="14" t="str">
        <f>IF(A49="","",IFERROR(IF(LEN(INDEX(Suppliers!$G$9:$G$508,MATCH(D49,Suppliers!$D$9:$D$508,0))&amp;"")=0,"",INDEX(Suppliers!$G$9:$G$508,MATCH(D49,Suppliers!$D$9:$D$508,0))),""))</f>
        <v/>
      </c>
      <c r="Y49" s="14" t="str">
        <f>IF(A49="","",IFERROR(INDEX(Jobs!$C$9:$C$258,MATCH(B49,Jobs!$A$9:$A$258,0)),""))</f>
        <v/>
      </c>
      <c r="Z49" s="14" t="str">
        <f>IF(A49="","",IFERROR(INDEX(Jobs!$B$9:$B$258,MATCH(B49,Jobs!$A$9:$A$258,0)),""))</f>
        <v/>
      </c>
      <c r="AA49" s="16" t="str">
        <f>IF(A49="","",IFERROR(VLOOKUP(I49,Lists!$E$9:$F$14,2,FALSE),0))</f>
        <v/>
      </c>
      <c r="AB49" s="16" t="str">
        <f t="shared" si="0"/>
        <v/>
      </c>
      <c r="AC49" s="16" t="str">
        <f t="shared" si="1"/>
        <v/>
      </c>
      <c r="AD49" s="16" t="str">
        <f t="shared" si="2"/>
        <v/>
      </c>
      <c r="AE49" s="16" t="str">
        <f t="shared" si="3"/>
        <v/>
      </c>
      <c r="AF49" s="16" t="str">
        <f t="shared" si="4"/>
        <v/>
      </c>
      <c r="AG49" s="26" t="str">
        <f t="shared" si="5"/>
        <v/>
      </c>
      <c r="AH49" s="16" t="str">
        <f t="shared" si="6"/>
        <v/>
      </c>
      <c r="AI49" s="16" t="str">
        <f t="shared" si="7"/>
        <v/>
      </c>
      <c r="AJ49" s="16" t="str">
        <f t="shared" si="8"/>
        <v/>
      </c>
      <c r="AK49" s="14" t="str">
        <f>IF(AND(A49&lt;&gt;"",F49="Selected"),COUNTIF($F$9:F49,"Selected"),"")</f>
        <v/>
      </c>
      <c r="AL49" s="14" t="str">
        <f>IF(A49="","",COUNTIF($B$9:B49,B49))</f>
        <v/>
      </c>
      <c r="AM49" s="14" t="str">
        <f>IF(A49="","",IF(COUNTIF(Jobs!$A$9:$A$258,B49)&lt;&gt;1,"Check JobID",IF(COUNTIF(Suppliers!$D$9:$D$508,D49)&lt;&gt;1,"Check contact",IF(AA49&lt;=0,"Currency / FX missing",IF(NOT(ISNUMBER(G49)),"Original price missing",IF(G49&lt;0,"Invalid original price",IF(AND(H49&lt;&gt;"",NOT(ISNUMBER(H49))),"Invalid final price",IF(AND(ISNUMBER(H49),H49&lt;0),"Invalid final price",IF(AND(F49="Selected",COUNTIFS($B$9:$B$258,B49,$E$9:$E$258,E49,$F$9:$F$258,"Selected")&gt;1),"Selected scope overlap",IF(AND(ISNUMBER(H49),H49&gt;G49),"Price increased",IF(LEN(H49&amp;"")=0,"Final price pending","OK")))))))))))</f>
        <v/>
      </c>
      <c r="AN49" s="16" t="str">
        <f t="shared" si="9"/>
        <v/>
      </c>
      <c r="AO49" s="14" t="str">
        <f>IF(A49="","",IFERROR(IF(INDEX(Suppliers!$A$9:$A$508,MATCH(D49,Suppliers!$D$9:$D$508,0))=C49,"OK","Contact / supplier mismatch"),"Contact missing"))</f>
        <v/>
      </c>
      <c r="AP49" s="14" t="str">
        <f>IF(OR(A49="",IFERROR(INDEX(Jobs!$P$9:$P$258,MATCH(B49,Jobs!$A$9:$A$258,0)),"")=""),"",HYPERLINK("#'"&amp;IFERROR(INDEX(Jobs!$P$9:$P$258,MATCH(B49,Jobs!$A$9:$A$258,0)),"")&amp;"'!A1","OPEN JOB"))</f>
        <v/>
      </c>
      <c r="AQ49" s="14"/>
      <c r="AR49" s="14"/>
      <c r="AS49" t="str">
        <f t="shared" si="10"/>
        <v/>
      </c>
      <c r="AT49" t="str">
        <f t="shared" si="11"/>
        <v/>
      </c>
    </row>
    <row r="50" spans="1:46" ht="40" customHeight="1" x14ac:dyDescent="0.35">
      <c r="A50" s="18"/>
      <c r="B50" s="37"/>
      <c r="C50" s="18"/>
      <c r="D50" s="15"/>
      <c r="E50" s="15"/>
      <c r="F50" s="15"/>
      <c r="G50" s="24"/>
      <c r="H50" s="24"/>
      <c r="I50" s="15"/>
      <c r="J50" s="17"/>
      <c r="K50" s="17"/>
      <c r="L50" s="17"/>
      <c r="M50" s="15"/>
      <c r="N50" s="15"/>
      <c r="O50" s="15"/>
      <c r="P50" s="15"/>
      <c r="Q50" s="15"/>
      <c r="R50" s="15"/>
      <c r="S50" s="18"/>
      <c r="T50" s="18"/>
      <c r="U50" s="18" t="str">
        <f>IF(A50="","",IFERROR(IF(LEN(INDEX(Suppliers!$B$9:$B$508,MATCH(C50,Suppliers!$A$9:$A$508,0))&amp;"")=0,"",INDEX(Suppliers!$B$9:$B$508,MATCH(C50,Suppliers!$A$9:$A$508,0))),""))</f>
        <v/>
      </c>
      <c r="V50" s="18" t="str">
        <f>IF(A50="","",IFERROR(IF(LEN(INDEX(Suppliers!$E$9:$E$508,MATCH(D50,Suppliers!$D$9:$D$508,0))&amp;"")=0,"",INDEX(Suppliers!$E$9:$E$508,MATCH(D50,Suppliers!$D$9:$D$508,0))),""))</f>
        <v/>
      </c>
      <c r="W50" s="18" t="str">
        <f>IF(A50="","",IFERROR(IF(LEN(INDEX(Suppliers!$F$9:$F$508,MATCH(D50,Suppliers!$D$9:$D$508,0))&amp;"")=0,"",INDEX(Suppliers!$F$9:$F$508,MATCH(D50,Suppliers!$D$9:$D$508,0))),""))</f>
        <v/>
      </c>
      <c r="X50" s="18" t="str">
        <f>IF(A50="","",IFERROR(IF(LEN(INDEX(Suppliers!$G$9:$G$508,MATCH(D50,Suppliers!$D$9:$D$508,0))&amp;"")=0,"",INDEX(Suppliers!$G$9:$G$508,MATCH(D50,Suppliers!$D$9:$D$508,0))),""))</f>
        <v/>
      </c>
      <c r="Y50" s="18" t="str">
        <f>IF(A50="","",IFERROR(INDEX(Jobs!$C$9:$C$258,MATCH(B50,Jobs!$A$9:$A$258,0)),""))</f>
        <v/>
      </c>
      <c r="Z50" s="18" t="str">
        <f>IF(A50="","",IFERROR(INDEX(Jobs!$B$9:$B$258,MATCH(B50,Jobs!$A$9:$A$258,0)),""))</f>
        <v/>
      </c>
      <c r="AA50" s="19" t="str">
        <f>IF(A50="","",IFERROR(VLOOKUP(I50,Lists!$E$9:$F$14,2,FALSE),0))</f>
        <v/>
      </c>
      <c r="AB50" s="19" t="str">
        <f t="shared" si="0"/>
        <v/>
      </c>
      <c r="AC50" s="19" t="str">
        <f t="shared" si="1"/>
        <v/>
      </c>
      <c r="AD50" s="19" t="str">
        <f t="shared" si="2"/>
        <v/>
      </c>
      <c r="AE50" s="19" t="str">
        <f t="shared" si="3"/>
        <v/>
      </c>
      <c r="AF50" s="19" t="str">
        <f t="shared" si="4"/>
        <v/>
      </c>
      <c r="AG50" s="27" t="str">
        <f t="shared" si="5"/>
        <v/>
      </c>
      <c r="AH50" s="19" t="str">
        <f t="shared" si="6"/>
        <v/>
      </c>
      <c r="AI50" s="19" t="str">
        <f t="shared" si="7"/>
        <v/>
      </c>
      <c r="AJ50" s="19" t="str">
        <f t="shared" si="8"/>
        <v/>
      </c>
      <c r="AK50" s="18" t="str">
        <f>IF(AND(A50&lt;&gt;"",F50="Selected"),COUNTIF($F$9:F50,"Selected"),"")</f>
        <v/>
      </c>
      <c r="AL50" s="18" t="str">
        <f>IF(A50="","",COUNTIF($B$9:B50,B50))</f>
        <v/>
      </c>
      <c r="AM50" s="18" t="str">
        <f>IF(A50="","",IF(COUNTIF(Jobs!$A$9:$A$258,B50)&lt;&gt;1,"Check JobID",IF(COUNTIF(Suppliers!$D$9:$D$508,D50)&lt;&gt;1,"Check contact",IF(AA50&lt;=0,"Currency / FX missing",IF(NOT(ISNUMBER(G50)),"Original price missing",IF(G50&lt;0,"Invalid original price",IF(AND(H50&lt;&gt;"",NOT(ISNUMBER(H50))),"Invalid final price",IF(AND(ISNUMBER(H50),H50&lt;0),"Invalid final price",IF(AND(F50="Selected",COUNTIFS($B$9:$B$258,B50,$E$9:$E$258,E50,$F$9:$F$258,"Selected")&gt;1),"Selected scope overlap",IF(AND(ISNUMBER(H50),H50&gt;G50),"Price increased",IF(LEN(H50&amp;"")=0,"Final price pending","OK")))))))))))</f>
        <v/>
      </c>
      <c r="AN50" s="19" t="str">
        <f t="shared" si="9"/>
        <v/>
      </c>
      <c r="AO50" s="18" t="str">
        <f>IF(A50="","",IFERROR(IF(INDEX(Suppliers!$A$9:$A$508,MATCH(D50,Suppliers!$D$9:$D$508,0))=C50,"OK","Contact / supplier mismatch"),"Contact missing"))</f>
        <v/>
      </c>
      <c r="AP50" s="18" t="str">
        <f>IF(OR(A50="",IFERROR(INDEX(Jobs!$P$9:$P$258,MATCH(B50,Jobs!$A$9:$A$258,0)),"")=""),"",HYPERLINK("#'"&amp;IFERROR(INDEX(Jobs!$P$9:$P$258,MATCH(B50,Jobs!$A$9:$A$258,0)),"")&amp;"'!A1","OPEN JOB"))</f>
        <v/>
      </c>
      <c r="AQ50" s="18"/>
      <c r="AR50" s="18"/>
      <c r="AS50" t="str">
        <f t="shared" si="10"/>
        <v/>
      </c>
      <c r="AT50" t="str">
        <f t="shared" si="11"/>
        <v/>
      </c>
    </row>
    <row r="51" spans="1:46" ht="40" customHeight="1" x14ac:dyDescent="0.35">
      <c r="A51" s="14"/>
      <c r="B51" s="37"/>
      <c r="C51" s="14"/>
      <c r="D51" s="15"/>
      <c r="E51" s="15"/>
      <c r="F51" s="15"/>
      <c r="G51" s="24"/>
      <c r="H51" s="24"/>
      <c r="I51" s="15"/>
      <c r="J51" s="17"/>
      <c r="K51" s="17"/>
      <c r="L51" s="17"/>
      <c r="M51" s="15"/>
      <c r="N51" s="15"/>
      <c r="O51" s="15"/>
      <c r="P51" s="15"/>
      <c r="Q51" s="15"/>
      <c r="R51" s="15"/>
      <c r="S51" s="14"/>
      <c r="T51" s="14"/>
      <c r="U51" s="14" t="str">
        <f>IF(A51="","",IFERROR(IF(LEN(INDEX(Suppliers!$B$9:$B$508,MATCH(C51,Suppliers!$A$9:$A$508,0))&amp;"")=0,"",INDEX(Suppliers!$B$9:$B$508,MATCH(C51,Suppliers!$A$9:$A$508,0))),""))</f>
        <v/>
      </c>
      <c r="V51" s="14" t="str">
        <f>IF(A51="","",IFERROR(IF(LEN(INDEX(Suppliers!$E$9:$E$508,MATCH(D51,Suppliers!$D$9:$D$508,0))&amp;"")=0,"",INDEX(Suppliers!$E$9:$E$508,MATCH(D51,Suppliers!$D$9:$D$508,0))),""))</f>
        <v/>
      </c>
      <c r="W51" s="14" t="str">
        <f>IF(A51="","",IFERROR(IF(LEN(INDEX(Suppliers!$F$9:$F$508,MATCH(D51,Suppliers!$D$9:$D$508,0))&amp;"")=0,"",INDEX(Suppliers!$F$9:$F$508,MATCH(D51,Suppliers!$D$9:$D$508,0))),""))</f>
        <v/>
      </c>
      <c r="X51" s="14" t="str">
        <f>IF(A51="","",IFERROR(IF(LEN(INDEX(Suppliers!$G$9:$G$508,MATCH(D51,Suppliers!$D$9:$D$508,0))&amp;"")=0,"",INDEX(Suppliers!$G$9:$G$508,MATCH(D51,Suppliers!$D$9:$D$508,0))),""))</f>
        <v/>
      </c>
      <c r="Y51" s="14" t="str">
        <f>IF(A51="","",IFERROR(INDEX(Jobs!$C$9:$C$258,MATCH(B51,Jobs!$A$9:$A$258,0)),""))</f>
        <v/>
      </c>
      <c r="Z51" s="14" t="str">
        <f>IF(A51="","",IFERROR(INDEX(Jobs!$B$9:$B$258,MATCH(B51,Jobs!$A$9:$A$258,0)),""))</f>
        <v/>
      </c>
      <c r="AA51" s="16" t="str">
        <f>IF(A51="","",IFERROR(VLOOKUP(I51,Lists!$E$9:$F$14,2,FALSE),0))</f>
        <v/>
      </c>
      <c r="AB51" s="16" t="str">
        <f t="shared" si="0"/>
        <v/>
      </c>
      <c r="AC51" s="16" t="str">
        <f t="shared" si="1"/>
        <v/>
      </c>
      <c r="AD51" s="16" t="str">
        <f t="shared" si="2"/>
        <v/>
      </c>
      <c r="AE51" s="16" t="str">
        <f t="shared" si="3"/>
        <v/>
      </c>
      <c r="AF51" s="16" t="str">
        <f t="shared" si="4"/>
        <v/>
      </c>
      <c r="AG51" s="26" t="str">
        <f t="shared" si="5"/>
        <v/>
      </c>
      <c r="AH51" s="16" t="str">
        <f t="shared" si="6"/>
        <v/>
      </c>
      <c r="AI51" s="16" t="str">
        <f t="shared" si="7"/>
        <v/>
      </c>
      <c r="AJ51" s="16" t="str">
        <f t="shared" si="8"/>
        <v/>
      </c>
      <c r="AK51" s="14" t="str">
        <f>IF(AND(A51&lt;&gt;"",F51="Selected"),COUNTIF($F$9:F51,"Selected"),"")</f>
        <v/>
      </c>
      <c r="AL51" s="14" t="str">
        <f>IF(A51="","",COUNTIF($B$9:B51,B51))</f>
        <v/>
      </c>
      <c r="AM51" s="14" t="str">
        <f>IF(A51="","",IF(COUNTIF(Jobs!$A$9:$A$258,B51)&lt;&gt;1,"Check JobID",IF(COUNTIF(Suppliers!$D$9:$D$508,D51)&lt;&gt;1,"Check contact",IF(AA51&lt;=0,"Currency / FX missing",IF(NOT(ISNUMBER(G51)),"Original price missing",IF(G51&lt;0,"Invalid original price",IF(AND(H51&lt;&gt;"",NOT(ISNUMBER(H51))),"Invalid final price",IF(AND(ISNUMBER(H51),H51&lt;0),"Invalid final price",IF(AND(F51="Selected",COUNTIFS($B$9:$B$258,B51,$E$9:$E$258,E51,$F$9:$F$258,"Selected")&gt;1),"Selected scope overlap",IF(AND(ISNUMBER(H51),H51&gt;G51),"Price increased",IF(LEN(H51&amp;"")=0,"Final price pending","OK")))))))))))</f>
        <v/>
      </c>
      <c r="AN51" s="16" t="str">
        <f t="shared" si="9"/>
        <v/>
      </c>
      <c r="AO51" s="14" t="str">
        <f>IF(A51="","",IFERROR(IF(INDEX(Suppliers!$A$9:$A$508,MATCH(D51,Suppliers!$D$9:$D$508,0))=C51,"OK","Contact / supplier mismatch"),"Contact missing"))</f>
        <v/>
      </c>
      <c r="AP51" s="14" t="str">
        <f>IF(OR(A51="",IFERROR(INDEX(Jobs!$P$9:$P$258,MATCH(B51,Jobs!$A$9:$A$258,0)),"")=""),"",HYPERLINK("#'"&amp;IFERROR(INDEX(Jobs!$P$9:$P$258,MATCH(B51,Jobs!$A$9:$A$258,0)),"")&amp;"'!A1","OPEN JOB"))</f>
        <v/>
      </c>
      <c r="AQ51" s="14"/>
      <c r="AR51" s="14"/>
      <c r="AS51" t="str">
        <f t="shared" si="10"/>
        <v/>
      </c>
      <c r="AT51" t="str">
        <f t="shared" si="11"/>
        <v/>
      </c>
    </row>
    <row r="52" spans="1:46" ht="40" customHeight="1" x14ac:dyDescent="0.35">
      <c r="A52" s="18"/>
      <c r="B52" s="37"/>
      <c r="C52" s="18"/>
      <c r="D52" s="15"/>
      <c r="E52" s="15"/>
      <c r="F52" s="15"/>
      <c r="G52" s="24"/>
      <c r="H52" s="24"/>
      <c r="I52" s="15"/>
      <c r="J52" s="17"/>
      <c r="K52" s="17"/>
      <c r="L52" s="17"/>
      <c r="M52" s="15"/>
      <c r="N52" s="15"/>
      <c r="O52" s="15"/>
      <c r="P52" s="15"/>
      <c r="Q52" s="15"/>
      <c r="R52" s="15"/>
      <c r="S52" s="18"/>
      <c r="T52" s="18"/>
      <c r="U52" s="18" t="str">
        <f>IF(A52="","",IFERROR(IF(LEN(INDEX(Suppliers!$B$9:$B$508,MATCH(C52,Suppliers!$A$9:$A$508,0))&amp;"")=0,"",INDEX(Suppliers!$B$9:$B$508,MATCH(C52,Suppliers!$A$9:$A$508,0))),""))</f>
        <v/>
      </c>
      <c r="V52" s="18" t="str">
        <f>IF(A52="","",IFERROR(IF(LEN(INDEX(Suppliers!$E$9:$E$508,MATCH(D52,Suppliers!$D$9:$D$508,0))&amp;"")=0,"",INDEX(Suppliers!$E$9:$E$508,MATCH(D52,Suppliers!$D$9:$D$508,0))),""))</f>
        <v/>
      </c>
      <c r="W52" s="18" t="str">
        <f>IF(A52="","",IFERROR(IF(LEN(INDEX(Suppliers!$F$9:$F$508,MATCH(D52,Suppliers!$D$9:$D$508,0))&amp;"")=0,"",INDEX(Suppliers!$F$9:$F$508,MATCH(D52,Suppliers!$D$9:$D$508,0))),""))</f>
        <v/>
      </c>
      <c r="X52" s="18" t="str">
        <f>IF(A52="","",IFERROR(IF(LEN(INDEX(Suppliers!$G$9:$G$508,MATCH(D52,Suppliers!$D$9:$D$508,0))&amp;"")=0,"",INDEX(Suppliers!$G$9:$G$508,MATCH(D52,Suppliers!$D$9:$D$508,0))),""))</f>
        <v/>
      </c>
      <c r="Y52" s="18" t="str">
        <f>IF(A52="","",IFERROR(INDEX(Jobs!$C$9:$C$258,MATCH(B52,Jobs!$A$9:$A$258,0)),""))</f>
        <v/>
      </c>
      <c r="Z52" s="18" t="str">
        <f>IF(A52="","",IFERROR(INDEX(Jobs!$B$9:$B$258,MATCH(B52,Jobs!$A$9:$A$258,0)),""))</f>
        <v/>
      </c>
      <c r="AA52" s="19" t="str">
        <f>IF(A52="","",IFERROR(VLOOKUP(I52,Lists!$E$9:$F$14,2,FALSE),0))</f>
        <v/>
      </c>
      <c r="AB52" s="19" t="str">
        <f t="shared" si="0"/>
        <v/>
      </c>
      <c r="AC52" s="19" t="str">
        <f t="shared" si="1"/>
        <v/>
      </c>
      <c r="AD52" s="19" t="str">
        <f t="shared" si="2"/>
        <v/>
      </c>
      <c r="AE52" s="19" t="str">
        <f t="shared" si="3"/>
        <v/>
      </c>
      <c r="AF52" s="19" t="str">
        <f t="shared" si="4"/>
        <v/>
      </c>
      <c r="AG52" s="27" t="str">
        <f t="shared" si="5"/>
        <v/>
      </c>
      <c r="AH52" s="19" t="str">
        <f t="shared" si="6"/>
        <v/>
      </c>
      <c r="AI52" s="19" t="str">
        <f t="shared" si="7"/>
        <v/>
      </c>
      <c r="AJ52" s="19" t="str">
        <f t="shared" si="8"/>
        <v/>
      </c>
      <c r="AK52" s="18" t="str">
        <f>IF(AND(A52&lt;&gt;"",F52="Selected"),COUNTIF($F$9:F52,"Selected"),"")</f>
        <v/>
      </c>
      <c r="AL52" s="18" t="str">
        <f>IF(A52="","",COUNTIF($B$9:B52,B52))</f>
        <v/>
      </c>
      <c r="AM52" s="18" t="str">
        <f>IF(A52="","",IF(COUNTIF(Jobs!$A$9:$A$258,B52)&lt;&gt;1,"Check JobID",IF(COUNTIF(Suppliers!$D$9:$D$508,D52)&lt;&gt;1,"Check contact",IF(AA52&lt;=0,"Currency / FX missing",IF(NOT(ISNUMBER(G52)),"Original price missing",IF(G52&lt;0,"Invalid original price",IF(AND(H52&lt;&gt;"",NOT(ISNUMBER(H52))),"Invalid final price",IF(AND(ISNUMBER(H52),H52&lt;0),"Invalid final price",IF(AND(F52="Selected",COUNTIFS($B$9:$B$258,B52,$E$9:$E$258,E52,$F$9:$F$258,"Selected")&gt;1),"Selected scope overlap",IF(AND(ISNUMBER(H52),H52&gt;G52),"Price increased",IF(LEN(H52&amp;"")=0,"Final price pending","OK")))))))))))</f>
        <v/>
      </c>
      <c r="AN52" s="19" t="str">
        <f t="shared" si="9"/>
        <v/>
      </c>
      <c r="AO52" s="18" t="str">
        <f>IF(A52="","",IFERROR(IF(INDEX(Suppliers!$A$9:$A$508,MATCH(D52,Suppliers!$D$9:$D$508,0))=C52,"OK","Contact / supplier mismatch"),"Contact missing"))</f>
        <v/>
      </c>
      <c r="AP52" s="18" t="str">
        <f>IF(OR(A52="",IFERROR(INDEX(Jobs!$P$9:$P$258,MATCH(B52,Jobs!$A$9:$A$258,0)),"")=""),"",HYPERLINK("#'"&amp;IFERROR(INDEX(Jobs!$P$9:$P$258,MATCH(B52,Jobs!$A$9:$A$258,0)),"")&amp;"'!A1","OPEN JOB"))</f>
        <v/>
      </c>
      <c r="AQ52" s="18"/>
      <c r="AR52" s="18"/>
      <c r="AS52" t="str">
        <f t="shared" si="10"/>
        <v/>
      </c>
      <c r="AT52" t="str">
        <f t="shared" si="11"/>
        <v/>
      </c>
    </row>
    <row r="53" spans="1:46" ht="40" customHeight="1" x14ac:dyDescent="0.35">
      <c r="A53" s="14"/>
      <c r="B53" s="37"/>
      <c r="C53" s="14"/>
      <c r="D53" s="15"/>
      <c r="E53" s="15"/>
      <c r="F53" s="15"/>
      <c r="G53" s="24"/>
      <c r="H53" s="24"/>
      <c r="I53" s="15"/>
      <c r="J53" s="17"/>
      <c r="K53" s="17"/>
      <c r="L53" s="17"/>
      <c r="M53" s="15"/>
      <c r="N53" s="15"/>
      <c r="O53" s="15"/>
      <c r="P53" s="15"/>
      <c r="Q53" s="15"/>
      <c r="R53" s="15"/>
      <c r="S53" s="14"/>
      <c r="T53" s="14"/>
      <c r="U53" s="14" t="str">
        <f>IF(A53="","",IFERROR(IF(LEN(INDEX(Suppliers!$B$9:$B$508,MATCH(C53,Suppliers!$A$9:$A$508,0))&amp;"")=0,"",INDEX(Suppliers!$B$9:$B$508,MATCH(C53,Suppliers!$A$9:$A$508,0))),""))</f>
        <v/>
      </c>
      <c r="V53" s="14" t="str">
        <f>IF(A53="","",IFERROR(IF(LEN(INDEX(Suppliers!$E$9:$E$508,MATCH(D53,Suppliers!$D$9:$D$508,0))&amp;"")=0,"",INDEX(Suppliers!$E$9:$E$508,MATCH(D53,Suppliers!$D$9:$D$508,0))),""))</f>
        <v/>
      </c>
      <c r="W53" s="14" t="str">
        <f>IF(A53="","",IFERROR(IF(LEN(INDEX(Suppliers!$F$9:$F$508,MATCH(D53,Suppliers!$D$9:$D$508,0))&amp;"")=0,"",INDEX(Suppliers!$F$9:$F$508,MATCH(D53,Suppliers!$D$9:$D$508,0))),""))</f>
        <v/>
      </c>
      <c r="X53" s="14" t="str">
        <f>IF(A53="","",IFERROR(IF(LEN(INDEX(Suppliers!$G$9:$G$508,MATCH(D53,Suppliers!$D$9:$D$508,0))&amp;"")=0,"",INDEX(Suppliers!$G$9:$G$508,MATCH(D53,Suppliers!$D$9:$D$508,0))),""))</f>
        <v/>
      </c>
      <c r="Y53" s="14" t="str">
        <f>IF(A53="","",IFERROR(INDEX(Jobs!$C$9:$C$258,MATCH(B53,Jobs!$A$9:$A$258,0)),""))</f>
        <v/>
      </c>
      <c r="Z53" s="14" t="str">
        <f>IF(A53="","",IFERROR(INDEX(Jobs!$B$9:$B$258,MATCH(B53,Jobs!$A$9:$A$258,0)),""))</f>
        <v/>
      </c>
      <c r="AA53" s="16" t="str">
        <f>IF(A53="","",IFERROR(VLOOKUP(I53,Lists!$E$9:$F$14,2,FALSE),0))</f>
        <v/>
      </c>
      <c r="AB53" s="16" t="str">
        <f t="shared" si="0"/>
        <v/>
      </c>
      <c r="AC53" s="16" t="str">
        <f t="shared" si="1"/>
        <v/>
      </c>
      <c r="AD53" s="16" t="str">
        <f t="shared" si="2"/>
        <v/>
      </c>
      <c r="AE53" s="16" t="str">
        <f t="shared" si="3"/>
        <v/>
      </c>
      <c r="AF53" s="16" t="str">
        <f t="shared" si="4"/>
        <v/>
      </c>
      <c r="AG53" s="26" t="str">
        <f t="shared" si="5"/>
        <v/>
      </c>
      <c r="AH53" s="16" t="str">
        <f t="shared" si="6"/>
        <v/>
      </c>
      <c r="AI53" s="16" t="str">
        <f t="shared" si="7"/>
        <v/>
      </c>
      <c r="AJ53" s="16" t="str">
        <f t="shared" si="8"/>
        <v/>
      </c>
      <c r="AK53" s="14" t="str">
        <f>IF(AND(A53&lt;&gt;"",F53="Selected"),COUNTIF($F$9:F53,"Selected"),"")</f>
        <v/>
      </c>
      <c r="AL53" s="14" t="str">
        <f>IF(A53="","",COUNTIF($B$9:B53,B53))</f>
        <v/>
      </c>
      <c r="AM53" s="14" t="str">
        <f>IF(A53="","",IF(COUNTIF(Jobs!$A$9:$A$258,B53)&lt;&gt;1,"Check JobID",IF(COUNTIF(Suppliers!$D$9:$D$508,D53)&lt;&gt;1,"Check contact",IF(AA53&lt;=0,"Currency / FX missing",IF(NOT(ISNUMBER(G53)),"Original price missing",IF(G53&lt;0,"Invalid original price",IF(AND(H53&lt;&gt;"",NOT(ISNUMBER(H53))),"Invalid final price",IF(AND(ISNUMBER(H53),H53&lt;0),"Invalid final price",IF(AND(F53="Selected",COUNTIFS($B$9:$B$258,B53,$E$9:$E$258,E53,$F$9:$F$258,"Selected")&gt;1),"Selected scope overlap",IF(AND(ISNUMBER(H53),H53&gt;G53),"Price increased",IF(LEN(H53&amp;"")=0,"Final price pending","OK")))))))))))</f>
        <v/>
      </c>
      <c r="AN53" s="16" t="str">
        <f t="shared" si="9"/>
        <v/>
      </c>
      <c r="AO53" s="14" t="str">
        <f>IF(A53="","",IFERROR(IF(INDEX(Suppliers!$A$9:$A$508,MATCH(D53,Suppliers!$D$9:$D$508,0))=C53,"OK","Contact / supplier mismatch"),"Contact missing"))</f>
        <v/>
      </c>
      <c r="AP53" s="14" t="str">
        <f>IF(OR(A53="",IFERROR(INDEX(Jobs!$P$9:$P$258,MATCH(B53,Jobs!$A$9:$A$258,0)),"")=""),"",HYPERLINK("#'"&amp;IFERROR(INDEX(Jobs!$P$9:$P$258,MATCH(B53,Jobs!$A$9:$A$258,0)),"")&amp;"'!A1","OPEN JOB"))</f>
        <v/>
      </c>
      <c r="AQ53" s="14"/>
      <c r="AR53" s="14"/>
      <c r="AS53" t="str">
        <f t="shared" si="10"/>
        <v/>
      </c>
      <c r="AT53" t="str">
        <f t="shared" si="11"/>
        <v/>
      </c>
    </row>
    <row r="54" spans="1:46" ht="40" customHeight="1" x14ac:dyDescent="0.35">
      <c r="A54" s="18"/>
      <c r="B54" s="37"/>
      <c r="C54" s="18"/>
      <c r="D54" s="15"/>
      <c r="E54" s="15"/>
      <c r="F54" s="15"/>
      <c r="G54" s="24"/>
      <c r="H54" s="24"/>
      <c r="I54" s="15"/>
      <c r="J54" s="17"/>
      <c r="K54" s="17"/>
      <c r="L54" s="17"/>
      <c r="M54" s="15"/>
      <c r="N54" s="15"/>
      <c r="O54" s="15"/>
      <c r="P54" s="15"/>
      <c r="Q54" s="15"/>
      <c r="R54" s="15"/>
      <c r="S54" s="18"/>
      <c r="T54" s="18"/>
      <c r="U54" s="18" t="str">
        <f>IF(A54="","",IFERROR(IF(LEN(INDEX(Suppliers!$B$9:$B$508,MATCH(C54,Suppliers!$A$9:$A$508,0))&amp;"")=0,"",INDEX(Suppliers!$B$9:$B$508,MATCH(C54,Suppliers!$A$9:$A$508,0))),""))</f>
        <v/>
      </c>
      <c r="V54" s="18" t="str">
        <f>IF(A54="","",IFERROR(IF(LEN(INDEX(Suppliers!$E$9:$E$508,MATCH(D54,Suppliers!$D$9:$D$508,0))&amp;"")=0,"",INDEX(Suppliers!$E$9:$E$508,MATCH(D54,Suppliers!$D$9:$D$508,0))),""))</f>
        <v/>
      </c>
      <c r="W54" s="18" t="str">
        <f>IF(A54="","",IFERROR(IF(LEN(INDEX(Suppliers!$F$9:$F$508,MATCH(D54,Suppliers!$D$9:$D$508,0))&amp;"")=0,"",INDEX(Suppliers!$F$9:$F$508,MATCH(D54,Suppliers!$D$9:$D$508,0))),""))</f>
        <v/>
      </c>
      <c r="X54" s="18" t="str">
        <f>IF(A54="","",IFERROR(IF(LEN(INDEX(Suppliers!$G$9:$G$508,MATCH(D54,Suppliers!$D$9:$D$508,0))&amp;"")=0,"",INDEX(Suppliers!$G$9:$G$508,MATCH(D54,Suppliers!$D$9:$D$508,0))),""))</f>
        <v/>
      </c>
      <c r="Y54" s="18" t="str">
        <f>IF(A54="","",IFERROR(INDEX(Jobs!$C$9:$C$258,MATCH(B54,Jobs!$A$9:$A$258,0)),""))</f>
        <v/>
      </c>
      <c r="Z54" s="18" t="str">
        <f>IF(A54="","",IFERROR(INDEX(Jobs!$B$9:$B$258,MATCH(B54,Jobs!$A$9:$A$258,0)),""))</f>
        <v/>
      </c>
      <c r="AA54" s="19" t="str">
        <f>IF(A54="","",IFERROR(VLOOKUP(I54,Lists!$E$9:$F$14,2,FALSE),0))</f>
        <v/>
      </c>
      <c r="AB54" s="19" t="str">
        <f t="shared" si="0"/>
        <v/>
      </c>
      <c r="AC54" s="19" t="str">
        <f t="shared" si="1"/>
        <v/>
      </c>
      <c r="AD54" s="19" t="str">
        <f t="shared" si="2"/>
        <v/>
      </c>
      <c r="AE54" s="19" t="str">
        <f t="shared" si="3"/>
        <v/>
      </c>
      <c r="AF54" s="19" t="str">
        <f t="shared" si="4"/>
        <v/>
      </c>
      <c r="AG54" s="27" t="str">
        <f t="shared" si="5"/>
        <v/>
      </c>
      <c r="AH54" s="19" t="str">
        <f t="shared" si="6"/>
        <v/>
      </c>
      <c r="AI54" s="19" t="str">
        <f t="shared" si="7"/>
        <v/>
      </c>
      <c r="AJ54" s="19" t="str">
        <f t="shared" si="8"/>
        <v/>
      </c>
      <c r="AK54" s="18" t="str">
        <f>IF(AND(A54&lt;&gt;"",F54="Selected"),COUNTIF($F$9:F54,"Selected"),"")</f>
        <v/>
      </c>
      <c r="AL54" s="18" t="str">
        <f>IF(A54="","",COUNTIF($B$9:B54,B54))</f>
        <v/>
      </c>
      <c r="AM54" s="18" t="str">
        <f>IF(A54="","",IF(COUNTIF(Jobs!$A$9:$A$258,B54)&lt;&gt;1,"Check JobID",IF(COUNTIF(Suppliers!$D$9:$D$508,D54)&lt;&gt;1,"Check contact",IF(AA54&lt;=0,"Currency / FX missing",IF(NOT(ISNUMBER(G54)),"Original price missing",IF(G54&lt;0,"Invalid original price",IF(AND(H54&lt;&gt;"",NOT(ISNUMBER(H54))),"Invalid final price",IF(AND(ISNUMBER(H54),H54&lt;0),"Invalid final price",IF(AND(F54="Selected",COUNTIFS($B$9:$B$258,B54,$E$9:$E$258,E54,$F$9:$F$258,"Selected")&gt;1),"Selected scope overlap",IF(AND(ISNUMBER(H54),H54&gt;G54),"Price increased",IF(LEN(H54&amp;"")=0,"Final price pending","OK")))))))))))</f>
        <v/>
      </c>
      <c r="AN54" s="19" t="str">
        <f t="shared" si="9"/>
        <v/>
      </c>
      <c r="AO54" s="18" t="str">
        <f>IF(A54="","",IFERROR(IF(INDEX(Suppliers!$A$9:$A$508,MATCH(D54,Suppliers!$D$9:$D$508,0))=C54,"OK","Contact / supplier mismatch"),"Contact missing"))</f>
        <v/>
      </c>
      <c r="AP54" s="18" t="str">
        <f>IF(OR(A54="",IFERROR(INDEX(Jobs!$P$9:$P$258,MATCH(B54,Jobs!$A$9:$A$258,0)),"")=""),"",HYPERLINK("#'"&amp;IFERROR(INDEX(Jobs!$P$9:$P$258,MATCH(B54,Jobs!$A$9:$A$258,0)),"")&amp;"'!A1","OPEN JOB"))</f>
        <v/>
      </c>
      <c r="AQ54" s="18"/>
      <c r="AR54" s="18"/>
      <c r="AS54" t="str">
        <f t="shared" si="10"/>
        <v/>
      </c>
      <c r="AT54" t="str">
        <f t="shared" si="11"/>
        <v/>
      </c>
    </row>
    <row r="55" spans="1:46" ht="40" customHeight="1" x14ac:dyDescent="0.35">
      <c r="A55" s="14"/>
      <c r="B55" s="37"/>
      <c r="C55" s="14"/>
      <c r="D55" s="15"/>
      <c r="E55" s="15"/>
      <c r="F55" s="15"/>
      <c r="G55" s="24"/>
      <c r="H55" s="24"/>
      <c r="I55" s="15"/>
      <c r="J55" s="17"/>
      <c r="K55" s="17"/>
      <c r="L55" s="17"/>
      <c r="M55" s="15"/>
      <c r="N55" s="15"/>
      <c r="O55" s="15"/>
      <c r="P55" s="15"/>
      <c r="Q55" s="15"/>
      <c r="R55" s="15"/>
      <c r="S55" s="14"/>
      <c r="T55" s="14"/>
      <c r="U55" s="14" t="str">
        <f>IF(A55="","",IFERROR(IF(LEN(INDEX(Suppliers!$B$9:$B$508,MATCH(C55,Suppliers!$A$9:$A$508,0))&amp;"")=0,"",INDEX(Suppliers!$B$9:$B$508,MATCH(C55,Suppliers!$A$9:$A$508,0))),""))</f>
        <v/>
      </c>
      <c r="V55" s="14" t="str">
        <f>IF(A55="","",IFERROR(IF(LEN(INDEX(Suppliers!$E$9:$E$508,MATCH(D55,Suppliers!$D$9:$D$508,0))&amp;"")=0,"",INDEX(Suppliers!$E$9:$E$508,MATCH(D55,Suppliers!$D$9:$D$508,0))),""))</f>
        <v/>
      </c>
      <c r="W55" s="14" t="str">
        <f>IF(A55="","",IFERROR(IF(LEN(INDEX(Suppliers!$F$9:$F$508,MATCH(D55,Suppliers!$D$9:$D$508,0))&amp;"")=0,"",INDEX(Suppliers!$F$9:$F$508,MATCH(D55,Suppliers!$D$9:$D$508,0))),""))</f>
        <v/>
      </c>
      <c r="X55" s="14" t="str">
        <f>IF(A55="","",IFERROR(IF(LEN(INDEX(Suppliers!$G$9:$G$508,MATCH(D55,Suppliers!$D$9:$D$508,0))&amp;"")=0,"",INDEX(Suppliers!$G$9:$G$508,MATCH(D55,Suppliers!$D$9:$D$508,0))),""))</f>
        <v/>
      </c>
      <c r="Y55" s="14" t="str">
        <f>IF(A55="","",IFERROR(INDEX(Jobs!$C$9:$C$258,MATCH(B55,Jobs!$A$9:$A$258,0)),""))</f>
        <v/>
      </c>
      <c r="Z55" s="14" t="str">
        <f>IF(A55="","",IFERROR(INDEX(Jobs!$B$9:$B$258,MATCH(B55,Jobs!$A$9:$A$258,0)),""))</f>
        <v/>
      </c>
      <c r="AA55" s="16" t="str">
        <f>IF(A55="","",IFERROR(VLOOKUP(I55,Lists!$E$9:$F$14,2,FALSE),0))</f>
        <v/>
      </c>
      <c r="AB55" s="16" t="str">
        <f t="shared" si="0"/>
        <v/>
      </c>
      <c r="AC55" s="16" t="str">
        <f t="shared" si="1"/>
        <v/>
      </c>
      <c r="AD55" s="16" t="str">
        <f t="shared" si="2"/>
        <v/>
      </c>
      <c r="AE55" s="16" t="str">
        <f t="shared" si="3"/>
        <v/>
      </c>
      <c r="AF55" s="16" t="str">
        <f t="shared" si="4"/>
        <v/>
      </c>
      <c r="AG55" s="26" t="str">
        <f t="shared" si="5"/>
        <v/>
      </c>
      <c r="AH55" s="16" t="str">
        <f t="shared" si="6"/>
        <v/>
      </c>
      <c r="AI55" s="16" t="str">
        <f t="shared" si="7"/>
        <v/>
      </c>
      <c r="AJ55" s="16" t="str">
        <f t="shared" si="8"/>
        <v/>
      </c>
      <c r="AK55" s="14" t="str">
        <f>IF(AND(A55&lt;&gt;"",F55="Selected"),COUNTIF($F$9:F55,"Selected"),"")</f>
        <v/>
      </c>
      <c r="AL55" s="14" t="str">
        <f>IF(A55="","",COUNTIF($B$9:B55,B55))</f>
        <v/>
      </c>
      <c r="AM55" s="14" t="str">
        <f>IF(A55="","",IF(COUNTIF(Jobs!$A$9:$A$258,B55)&lt;&gt;1,"Check JobID",IF(COUNTIF(Suppliers!$D$9:$D$508,D55)&lt;&gt;1,"Check contact",IF(AA55&lt;=0,"Currency / FX missing",IF(NOT(ISNUMBER(G55)),"Original price missing",IF(G55&lt;0,"Invalid original price",IF(AND(H55&lt;&gt;"",NOT(ISNUMBER(H55))),"Invalid final price",IF(AND(ISNUMBER(H55),H55&lt;0),"Invalid final price",IF(AND(F55="Selected",COUNTIFS($B$9:$B$258,B55,$E$9:$E$258,E55,$F$9:$F$258,"Selected")&gt;1),"Selected scope overlap",IF(AND(ISNUMBER(H55),H55&gt;G55),"Price increased",IF(LEN(H55&amp;"")=0,"Final price pending","OK")))))))))))</f>
        <v/>
      </c>
      <c r="AN55" s="16" t="str">
        <f t="shared" si="9"/>
        <v/>
      </c>
      <c r="AO55" s="14" t="str">
        <f>IF(A55="","",IFERROR(IF(INDEX(Suppliers!$A$9:$A$508,MATCH(D55,Suppliers!$D$9:$D$508,0))=C55,"OK","Contact / supplier mismatch"),"Contact missing"))</f>
        <v/>
      </c>
      <c r="AP55" s="14" t="str">
        <f>IF(OR(A55="",IFERROR(INDEX(Jobs!$P$9:$P$258,MATCH(B55,Jobs!$A$9:$A$258,0)),"")=""),"",HYPERLINK("#'"&amp;IFERROR(INDEX(Jobs!$P$9:$P$258,MATCH(B55,Jobs!$A$9:$A$258,0)),"")&amp;"'!A1","OPEN JOB"))</f>
        <v/>
      </c>
      <c r="AQ55" s="14"/>
      <c r="AR55" s="14"/>
      <c r="AS55" t="str">
        <f t="shared" si="10"/>
        <v/>
      </c>
      <c r="AT55" t="str">
        <f t="shared" si="11"/>
        <v/>
      </c>
    </row>
    <row r="56" spans="1:46" ht="40" customHeight="1" x14ac:dyDescent="0.35">
      <c r="A56" s="18"/>
      <c r="B56" s="37"/>
      <c r="C56" s="18"/>
      <c r="D56" s="15"/>
      <c r="E56" s="15"/>
      <c r="F56" s="15"/>
      <c r="G56" s="24"/>
      <c r="H56" s="24"/>
      <c r="I56" s="15"/>
      <c r="J56" s="17"/>
      <c r="K56" s="17"/>
      <c r="L56" s="17"/>
      <c r="M56" s="15"/>
      <c r="N56" s="15"/>
      <c r="O56" s="15"/>
      <c r="P56" s="15"/>
      <c r="Q56" s="15"/>
      <c r="R56" s="15"/>
      <c r="S56" s="18"/>
      <c r="T56" s="18"/>
      <c r="U56" s="18" t="str">
        <f>IF(A56="","",IFERROR(IF(LEN(INDEX(Suppliers!$B$9:$B$508,MATCH(C56,Suppliers!$A$9:$A$508,0))&amp;"")=0,"",INDEX(Suppliers!$B$9:$B$508,MATCH(C56,Suppliers!$A$9:$A$508,0))),""))</f>
        <v/>
      </c>
      <c r="V56" s="18" t="str">
        <f>IF(A56="","",IFERROR(IF(LEN(INDEX(Suppliers!$E$9:$E$508,MATCH(D56,Suppliers!$D$9:$D$508,0))&amp;"")=0,"",INDEX(Suppliers!$E$9:$E$508,MATCH(D56,Suppliers!$D$9:$D$508,0))),""))</f>
        <v/>
      </c>
      <c r="W56" s="18" t="str">
        <f>IF(A56="","",IFERROR(IF(LEN(INDEX(Suppliers!$F$9:$F$508,MATCH(D56,Suppliers!$D$9:$D$508,0))&amp;"")=0,"",INDEX(Suppliers!$F$9:$F$508,MATCH(D56,Suppliers!$D$9:$D$508,0))),""))</f>
        <v/>
      </c>
      <c r="X56" s="18" t="str">
        <f>IF(A56="","",IFERROR(IF(LEN(INDEX(Suppliers!$G$9:$G$508,MATCH(D56,Suppliers!$D$9:$D$508,0))&amp;"")=0,"",INDEX(Suppliers!$G$9:$G$508,MATCH(D56,Suppliers!$D$9:$D$508,0))),""))</f>
        <v/>
      </c>
      <c r="Y56" s="18" t="str">
        <f>IF(A56="","",IFERROR(INDEX(Jobs!$C$9:$C$258,MATCH(B56,Jobs!$A$9:$A$258,0)),""))</f>
        <v/>
      </c>
      <c r="Z56" s="18" t="str">
        <f>IF(A56="","",IFERROR(INDEX(Jobs!$B$9:$B$258,MATCH(B56,Jobs!$A$9:$A$258,0)),""))</f>
        <v/>
      </c>
      <c r="AA56" s="19" t="str">
        <f>IF(A56="","",IFERROR(VLOOKUP(I56,Lists!$E$9:$F$14,2,FALSE),0))</f>
        <v/>
      </c>
      <c r="AB56" s="19" t="str">
        <f t="shared" si="0"/>
        <v/>
      </c>
      <c r="AC56" s="19" t="str">
        <f t="shared" si="1"/>
        <v/>
      </c>
      <c r="AD56" s="19" t="str">
        <f t="shared" si="2"/>
        <v/>
      </c>
      <c r="AE56" s="19" t="str">
        <f t="shared" si="3"/>
        <v/>
      </c>
      <c r="AF56" s="19" t="str">
        <f t="shared" si="4"/>
        <v/>
      </c>
      <c r="AG56" s="27" t="str">
        <f t="shared" si="5"/>
        <v/>
      </c>
      <c r="AH56" s="19" t="str">
        <f t="shared" si="6"/>
        <v/>
      </c>
      <c r="AI56" s="19" t="str">
        <f t="shared" si="7"/>
        <v/>
      </c>
      <c r="AJ56" s="19" t="str">
        <f t="shared" si="8"/>
        <v/>
      </c>
      <c r="AK56" s="18" t="str">
        <f>IF(AND(A56&lt;&gt;"",F56="Selected"),COUNTIF($F$9:F56,"Selected"),"")</f>
        <v/>
      </c>
      <c r="AL56" s="18" t="str">
        <f>IF(A56="","",COUNTIF($B$9:B56,B56))</f>
        <v/>
      </c>
      <c r="AM56" s="18" t="str">
        <f>IF(A56="","",IF(COUNTIF(Jobs!$A$9:$A$258,B56)&lt;&gt;1,"Check JobID",IF(COUNTIF(Suppliers!$D$9:$D$508,D56)&lt;&gt;1,"Check contact",IF(AA56&lt;=0,"Currency / FX missing",IF(NOT(ISNUMBER(G56)),"Original price missing",IF(G56&lt;0,"Invalid original price",IF(AND(H56&lt;&gt;"",NOT(ISNUMBER(H56))),"Invalid final price",IF(AND(ISNUMBER(H56),H56&lt;0),"Invalid final price",IF(AND(F56="Selected",COUNTIFS($B$9:$B$258,B56,$E$9:$E$258,E56,$F$9:$F$258,"Selected")&gt;1),"Selected scope overlap",IF(AND(ISNUMBER(H56),H56&gt;G56),"Price increased",IF(LEN(H56&amp;"")=0,"Final price pending","OK")))))))))))</f>
        <v/>
      </c>
      <c r="AN56" s="19" t="str">
        <f t="shared" si="9"/>
        <v/>
      </c>
      <c r="AO56" s="18" t="str">
        <f>IF(A56="","",IFERROR(IF(INDEX(Suppliers!$A$9:$A$508,MATCH(D56,Suppliers!$D$9:$D$508,0))=C56,"OK","Contact / supplier mismatch"),"Contact missing"))</f>
        <v/>
      </c>
      <c r="AP56" s="18" t="str">
        <f>IF(OR(A56="",IFERROR(INDEX(Jobs!$P$9:$P$258,MATCH(B56,Jobs!$A$9:$A$258,0)),"")=""),"",HYPERLINK("#'"&amp;IFERROR(INDEX(Jobs!$P$9:$P$258,MATCH(B56,Jobs!$A$9:$A$258,0)),"")&amp;"'!A1","OPEN JOB"))</f>
        <v/>
      </c>
      <c r="AQ56" s="18"/>
      <c r="AR56" s="18"/>
      <c r="AS56" t="str">
        <f t="shared" si="10"/>
        <v/>
      </c>
      <c r="AT56" t="str">
        <f t="shared" si="11"/>
        <v/>
      </c>
    </row>
    <row r="57" spans="1:46" ht="40" customHeight="1" x14ac:dyDescent="0.35">
      <c r="A57" s="14"/>
      <c r="B57" s="37"/>
      <c r="C57" s="14"/>
      <c r="D57" s="15"/>
      <c r="E57" s="15"/>
      <c r="F57" s="15"/>
      <c r="G57" s="24"/>
      <c r="H57" s="24"/>
      <c r="I57" s="15"/>
      <c r="J57" s="17"/>
      <c r="K57" s="17"/>
      <c r="L57" s="17"/>
      <c r="M57" s="15"/>
      <c r="N57" s="15"/>
      <c r="O57" s="15"/>
      <c r="P57" s="15"/>
      <c r="Q57" s="15"/>
      <c r="R57" s="15"/>
      <c r="S57" s="14"/>
      <c r="T57" s="14"/>
      <c r="U57" s="14" t="str">
        <f>IF(A57="","",IFERROR(IF(LEN(INDEX(Suppliers!$B$9:$B$508,MATCH(C57,Suppliers!$A$9:$A$508,0))&amp;"")=0,"",INDEX(Suppliers!$B$9:$B$508,MATCH(C57,Suppliers!$A$9:$A$508,0))),""))</f>
        <v/>
      </c>
      <c r="V57" s="14" t="str">
        <f>IF(A57="","",IFERROR(IF(LEN(INDEX(Suppliers!$E$9:$E$508,MATCH(D57,Suppliers!$D$9:$D$508,0))&amp;"")=0,"",INDEX(Suppliers!$E$9:$E$508,MATCH(D57,Suppliers!$D$9:$D$508,0))),""))</f>
        <v/>
      </c>
      <c r="W57" s="14" t="str">
        <f>IF(A57="","",IFERROR(IF(LEN(INDEX(Suppliers!$F$9:$F$508,MATCH(D57,Suppliers!$D$9:$D$508,0))&amp;"")=0,"",INDEX(Suppliers!$F$9:$F$508,MATCH(D57,Suppliers!$D$9:$D$508,0))),""))</f>
        <v/>
      </c>
      <c r="X57" s="14" t="str">
        <f>IF(A57="","",IFERROR(IF(LEN(INDEX(Suppliers!$G$9:$G$508,MATCH(D57,Suppliers!$D$9:$D$508,0))&amp;"")=0,"",INDEX(Suppliers!$G$9:$G$508,MATCH(D57,Suppliers!$D$9:$D$508,0))),""))</f>
        <v/>
      </c>
      <c r="Y57" s="14" t="str">
        <f>IF(A57="","",IFERROR(INDEX(Jobs!$C$9:$C$258,MATCH(B57,Jobs!$A$9:$A$258,0)),""))</f>
        <v/>
      </c>
      <c r="Z57" s="14" t="str">
        <f>IF(A57="","",IFERROR(INDEX(Jobs!$B$9:$B$258,MATCH(B57,Jobs!$A$9:$A$258,0)),""))</f>
        <v/>
      </c>
      <c r="AA57" s="16" t="str">
        <f>IF(A57="","",IFERROR(VLOOKUP(I57,Lists!$E$9:$F$14,2,FALSE),0))</f>
        <v/>
      </c>
      <c r="AB57" s="16" t="str">
        <f t="shared" si="0"/>
        <v/>
      </c>
      <c r="AC57" s="16" t="str">
        <f t="shared" si="1"/>
        <v/>
      </c>
      <c r="AD57" s="16" t="str">
        <f t="shared" si="2"/>
        <v/>
      </c>
      <c r="AE57" s="16" t="str">
        <f t="shared" si="3"/>
        <v/>
      </c>
      <c r="AF57" s="16" t="str">
        <f t="shared" si="4"/>
        <v/>
      </c>
      <c r="AG57" s="26" t="str">
        <f t="shared" si="5"/>
        <v/>
      </c>
      <c r="AH57" s="16" t="str">
        <f t="shared" si="6"/>
        <v/>
      </c>
      <c r="AI57" s="16" t="str">
        <f t="shared" si="7"/>
        <v/>
      </c>
      <c r="AJ57" s="16" t="str">
        <f t="shared" si="8"/>
        <v/>
      </c>
      <c r="AK57" s="14" t="str">
        <f>IF(AND(A57&lt;&gt;"",F57="Selected"),COUNTIF($F$9:F57,"Selected"),"")</f>
        <v/>
      </c>
      <c r="AL57" s="14" t="str">
        <f>IF(A57="","",COUNTIF($B$9:B57,B57))</f>
        <v/>
      </c>
      <c r="AM57" s="14" t="str">
        <f>IF(A57="","",IF(COUNTIF(Jobs!$A$9:$A$258,B57)&lt;&gt;1,"Check JobID",IF(COUNTIF(Suppliers!$D$9:$D$508,D57)&lt;&gt;1,"Check contact",IF(AA57&lt;=0,"Currency / FX missing",IF(NOT(ISNUMBER(G57)),"Original price missing",IF(G57&lt;0,"Invalid original price",IF(AND(H57&lt;&gt;"",NOT(ISNUMBER(H57))),"Invalid final price",IF(AND(ISNUMBER(H57),H57&lt;0),"Invalid final price",IF(AND(F57="Selected",COUNTIFS($B$9:$B$258,B57,$E$9:$E$258,E57,$F$9:$F$258,"Selected")&gt;1),"Selected scope overlap",IF(AND(ISNUMBER(H57),H57&gt;G57),"Price increased",IF(LEN(H57&amp;"")=0,"Final price pending","OK")))))))))))</f>
        <v/>
      </c>
      <c r="AN57" s="16" t="str">
        <f t="shared" si="9"/>
        <v/>
      </c>
      <c r="AO57" s="14" t="str">
        <f>IF(A57="","",IFERROR(IF(INDEX(Suppliers!$A$9:$A$508,MATCH(D57,Suppliers!$D$9:$D$508,0))=C57,"OK","Contact / supplier mismatch"),"Contact missing"))</f>
        <v/>
      </c>
      <c r="AP57" s="14" t="str">
        <f>IF(OR(A57="",IFERROR(INDEX(Jobs!$P$9:$P$258,MATCH(B57,Jobs!$A$9:$A$258,0)),"")=""),"",HYPERLINK("#'"&amp;IFERROR(INDEX(Jobs!$P$9:$P$258,MATCH(B57,Jobs!$A$9:$A$258,0)),"")&amp;"'!A1","OPEN JOB"))</f>
        <v/>
      </c>
      <c r="AQ57" s="14"/>
      <c r="AR57" s="14"/>
      <c r="AS57" t="str">
        <f t="shared" si="10"/>
        <v/>
      </c>
      <c r="AT57" t="str">
        <f t="shared" si="11"/>
        <v/>
      </c>
    </row>
    <row r="58" spans="1:46" ht="40" customHeight="1" x14ac:dyDescent="0.35">
      <c r="A58" s="18"/>
      <c r="B58" s="37"/>
      <c r="C58" s="18"/>
      <c r="D58" s="15"/>
      <c r="E58" s="15"/>
      <c r="F58" s="15"/>
      <c r="G58" s="24"/>
      <c r="H58" s="24"/>
      <c r="I58" s="15"/>
      <c r="J58" s="17"/>
      <c r="K58" s="17"/>
      <c r="L58" s="17"/>
      <c r="M58" s="15"/>
      <c r="N58" s="15"/>
      <c r="O58" s="15"/>
      <c r="P58" s="15"/>
      <c r="Q58" s="15"/>
      <c r="R58" s="15"/>
      <c r="S58" s="18"/>
      <c r="T58" s="18"/>
      <c r="U58" s="18" t="str">
        <f>IF(A58="","",IFERROR(IF(LEN(INDEX(Suppliers!$B$9:$B$508,MATCH(C58,Suppliers!$A$9:$A$508,0))&amp;"")=0,"",INDEX(Suppliers!$B$9:$B$508,MATCH(C58,Suppliers!$A$9:$A$508,0))),""))</f>
        <v/>
      </c>
      <c r="V58" s="18" t="str">
        <f>IF(A58="","",IFERROR(IF(LEN(INDEX(Suppliers!$E$9:$E$508,MATCH(D58,Suppliers!$D$9:$D$508,0))&amp;"")=0,"",INDEX(Suppliers!$E$9:$E$508,MATCH(D58,Suppliers!$D$9:$D$508,0))),""))</f>
        <v/>
      </c>
      <c r="W58" s="18" t="str">
        <f>IF(A58="","",IFERROR(IF(LEN(INDEX(Suppliers!$F$9:$F$508,MATCH(D58,Suppliers!$D$9:$D$508,0))&amp;"")=0,"",INDEX(Suppliers!$F$9:$F$508,MATCH(D58,Suppliers!$D$9:$D$508,0))),""))</f>
        <v/>
      </c>
      <c r="X58" s="18" t="str">
        <f>IF(A58="","",IFERROR(IF(LEN(INDEX(Suppliers!$G$9:$G$508,MATCH(D58,Suppliers!$D$9:$D$508,0))&amp;"")=0,"",INDEX(Suppliers!$G$9:$G$508,MATCH(D58,Suppliers!$D$9:$D$508,0))),""))</f>
        <v/>
      </c>
      <c r="Y58" s="18" t="str">
        <f>IF(A58="","",IFERROR(INDEX(Jobs!$C$9:$C$258,MATCH(B58,Jobs!$A$9:$A$258,0)),""))</f>
        <v/>
      </c>
      <c r="Z58" s="18" t="str">
        <f>IF(A58="","",IFERROR(INDEX(Jobs!$B$9:$B$258,MATCH(B58,Jobs!$A$9:$A$258,0)),""))</f>
        <v/>
      </c>
      <c r="AA58" s="19" t="str">
        <f>IF(A58="","",IFERROR(VLOOKUP(I58,Lists!$E$9:$F$14,2,FALSE),0))</f>
        <v/>
      </c>
      <c r="AB58" s="19" t="str">
        <f t="shared" si="0"/>
        <v/>
      </c>
      <c r="AC58" s="19" t="str">
        <f t="shared" si="1"/>
        <v/>
      </c>
      <c r="AD58" s="19" t="str">
        <f t="shared" si="2"/>
        <v/>
      </c>
      <c r="AE58" s="19" t="str">
        <f t="shared" si="3"/>
        <v/>
      </c>
      <c r="AF58" s="19" t="str">
        <f t="shared" si="4"/>
        <v/>
      </c>
      <c r="AG58" s="27" t="str">
        <f t="shared" si="5"/>
        <v/>
      </c>
      <c r="AH58" s="19" t="str">
        <f t="shared" si="6"/>
        <v/>
      </c>
      <c r="AI58" s="19" t="str">
        <f t="shared" si="7"/>
        <v/>
      </c>
      <c r="AJ58" s="19" t="str">
        <f t="shared" si="8"/>
        <v/>
      </c>
      <c r="AK58" s="18" t="str">
        <f>IF(AND(A58&lt;&gt;"",F58="Selected"),COUNTIF($F$9:F58,"Selected"),"")</f>
        <v/>
      </c>
      <c r="AL58" s="18" t="str">
        <f>IF(A58="","",COUNTIF($B$9:B58,B58))</f>
        <v/>
      </c>
      <c r="AM58" s="18" t="str">
        <f>IF(A58="","",IF(COUNTIF(Jobs!$A$9:$A$258,B58)&lt;&gt;1,"Check JobID",IF(COUNTIF(Suppliers!$D$9:$D$508,D58)&lt;&gt;1,"Check contact",IF(AA58&lt;=0,"Currency / FX missing",IF(NOT(ISNUMBER(G58)),"Original price missing",IF(G58&lt;0,"Invalid original price",IF(AND(H58&lt;&gt;"",NOT(ISNUMBER(H58))),"Invalid final price",IF(AND(ISNUMBER(H58),H58&lt;0),"Invalid final price",IF(AND(F58="Selected",COUNTIFS($B$9:$B$258,B58,$E$9:$E$258,E58,$F$9:$F$258,"Selected")&gt;1),"Selected scope overlap",IF(AND(ISNUMBER(H58),H58&gt;G58),"Price increased",IF(LEN(H58&amp;"")=0,"Final price pending","OK")))))))))))</f>
        <v/>
      </c>
      <c r="AN58" s="19" t="str">
        <f t="shared" si="9"/>
        <v/>
      </c>
      <c r="AO58" s="18" t="str">
        <f>IF(A58="","",IFERROR(IF(INDEX(Suppliers!$A$9:$A$508,MATCH(D58,Suppliers!$D$9:$D$508,0))=C58,"OK","Contact / supplier mismatch"),"Contact missing"))</f>
        <v/>
      </c>
      <c r="AP58" s="18" t="str">
        <f>IF(OR(A58="",IFERROR(INDEX(Jobs!$P$9:$P$258,MATCH(B58,Jobs!$A$9:$A$258,0)),"")=""),"",HYPERLINK("#'"&amp;IFERROR(INDEX(Jobs!$P$9:$P$258,MATCH(B58,Jobs!$A$9:$A$258,0)),"")&amp;"'!A1","OPEN JOB"))</f>
        <v/>
      </c>
      <c r="AQ58" s="18"/>
      <c r="AR58" s="18"/>
      <c r="AS58" t="str">
        <f t="shared" si="10"/>
        <v/>
      </c>
      <c r="AT58" t="str">
        <f t="shared" si="11"/>
        <v/>
      </c>
    </row>
    <row r="59" spans="1:46" ht="40" customHeight="1" x14ac:dyDescent="0.35">
      <c r="A59" s="14"/>
      <c r="B59" s="37"/>
      <c r="C59" s="14"/>
      <c r="D59" s="15"/>
      <c r="E59" s="15"/>
      <c r="F59" s="15"/>
      <c r="G59" s="24"/>
      <c r="H59" s="24"/>
      <c r="I59" s="15"/>
      <c r="J59" s="17"/>
      <c r="K59" s="17"/>
      <c r="L59" s="17"/>
      <c r="M59" s="15"/>
      <c r="N59" s="15"/>
      <c r="O59" s="15"/>
      <c r="P59" s="15"/>
      <c r="Q59" s="15"/>
      <c r="R59" s="15"/>
      <c r="S59" s="14"/>
      <c r="T59" s="14"/>
      <c r="U59" s="14" t="str">
        <f>IF(A59="","",IFERROR(IF(LEN(INDEX(Suppliers!$B$9:$B$508,MATCH(C59,Suppliers!$A$9:$A$508,0))&amp;"")=0,"",INDEX(Suppliers!$B$9:$B$508,MATCH(C59,Suppliers!$A$9:$A$508,0))),""))</f>
        <v/>
      </c>
      <c r="V59" s="14" t="str">
        <f>IF(A59="","",IFERROR(IF(LEN(INDEX(Suppliers!$E$9:$E$508,MATCH(D59,Suppliers!$D$9:$D$508,0))&amp;"")=0,"",INDEX(Suppliers!$E$9:$E$508,MATCH(D59,Suppliers!$D$9:$D$508,0))),""))</f>
        <v/>
      </c>
      <c r="W59" s="14" t="str">
        <f>IF(A59="","",IFERROR(IF(LEN(INDEX(Suppliers!$F$9:$F$508,MATCH(D59,Suppliers!$D$9:$D$508,0))&amp;"")=0,"",INDEX(Suppliers!$F$9:$F$508,MATCH(D59,Suppliers!$D$9:$D$508,0))),""))</f>
        <v/>
      </c>
      <c r="X59" s="14" t="str">
        <f>IF(A59="","",IFERROR(IF(LEN(INDEX(Suppliers!$G$9:$G$508,MATCH(D59,Suppliers!$D$9:$D$508,0))&amp;"")=0,"",INDEX(Suppliers!$G$9:$G$508,MATCH(D59,Suppliers!$D$9:$D$508,0))),""))</f>
        <v/>
      </c>
      <c r="Y59" s="14" t="str">
        <f>IF(A59="","",IFERROR(INDEX(Jobs!$C$9:$C$258,MATCH(B59,Jobs!$A$9:$A$258,0)),""))</f>
        <v/>
      </c>
      <c r="Z59" s="14" t="str">
        <f>IF(A59="","",IFERROR(INDEX(Jobs!$B$9:$B$258,MATCH(B59,Jobs!$A$9:$A$258,0)),""))</f>
        <v/>
      </c>
      <c r="AA59" s="16" t="str">
        <f>IF(A59="","",IFERROR(VLOOKUP(I59,Lists!$E$9:$F$14,2,FALSE),0))</f>
        <v/>
      </c>
      <c r="AB59" s="16" t="str">
        <f t="shared" si="0"/>
        <v/>
      </c>
      <c r="AC59" s="16" t="str">
        <f t="shared" si="1"/>
        <v/>
      </c>
      <c r="AD59" s="16" t="str">
        <f t="shared" si="2"/>
        <v/>
      </c>
      <c r="AE59" s="16" t="str">
        <f t="shared" si="3"/>
        <v/>
      </c>
      <c r="AF59" s="16" t="str">
        <f t="shared" si="4"/>
        <v/>
      </c>
      <c r="AG59" s="26" t="str">
        <f t="shared" si="5"/>
        <v/>
      </c>
      <c r="AH59" s="16" t="str">
        <f t="shared" si="6"/>
        <v/>
      </c>
      <c r="AI59" s="16" t="str">
        <f t="shared" si="7"/>
        <v/>
      </c>
      <c r="AJ59" s="16" t="str">
        <f t="shared" si="8"/>
        <v/>
      </c>
      <c r="AK59" s="14" t="str">
        <f>IF(AND(A59&lt;&gt;"",F59="Selected"),COUNTIF($F$9:F59,"Selected"),"")</f>
        <v/>
      </c>
      <c r="AL59" s="14" t="str">
        <f>IF(A59="","",COUNTIF($B$9:B59,B59))</f>
        <v/>
      </c>
      <c r="AM59" s="14" t="str">
        <f>IF(A59="","",IF(COUNTIF(Jobs!$A$9:$A$258,B59)&lt;&gt;1,"Check JobID",IF(COUNTIF(Suppliers!$D$9:$D$508,D59)&lt;&gt;1,"Check contact",IF(AA59&lt;=0,"Currency / FX missing",IF(NOT(ISNUMBER(G59)),"Original price missing",IF(G59&lt;0,"Invalid original price",IF(AND(H59&lt;&gt;"",NOT(ISNUMBER(H59))),"Invalid final price",IF(AND(ISNUMBER(H59),H59&lt;0),"Invalid final price",IF(AND(F59="Selected",COUNTIFS($B$9:$B$258,B59,$E$9:$E$258,E59,$F$9:$F$258,"Selected")&gt;1),"Selected scope overlap",IF(AND(ISNUMBER(H59),H59&gt;G59),"Price increased",IF(LEN(H59&amp;"")=0,"Final price pending","OK")))))))))))</f>
        <v/>
      </c>
      <c r="AN59" s="16" t="str">
        <f t="shared" si="9"/>
        <v/>
      </c>
      <c r="AO59" s="14" t="str">
        <f>IF(A59="","",IFERROR(IF(INDEX(Suppliers!$A$9:$A$508,MATCH(D59,Suppliers!$D$9:$D$508,0))=C59,"OK","Contact / supplier mismatch"),"Contact missing"))</f>
        <v/>
      </c>
      <c r="AP59" s="14" t="str">
        <f>IF(OR(A59="",IFERROR(INDEX(Jobs!$P$9:$P$258,MATCH(B59,Jobs!$A$9:$A$258,0)),"")=""),"",HYPERLINK("#'"&amp;IFERROR(INDEX(Jobs!$P$9:$P$258,MATCH(B59,Jobs!$A$9:$A$258,0)),"")&amp;"'!A1","OPEN JOB"))</f>
        <v/>
      </c>
      <c r="AQ59" s="14"/>
      <c r="AR59" s="14"/>
      <c r="AS59" t="str">
        <f t="shared" si="10"/>
        <v/>
      </c>
      <c r="AT59" t="str">
        <f t="shared" si="11"/>
        <v/>
      </c>
    </row>
    <row r="60" spans="1:46" ht="40" customHeight="1" x14ac:dyDescent="0.35">
      <c r="A60" s="18"/>
      <c r="B60" s="37"/>
      <c r="C60" s="18"/>
      <c r="D60" s="15"/>
      <c r="E60" s="15"/>
      <c r="F60" s="15"/>
      <c r="G60" s="24"/>
      <c r="H60" s="24"/>
      <c r="I60" s="15"/>
      <c r="J60" s="17"/>
      <c r="K60" s="17"/>
      <c r="L60" s="17"/>
      <c r="M60" s="15"/>
      <c r="N60" s="15"/>
      <c r="O60" s="15"/>
      <c r="P60" s="15"/>
      <c r="Q60" s="15"/>
      <c r="R60" s="15"/>
      <c r="S60" s="18"/>
      <c r="T60" s="18"/>
      <c r="U60" s="18" t="str">
        <f>IF(A60="","",IFERROR(IF(LEN(INDEX(Suppliers!$B$9:$B$508,MATCH(C60,Suppliers!$A$9:$A$508,0))&amp;"")=0,"",INDEX(Suppliers!$B$9:$B$508,MATCH(C60,Suppliers!$A$9:$A$508,0))),""))</f>
        <v/>
      </c>
      <c r="V60" s="18" t="str">
        <f>IF(A60="","",IFERROR(IF(LEN(INDEX(Suppliers!$E$9:$E$508,MATCH(D60,Suppliers!$D$9:$D$508,0))&amp;"")=0,"",INDEX(Suppliers!$E$9:$E$508,MATCH(D60,Suppliers!$D$9:$D$508,0))),""))</f>
        <v/>
      </c>
      <c r="W60" s="18" t="str">
        <f>IF(A60="","",IFERROR(IF(LEN(INDEX(Suppliers!$F$9:$F$508,MATCH(D60,Suppliers!$D$9:$D$508,0))&amp;"")=0,"",INDEX(Suppliers!$F$9:$F$508,MATCH(D60,Suppliers!$D$9:$D$508,0))),""))</f>
        <v/>
      </c>
      <c r="X60" s="18" t="str">
        <f>IF(A60="","",IFERROR(IF(LEN(INDEX(Suppliers!$G$9:$G$508,MATCH(D60,Suppliers!$D$9:$D$508,0))&amp;"")=0,"",INDEX(Suppliers!$G$9:$G$508,MATCH(D60,Suppliers!$D$9:$D$508,0))),""))</f>
        <v/>
      </c>
      <c r="Y60" s="18" t="str">
        <f>IF(A60="","",IFERROR(INDEX(Jobs!$C$9:$C$258,MATCH(B60,Jobs!$A$9:$A$258,0)),""))</f>
        <v/>
      </c>
      <c r="Z60" s="18" t="str">
        <f>IF(A60="","",IFERROR(INDEX(Jobs!$B$9:$B$258,MATCH(B60,Jobs!$A$9:$A$258,0)),""))</f>
        <v/>
      </c>
      <c r="AA60" s="19" t="str">
        <f>IF(A60="","",IFERROR(VLOOKUP(I60,Lists!$E$9:$F$14,2,FALSE),0))</f>
        <v/>
      </c>
      <c r="AB60" s="19" t="str">
        <f t="shared" si="0"/>
        <v/>
      </c>
      <c r="AC60" s="19" t="str">
        <f t="shared" si="1"/>
        <v/>
      </c>
      <c r="AD60" s="19" t="str">
        <f t="shared" si="2"/>
        <v/>
      </c>
      <c r="AE60" s="19" t="str">
        <f t="shared" si="3"/>
        <v/>
      </c>
      <c r="AF60" s="19" t="str">
        <f t="shared" si="4"/>
        <v/>
      </c>
      <c r="AG60" s="27" t="str">
        <f t="shared" si="5"/>
        <v/>
      </c>
      <c r="AH60" s="19" t="str">
        <f t="shared" si="6"/>
        <v/>
      </c>
      <c r="AI60" s="19" t="str">
        <f t="shared" si="7"/>
        <v/>
      </c>
      <c r="AJ60" s="19" t="str">
        <f t="shared" si="8"/>
        <v/>
      </c>
      <c r="AK60" s="18" t="str">
        <f>IF(AND(A60&lt;&gt;"",F60="Selected"),COUNTIF($F$9:F60,"Selected"),"")</f>
        <v/>
      </c>
      <c r="AL60" s="18" t="str">
        <f>IF(A60="","",COUNTIF($B$9:B60,B60))</f>
        <v/>
      </c>
      <c r="AM60" s="18" t="str">
        <f>IF(A60="","",IF(COUNTIF(Jobs!$A$9:$A$258,B60)&lt;&gt;1,"Check JobID",IF(COUNTIF(Suppliers!$D$9:$D$508,D60)&lt;&gt;1,"Check contact",IF(AA60&lt;=0,"Currency / FX missing",IF(NOT(ISNUMBER(G60)),"Original price missing",IF(G60&lt;0,"Invalid original price",IF(AND(H60&lt;&gt;"",NOT(ISNUMBER(H60))),"Invalid final price",IF(AND(ISNUMBER(H60),H60&lt;0),"Invalid final price",IF(AND(F60="Selected",COUNTIFS($B$9:$B$258,B60,$E$9:$E$258,E60,$F$9:$F$258,"Selected")&gt;1),"Selected scope overlap",IF(AND(ISNUMBER(H60),H60&gt;G60),"Price increased",IF(LEN(H60&amp;"")=0,"Final price pending","OK")))))))))))</f>
        <v/>
      </c>
      <c r="AN60" s="19" t="str">
        <f t="shared" si="9"/>
        <v/>
      </c>
      <c r="AO60" s="18" t="str">
        <f>IF(A60="","",IFERROR(IF(INDEX(Suppliers!$A$9:$A$508,MATCH(D60,Suppliers!$D$9:$D$508,0))=C60,"OK","Contact / supplier mismatch"),"Contact missing"))</f>
        <v/>
      </c>
      <c r="AP60" s="18" t="str">
        <f>IF(OR(A60="",IFERROR(INDEX(Jobs!$P$9:$P$258,MATCH(B60,Jobs!$A$9:$A$258,0)),"")=""),"",HYPERLINK("#'"&amp;IFERROR(INDEX(Jobs!$P$9:$P$258,MATCH(B60,Jobs!$A$9:$A$258,0)),"")&amp;"'!A1","OPEN JOB"))</f>
        <v/>
      </c>
      <c r="AQ60" s="18"/>
      <c r="AR60" s="18"/>
      <c r="AS60" t="str">
        <f t="shared" si="10"/>
        <v/>
      </c>
      <c r="AT60" t="str">
        <f t="shared" si="11"/>
        <v/>
      </c>
    </row>
    <row r="61" spans="1:46" ht="40" customHeight="1" x14ac:dyDescent="0.35">
      <c r="A61" s="14"/>
      <c r="B61" s="37"/>
      <c r="C61" s="14"/>
      <c r="D61" s="15"/>
      <c r="E61" s="15"/>
      <c r="F61" s="15"/>
      <c r="G61" s="24"/>
      <c r="H61" s="24"/>
      <c r="I61" s="15"/>
      <c r="J61" s="17"/>
      <c r="K61" s="17"/>
      <c r="L61" s="17"/>
      <c r="M61" s="15"/>
      <c r="N61" s="15"/>
      <c r="O61" s="15"/>
      <c r="P61" s="15"/>
      <c r="Q61" s="15"/>
      <c r="R61" s="15"/>
      <c r="S61" s="14"/>
      <c r="T61" s="14"/>
      <c r="U61" s="14" t="str">
        <f>IF(A61="","",IFERROR(IF(LEN(INDEX(Suppliers!$B$9:$B$508,MATCH(C61,Suppliers!$A$9:$A$508,0))&amp;"")=0,"",INDEX(Suppliers!$B$9:$B$508,MATCH(C61,Suppliers!$A$9:$A$508,0))),""))</f>
        <v/>
      </c>
      <c r="V61" s="14" t="str">
        <f>IF(A61="","",IFERROR(IF(LEN(INDEX(Suppliers!$E$9:$E$508,MATCH(D61,Suppliers!$D$9:$D$508,0))&amp;"")=0,"",INDEX(Suppliers!$E$9:$E$508,MATCH(D61,Suppliers!$D$9:$D$508,0))),""))</f>
        <v/>
      </c>
      <c r="W61" s="14" t="str">
        <f>IF(A61="","",IFERROR(IF(LEN(INDEX(Suppliers!$F$9:$F$508,MATCH(D61,Suppliers!$D$9:$D$508,0))&amp;"")=0,"",INDEX(Suppliers!$F$9:$F$508,MATCH(D61,Suppliers!$D$9:$D$508,0))),""))</f>
        <v/>
      </c>
      <c r="X61" s="14" t="str">
        <f>IF(A61="","",IFERROR(IF(LEN(INDEX(Suppliers!$G$9:$G$508,MATCH(D61,Suppliers!$D$9:$D$508,0))&amp;"")=0,"",INDEX(Suppliers!$G$9:$G$508,MATCH(D61,Suppliers!$D$9:$D$508,0))),""))</f>
        <v/>
      </c>
      <c r="Y61" s="14" t="str">
        <f>IF(A61="","",IFERROR(INDEX(Jobs!$C$9:$C$258,MATCH(B61,Jobs!$A$9:$A$258,0)),""))</f>
        <v/>
      </c>
      <c r="Z61" s="14" t="str">
        <f>IF(A61="","",IFERROR(INDEX(Jobs!$B$9:$B$258,MATCH(B61,Jobs!$A$9:$A$258,0)),""))</f>
        <v/>
      </c>
      <c r="AA61" s="16" t="str">
        <f>IF(A61="","",IFERROR(VLOOKUP(I61,Lists!$E$9:$F$14,2,FALSE),0))</f>
        <v/>
      </c>
      <c r="AB61" s="16" t="str">
        <f t="shared" si="0"/>
        <v/>
      </c>
      <c r="AC61" s="16" t="str">
        <f t="shared" si="1"/>
        <v/>
      </c>
      <c r="AD61" s="16" t="str">
        <f t="shared" si="2"/>
        <v/>
      </c>
      <c r="AE61" s="16" t="str">
        <f t="shared" si="3"/>
        <v/>
      </c>
      <c r="AF61" s="16" t="str">
        <f t="shared" si="4"/>
        <v/>
      </c>
      <c r="AG61" s="26" t="str">
        <f t="shared" si="5"/>
        <v/>
      </c>
      <c r="AH61" s="16" t="str">
        <f t="shared" si="6"/>
        <v/>
      </c>
      <c r="AI61" s="16" t="str">
        <f t="shared" si="7"/>
        <v/>
      </c>
      <c r="AJ61" s="16" t="str">
        <f t="shared" si="8"/>
        <v/>
      </c>
      <c r="AK61" s="14" t="str">
        <f>IF(AND(A61&lt;&gt;"",F61="Selected"),COUNTIF($F$9:F61,"Selected"),"")</f>
        <v/>
      </c>
      <c r="AL61" s="14" t="str">
        <f>IF(A61="","",COUNTIF($B$9:B61,B61))</f>
        <v/>
      </c>
      <c r="AM61" s="14" t="str">
        <f>IF(A61="","",IF(COUNTIF(Jobs!$A$9:$A$258,B61)&lt;&gt;1,"Check JobID",IF(COUNTIF(Suppliers!$D$9:$D$508,D61)&lt;&gt;1,"Check contact",IF(AA61&lt;=0,"Currency / FX missing",IF(NOT(ISNUMBER(G61)),"Original price missing",IF(G61&lt;0,"Invalid original price",IF(AND(H61&lt;&gt;"",NOT(ISNUMBER(H61))),"Invalid final price",IF(AND(ISNUMBER(H61),H61&lt;0),"Invalid final price",IF(AND(F61="Selected",COUNTIFS($B$9:$B$258,B61,$E$9:$E$258,E61,$F$9:$F$258,"Selected")&gt;1),"Selected scope overlap",IF(AND(ISNUMBER(H61),H61&gt;G61),"Price increased",IF(LEN(H61&amp;"")=0,"Final price pending","OK")))))))))))</f>
        <v/>
      </c>
      <c r="AN61" s="16" t="str">
        <f t="shared" si="9"/>
        <v/>
      </c>
      <c r="AO61" s="14" t="str">
        <f>IF(A61="","",IFERROR(IF(INDEX(Suppliers!$A$9:$A$508,MATCH(D61,Suppliers!$D$9:$D$508,0))=C61,"OK","Contact / supplier mismatch"),"Contact missing"))</f>
        <v/>
      </c>
      <c r="AP61" s="14" t="str">
        <f>IF(OR(A61="",IFERROR(INDEX(Jobs!$P$9:$P$258,MATCH(B61,Jobs!$A$9:$A$258,0)),"")=""),"",HYPERLINK("#'"&amp;IFERROR(INDEX(Jobs!$P$9:$P$258,MATCH(B61,Jobs!$A$9:$A$258,0)),"")&amp;"'!A1","OPEN JOB"))</f>
        <v/>
      </c>
      <c r="AQ61" s="14"/>
      <c r="AR61" s="14"/>
      <c r="AS61" t="str">
        <f t="shared" si="10"/>
        <v/>
      </c>
      <c r="AT61" t="str">
        <f t="shared" si="11"/>
        <v/>
      </c>
    </row>
    <row r="62" spans="1:46" ht="40" customHeight="1" x14ac:dyDescent="0.35">
      <c r="A62" s="18"/>
      <c r="B62" s="37"/>
      <c r="C62" s="18"/>
      <c r="D62" s="15"/>
      <c r="E62" s="15"/>
      <c r="F62" s="15"/>
      <c r="G62" s="24"/>
      <c r="H62" s="24"/>
      <c r="I62" s="15"/>
      <c r="J62" s="17"/>
      <c r="K62" s="17"/>
      <c r="L62" s="17"/>
      <c r="M62" s="15"/>
      <c r="N62" s="15"/>
      <c r="O62" s="15"/>
      <c r="P62" s="15"/>
      <c r="Q62" s="15"/>
      <c r="R62" s="15"/>
      <c r="S62" s="18"/>
      <c r="T62" s="18"/>
      <c r="U62" s="18" t="str">
        <f>IF(A62="","",IFERROR(IF(LEN(INDEX(Suppliers!$B$9:$B$508,MATCH(C62,Suppliers!$A$9:$A$508,0))&amp;"")=0,"",INDEX(Suppliers!$B$9:$B$508,MATCH(C62,Suppliers!$A$9:$A$508,0))),""))</f>
        <v/>
      </c>
      <c r="V62" s="18" t="str">
        <f>IF(A62="","",IFERROR(IF(LEN(INDEX(Suppliers!$E$9:$E$508,MATCH(D62,Suppliers!$D$9:$D$508,0))&amp;"")=0,"",INDEX(Suppliers!$E$9:$E$508,MATCH(D62,Suppliers!$D$9:$D$508,0))),""))</f>
        <v/>
      </c>
      <c r="W62" s="18" t="str">
        <f>IF(A62="","",IFERROR(IF(LEN(INDEX(Suppliers!$F$9:$F$508,MATCH(D62,Suppliers!$D$9:$D$508,0))&amp;"")=0,"",INDEX(Suppliers!$F$9:$F$508,MATCH(D62,Suppliers!$D$9:$D$508,0))),""))</f>
        <v/>
      </c>
      <c r="X62" s="18" t="str">
        <f>IF(A62="","",IFERROR(IF(LEN(INDEX(Suppliers!$G$9:$G$508,MATCH(D62,Suppliers!$D$9:$D$508,0))&amp;"")=0,"",INDEX(Suppliers!$G$9:$G$508,MATCH(D62,Suppliers!$D$9:$D$508,0))),""))</f>
        <v/>
      </c>
      <c r="Y62" s="18" t="str">
        <f>IF(A62="","",IFERROR(INDEX(Jobs!$C$9:$C$258,MATCH(B62,Jobs!$A$9:$A$258,0)),""))</f>
        <v/>
      </c>
      <c r="Z62" s="18" t="str">
        <f>IF(A62="","",IFERROR(INDEX(Jobs!$B$9:$B$258,MATCH(B62,Jobs!$A$9:$A$258,0)),""))</f>
        <v/>
      </c>
      <c r="AA62" s="19" t="str">
        <f>IF(A62="","",IFERROR(VLOOKUP(I62,Lists!$E$9:$F$14,2,FALSE),0))</f>
        <v/>
      </c>
      <c r="AB62" s="19" t="str">
        <f t="shared" si="0"/>
        <v/>
      </c>
      <c r="AC62" s="19" t="str">
        <f t="shared" si="1"/>
        <v/>
      </c>
      <c r="AD62" s="19" t="str">
        <f t="shared" si="2"/>
        <v/>
      </c>
      <c r="AE62" s="19" t="str">
        <f t="shared" si="3"/>
        <v/>
      </c>
      <c r="AF62" s="19" t="str">
        <f t="shared" si="4"/>
        <v/>
      </c>
      <c r="AG62" s="27" t="str">
        <f t="shared" si="5"/>
        <v/>
      </c>
      <c r="AH62" s="19" t="str">
        <f t="shared" si="6"/>
        <v/>
      </c>
      <c r="AI62" s="19" t="str">
        <f t="shared" si="7"/>
        <v/>
      </c>
      <c r="AJ62" s="19" t="str">
        <f t="shared" si="8"/>
        <v/>
      </c>
      <c r="AK62" s="18" t="str">
        <f>IF(AND(A62&lt;&gt;"",F62="Selected"),COUNTIF($F$9:F62,"Selected"),"")</f>
        <v/>
      </c>
      <c r="AL62" s="18" t="str">
        <f>IF(A62="","",COUNTIF($B$9:B62,B62))</f>
        <v/>
      </c>
      <c r="AM62" s="18" t="str">
        <f>IF(A62="","",IF(COUNTIF(Jobs!$A$9:$A$258,B62)&lt;&gt;1,"Check JobID",IF(COUNTIF(Suppliers!$D$9:$D$508,D62)&lt;&gt;1,"Check contact",IF(AA62&lt;=0,"Currency / FX missing",IF(NOT(ISNUMBER(G62)),"Original price missing",IF(G62&lt;0,"Invalid original price",IF(AND(H62&lt;&gt;"",NOT(ISNUMBER(H62))),"Invalid final price",IF(AND(ISNUMBER(H62),H62&lt;0),"Invalid final price",IF(AND(F62="Selected",COUNTIFS($B$9:$B$258,B62,$E$9:$E$258,E62,$F$9:$F$258,"Selected")&gt;1),"Selected scope overlap",IF(AND(ISNUMBER(H62),H62&gt;G62),"Price increased",IF(LEN(H62&amp;"")=0,"Final price pending","OK")))))))))))</f>
        <v/>
      </c>
      <c r="AN62" s="19" t="str">
        <f t="shared" si="9"/>
        <v/>
      </c>
      <c r="AO62" s="18" t="str">
        <f>IF(A62="","",IFERROR(IF(INDEX(Suppliers!$A$9:$A$508,MATCH(D62,Suppliers!$D$9:$D$508,0))=C62,"OK","Contact / supplier mismatch"),"Contact missing"))</f>
        <v/>
      </c>
      <c r="AP62" s="18" t="str">
        <f>IF(OR(A62="",IFERROR(INDEX(Jobs!$P$9:$P$258,MATCH(B62,Jobs!$A$9:$A$258,0)),"")=""),"",HYPERLINK("#'"&amp;IFERROR(INDEX(Jobs!$P$9:$P$258,MATCH(B62,Jobs!$A$9:$A$258,0)),"")&amp;"'!A1","OPEN JOB"))</f>
        <v/>
      </c>
      <c r="AQ62" s="18"/>
      <c r="AR62" s="18"/>
      <c r="AS62" t="str">
        <f t="shared" si="10"/>
        <v/>
      </c>
      <c r="AT62" t="str">
        <f t="shared" si="11"/>
        <v/>
      </c>
    </row>
    <row r="63" spans="1:46" ht="40" customHeight="1" x14ac:dyDescent="0.35">
      <c r="A63" s="14"/>
      <c r="B63" s="37"/>
      <c r="C63" s="14"/>
      <c r="D63" s="15"/>
      <c r="E63" s="15"/>
      <c r="F63" s="15"/>
      <c r="G63" s="24"/>
      <c r="H63" s="24"/>
      <c r="I63" s="15"/>
      <c r="J63" s="17"/>
      <c r="K63" s="17"/>
      <c r="L63" s="17"/>
      <c r="M63" s="15"/>
      <c r="N63" s="15"/>
      <c r="O63" s="15"/>
      <c r="P63" s="15"/>
      <c r="Q63" s="15"/>
      <c r="R63" s="15"/>
      <c r="S63" s="14"/>
      <c r="T63" s="14"/>
      <c r="U63" s="14" t="str">
        <f>IF(A63="","",IFERROR(IF(LEN(INDEX(Suppliers!$B$9:$B$508,MATCH(C63,Suppliers!$A$9:$A$508,0))&amp;"")=0,"",INDEX(Suppliers!$B$9:$B$508,MATCH(C63,Suppliers!$A$9:$A$508,0))),""))</f>
        <v/>
      </c>
      <c r="V63" s="14" t="str">
        <f>IF(A63="","",IFERROR(IF(LEN(INDEX(Suppliers!$E$9:$E$508,MATCH(D63,Suppliers!$D$9:$D$508,0))&amp;"")=0,"",INDEX(Suppliers!$E$9:$E$508,MATCH(D63,Suppliers!$D$9:$D$508,0))),""))</f>
        <v/>
      </c>
      <c r="W63" s="14" t="str">
        <f>IF(A63="","",IFERROR(IF(LEN(INDEX(Suppliers!$F$9:$F$508,MATCH(D63,Suppliers!$D$9:$D$508,0))&amp;"")=0,"",INDEX(Suppliers!$F$9:$F$508,MATCH(D63,Suppliers!$D$9:$D$508,0))),""))</f>
        <v/>
      </c>
      <c r="X63" s="14" t="str">
        <f>IF(A63="","",IFERROR(IF(LEN(INDEX(Suppliers!$G$9:$G$508,MATCH(D63,Suppliers!$D$9:$D$508,0))&amp;"")=0,"",INDEX(Suppliers!$G$9:$G$508,MATCH(D63,Suppliers!$D$9:$D$508,0))),""))</f>
        <v/>
      </c>
      <c r="Y63" s="14" t="str">
        <f>IF(A63="","",IFERROR(INDEX(Jobs!$C$9:$C$258,MATCH(B63,Jobs!$A$9:$A$258,0)),""))</f>
        <v/>
      </c>
      <c r="Z63" s="14" t="str">
        <f>IF(A63="","",IFERROR(INDEX(Jobs!$B$9:$B$258,MATCH(B63,Jobs!$A$9:$A$258,0)),""))</f>
        <v/>
      </c>
      <c r="AA63" s="16" t="str">
        <f>IF(A63="","",IFERROR(VLOOKUP(I63,Lists!$E$9:$F$14,2,FALSE),0))</f>
        <v/>
      </c>
      <c r="AB63" s="16" t="str">
        <f t="shared" si="0"/>
        <v/>
      </c>
      <c r="AC63" s="16" t="str">
        <f t="shared" si="1"/>
        <v/>
      </c>
      <c r="AD63" s="16" t="str">
        <f t="shared" si="2"/>
        <v/>
      </c>
      <c r="AE63" s="16" t="str">
        <f t="shared" si="3"/>
        <v/>
      </c>
      <c r="AF63" s="16" t="str">
        <f t="shared" si="4"/>
        <v/>
      </c>
      <c r="AG63" s="26" t="str">
        <f t="shared" si="5"/>
        <v/>
      </c>
      <c r="AH63" s="16" t="str">
        <f t="shared" si="6"/>
        <v/>
      </c>
      <c r="AI63" s="16" t="str">
        <f t="shared" si="7"/>
        <v/>
      </c>
      <c r="AJ63" s="16" t="str">
        <f t="shared" si="8"/>
        <v/>
      </c>
      <c r="AK63" s="14" t="str">
        <f>IF(AND(A63&lt;&gt;"",F63="Selected"),COUNTIF($F$9:F63,"Selected"),"")</f>
        <v/>
      </c>
      <c r="AL63" s="14" t="str">
        <f>IF(A63="","",COUNTIF($B$9:B63,B63))</f>
        <v/>
      </c>
      <c r="AM63" s="14" t="str">
        <f>IF(A63="","",IF(COUNTIF(Jobs!$A$9:$A$258,B63)&lt;&gt;1,"Check JobID",IF(COUNTIF(Suppliers!$D$9:$D$508,D63)&lt;&gt;1,"Check contact",IF(AA63&lt;=0,"Currency / FX missing",IF(NOT(ISNUMBER(G63)),"Original price missing",IF(G63&lt;0,"Invalid original price",IF(AND(H63&lt;&gt;"",NOT(ISNUMBER(H63))),"Invalid final price",IF(AND(ISNUMBER(H63),H63&lt;0),"Invalid final price",IF(AND(F63="Selected",COUNTIFS($B$9:$B$258,B63,$E$9:$E$258,E63,$F$9:$F$258,"Selected")&gt;1),"Selected scope overlap",IF(AND(ISNUMBER(H63),H63&gt;G63),"Price increased",IF(LEN(H63&amp;"")=0,"Final price pending","OK")))))))))))</f>
        <v/>
      </c>
      <c r="AN63" s="16" t="str">
        <f t="shared" si="9"/>
        <v/>
      </c>
      <c r="AO63" s="14" t="str">
        <f>IF(A63="","",IFERROR(IF(INDEX(Suppliers!$A$9:$A$508,MATCH(D63,Suppliers!$D$9:$D$508,0))=C63,"OK","Contact / supplier mismatch"),"Contact missing"))</f>
        <v/>
      </c>
      <c r="AP63" s="14" t="str">
        <f>IF(OR(A63="",IFERROR(INDEX(Jobs!$P$9:$P$258,MATCH(B63,Jobs!$A$9:$A$258,0)),"")=""),"",HYPERLINK("#'"&amp;IFERROR(INDEX(Jobs!$P$9:$P$258,MATCH(B63,Jobs!$A$9:$A$258,0)),"")&amp;"'!A1","OPEN JOB"))</f>
        <v/>
      </c>
      <c r="AQ63" s="14"/>
      <c r="AR63" s="14"/>
      <c r="AS63" t="str">
        <f t="shared" si="10"/>
        <v/>
      </c>
      <c r="AT63" t="str">
        <f t="shared" si="11"/>
        <v/>
      </c>
    </row>
    <row r="64" spans="1:46" ht="40" customHeight="1" x14ac:dyDescent="0.35">
      <c r="A64" s="18"/>
      <c r="B64" s="37"/>
      <c r="C64" s="18"/>
      <c r="D64" s="15"/>
      <c r="E64" s="15"/>
      <c r="F64" s="15"/>
      <c r="G64" s="24"/>
      <c r="H64" s="24"/>
      <c r="I64" s="15"/>
      <c r="J64" s="17"/>
      <c r="K64" s="17"/>
      <c r="L64" s="17"/>
      <c r="M64" s="15"/>
      <c r="N64" s="15"/>
      <c r="O64" s="15"/>
      <c r="P64" s="15"/>
      <c r="Q64" s="15"/>
      <c r="R64" s="15"/>
      <c r="S64" s="18"/>
      <c r="T64" s="18"/>
      <c r="U64" s="18" t="str">
        <f>IF(A64="","",IFERROR(IF(LEN(INDEX(Suppliers!$B$9:$B$508,MATCH(C64,Suppliers!$A$9:$A$508,0))&amp;"")=0,"",INDEX(Suppliers!$B$9:$B$508,MATCH(C64,Suppliers!$A$9:$A$508,0))),""))</f>
        <v/>
      </c>
      <c r="V64" s="18" t="str">
        <f>IF(A64="","",IFERROR(IF(LEN(INDEX(Suppliers!$E$9:$E$508,MATCH(D64,Suppliers!$D$9:$D$508,0))&amp;"")=0,"",INDEX(Suppliers!$E$9:$E$508,MATCH(D64,Suppliers!$D$9:$D$508,0))),""))</f>
        <v/>
      </c>
      <c r="W64" s="18" t="str">
        <f>IF(A64="","",IFERROR(IF(LEN(INDEX(Suppliers!$F$9:$F$508,MATCH(D64,Suppliers!$D$9:$D$508,0))&amp;"")=0,"",INDEX(Suppliers!$F$9:$F$508,MATCH(D64,Suppliers!$D$9:$D$508,0))),""))</f>
        <v/>
      </c>
      <c r="X64" s="18" t="str">
        <f>IF(A64="","",IFERROR(IF(LEN(INDEX(Suppliers!$G$9:$G$508,MATCH(D64,Suppliers!$D$9:$D$508,0))&amp;"")=0,"",INDEX(Suppliers!$G$9:$G$508,MATCH(D64,Suppliers!$D$9:$D$508,0))),""))</f>
        <v/>
      </c>
      <c r="Y64" s="18" t="str">
        <f>IF(A64="","",IFERROR(INDEX(Jobs!$C$9:$C$258,MATCH(B64,Jobs!$A$9:$A$258,0)),""))</f>
        <v/>
      </c>
      <c r="Z64" s="18" t="str">
        <f>IF(A64="","",IFERROR(INDEX(Jobs!$B$9:$B$258,MATCH(B64,Jobs!$A$9:$A$258,0)),""))</f>
        <v/>
      </c>
      <c r="AA64" s="19" t="str">
        <f>IF(A64="","",IFERROR(VLOOKUP(I64,Lists!$E$9:$F$14,2,FALSE),0))</f>
        <v/>
      </c>
      <c r="AB64" s="19" t="str">
        <f t="shared" si="0"/>
        <v/>
      </c>
      <c r="AC64" s="19" t="str">
        <f t="shared" si="1"/>
        <v/>
      </c>
      <c r="AD64" s="19" t="str">
        <f t="shared" si="2"/>
        <v/>
      </c>
      <c r="AE64" s="19" t="str">
        <f t="shared" si="3"/>
        <v/>
      </c>
      <c r="AF64" s="19" t="str">
        <f t="shared" si="4"/>
        <v/>
      </c>
      <c r="AG64" s="27" t="str">
        <f t="shared" si="5"/>
        <v/>
      </c>
      <c r="AH64" s="19" t="str">
        <f t="shared" si="6"/>
        <v/>
      </c>
      <c r="AI64" s="19" t="str">
        <f t="shared" si="7"/>
        <v/>
      </c>
      <c r="AJ64" s="19" t="str">
        <f t="shared" si="8"/>
        <v/>
      </c>
      <c r="AK64" s="18" t="str">
        <f>IF(AND(A64&lt;&gt;"",F64="Selected"),COUNTIF($F$9:F64,"Selected"),"")</f>
        <v/>
      </c>
      <c r="AL64" s="18" t="str">
        <f>IF(A64="","",COUNTIF($B$9:B64,B64))</f>
        <v/>
      </c>
      <c r="AM64" s="18" t="str">
        <f>IF(A64="","",IF(COUNTIF(Jobs!$A$9:$A$258,B64)&lt;&gt;1,"Check JobID",IF(COUNTIF(Suppliers!$D$9:$D$508,D64)&lt;&gt;1,"Check contact",IF(AA64&lt;=0,"Currency / FX missing",IF(NOT(ISNUMBER(G64)),"Original price missing",IF(G64&lt;0,"Invalid original price",IF(AND(H64&lt;&gt;"",NOT(ISNUMBER(H64))),"Invalid final price",IF(AND(ISNUMBER(H64),H64&lt;0),"Invalid final price",IF(AND(F64="Selected",COUNTIFS($B$9:$B$258,B64,$E$9:$E$258,E64,$F$9:$F$258,"Selected")&gt;1),"Selected scope overlap",IF(AND(ISNUMBER(H64),H64&gt;G64),"Price increased",IF(LEN(H64&amp;"")=0,"Final price pending","OK")))))))))))</f>
        <v/>
      </c>
      <c r="AN64" s="19" t="str">
        <f t="shared" si="9"/>
        <v/>
      </c>
      <c r="AO64" s="18" t="str">
        <f>IF(A64="","",IFERROR(IF(INDEX(Suppliers!$A$9:$A$508,MATCH(D64,Suppliers!$D$9:$D$508,0))=C64,"OK","Contact / supplier mismatch"),"Contact missing"))</f>
        <v/>
      </c>
      <c r="AP64" s="18" t="str">
        <f>IF(OR(A64="",IFERROR(INDEX(Jobs!$P$9:$P$258,MATCH(B64,Jobs!$A$9:$A$258,0)),"")=""),"",HYPERLINK("#'"&amp;IFERROR(INDEX(Jobs!$P$9:$P$258,MATCH(B64,Jobs!$A$9:$A$258,0)),"")&amp;"'!A1","OPEN JOB"))</f>
        <v/>
      </c>
      <c r="AQ64" s="18"/>
      <c r="AR64" s="18"/>
      <c r="AS64" t="str">
        <f t="shared" si="10"/>
        <v/>
      </c>
      <c r="AT64" t="str">
        <f t="shared" si="11"/>
        <v/>
      </c>
    </row>
    <row r="65" spans="1:46" ht="40" customHeight="1" x14ac:dyDescent="0.35">
      <c r="A65" s="14"/>
      <c r="B65" s="37"/>
      <c r="C65" s="14"/>
      <c r="D65" s="15"/>
      <c r="E65" s="15"/>
      <c r="F65" s="15"/>
      <c r="G65" s="24"/>
      <c r="H65" s="24"/>
      <c r="I65" s="15"/>
      <c r="J65" s="17"/>
      <c r="K65" s="17"/>
      <c r="L65" s="17"/>
      <c r="M65" s="15"/>
      <c r="N65" s="15"/>
      <c r="O65" s="15"/>
      <c r="P65" s="15"/>
      <c r="Q65" s="15"/>
      <c r="R65" s="15"/>
      <c r="S65" s="14"/>
      <c r="T65" s="14"/>
      <c r="U65" s="14" t="str">
        <f>IF(A65="","",IFERROR(IF(LEN(INDEX(Suppliers!$B$9:$B$508,MATCH(C65,Suppliers!$A$9:$A$508,0))&amp;"")=0,"",INDEX(Suppliers!$B$9:$B$508,MATCH(C65,Suppliers!$A$9:$A$508,0))),""))</f>
        <v/>
      </c>
      <c r="V65" s="14" t="str">
        <f>IF(A65="","",IFERROR(IF(LEN(INDEX(Suppliers!$E$9:$E$508,MATCH(D65,Suppliers!$D$9:$D$508,0))&amp;"")=0,"",INDEX(Suppliers!$E$9:$E$508,MATCH(D65,Suppliers!$D$9:$D$508,0))),""))</f>
        <v/>
      </c>
      <c r="W65" s="14" t="str">
        <f>IF(A65="","",IFERROR(IF(LEN(INDEX(Suppliers!$F$9:$F$508,MATCH(D65,Suppliers!$D$9:$D$508,0))&amp;"")=0,"",INDEX(Suppliers!$F$9:$F$508,MATCH(D65,Suppliers!$D$9:$D$508,0))),""))</f>
        <v/>
      </c>
      <c r="X65" s="14" t="str">
        <f>IF(A65="","",IFERROR(IF(LEN(INDEX(Suppliers!$G$9:$G$508,MATCH(D65,Suppliers!$D$9:$D$508,0))&amp;"")=0,"",INDEX(Suppliers!$G$9:$G$508,MATCH(D65,Suppliers!$D$9:$D$508,0))),""))</f>
        <v/>
      </c>
      <c r="Y65" s="14" t="str">
        <f>IF(A65="","",IFERROR(INDEX(Jobs!$C$9:$C$258,MATCH(B65,Jobs!$A$9:$A$258,0)),""))</f>
        <v/>
      </c>
      <c r="Z65" s="14" t="str">
        <f>IF(A65="","",IFERROR(INDEX(Jobs!$B$9:$B$258,MATCH(B65,Jobs!$A$9:$A$258,0)),""))</f>
        <v/>
      </c>
      <c r="AA65" s="16" t="str">
        <f>IF(A65="","",IFERROR(VLOOKUP(I65,Lists!$E$9:$F$14,2,FALSE),0))</f>
        <v/>
      </c>
      <c r="AB65" s="16" t="str">
        <f t="shared" si="0"/>
        <v/>
      </c>
      <c r="AC65" s="16" t="str">
        <f t="shared" si="1"/>
        <v/>
      </c>
      <c r="AD65" s="16" t="str">
        <f t="shared" si="2"/>
        <v/>
      </c>
      <c r="AE65" s="16" t="str">
        <f t="shared" si="3"/>
        <v/>
      </c>
      <c r="AF65" s="16" t="str">
        <f t="shared" si="4"/>
        <v/>
      </c>
      <c r="AG65" s="26" t="str">
        <f t="shared" si="5"/>
        <v/>
      </c>
      <c r="AH65" s="16" t="str">
        <f t="shared" si="6"/>
        <v/>
      </c>
      <c r="AI65" s="16" t="str">
        <f t="shared" si="7"/>
        <v/>
      </c>
      <c r="AJ65" s="16" t="str">
        <f t="shared" si="8"/>
        <v/>
      </c>
      <c r="AK65" s="14" t="str">
        <f>IF(AND(A65&lt;&gt;"",F65="Selected"),COUNTIF($F$9:F65,"Selected"),"")</f>
        <v/>
      </c>
      <c r="AL65" s="14" t="str">
        <f>IF(A65="","",COUNTIF($B$9:B65,B65))</f>
        <v/>
      </c>
      <c r="AM65" s="14" t="str">
        <f>IF(A65="","",IF(COUNTIF(Jobs!$A$9:$A$258,B65)&lt;&gt;1,"Check JobID",IF(COUNTIF(Suppliers!$D$9:$D$508,D65)&lt;&gt;1,"Check contact",IF(AA65&lt;=0,"Currency / FX missing",IF(NOT(ISNUMBER(G65)),"Original price missing",IF(G65&lt;0,"Invalid original price",IF(AND(H65&lt;&gt;"",NOT(ISNUMBER(H65))),"Invalid final price",IF(AND(ISNUMBER(H65),H65&lt;0),"Invalid final price",IF(AND(F65="Selected",COUNTIFS($B$9:$B$258,B65,$E$9:$E$258,E65,$F$9:$F$258,"Selected")&gt;1),"Selected scope overlap",IF(AND(ISNUMBER(H65),H65&gt;G65),"Price increased",IF(LEN(H65&amp;"")=0,"Final price pending","OK")))))))))))</f>
        <v/>
      </c>
      <c r="AN65" s="16" t="str">
        <f t="shared" si="9"/>
        <v/>
      </c>
      <c r="AO65" s="14" t="str">
        <f>IF(A65="","",IFERROR(IF(INDEX(Suppliers!$A$9:$A$508,MATCH(D65,Suppliers!$D$9:$D$508,0))=C65,"OK","Contact / supplier mismatch"),"Contact missing"))</f>
        <v/>
      </c>
      <c r="AP65" s="14" t="str">
        <f>IF(OR(A65="",IFERROR(INDEX(Jobs!$P$9:$P$258,MATCH(B65,Jobs!$A$9:$A$258,0)),"")=""),"",HYPERLINK("#'"&amp;IFERROR(INDEX(Jobs!$P$9:$P$258,MATCH(B65,Jobs!$A$9:$A$258,0)),"")&amp;"'!A1","OPEN JOB"))</f>
        <v/>
      </c>
      <c r="AQ65" s="14"/>
      <c r="AR65" s="14"/>
      <c r="AS65" t="str">
        <f t="shared" si="10"/>
        <v/>
      </c>
      <c r="AT65" t="str">
        <f t="shared" si="11"/>
        <v/>
      </c>
    </row>
    <row r="66" spans="1:46" ht="40" customHeight="1" x14ac:dyDescent="0.35">
      <c r="A66" s="18"/>
      <c r="B66" s="37"/>
      <c r="C66" s="18"/>
      <c r="D66" s="15"/>
      <c r="E66" s="15"/>
      <c r="F66" s="15"/>
      <c r="G66" s="24"/>
      <c r="H66" s="24"/>
      <c r="I66" s="15"/>
      <c r="J66" s="17"/>
      <c r="K66" s="17"/>
      <c r="L66" s="17"/>
      <c r="M66" s="15"/>
      <c r="N66" s="15"/>
      <c r="O66" s="15"/>
      <c r="P66" s="15"/>
      <c r="Q66" s="15"/>
      <c r="R66" s="15"/>
      <c r="S66" s="18"/>
      <c r="T66" s="18"/>
      <c r="U66" s="18" t="str">
        <f>IF(A66="","",IFERROR(IF(LEN(INDEX(Suppliers!$B$9:$B$508,MATCH(C66,Suppliers!$A$9:$A$508,0))&amp;"")=0,"",INDEX(Suppliers!$B$9:$B$508,MATCH(C66,Suppliers!$A$9:$A$508,0))),""))</f>
        <v/>
      </c>
      <c r="V66" s="18" t="str">
        <f>IF(A66="","",IFERROR(IF(LEN(INDEX(Suppliers!$E$9:$E$508,MATCH(D66,Suppliers!$D$9:$D$508,0))&amp;"")=0,"",INDEX(Suppliers!$E$9:$E$508,MATCH(D66,Suppliers!$D$9:$D$508,0))),""))</f>
        <v/>
      </c>
      <c r="W66" s="18" t="str">
        <f>IF(A66="","",IFERROR(IF(LEN(INDEX(Suppliers!$F$9:$F$508,MATCH(D66,Suppliers!$D$9:$D$508,0))&amp;"")=0,"",INDEX(Suppliers!$F$9:$F$508,MATCH(D66,Suppliers!$D$9:$D$508,0))),""))</f>
        <v/>
      </c>
      <c r="X66" s="18" t="str">
        <f>IF(A66="","",IFERROR(IF(LEN(INDEX(Suppliers!$G$9:$G$508,MATCH(D66,Suppliers!$D$9:$D$508,0))&amp;"")=0,"",INDEX(Suppliers!$G$9:$G$508,MATCH(D66,Suppliers!$D$9:$D$508,0))),""))</f>
        <v/>
      </c>
      <c r="Y66" s="18" t="str">
        <f>IF(A66="","",IFERROR(INDEX(Jobs!$C$9:$C$258,MATCH(B66,Jobs!$A$9:$A$258,0)),""))</f>
        <v/>
      </c>
      <c r="Z66" s="18" t="str">
        <f>IF(A66="","",IFERROR(INDEX(Jobs!$B$9:$B$258,MATCH(B66,Jobs!$A$9:$A$258,0)),""))</f>
        <v/>
      </c>
      <c r="AA66" s="19" t="str">
        <f>IF(A66="","",IFERROR(VLOOKUP(I66,Lists!$E$9:$F$14,2,FALSE),0))</f>
        <v/>
      </c>
      <c r="AB66" s="19" t="str">
        <f t="shared" si="0"/>
        <v/>
      </c>
      <c r="AC66" s="19" t="str">
        <f t="shared" si="1"/>
        <v/>
      </c>
      <c r="AD66" s="19" t="str">
        <f t="shared" si="2"/>
        <v/>
      </c>
      <c r="AE66" s="19" t="str">
        <f t="shared" si="3"/>
        <v/>
      </c>
      <c r="AF66" s="19" t="str">
        <f t="shared" si="4"/>
        <v/>
      </c>
      <c r="AG66" s="27" t="str">
        <f t="shared" si="5"/>
        <v/>
      </c>
      <c r="AH66" s="19" t="str">
        <f t="shared" si="6"/>
        <v/>
      </c>
      <c r="AI66" s="19" t="str">
        <f t="shared" si="7"/>
        <v/>
      </c>
      <c r="AJ66" s="19" t="str">
        <f t="shared" si="8"/>
        <v/>
      </c>
      <c r="AK66" s="18" t="str">
        <f>IF(AND(A66&lt;&gt;"",F66="Selected"),COUNTIF($F$9:F66,"Selected"),"")</f>
        <v/>
      </c>
      <c r="AL66" s="18" t="str">
        <f>IF(A66="","",COUNTIF($B$9:B66,B66))</f>
        <v/>
      </c>
      <c r="AM66" s="18" t="str">
        <f>IF(A66="","",IF(COUNTIF(Jobs!$A$9:$A$258,B66)&lt;&gt;1,"Check JobID",IF(COUNTIF(Suppliers!$D$9:$D$508,D66)&lt;&gt;1,"Check contact",IF(AA66&lt;=0,"Currency / FX missing",IF(NOT(ISNUMBER(G66)),"Original price missing",IF(G66&lt;0,"Invalid original price",IF(AND(H66&lt;&gt;"",NOT(ISNUMBER(H66))),"Invalid final price",IF(AND(ISNUMBER(H66),H66&lt;0),"Invalid final price",IF(AND(F66="Selected",COUNTIFS($B$9:$B$258,B66,$E$9:$E$258,E66,$F$9:$F$258,"Selected")&gt;1),"Selected scope overlap",IF(AND(ISNUMBER(H66),H66&gt;G66),"Price increased",IF(LEN(H66&amp;"")=0,"Final price pending","OK")))))))))))</f>
        <v/>
      </c>
      <c r="AN66" s="19" t="str">
        <f t="shared" si="9"/>
        <v/>
      </c>
      <c r="AO66" s="18" t="str">
        <f>IF(A66="","",IFERROR(IF(INDEX(Suppliers!$A$9:$A$508,MATCH(D66,Suppliers!$D$9:$D$508,0))=C66,"OK","Contact / supplier mismatch"),"Contact missing"))</f>
        <v/>
      </c>
      <c r="AP66" s="18" t="str">
        <f>IF(OR(A66="",IFERROR(INDEX(Jobs!$P$9:$P$258,MATCH(B66,Jobs!$A$9:$A$258,0)),"")=""),"",HYPERLINK("#'"&amp;IFERROR(INDEX(Jobs!$P$9:$P$258,MATCH(B66,Jobs!$A$9:$A$258,0)),"")&amp;"'!A1","OPEN JOB"))</f>
        <v/>
      </c>
      <c r="AQ66" s="18"/>
      <c r="AR66" s="18"/>
      <c r="AS66" t="str">
        <f t="shared" si="10"/>
        <v/>
      </c>
      <c r="AT66" t="str">
        <f t="shared" si="11"/>
        <v/>
      </c>
    </row>
    <row r="67" spans="1:46" ht="40" customHeight="1" x14ac:dyDescent="0.35">
      <c r="A67" s="14"/>
      <c r="B67" s="37"/>
      <c r="C67" s="14"/>
      <c r="D67" s="15"/>
      <c r="E67" s="15"/>
      <c r="F67" s="15"/>
      <c r="G67" s="24"/>
      <c r="H67" s="24"/>
      <c r="I67" s="15"/>
      <c r="J67" s="17"/>
      <c r="K67" s="17"/>
      <c r="L67" s="17"/>
      <c r="M67" s="15"/>
      <c r="N67" s="15"/>
      <c r="O67" s="15"/>
      <c r="P67" s="15"/>
      <c r="Q67" s="15"/>
      <c r="R67" s="15"/>
      <c r="S67" s="14"/>
      <c r="T67" s="14"/>
      <c r="U67" s="14" t="str">
        <f>IF(A67="","",IFERROR(IF(LEN(INDEX(Suppliers!$B$9:$B$508,MATCH(C67,Suppliers!$A$9:$A$508,0))&amp;"")=0,"",INDEX(Suppliers!$B$9:$B$508,MATCH(C67,Suppliers!$A$9:$A$508,0))),""))</f>
        <v/>
      </c>
      <c r="V67" s="14" t="str">
        <f>IF(A67="","",IFERROR(IF(LEN(INDEX(Suppliers!$E$9:$E$508,MATCH(D67,Suppliers!$D$9:$D$508,0))&amp;"")=0,"",INDEX(Suppliers!$E$9:$E$508,MATCH(D67,Suppliers!$D$9:$D$508,0))),""))</f>
        <v/>
      </c>
      <c r="W67" s="14" t="str">
        <f>IF(A67="","",IFERROR(IF(LEN(INDEX(Suppliers!$F$9:$F$508,MATCH(D67,Suppliers!$D$9:$D$508,0))&amp;"")=0,"",INDEX(Suppliers!$F$9:$F$508,MATCH(D67,Suppliers!$D$9:$D$508,0))),""))</f>
        <v/>
      </c>
      <c r="X67" s="14" t="str">
        <f>IF(A67="","",IFERROR(IF(LEN(INDEX(Suppliers!$G$9:$G$508,MATCH(D67,Suppliers!$D$9:$D$508,0))&amp;"")=0,"",INDEX(Suppliers!$G$9:$G$508,MATCH(D67,Suppliers!$D$9:$D$508,0))),""))</f>
        <v/>
      </c>
      <c r="Y67" s="14" t="str">
        <f>IF(A67="","",IFERROR(INDEX(Jobs!$C$9:$C$258,MATCH(B67,Jobs!$A$9:$A$258,0)),""))</f>
        <v/>
      </c>
      <c r="Z67" s="14" t="str">
        <f>IF(A67="","",IFERROR(INDEX(Jobs!$B$9:$B$258,MATCH(B67,Jobs!$A$9:$A$258,0)),""))</f>
        <v/>
      </c>
      <c r="AA67" s="16" t="str">
        <f>IF(A67="","",IFERROR(VLOOKUP(I67,Lists!$E$9:$F$14,2,FALSE),0))</f>
        <v/>
      </c>
      <c r="AB67" s="16" t="str">
        <f t="shared" si="0"/>
        <v/>
      </c>
      <c r="AC67" s="16" t="str">
        <f t="shared" si="1"/>
        <v/>
      </c>
      <c r="AD67" s="16" t="str">
        <f t="shared" si="2"/>
        <v/>
      </c>
      <c r="AE67" s="16" t="str">
        <f t="shared" si="3"/>
        <v/>
      </c>
      <c r="AF67" s="16" t="str">
        <f t="shared" si="4"/>
        <v/>
      </c>
      <c r="AG67" s="26" t="str">
        <f t="shared" si="5"/>
        <v/>
      </c>
      <c r="AH67" s="16" t="str">
        <f t="shared" si="6"/>
        <v/>
      </c>
      <c r="AI67" s="16" t="str">
        <f t="shared" si="7"/>
        <v/>
      </c>
      <c r="AJ67" s="16" t="str">
        <f t="shared" si="8"/>
        <v/>
      </c>
      <c r="AK67" s="14" t="str">
        <f>IF(AND(A67&lt;&gt;"",F67="Selected"),COUNTIF($F$9:F67,"Selected"),"")</f>
        <v/>
      </c>
      <c r="AL67" s="14" t="str">
        <f>IF(A67="","",COUNTIF($B$9:B67,B67))</f>
        <v/>
      </c>
      <c r="AM67" s="14" t="str">
        <f>IF(A67="","",IF(COUNTIF(Jobs!$A$9:$A$258,B67)&lt;&gt;1,"Check JobID",IF(COUNTIF(Suppliers!$D$9:$D$508,D67)&lt;&gt;1,"Check contact",IF(AA67&lt;=0,"Currency / FX missing",IF(NOT(ISNUMBER(G67)),"Original price missing",IF(G67&lt;0,"Invalid original price",IF(AND(H67&lt;&gt;"",NOT(ISNUMBER(H67))),"Invalid final price",IF(AND(ISNUMBER(H67),H67&lt;0),"Invalid final price",IF(AND(F67="Selected",COUNTIFS($B$9:$B$258,B67,$E$9:$E$258,E67,$F$9:$F$258,"Selected")&gt;1),"Selected scope overlap",IF(AND(ISNUMBER(H67),H67&gt;G67),"Price increased",IF(LEN(H67&amp;"")=0,"Final price pending","OK")))))))))))</f>
        <v/>
      </c>
      <c r="AN67" s="16" t="str">
        <f t="shared" si="9"/>
        <v/>
      </c>
      <c r="AO67" s="14" t="str">
        <f>IF(A67="","",IFERROR(IF(INDEX(Suppliers!$A$9:$A$508,MATCH(D67,Suppliers!$D$9:$D$508,0))=C67,"OK","Contact / supplier mismatch"),"Contact missing"))</f>
        <v/>
      </c>
      <c r="AP67" s="14" t="str">
        <f>IF(OR(A67="",IFERROR(INDEX(Jobs!$P$9:$P$258,MATCH(B67,Jobs!$A$9:$A$258,0)),"")=""),"",HYPERLINK("#'"&amp;IFERROR(INDEX(Jobs!$P$9:$P$258,MATCH(B67,Jobs!$A$9:$A$258,0)),"")&amp;"'!A1","OPEN JOB"))</f>
        <v/>
      </c>
      <c r="AQ67" s="14"/>
      <c r="AR67" s="14"/>
      <c r="AS67" t="str">
        <f t="shared" si="10"/>
        <v/>
      </c>
      <c r="AT67" t="str">
        <f t="shared" si="11"/>
        <v/>
      </c>
    </row>
    <row r="68" spans="1:46" ht="40" customHeight="1" x14ac:dyDescent="0.35">
      <c r="A68" s="18"/>
      <c r="B68" s="37"/>
      <c r="C68" s="18"/>
      <c r="D68" s="15"/>
      <c r="E68" s="15"/>
      <c r="F68" s="15"/>
      <c r="G68" s="24"/>
      <c r="H68" s="24"/>
      <c r="I68" s="15"/>
      <c r="J68" s="17"/>
      <c r="K68" s="17"/>
      <c r="L68" s="17"/>
      <c r="M68" s="15"/>
      <c r="N68" s="15"/>
      <c r="O68" s="15"/>
      <c r="P68" s="15"/>
      <c r="Q68" s="15"/>
      <c r="R68" s="15"/>
      <c r="S68" s="18"/>
      <c r="T68" s="18"/>
      <c r="U68" s="18" t="str">
        <f>IF(A68="","",IFERROR(IF(LEN(INDEX(Suppliers!$B$9:$B$508,MATCH(C68,Suppliers!$A$9:$A$508,0))&amp;"")=0,"",INDEX(Suppliers!$B$9:$B$508,MATCH(C68,Suppliers!$A$9:$A$508,0))),""))</f>
        <v/>
      </c>
      <c r="V68" s="18" t="str">
        <f>IF(A68="","",IFERROR(IF(LEN(INDEX(Suppliers!$E$9:$E$508,MATCH(D68,Suppliers!$D$9:$D$508,0))&amp;"")=0,"",INDEX(Suppliers!$E$9:$E$508,MATCH(D68,Suppliers!$D$9:$D$508,0))),""))</f>
        <v/>
      </c>
      <c r="W68" s="18" t="str">
        <f>IF(A68="","",IFERROR(IF(LEN(INDEX(Suppliers!$F$9:$F$508,MATCH(D68,Suppliers!$D$9:$D$508,0))&amp;"")=0,"",INDEX(Suppliers!$F$9:$F$508,MATCH(D68,Suppliers!$D$9:$D$508,0))),""))</f>
        <v/>
      </c>
      <c r="X68" s="18" t="str">
        <f>IF(A68="","",IFERROR(IF(LEN(INDEX(Suppliers!$G$9:$G$508,MATCH(D68,Suppliers!$D$9:$D$508,0))&amp;"")=0,"",INDEX(Suppliers!$G$9:$G$508,MATCH(D68,Suppliers!$D$9:$D$508,0))),""))</f>
        <v/>
      </c>
      <c r="Y68" s="18" t="str">
        <f>IF(A68="","",IFERROR(INDEX(Jobs!$C$9:$C$258,MATCH(B68,Jobs!$A$9:$A$258,0)),""))</f>
        <v/>
      </c>
      <c r="Z68" s="18" t="str">
        <f>IF(A68="","",IFERROR(INDEX(Jobs!$B$9:$B$258,MATCH(B68,Jobs!$A$9:$A$258,0)),""))</f>
        <v/>
      </c>
      <c r="AA68" s="19" t="str">
        <f>IF(A68="","",IFERROR(VLOOKUP(I68,Lists!$E$9:$F$14,2,FALSE),0))</f>
        <v/>
      </c>
      <c r="AB68" s="19" t="str">
        <f t="shared" si="0"/>
        <v/>
      </c>
      <c r="AC68" s="19" t="str">
        <f t="shared" si="1"/>
        <v/>
      </c>
      <c r="AD68" s="19" t="str">
        <f t="shared" si="2"/>
        <v/>
      </c>
      <c r="AE68" s="19" t="str">
        <f t="shared" si="3"/>
        <v/>
      </c>
      <c r="AF68" s="19" t="str">
        <f t="shared" si="4"/>
        <v/>
      </c>
      <c r="AG68" s="27" t="str">
        <f t="shared" si="5"/>
        <v/>
      </c>
      <c r="AH68" s="19" t="str">
        <f t="shared" si="6"/>
        <v/>
      </c>
      <c r="AI68" s="19" t="str">
        <f t="shared" si="7"/>
        <v/>
      </c>
      <c r="AJ68" s="19" t="str">
        <f t="shared" si="8"/>
        <v/>
      </c>
      <c r="AK68" s="18" t="str">
        <f>IF(AND(A68&lt;&gt;"",F68="Selected"),COUNTIF($F$9:F68,"Selected"),"")</f>
        <v/>
      </c>
      <c r="AL68" s="18" t="str">
        <f>IF(A68="","",COUNTIF($B$9:B68,B68))</f>
        <v/>
      </c>
      <c r="AM68" s="18" t="str">
        <f>IF(A68="","",IF(COUNTIF(Jobs!$A$9:$A$258,B68)&lt;&gt;1,"Check JobID",IF(COUNTIF(Suppliers!$D$9:$D$508,D68)&lt;&gt;1,"Check contact",IF(AA68&lt;=0,"Currency / FX missing",IF(NOT(ISNUMBER(G68)),"Original price missing",IF(G68&lt;0,"Invalid original price",IF(AND(H68&lt;&gt;"",NOT(ISNUMBER(H68))),"Invalid final price",IF(AND(ISNUMBER(H68),H68&lt;0),"Invalid final price",IF(AND(F68="Selected",COUNTIFS($B$9:$B$258,B68,$E$9:$E$258,E68,$F$9:$F$258,"Selected")&gt;1),"Selected scope overlap",IF(AND(ISNUMBER(H68),H68&gt;G68),"Price increased",IF(LEN(H68&amp;"")=0,"Final price pending","OK")))))))))))</f>
        <v/>
      </c>
      <c r="AN68" s="19" t="str">
        <f t="shared" si="9"/>
        <v/>
      </c>
      <c r="AO68" s="18" t="str">
        <f>IF(A68="","",IFERROR(IF(INDEX(Suppliers!$A$9:$A$508,MATCH(D68,Suppliers!$D$9:$D$508,0))=C68,"OK","Contact / supplier mismatch"),"Contact missing"))</f>
        <v/>
      </c>
      <c r="AP68" s="18" t="str">
        <f>IF(OR(A68="",IFERROR(INDEX(Jobs!$P$9:$P$258,MATCH(B68,Jobs!$A$9:$A$258,0)),"")=""),"",HYPERLINK("#'"&amp;IFERROR(INDEX(Jobs!$P$9:$P$258,MATCH(B68,Jobs!$A$9:$A$258,0)),"")&amp;"'!A1","OPEN JOB"))</f>
        <v/>
      </c>
      <c r="AQ68" s="18"/>
      <c r="AR68" s="18"/>
      <c r="AS68" t="str">
        <f t="shared" si="10"/>
        <v/>
      </c>
      <c r="AT68" t="str">
        <f t="shared" si="11"/>
        <v/>
      </c>
    </row>
    <row r="69" spans="1:46" ht="40" customHeight="1" x14ac:dyDescent="0.35">
      <c r="A69" s="14"/>
      <c r="B69" s="37"/>
      <c r="C69" s="14"/>
      <c r="D69" s="15"/>
      <c r="E69" s="15"/>
      <c r="F69" s="15"/>
      <c r="G69" s="24"/>
      <c r="H69" s="24"/>
      <c r="I69" s="15"/>
      <c r="J69" s="17"/>
      <c r="K69" s="17"/>
      <c r="L69" s="17"/>
      <c r="M69" s="15"/>
      <c r="N69" s="15"/>
      <c r="O69" s="15"/>
      <c r="P69" s="15"/>
      <c r="Q69" s="15"/>
      <c r="R69" s="15"/>
      <c r="S69" s="14"/>
      <c r="T69" s="14"/>
      <c r="U69" s="14" t="str">
        <f>IF(A69="","",IFERROR(IF(LEN(INDEX(Suppliers!$B$9:$B$508,MATCH(C69,Suppliers!$A$9:$A$508,0))&amp;"")=0,"",INDEX(Suppliers!$B$9:$B$508,MATCH(C69,Suppliers!$A$9:$A$508,0))),""))</f>
        <v/>
      </c>
      <c r="V69" s="14" t="str">
        <f>IF(A69="","",IFERROR(IF(LEN(INDEX(Suppliers!$E$9:$E$508,MATCH(D69,Suppliers!$D$9:$D$508,0))&amp;"")=0,"",INDEX(Suppliers!$E$9:$E$508,MATCH(D69,Suppliers!$D$9:$D$508,0))),""))</f>
        <v/>
      </c>
      <c r="W69" s="14" t="str">
        <f>IF(A69="","",IFERROR(IF(LEN(INDEX(Suppliers!$F$9:$F$508,MATCH(D69,Suppliers!$D$9:$D$508,0))&amp;"")=0,"",INDEX(Suppliers!$F$9:$F$508,MATCH(D69,Suppliers!$D$9:$D$508,0))),""))</f>
        <v/>
      </c>
      <c r="X69" s="14" t="str">
        <f>IF(A69="","",IFERROR(IF(LEN(INDEX(Suppliers!$G$9:$G$508,MATCH(D69,Suppliers!$D$9:$D$508,0))&amp;"")=0,"",INDEX(Suppliers!$G$9:$G$508,MATCH(D69,Suppliers!$D$9:$D$508,0))),""))</f>
        <v/>
      </c>
      <c r="Y69" s="14" t="str">
        <f>IF(A69="","",IFERROR(INDEX(Jobs!$C$9:$C$258,MATCH(B69,Jobs!$A$9:$A$258,0)),""))</f>
        <v/>
      </c>
      <c r="Z69" s="14" t="str">
        <f>IF(A69="","",IFERROR(INDEX(Jobs!$B$9:$B$258,MATCH(B69,Jobs!$A$9:$A$258,0)),""))</f>
        <v/>
      </c>
      <c r="AA69" s="16" t="str">
        <f>IF(A69="","",IFERROR(VLOOKUP(I69,Lists!$E$9:$F$14,2,FALSE),0))</f>
        <v/>
      </c>
      <c r="AB69" s="16" t="str">
        <f t="shared" si="0"/>
        <v/>
      </c>
      <c r="AC69" s="16" t="str">
        <f t="shared" si="1"/>
        <v/>
      </c>
      <c r="AD69" s="16" t="str">
        <f t="shared" si="2"/>
        <v/>
      </c>
      <c r="AE69" s="16" t="str">
        <f t="shared" si="3"/>
        <v/>
      </c>
      <c r="AF69" s="16" t="str">
        <f t="shared" si="4"/>
        <v/>
      </c>
      <c r="AG69" s="26" t="str">
        <f t="shared" si="5"/>
        <v/>
      </c>
      <c r="AH69" s="16" t="str">
        <f t="shared" si="6"/>
        <v/>
      </c>
      <c r="AI69" s="16" t="str">
        <f t="shared" si="7"/>
        <v/>
      </c>
      <c r="AJ69" s="16" t="str">
        <f t="shared" si="8"/>
        <v/>
      </c>
      <c r="AK69" s="14" t="str">
        <f>IF(AND(A69&lt;&gt;"",F69="Selected"),COUNTIF($F$9:F69,"Selected"),"")</f>
        <v/>
      </c>
      <c r="AL69" s="14" t="str">
        <f>IF(A69="","",COUNTIF($B$9:B69,B69))</f>
        <v/>
      </c>
      <c r="AM69" s="14" t="str">
        <f>IF(A69="","",IF(COUNTIF(Jobs!$A$9:$A$258,B69)&lt;&gt;1,"Check JobID",IF(COUNTIF(Suppliers!$D$9:$D$508,D69)&lt;&gt;1,"Check contact",IF(AA69&lt;=0,"Currency / FX missing",IF(NOT(ISNUMBER(G69)),"Original price missing",IF(G69&lt;0,"Invalid original price",IF(AND(H69&lt;&gt;"",NOT(ISNUMBER(H69))),"Invalid final price",IF(AND(ISNUMBER(H69),H69&lt;0),"Invalid final price",IF(AND(F69="Selected",COUNTIFS($B$9:$B$258,B69,$E$9:$E$258,E69,$F$9:$F$258,"Selected")&gt;1),"Selected scope overlap",IF(AND(ISNUMBER(H69),H69&gt;G69),"Price increased",IF(LEN(H69&amp;"")=0,"Final price pending","OK")))))))))))</f>
        <v/>
      </c>
      <c r="AN69" s="16" t="str">
        <f t="shared" si="9"/>
        <v/>
      </c>
      <c r="AO69" s="14" t="str">
        <f>IF(A69="","",IFERROR(IF(INDEX(Suppliers!$A$9:$A$508,MATCH(D69,Suppliers!$D$9:$D$508,0))=C69,"OK","Contact / supplier mismatch"),"Contact missing"))</f>
        <v/>
      </c>
      <c r="AP69" s="14" t="str">
        <f>IF(OR(A69="",IFERROR(INDEX(Jobs!$P$9:$P$258,MATCH(B69,Jobs!$A$9:$A$258,0)),"")=""),"",HYPERLINK("#'"&amp;IFERROR(INDEX(Jobs!$P$9:$P$258,MATCH(B69,Jobs!$A$9:$A$258,0)),"")&amp;"'!A1","OPEN JOB"))</f>
        <v/>
      </c>
      <c r="AQ69" s="14"/>
      <c r="AR69" s="14"/>
      <c r="AS69" t="str">
        <f t="shared" si="10"/>
        <v/>
      </c>
      <c r="AT69" t="str">
        <f t="shared" si="11"/>
        <v/>
      </c>
    </row>
    <row r="70" spans="1:46" ht="40" customHeight="1" x14ac:dyDescent="0.35">
      <c r="A70" s="18"/>
      <c r="B70" s="37"/>
      <c r="C70" s="18"/>
      <c r="D70" s="15"/>
      <c r="E70" s="15"/>
      <c r="F70" s="15"/>
      <c r="G70" s="24"/>
      <c r="H70" s="24"/>
      <c r="I70" s="15"/>
      <c r="J70" s="17"/>
      <c r="K70" s="17"/>
      <c r="L70" s="17"/>
      <c r="M70" s="15"/>
      <c r="N70" s="15"/>
      <c r="O70" s="15"/>
      <c r="P70" s="15"/>
      <c r="Q70" s="15"/>
      <c r="R70" s="15"/>
      <c r="S70" s="18"/>
      <c r="T70" s="18"/>
      <c r="U70" s="18" t="str">
        <f>IF(A70="","",IFERROR(IF(LEN(INDEX(Suppliers!$B$9:$B$508,MATCH(C70,Suppliers!$A$9:$A$508,0))&amp;"")=0,"",INDEX(Suppliers!$B$9:$B$508,MATCH(C70,Suppliers!$A$9:$A$508,0))),""))</f>
        <v/>
      </c>
      <c r="V70" s="18" t="str">
        <f>IF(A70="","",IFERROR(IF(LEN(INDEX(Suppliers!$E$9:$E$508,MATCH(D70,Suppliers!$D$9:$D$508,0))&amp;"")=0,"",INDEX(Suppliers!$E$9:$E$508,MATCH(D70,Suppliers!$D$9:$D$508,0))),""))</f>
        <v/>
      </c>
      <c r="W70" s="18" t="str">
        <f>IF(A70="","",IFERROR(IF(LEN(INDEX(Suppliers!$F$9:$F$508,MATCH(D70,Suppliers!$D$9:$D$508,0))&amp;"")=0,"",INDEX(Suppliers!$F$9:$F$508,MATCH(D70,Suppliers!$D$9:$D$508,0))),""))</f>
        <v/>
      </c>
      <c r="X70" s="18" t="str">
        <f>IF(A70="","",IFERROR(IF(LEN(INDEX(Suppliers!$G$9:$G$508,MATCH(D70,Suppliers!$D$9:$D$508,0))&amp;"")=0,"",INDEX(Suppliers!$G$9:$G$508,MATCH(D70,Suppliers!$D$9:$D$508,0))),""))</f>
        <v/>
      </c>
      <c r="Y70" s="18" t="str">
        <f>IF(A70="","",IFERROR(INDEX(Jobs!$C$9:$C$258,MATCH(B70,Jobs!$A$9:$A$258,0)),""))</f>
        <v/>
      </c>
      <c r="Z70" s="18" t="str">
        <f>IF(A70="","",IFERROR(INDEX(Jobs!$B$9:$B$258,MATCH(B70,Jobs!$A$9:$A$258,0)),""))</f>
        <v/>
      </c>
      <c r="AA70" s="19" t="str">
        <f>IF(A70="","",IFERROR(VLOOKUP(I70,Lists!$E$9:$F$14,2,FALSE),0))</f>
        <v/>
      </c>
      <c r="AB70" s="19" t="str">
        <f t="shared" si="0"/>
        <v/>
      </c>
      <c r="AC70" s="19" t="str">
        <f t="shared" si="1"/>
        <v/>
      </c>
      <c r="AD70" s="19" t="str">
        <f t="shared" si="2"/>
        <v/>
      </c>
      <c r="AE70" s="19" t="str">
        <f t="shared" si="3"/>
        <v/>
      </c>
      <c r="AF70" s="19" t="str">
        <f t="shared" si="4"/>
        <v/>
      </c>
      <c r="AG70" s="27" t="str">
        <f t="shared" si="5"/>
        <v/>
      </c>
      <c r="AH70" s="19" t="str">
        <f t="shared" si="6"/>
        <v/>
      </c>
      <c r="AI70" s="19" t="str">
        <f t="shared" si="7"/>
        <v/>
      </c>
      <c r="AJ70" s="19" t="str">
        <f t="shared" si="8"/>
        <v/>
      </c>
      <c r="AK70" s="18" t="str">
        <f>IF(AND(A70&lt;&gt;"",F70="Selected"),COUNTIF($F$9:F70,"Selected"),"")</f>
        <v/>
      </c>
      <c r="AL70" s="18" t="str">
        <f>IF(A70="","",COUNTIF($B$9:B70,B70))</f>
        <v/>
      </c>
      <c r="AM70" s="18" t="str">
        <f>IF(A70="","",IF(COUNTIF(Jobs!$A$9:$A$258,B70)&lt;&gt;1,"Check JobID",IF(COUNTIF(Suppliers!$D$9:$D$508,D70)&lt;&gt;1,"Check contact",IF(AA70&lt;=0,"Currency / FX missing",IF(NOT(ISNUMBER(G70)),"Original price missing",IF(G70&lt;0,"Invalid original price",IF(AND(H70&lt;&gt;"",NOT(ISNUMBER(H70))),"Invalid final price",IF(AND(ISNUMBER(H70),H70&lt;0),"Invalid final price",IF(AND(F70="Selected",COUNTIFS($B$9:$B$258,B70,$E$9:$E$258,E70,$F$9:$F$258,"Selected")&gt;1),"Selected scope overlap",IF(AND(ISNUMBER(H70),H70&gt;G70),"Price increased",IF(LEN(H70&amp;"")=0,"Final price pending","OK")))))))))))</f>
        <v/>
      </c>
      <c r="AN70" s="19" t="str">
        <f t="shared" si="9"/>
        <v/>
      </c>
      <c r="AO70" s="18" t="str">
        <f>IF(A70="","",IFERROR(IF(INDEX(Suppliers!$A$9:$A$508,MATCH(D70,Suppliers!$D$9:$D$508,0))=C70,"OK","Contact / supplier mismatch"),"Contact missing"))</f>
        <v/>
      </c>
      <c r="AP70" s="18" t="str">
        <f>IF(OR(A70="",IFERROR(INDEX(Jobs!$P$9:$P$258,MATCH(B70,Jobs!$A$9:$A$258,0)),"")=""),"",HYPERLINK("#'"&amp;IFERROR(INDEX(Jobs!$P$9:$P$258,MATCH(B70,Jobs!$A$9:$A$258,0)),"")&amp;"'!A1","OPEN JOB"))</f>
        <v/>
      </c>
      <c r="AQ70" s="18"/>
      <c r="AR70" s="18"/>
      <c r="AS70" t="str">
        <f t="shared" si="10"/>
        <v/>
      </c>
      <c r="AT70" t="str">
        <f t="shared" si="11"/>
        <v/>
      </c>
    </row>
    <row r="71" spans="1:46" ht="40" customHeight="1" x14ac:dyDescent="0.35">
      <c r="A71" s="14"/>
      <c r="B71" s="37"/>
      <c r="C71" s="14"/>
      <c r="D71" s="15"/>
      <c r="E71" s="15"/>
      <c r="F71" s="15"/>
      <c r="G71" s="24"/>
      <c r="H71" s="24"/>
      <c r="I71" s="15"/>
      <c r="J71" s="17"/>
      <c r="K71" s="17"/>
      <c r="L71" s="17"/>
      <c r="M71" s="15"/>
      <c r="N71" s="15"/>
      <c r="O71" s="15"/>
      <c r="P71" s="15"/>
      <c r="Q71" s="15"/>
      <c r="R71" s="15"/>
      <c r="S71" s="14"/>
      <c r="T71" s="14"/>
      <c r="U71" s="14" t="str">
        <f>IF(A71="","",IFERROR(IF(LEN(INDEX(Suppliers!$B$9:$B$508,MATCH(C71,Suppliers!$A$9:$A$508,0))&amp;"")=0,"",INDEX(Suppliers!$B$9:$B$508,MATCH(C71,Suppliers!$A$9:$A$508,0))),""))</f>
        <v/>
      </c>
      <c r="V71" s="14" t="str">
        <f>IF(A71="","",IFERROR(IF(LEN(INDEX(Suppliers!$E$9:$E$508,MATCH(D71,Suppliers!$D$9:$D$508,0))&amp;"")=0,"",INDEX(Suppliers!$E$9:$E$508,MATCH(D71,Suppliers!$D$9:$D$508,0))),""))</f>
        <v/>
      </c>
      <c r="W71" s="14" t="str">
        <f>IF(A71="","",IFERROR(IF(LEN(INDEX(Suppliers!$F$9:$F$508,MATCH(D71,Suppliers!$D$9:$D$508,0))&amp;"")=0,"",INDEX(Suppliers!$F$9:$F$508,MATCH(D71,Suppliers!$D$9:$D$508,0))),""))</f>
        <v/>
      </c>
      <c r="X71" s="14" t="str">
        <f>IF(A71="","",IFERROR(IF(LEN(INDEX(Suppliers!$G$9:$G$508,MATCH(D71,Suppliers!$D$9:$D$508,0))&amp;"")=0,"",INDEX(Suppliers!$G$9:$G$508,MATCH(D71,Suppliers!$D$9:$D$508,0))),""))</f>
        <v/>
      </c>
      <c r="Y71" s="14" t="str">
        <f>IF(A71="","",IFERROR(INDEX(Jobs!$C$9:$C$258,MATCH(B71,Jobs!$A$9:$A$258,0)),""))</f>
        <v/>
      </c>
      <c r="Z71" s="14" t="str">
        <f>IF(A71="","",IFERROR(INDEX(Jobs!$B$9:$B$258,MATCH(B71,Jobs!$A$9:$A$258,0)),""))</f>
        <v/>
      </c>
      <c r="AA71" s="16" t="str">
        <f>IF(A71="","",IFERROR(VLOOKUP(I71,Lists!$E$9:$F$14,2,FALSE),0))</f>
        <v/>
      </c>
      <c r="AB71" s="16" t="str">
        <f t="shared" si="0"/>
        <v/>
      </c>
      <c r="AC71" s="16" t="str">
        <f t="shared" si="1"/>
        <v/>
      </c>
      <c r="AD71" s="16" t="str">
        <f t="shared" si="2"/>
        <v/>
      </c>
      <c r="AE71" s="16" t="str">
        <f t="shared" si="3"/>
        <v/>
      </c>
      <c r="AF71" s="16" t="str">
        <f t="shared" si="4"/>
        <v/>
      </c>
      <c r="AG71" s="26" t="str">
        <f t="shared" si="5"/>
        <v/>
      </c>
      <c r="AH71" s="16" t="str">
        <f t="shared" si="6"/>
        <v/>
      </c>
      <c r="AI71" s="16" t="str">
        <f t="shared" si="7"/>
        <v/>
      </c>
      <c r="AJ71" s="16" t="str">
        <f t="shared" si="8"/>
        <v/>
      </c>
      <c r="AK71" s="14" t="str">
        <f>IF(AND(A71&lt;&gt;"",F71="Selected"),COUNTIF($F$9:F71,"Selected"),"")</f>
        <v/>
      </c>
      <c r="AL71" s="14" t="str">
        <f>IF(A71="","",COUNTIF($B$9:B71,B71))</f>
        <v/>
      </c>
      <c r="AM71" s="14" t="str">
        <f>IF(A71="","",IF(COUNTIF(Jobs!$A$9:$A$258,B71)&lt;&gt;1,"Check JobID",IF(COUNTIF(Suppliers!$D$9:$D$508,D71)&lt;&gt;1,"Check contact",IF(AA71&lt;=0,"Currency / FX missing",IF(NOT(ISNUMBER(G71)),"Original price missing",IF(G71&lt;0,"Invalid original price",IF(AND(H71&lt;&gt;"",NOT(ISNUMBER(H71))),"Invalid final price",IF(AND(ISNUMBER(H71),H71&lt;0),"Invalid final price",IF(AND(F71="Selected",COUNTIFS($B$9:$B$258,B71,$E$9:$E$258,E71,$F$9:$F$258,"Selected")&gt;1),"Selected scope overlap",IF(AND(ISNUMBER(H71),H71&gt;G71),"Price increased",IF(LEN(H71&amp;"")=0,"Final price pending","OK")))))))))))</f>
        <v/>
      </c>
      <c r="AN71" s="16" t="str">
        <f t="shared" si="9"/>
        <v/>
      </c>
      <c r="AO71" s="14" t="str">
        <f>IF(A71="","",IFERROR(IF(INDEX(Suppliers!$A$9:$A$508,MATCH(D71,Suppliers!$D$9:$D$508,0))=C71,"OK","Contact / supplier mismatch"),"Contact missing"))</f>
        <v/>
      </c>
      <c r="AP71" s="14" t="str">
        <f>IF(OR(A71="",IFERROR(INDEX(Jobs!$P$9:$P$258,MATCH(B71,Jobs!$A$9:$A$258,0)),"")=""),"",HYPERLINK("#'"&amp;IFERROR(INDEX(Jobs!$P$9:$P$258,MATCH(B71,Jobs!$A$9:$A$258,0)),"")&amp;"'!A1","OPEN JOB"))</f>
        <v/>
      </c>
      <c r="AQ71" s="14"/>
      <c r="AR71" s="14"/>
      <c r="AS71" t="str">
        <f t="shared" si="10"/>
        <v/>
      </c>
      <c r="AT71" t="str">
        <f t="shared" si="11"/>
        <v/>
      </c>
    </row>
    <row r="72" spans="1:46" ht="40" customHeight="1" x14ac:dyDescent="0.35">
      <c r="A72" s="18"/>
      <c r="B72" s="37"/>
      <c r="C72" s="18"/>
      <c r="D72" s="15"/>
      <c r="E72" s="15"/>
      <c r="F72" s="15"/>
      <c r="G72" s="24"/>
      <c r="H72" s="24"/>
      <c r="I72" s="15"/>
      <c r="J72" s="17"/>
      <c r="K72" s="17"/>
      <c r="L72" s="17"/>
      <c r="M72" s="15"/>
      <c r="N72" s="15"/>
      <c r="O72" s="15"/>
      <c r="P72" s="15"/>
      <c r="Q72" s="15"/>
      <c r="R72" s="15"/>
      <c r="S72" s="18"/>
      <c r="T72" s="18"/>
      <c r="U72" s="18" t="str">
        <f>IF(A72="","",IFERROR(IF(LEN(INDEX(Suppliers!$B$9:$B$508,MATCH(C72,Suppliers!$A$9:$A$508,0))&amp;"")=0,"",INDEX(Suppliers!$B$9:$B$508,MATCH(C72,Suppliers!$A$9:$A$508,0))),""))</f>
        <v/>
      </c>
      <c r="V72" s="18" t="str">
        <f>IF(A72="","",IFERROR(IF(LEN(INDEX(Suppliers!$E$9:$E$508,MATCH(D72,Suppliers!$D$9:$D$508,0))&amp;"")=0,"",INDEX(Suppliers!$E$9:$E$508,MATCH(D72,Suppliers!$D$9:$D$508,0))),""))</f>
        <v/>
      </c>
      <c r="W72" s="18" t="str">
        <f>IF(A72="","",IFERROR(IF(LEN(INDEX(Suppliers!$F$9:$F$508,MATCH(D72,Suppliers!$D$9:$D$508,0))&amp;"")=0,"",INDEX(Suppliers!$F$9:$F$508,MATCH(D72,Suppliers!$D$9:$D$508,0))),""))</f>
        <v/>
      </c>
      <c r="X72" s="18" t="str">
        <f>IF(A72="","",IFERROR(IF(LEN(INDEX(Suppliers!$G$9:$G$508,MATCH(D72,Suppliers!$D$9:$D$508,0))&amp;"")=0,"",INDEX(Suppliers!$G$9:$G$508,MATCH(D72,Suppliers!$D$9:$D$508,0))),""))</f>
        <v/>
      </c>
      <c r="Y72" s="18" t="str">
        <f>IF(A72="","",IFERROR(INDEX(Jobs!$C$9:$C$258,MATCH(B72,Jobs!$A$9:$A$258,0)),""))</f>
        <v/>
      </c>
      <c r="Z72" s="18" t="str">
        <f>IF(A72="","",IFERROR(INDEX(Jobs!$B$9:$B$258,MATCH(B72,Jobs!$A$9:$A$258,0)),""))</f>
        <v/>
      </c>
      <c r="AA72" s="19" t="str">
        <f>IF(A72="","",IFERROR(VLOOKUP(I72,Lists!$E$9:$F$14,2,FALSE),0))</f>
        <v/>
      </c>
      <c r="AB72" s="19" t="str">
        <f t="shared" si="0"/>
        <v/>
      </c>
      <c r="AC72" s="19" t="str">
        <f t="shared" si="1"/>
        <v/>
      </c>
      <c r="AD72" s="19" t="str">
        <f t="shared" si="2"/>
        <v/>
      </c>
      <c r="AE72" s="19" t="str">
        <f t="shared" si="3"/>
        <v/>
      </c>
      <c r="AF72" s="19" t="str">
        <f t="shared" si="4"/>
        <v/>
      </c>
      <c r="AG72" s="27" t="str">
        <f t="shared" si="5"/>
        <v/>
      </c>
      <c r="AH72" s="19" t="str">
        <f t="shared" si="6"/>
        <v/>
      </c>
      <c r="AI72" s="19" t="str">
        <f t="shared" si="7"/>
        <v/>
      </c>
      <c r="AJ72" s="19" t="str">
        <f t="shared" si="8"/>
        <v/>
      </c>
      <c r="AK72" s="18" t="str">
        <f>IF(AND(A72&lt;&gt;"",F72="Selected"),COUNTIF($F$9:F72,"Selected"),"")</f>
        <v/>
      </c>
      <c r="AL72" s="18" t="str">
        <f>IF(A72="","",COUNTIF($B$9:B72,B72))</f>
        <v/>
      </c>
      <c r="AM72" s="18" t="str">
        <f>IF(A72="","",IF(COUNTIF(Jobs!$A$9:$A$258,B72)&lt;&gt;1,"Check JobID",IF(COUNTIF(Suppliers!$D$9:$D$508,D72)&lt;&gt;1,"Check contact",IF(AA72&lt;=0,"Currency / FX missing",IF(NOT(ISNUMBER(G72)),"Original price missing",IF(G72&lt;0,"Invalid original price",IF(AND(H72&lt;&gt;"",NOT(ISNUMBER(H72))),"Invalid final price",IF(AND(ISNUMBER(H72),H72&lt;0),"Invalid final price",IF(AND(F72="Selected",COUNTIFS($B$9:$B$258,B72,$E$9:$E$258,E72,$F$9:$F$258,"Selected")&gt;1),"Selected scope overlap",IF(AND(ISNUMBER(H72),H72&gt;G72),"Price increased",IF(LEN(H72&amp;"")=0,"Final price pending","OK")))))))))))</f>
        <v/>
      </c>
      <c r="AN72" s="19" t="str">
        <f t="shared" si="9"/>
        <v/>
      </c>
      <c r="AO72" s="18" t="str">
        <f>IF(A72="","",IFERROR(IF(INDEX(Suppliers!$A$9:$A$508,MATCH(D72,Suppliers!$D$9:$D$508,0))=C72,"OK","Contact / supplier mismatch"),"Contact missing"))</f>
        <v/>
      </c>
      <c r="AP72" s="18" t="str">
        <f>IF(OR(A72="",IFERROR(INDEX(Jobs!$P$9:$P$258,MATCH(B72,Jobs!$A$9:$A$258,0)),"")=""),"",HYPERLINK("#'"&amp;IFERROR(INDEX(Jobs!$P$9:$P$258,MATCH(B72,Jobs!$A$9:$A$258,0)),"")&amp;"'!A1","OPEN JOB"))</f>
        <v/>
      </c>
      <c r="AQ72" s="18"/>
      <c r="AR72" s="18"/>
      <c r="AS72" t="str">
        <f t="shared" si="10"/>
        <v/>
      </c>
      <c r="AT72" t="str">
        <f t="shared" si="11"/>
        <v/>
      </c>
    </row>
    <row r="73" spans="1:46" ht="40" customHeight="1" x14ac:dyDescent="0.35">
      <c r="A73" s="14"/>
      <c r="B73" s="37"/>
      <c r="C73" s="14"/>
      <c r="D73" s="15"/>
      <c r="E73" s="15"/>
      <c r="F73" s="15"/>
      <c r="G73" s="24"/>
      <c r="H73" s="24"/>
      <c r="I73" s="15"/>
      <c r="J73" s="17"/>
      <c r="K73" s="17"/>
      <c r="L73" s="17"/>
      <c r="M73" s="15"/>
      <c r="N73" s="15"/>
      <c r="O73" s="15"/>
      <c r="P73" s="15"/>
      <c r="Q73" s="15"/>
      <c r="R73" s="15"/>
      <c r="S73" s="14"/>
      <c r="T73" s="14"/>
      <c r="U73" s="14" t="str">
        <f>IF(A73="","",IFERROR(IF(LEN(INDEX(Suppliers!$B$9:$B$508,MATCH(C73,Suppliers!$A$9:$A$508,0))&amp;"")=0,"",INDEX(Suppliers!$B$9:$B$508,MATCH(C73,Suppliers!$A$9:$A$508,0))),""))</f>
        <v/>
      </c>
      <c r="V73" s="14" t="str">
        <f>IF(A73="","",IFERROR(IF(LEN(INDEX(Suppliers!$E$9:$E$508,MATCH(D73,Suppliers!$D$9:$D$508,0))&amp;"")=0,"",INDEX(Suppliers!$E$9:$E$508,MATCH(D73,Suppliers!$D$9:$D$508,0))),""))</f>
        <v/>
      </c>
      <c r="W73" s="14" t="str">
        <f>IF(A73="","",IFERROR(IF(LEN(INDEX(Suppliers!$F$9:$F$508,MATCH(D73,Suppliers!$D$9:$D$508,0))&amp;"")=0,"",INDEX(Suppliers!$F$9:$F$508,MATCH(D73,Suppliers!$D$9:$D$508,0))),""))</f>
        <v/>
      </c>
      <c r="X73" s="14" t="str">
        <f>IF(A73="","",IFERROR(IF(LEN(INDEX(Suppliers!$G$9:$G$508,MATCH(D73,Suppliers!$D$9:$D$508,0))&amp;"")=0,"",INDEX(Suppliers!$G$9:$G$508,MATCH(D73,Suppliers!$D$9:$D$508,0))),""))</f>
        <v/>
      </c>
      <c r="Y73" s="14" t="str">
        <f>IF(A73="","",IFERROR(INDEX(Jobs!$C$9:$C$258,MATCH(B73,Jobs!$A$9:$A$258,0)),""))</f>
        <v/>
      </c>
      <c r="Z73" s="14" t="str">
        <f>IF(A73="","",IFERROR(INDEX(Jobs!$B$9:$B$258,MATCH(B73,Jobs!$A$9:$A$258,0)),""))</f>
        <v/>
      </c>
      <c r="AA73" s="16" t="str">
        <f>IF(A73="","",IFERROR(VLOOKUP(I73,Lists!$E$9:$F$14,2,FALSE),0))</f>
        <v/>
      </c>
      <c r="AB73" s="16" t="str">
        <f t="shared" ref="AB73:AB136" si="12">IF(A73="","",IF(AND(ISNUMBER(G73),G73&gt;=0,AA73&gt;0),G73/AA73,""))</f>
        <v/>
      </c>
      <c r="AC73" s="16" t="str">
        <f t="shared" ref="AC73:AC136" si="13">IF(A73="","",IF(AND(ISNUMBER(H73),H73&gt;=0),H73,IF(AND(ISNUMBER(G73),G73&gt;=0),G73,"")))</f>
        <v/>
      </c>
      <c r="AD73" s="16" t="str">
        <f t="shared" ref="AD73:AD136" si="14">IF(A73="","",IF(AND(ISNUMBER(AC73),AA73&gt;0),AC73/AA73,""))</f>
        <v/>
      </c>
      <c r="AE73" s="16" t="str">
        <f t="shared" ref="AE73:AE136" si="15">IF(A73="","",IF(AND(ISNUMBER(G73),ISNUMBER(H73),G73&gt;=0,H73&gt;=0),G73-H73,""))</f>
        <v/>
      </c>
      <c r="AF73" s="16" t="str">
        <f t="shared" ref="AF73:AF136" si="16">IF(A73="","",IF(AND(ISNUMBER(AE73),AA73&gt;0),AE73/AA73,""))</f>
        <v/>
      </c>
      <c r="AG73" s="26" t="str">
        <f t="shared" ref="AG73:AG136" si="17">IF(A73="","",IF(AND(ISNUMBER(AE73),ISNUMBER(G73),G73&gt;0),AE73/G73,""))</f>
        <v/>
      </c>
      <c r="AH73" s="16" t="str">
        <f t="shared" ref="AH73:AH136" si="18">IF(A73="","",IF(AND(F73="Selected",ISNUMBER(AB73)),AB73,0))</f>
        <v/>
      </c>
      <c r="AI73" s="16" t="str">
        <f t="shared" ref="AI73:AI136" si="19">IF(A73="","",IF(AND(F73="Selected",ISNUMBER(AD73)),AD73,0))</f>
        <v/>
      </c>
      <c r="AJ73" s="16" t="str">
        <f t="shared" ref="AJ73:AJ136" si="20">IF(A73="","",IF(AND(F73="Selected",ISNUMBER(AF73)),AF73,0))</f>
        <v/>
      </c>
      <c r="AK73" s="14" t="str">
        <f>IF(AND(A73&lt;&gt;"",F73="Selected"),COUNTIF($F$9:F73,"Selected"),"")</f>
        <v/>
      </c>
      <c r="AL73" s="14" t="str">
        <f>IF(A73="","",COUNTIF($B$9:B73,B73))</f>
        <v/>
      </c>
      <c r="AM73" s="14" t="str">
        <f>IF(A73="","",IF(COUNTIF(Jobs!$A$9:$A$258,B73)&lt;&gt;1,"Check JobID",IF(COUNTIF(Suppliers!$D$9:$D$508,D73)&lt;&gt;1,"Check contact",IF(AA73&lt;=0,"Currency / FX missing",IF(NOT(ISNUMBER(G73)),"Original price missing",IF(G73&lt;0,"Invalid original price",IF(AND(H73&lt;&gt;"",NOT(ISNUMBER(H73))),"Invalid final price",IF(AND(ISNUMBER(H73),H73&lt;0),"Invalid final price",IF(AND(F73="Selected",COUNTIFS($B$9:$B$258,B73,$E$9:$E$258,E73,$F$9:$F$258,"Selected")&gt;1),"Selected scope overlap",IF(AND(ISNUMBER(H73),H73&gt;G73),"Price increased",IF(LEN(H73&amp;"")=0,"Final price pending","OK")))))))))))</f>
        <v/>
      </c>
      <c r="AN73" s="16" t="str">
        <f t="shared" ref="AN73:AN136" si="21">IF(A73="","",IF(AND(F73="Selected",ISNUMBER(AF73),ISNUMBER(AB73)),AB73,0))</f>
        <v/>
      </c>
      <c r="AO73" s="14" t="str">
        <f>IF(A73="","",IFERROR(IF(INDEX(Suppliers!$A$9:$A$508,MATCH(D73,Suppliers!$D$9:$D$508,0))=C73,"OK","Contact / supplier mismatch"),"Contact missing"))</f>
        <v/>
      </c>
      <c r="AP73" s="14" t="str">
        <f>IF(OR(A73="",IFERROR(INDEX(Jobs!$P$9:$P$258,MATCH(B73,Jobs!$A$9:$A$258,0)),"")=""),"",HYPERLINK("#'"&amp;IFERROR(INDEX(Jobs!$P$9:$P$258,MATCH(B73,Jobs!$A$9:$A$258,0)),"")&amp;"'!A1","OPEN JOB"))</f>
        <v/>
      </c>
      <c r="AQ73" s="14"/>
      <c r="AR73" s="14"/>
      <c r="AS73" t="str">
        <f t="shared" ref="AS73:AS136" si="22">IF(A73="","","J:"&amp;B73&amp;"_N:"&amp;AL73)</f>
        <v/>
      </c>
      <c r="AT73" t="str">
        <f t="shared" ref="AT73:AT136" si="23">IF(A73="","","Q:"&amp;A73)</f>
        <v/>
      </c>
    </row>
    <row r="74" spans="1:46" ht="40" customHeight="1" x14ac:dyDescent="0.35">
      <c r="A74" s="18"/>
      <c r="B74" s="37"/>
      <c r="C74" s="18"/>
      <c r="D74" s="15"/>
      <c r="E74" s="15"/>
      <c r="F74" s="15"/>
      <c r="G74" s="24"/>
      <c r="H74" s="24"/>
      <c r="I74" s="15"/>
      <c r="J74" s="17"/>
      <c r="K74" s="17"/>
      <c r="L74" s="17"/>
      <c r="M74" s="15"/>
      <c r="N74" s="15"/>
      <c r="O74" s="15"/>
      <c r="P74" s="15"/>
      <c r="Q74" s="15"/>
      <c r="R74" s="15"/>
      <c r="S74" s="18"/>
      <c r="T74" s="18"/>
      <c r="U74" s="18" t="str">
        <f>IF(A74="","",IFERROR(IF(LEN(INDEX(Suppliers!$B$9:$B$508,MATCH(C74,Suppliers!$A$9:$A$508,0))&amp;"")=0,"",INDEX(Suppliers!$B$9:$B$508,MATCH(C74,Suppliers!$A$9:$A$508,0))),""))</f>
        <v/>
      </c>
      <c r="V74" s="18" t="str">
        <f>IF(A74="","",IFERROR(IF(LEN(INDEX(Suppliers!$E$9:$E$508,MATCH(D74,Suppliers!$D$9:$D$508,0))&amp;"")=0,"",INDEX(Suppliers!$E$9:$E$508,MATCH(D74,Suppliers!$D$9:$D$508,0))),""))</f>
        <v/>
      </c>
      <c r="W74" s="18" t="str">
        <f>IF(A74="","",IFERROR(IF(LEN(INDEX(Suppliers!$F$9:$F$508,MATCH(D74,Suppliers!$D$9:$D$508,0))&amp;"")=0,"",INDEX(Suppliers!$F$9:$F$508,MATCH(D74,Suppliers!$D$9:$D$508,0))),""))</f>
        <v/>
      </c>
      <c r="X74" s="18" t="str">
        <f>IF(A74="","",IFERROR(IF(LEN(INDEX(Suppliers!$G$9:$G$508,MATCH(D74,Suppliers!$D$9:$D$508,0))&amp;"")=0,"",INDEX(Suppliers!$G$9:$G$508,MATCH(D74,Suppliers!$D$9:$D$508,0))),""))</f>
        <v/>
      </c>
      <c r="Y74" s="18" t="str">
        <f>IF(A74="","",IFERROR(INDEX(Jobs!$C$9:$C$258,MATCH(B74,Jobs!$A$9:$A$258,0)),""))</f>
        <v/>
      </c>
      <c r="Z74" s="18" t="str">
        <f>IF(A74="","",IFERROR(INDEX(Jobs!$B$9:$B$258,MATCH(B74,Jobs!$A$9:$A$258,0)),""))</f>
        <v/>
      </c>
      <c r="AA74" s="19" t="str">
        <f>IF(A74="","",IFERROR(VLOOKUP(I74,Lists!$E$9:$F$14,2,FALSE),0))</f>
        <v/>
      </c>
      <c r="AB74" s="19" t="str">
        <f t="shared" si="12"/>
        <v/>
      </c>
      <c r="AC74" s="19" t="str">
        <f t="shared" si="13"/>
        <v/>
      </c>
      <c r="AD74" s="19" t="str">
        <f t="shared" si="14"/>
        <v/>
      </c>
      <c r="AE74" s="19" t="str">
        <f t="shared" si="15"/>
        <v/>
      </c>
      <c r="AF74" s="19" t="str">
        <f t="shared" si="16"/>
        <v/>
      </c>
      <c r="AG74" s="27" t="str">
        <f t="shared" si="17"/>
        <v/>
      </c>
      <c r="AH74" s="19" t="str">
        <f t="shared" si="18"/>
        <v/>
      </c>
      <c r="AI74" s="19" t="str">
        <f t="shared" si="19"/>
        <v/>
      </c>
      <c r="AJ74" s="19" t="str">
        <f t="shared" si="20"/>
        <v/>
      </c>
      <c r="AK74" s="18" t="str">
        <f>IF(AND(A74&lt;&gt;"",F74="Selected"),COUNTIF($F$9:F74,"Selected"),"")</f>
        <v/>
      </c>
      <c r="AL74" s="18" t="str">
        <f>IF(A74="","",COUNTIF($B$9:B74,B74))</f>
        <v/>
      </c>
      <c r="AM74" s="18" t="str">
        <f>IF(A74="","",IF(COUNTIF(Jobs!$A$9:$A$258,B74)&lt;&gt;1,"Check JobID",IF(COUNTIF(Suppliers!$D$9:$D$508,D74)&lt;&gt;1,"Check contact",IF(AA74&lt;=0,"Currency / FX missing",IF(NOT(ISNUMBER(G74)),"Original price missing",IF(G74&lt;0,"Invalid original price",IF(AND(H74&lt;&gt;"",NOT(ISNUMBER(H74))),"Invalid final price",IF(AND(ISNUMBER(H74),H74&lt;0),"Invalid final price",IF(AND(F74="Selected",COUNTIFS($B$9:$B$258,B74,$E$9:$E$258,E74,$F$9:$F$258,"Selected")&gt;1),"Selected scope overlap",IF(AND(ISNUMBER(H74),H74&gt;G74),"Price increased",IF(LEN(H74&amp;"")=0,"Final price pending","OK")))))))))))</f>
        <v/>
      </c>
      <c r="AN74" s="19" t="str">
        <f t="shared" si="21"/>
        <v/>
      </c>
      <c r="AO74" s="18" t="str">
        <f>IF(A74="","",IFERROR(IF(INDEX(Suppliers!$A$9:$A$508,MATCH(D74,Suppliers!$D$9:$D$508,0))=C74,"OK","Contact / supplier mismatch"),"Contact missing"))</f>
        <v/>
      </c>
      <c r="AP74" s="18" t="str">
        <f>IF(OR(A74="",IFERROR(INDEX(Jobs!$P$9:$P$258,MATCH(B74,Jobs!$A$9:$A$258,0)),"")=""),"",HYPERLINK("#'"&amp;IFERROR(INDEX(Jobs!$P$9:$P$258,MATCH(B74,Jobs!$A$9:$A$258,0)),"")&amp;"'!A1","OPEN JOB"))</f>
        <v/>
      </c>
      <c r="AQ74" s="18"/>
      <c r="AR74" s="18"/>
      <c r="AS74" t="str">
        <f t="shared" si="22"/>
        <v/>
      </c>
      <c r="AT74" t="str">
        <f t="shared" si="23"/>
        <v/>
      </c>
    </row>
    <row r="75" spans="1:46" ht="40" customHeight="1" x14ac:dyDescent="0.35">
      <c r="A75" s="14"/>
      <c r="B75" s="37"/>
      <c r="C75" s="14"/>
      <c r="D75" s="15"/>
      <c r="E75" s="15"/>
      <c r="F75" s="15"/>
      <c r="G75" s="24"/>
      <c r="H75" s="24"/>
      <c r="I75" s="15"/>
      <c r="J75" s="17"/>
      <c r="K75" s="17"/>
      <c r="L75" s="17"/>
      <c r="M75" s="15"/>
      <c r="N75" s="15"/>
      <c r="O75" s="15"/>
      <c r="P75" s="15"/>
      <c r="Q75" s="15"/>
      <c r="R75" s="15"/>
      <c r="S75" s="14"/>
      <c r="T75" s="14"/>
      <c r="U75" s="14" t="str">
        <f>IF(A75="","",IFERROR(IF(LEN(INDEX(Suppliers!$B$9:$B$508,MATCH(C75,Suppliers!$A$9:$A$508,0))&amp;"")=0,"",INDEX(Suppliers!$B$9:$B$508,MATCH(C75,Suppliers!$A$9:$A$508,0))),""))</f>
        <v/>
      </c>
      <c r="V75" s="14" t="str">
        <f>IF(A75="","",IFERROR(IF(LEN(INDEX(Suppliers!$E$9:$E$508,MATCH(D75,Suppliers!$D$9:$D$508,0))&amp;"")=0,"",INDEX(Suppliers!$E$9:$E$508,MATCH(D75,Suppliers!$D$9:$D$508,0))),""))</f>
        <v/>
      </c>
      <c r="W75" s="14" t="str">
        <f>IF(A75="","",IFERROR(IF(LEN(INDEX(Suppliers!$F$9:$F$508,MATCH(D75,Suppliers!$D$9:$D$508,0))&amp;"")=0,"",INDEX(Suppliers!$F$9:$F$508,MATCH(D75,Suppliers!$D$9:$D$508,0))),""))</f>
        <v/>
      </c>
      <c r="X75" s="14" t="str">
        <f>IF(A75="","",IFERROR(IF(LEN(INDEX(Suppliers!$G$9:$G$508,MATCH(D75,Suppliers!$D$9:$D$508,0))&amp;"")=0,"",INDEX(Suppliers!$G$9:$G$508,MATCH(D75,Suppliers!$D$9:$D$508,0))),""))</f>
        <v/>
      </c>
      <c r="Y75" s="14" t="str">
        <f>IF(A75="","",IFERROR(INDEX(Jobs!$C$9:$C$258,MATCH(B75,Jobs!$A$9:$A$258,0)),""))</f>
        <v/>
      </c>
      <c r="Z75" s="14" t="str">
        <f>IF(A75="","",IFERROR(INDEX(Jobs!$B$9:$B$258,MATCH(B75,Jobs!$A$9:$A$258,0)),""))</f>
        <v/>
      </c>
      <c r="AA75" s="16" t="str">
        <f>IF(A75="","",IFERROR(VLOOKUP(I75,Lists!$E$9:$F$14,2,FALSE),0))</f>
        <v/>
      </c>
      <c r="AB75" s="16" t="str">
        <f t="shared" si="12"/>
        <v/>
      </c>
      <c r="AC75" s="16" t="str">
        <f t="shared" si="13"/>
        <v/>
      </c>
      <c r="AD75" s="16" t="str">
        <f t="shared" si="14"/>
        <v/>
      </c>
      <c r="AE75" s="16" t="str">
        <f t="shared" si="15"/>
        <v/>
      </c>
      <c r="AF75" s="16" t="str">
        <f t="shared" si="16"/>
        <v/>
      </c>
      <c r="AG75" s="26" t="str">
        <f t="shared" si="17"/>
        <v/>
      </c>
      <c r="AH75" s="16" t="str">
        <f t="shared" si="18"/>
        <v/>
      </c>
      <c r="AI75" s="16" t="str">
        <f t="shared" si="19"/>
        <v/>
      </c>
      <c r="AJ75" s="16" t="str">
        <f t="shared" si="20"/>
        <v/>
      </c>
      <c r="AK75" s="14" t="str">
        <f>IF(AND(A75&lt;&gt;"",F75="Selected"),COUNTIF($F$9:F75,"Selected"),"")</f>
        <v/>
      </c>
      <c r="AL75" s="14" t="str">
        <f>IF(A75="","",COUNTIF($B$9:B75,B75))</f>
        <v/>
      </c>
      <c r="AM75" s="14" t="str">
        <f>IF(A75="","",IF(COUNTIF(Jobs!$A$9:$A$258,B75)&lt;&gt;1,"Check JobID",IF(COUNTIF(Suppliers!$D$9:$D$508,D75)&lt;&gt;1,"Check contact",IF(AA75&lt;=0,"Currency / FX missing",IF(NOT(ISNUMBER(G75)),"Original price missing",IF(G75&lt;0,"Invalid original price",IF(AND(H75&lt;&gt;"",NOT(ISNUMBER(H75))),"Invalid final price",IF(AND(ISNUMBER(H75),H75&lt;0),"Invalid final price",IF(AND(F75="Selected",COUNTIFS($B$9:$B$258,B75,$E$9:$E$258,E75,$F$9:$F$258,"Selected")&gt;1),"Selected scope overlap",IF(AND(ISNUMBER(H75),H75&gt;G75),"Price increased",IF(LEN(H75&amp;"")=0,"Final price pending","OK")))))))))))</f>
        <v/>
      </c>
      <c r="AN75" s="16" t="str">
        <f t="shared" si="21"/>
        <v/>
      </c>
      <c r="AO75" s="14" t="str">
        <f>IF(A75="","",IFERROR(IF(INDEX(Suppliers!$A$9:$A$508,MATCH(D75,Suppliers!$D$9:$D$508,0))=C75,"OK","Contact / supplier mismatch"),"Contact missing"))</f>
        <v/>
      </c>
      <c r="AP75" s="14" t="str">
        <f>IF(OR(A75="",IFERROR(INDEX(Jobs!$P$9:$P$258,MATCH(B75,Jobs!$A$9:$A$258,0)),"")=""),"",HYPERLINK("#'"&amp;IFERROR(INDEX(Jobs!$P$9:$P$258,MATCH(B75,Jobs!$A$9:$A$258,0)),"")&amp;"'!A1","OPEN JOB"))</f>
        <v/>
      </c>
      <c r="AQ75" s="14"/>
      <c r="AR75" s="14"/>
      <c r="AS75" t="str">
        <f t="shared" si="22"/>
        <v/>
      </c>
      <c r="AT75" t="str">
        <f t="shared" si="23"/>
        <v/>
      </c>
    </row>
    <row r="76" spans="1:46" ht="40" customHeight="1" x14ac:dyDescent="0.35">
      <c r="A76" s="18"/>
      <c r="B76" s="37"/>
      <c r="C76" s="18"/>
      <c r="D76" s="15"/>
      <c r="E76" s="15"/>
      <c r="F76" s="15"/>
      <c r="G76" s="24"/>
      <c r="H76" s="24"/>
      <c r="I76" s="15"/>
      <c r="J76" s="17"/>
      <c r="K76" s="17"/>
      <c r="L76" s="17"/>
      <c r="M76" s="15"/>
      <c r="N76" s="15"/>
      <c r="O76" s="15"/>
      <c r="P76" s="15"/>
      <c r="Q76" s="15"/>
      <c r="R76" s="15"/>
      <c r="S76" s="18"/>
      <c r="T76" s="18"/>
      <c r="U76" s="18" t="str">
        <f>IF(A76="","",IFERROR(IF(LEN(INDEX(Suppliers!$B$9:$B$508,MATCH(C76,Suppliers!$A$9:$A$508,0))&amp;"")=0,"",INDEX(Suppliers!$B$9:$B$508,MATCH(C76,Suppliers!$A$9:$A$508,0))),""))</f>
        <v/>
      </c>
      <c r="V76" s="18" t="str">
        <f>IF(A76="","",IFERROR(IF(LEN(INDEX(Suppliers!$E$9:$E$508,MATCH(D76,Suppliers!$D$9:$D$508,0))&amp;"")=0,"",INDEX(Suppliers!$E$9:$E$508,MATCH(D76,Suppliers!$D$9:$D$508,0))),""))</f>
        <v/>
      </c>
      <c r="W76" s="18" t="str">
        <f>IF(A76="","",IFERROR(IF(LEN(INDEX(Suppliers!$F$9:$F$508,MATCH(D76,Suppliers!$D$9:$D$508,0))&amp;"")=0,"",INDEX(Suppliers!$F$9:$F$508,MATCH(D76,Suppliers!$D$9:$D$508,0))),""))</f>
        <v/>
      </c>
      <c r="X76" s="18" t="str">
        <f>IF(A76="","",IFERROR(IF(LEN(INDEX(Suppliers!$G$9:$G$508,MATCH(D76,Suppliers!$D$9:$D$508,0))&amp;"")=0,"",INDEX(Suppliers!$G$9:$G$508,MATCH(D76,Suppliers!$D$9:$D$508,0))),""))</f>
        <v/>
      </c>
      <c r="Y76" s="18" t="str">
        <f>IF(A76="","",IFERROR(INDEX(Jobs!$C$9:$C$258,MATCH(B76,Jobs!$A$9:$A$258,0)),""))</f>
        <v/>
      </c>
      <c r="Z76" s="18" t="str">
        <f>IF(A76="","",IFERROR(INDEX(Jobs!$B$9:$B$258,MATCH(B76,Jobs!$A$9:$A$258,0)),""))</f>
        <v/>
      </c>
      <c r="AA76" s="19" t="str">
        <f>IF(A76="","",IFERROR(VLOOKUP(I76,Lists!$E$9:$F$14,2,FALSE),0))</f>
        <v/>
      </c>
      <c r="AB76" s="19" t="str">
        <f t="shared" si="12"/>
        <v/>
      </c>
      <c r="AC76" s="19" t="str">
        <f t="shared" si="13"/>
        <v/>
      </c>
      <c r="AD76" s="19" t="str">
        <f t="shared" si="14"/>
        <v/>
      </c>
      <c r="AE76" s="19" t="str">
        <f t="shared" si="15"/>
        <v/>
      </c>
      <c r="AF76" s="19" t="str">
        <f t="shared" si="16"/>
        <v/>
      </c>
      <c r="AG76" s="27" t="str">
        <f t="shared" si="17"/>
        <v/>
      </c>
      <c r="AH76" s="19" t="str">
        <f t="shared" si="18"/>
        <v/>
      </c>
      <c r="AI76" s="19" t="str">
        <f t="shared" si="19"/>
        <v/>
      </c>
      <c r="AJ76" s="19" t="str">
        <f t="shared" si="20"/>
        <v/>
      </c>
      <c r="AK76" s="18" t="str">
        <f>IF(AND(A76&lt;&gt;"",F76="Selected"),COUNTIF($F$9:F76,"Selected"),"")</f>
        <v/>
      </c>
      <c r="AL76" s="18" t="str">
        <f>IF(A76="","",COUNTIF($B$9:B76,B76))</f>
        <v/>
      </c>
      <c r="AM76" s="18" t="str">
        <f>IF(A76="","",IF(COUNTIF(Jobs!$A$9:$A$258,B76)&lt;&gt;1,"Check JobID",IF(COUNTIF(Suppliers!$D$9:$D$508,D76)&lt;&gt;1,"Check contact",IF(AA76&lt;=0,"Currency / FX missing",IF(NOT(ISNUMBER(G76)),"Original price missing",IF(G76&lt;0,"Invalid original price",IF(AND(H76&lt;&gt;"",NOT(ISNUMBER(H76))),"Invalid final price",IF(AND(ISNUMBER(H76),H76&lt;0),"Invalid final price",IF(AND(F76="Selected",COUNTIFS($B$9:$B$258,B76,$E$9:$E$258,E76,$F$9:$F$258,"Selected")&gt;1),"Selected scope overlap",IF(AND(ISNUMBER(H76),H76&gt;G76),"Price increased",IF(LEN(H76&amp;"")=0,"Final price pending","OK")))))))))))</f>
        <v/>
      </c>
      <c r="AN76" s="19" t="str">
        <f t="shared" si="21"/>
        <v/>
      </c>
      <c r="AO76" s="18" t="str">
        <f>IF(A76="","",IFERROR(IF(INDEX(Suppliers!$A$9:$A$508,MATCH(D76,Suppliers!$D$9:$D$508,0))=C76,"OK","Contact / supplier mismatch"),"Contact missing"))</f>
        <v/>
      </c>
      <c r="AP76" s="18" t="str">
        <f>IF(OR(A76="",IFERROR(INDEX(Jobs!$P$9:$P$258,MATCH(B76,Jobs!$A$9:$A$258,0)),"")=""),"",HYPERLINK("#'"&amp;IFERROR(INDEX(Jobs!$P$9:$P$258,MATCH(B76,Jobs!$A$9:$A$258,0)),"")&amp;"'!A1","OPEN JOB"))</f>
        <v/>
      </c>
      <c r="AQ76" s="18"/>
      <c r="AR76" s="18"/>
      <c r="AS76" t="str">
        <f t="shared" si="22"/>
        <v/>
      </c>
      <c r="AT76" t="str">
        <f t="shared" si="23"/>
        <v/>
      </c>
    </row>
    <row r="77" spans="1:46" ht="40" customHeight="1" x14ac:dyDescent="0.35">
      <c r="A77" s="14"/>
      <c r="B77" s="37"/>
      <c r="C77" s="14"/>
      <c r="D77" s="15"/>
      <c r="E77" s="15"/>
      <c r="F77" s="15"/>
      <c r="G77" s="24"/>
      <c r="H77" s="24"/>
      <c r="I77" s="15"/>
      <c r="J77" s="17"/>
      <c r="K77" s="17"/>
      <c r="L77" s="17"/>
      <c r="M77" s="15"/>
      <c r="N77" s="15"/>
      <c r="O77" s="15"/>
      <c r="P77" s="15"/>
      <c r="Q77" s="15"/>
      <c r="R77" s="15"/>
      <c r="S77" s="14"/>
      <c r="T77" s="14"/>
      <c r="U77" s="14" t="str">
        <f>IF(A77="","",IFERROR(IF(LEN(INDEX(Suppliers!$B$9:$B$508,MATCH(C77,Suppliers!$A$9:$A$508,0))&amp;"")=0,"",INDEX(Suppliers!$B$9:$B$508,MATCH(C77,Suppliers!$A$9:$A$508,0))),""))</f>
        <v/>
      </c>
      <c r="V77" s="14" t="str">
        <f>IF(A77="","",IFERROR(IF(LEN(INDEX(Suppliers!$E$9:$E$508,MATCH(D77,Suppliers!$D$9:$D$508,0))&amp;"")=0,"",INDEX(Suppliers!$E$9:$E$508,MATCH(D77,Suppliers!$D$9:$D$508,0))),""))</f>
        <v/>
      </c>
      <c r="W77" s="14" t="str">
        <f>IF(A77="","",IFERROR(IF(LEN(INDEX(Suppliers!$F$9:$F$508,MATCH(D77,Suppliers!$D$9:$D$508,0))&amp;"")=0,"",INDEX(Suppliers!$F$9:$F$508,MATCH(D77,Suppliers!$D$9:$D$508,0))),""))</f>
        <v/>
      </c>
      <c r="X77" s="14" t="str">
        <f>IF(A77="","",IFERROR(IF(LEN(INDEX(Suppliers!$G$9:$G$508,MATCH(D77,Suppliers!$D$9:$D$508,0))&amp;"")=0,"",INDEX(Suppliers!$G$9:$G$508,MATCH(D77,Suppliers!$D$9:$D$508,0))),""))</f>
        <v/>
      </c>
      <c r="Y77" s="14" t="str">
        <f>IF(A77="","",IFERROR(INDEX(Jobs!$C$9:$C$258,MATCH(B77,Jobs!$A$9:$A$258,0)),""))</f>
        <v/>
      </c>
      <c r="Z77" s="14" t="str">
        <f>IF(A77="","",IFERROR(INDEX(Jobs!$B$9:$B$258,MATCH(B77,Jobs!$A$9:$A$258,0)),""))</f>
        <v/>
      </c>
      <c r="AA77" s="16" t="str">
        <f>IF(A77="","",IFERROR(VLOOKUP(I77,Lists!$E$9:$F$14,2,FALSE),0))</f>
        <v/>
      </c>
      <c r="AB77" s="16" t="str">
        <f t="shared" si="12"/>
        <v/>
      </c>
      <c r="AC77" s="16" t="str">
        <f t="shared" si="13"/>
        <v/>
      </c>
      <c r="AD77" s="16" t="str">
        <f t="shared" si="14"/>
        <v/>
      </c>
      <c r="AE77" s="16" t="str">
        <f t="shared" si="15"/>
        <v/>
      </c>
      <c r="AF77" s="16" t="str">
        <f t="shared" si="16"/>
        <v/>
      </c>
      <c r="AG77" s="26" t="str">
        <f t="shared" si="17"/>
        <v/>
      </c>
      <c r="AH77" s="16" t="str">
        <f t="shared" si="18"/>
        <v/>
      </c>
      <c r="AI77" s="16" t="str">
        <f t="shared" si="19"/>
        <v/>
      </c>
      <c r="AJ77" s="16" t="str">
        <f t="shared" si="20"/>
        <v/>
      </c>
      <c r="AK77" s="14" t="str">
        <f>IF(AND(A77&lt;&gt;"",F77="Selected"),COUNTIF($F$9:F77,"Selected"),"")</f>
        <v/>
      </c>
      <c r="AL77" s="14" t="str">
        <f>IF(A77="","",COUNTIF($B$9:B77,B77))</f>
        <v/>
      </c>
      <c r="AM77" s="14" t="str">
        <f>IF(A77="","",IF(COUNTIF(Jobs!$A$9:$A$258,B77)&lt;&gt;1,"Check JobID",IF(COUNTIF(Suppliers!$D$9:$D$508,D77)&lt;&gt;1,"Check contact",IF(AA77&lt;=0,"Currency / FX missing",IF(NOT(ISNUMBER(G77)),"Original price missing",IF(G77&lt;0,"Invalid original price",IF(AND(H77&lt;&gt;"",NOT(ISNUMBER(H77))),"Invalid final price",IF(AND(ISNUMBER(H77),H77&lt;0),"Invalid final price",IF(AND(F77="Selected",COUNTIFS($B$9:$B$258,B77,$E$9:$E$258,E77,$F$9:$F$258,"Selected")&gt;1),"Selected scope overlap",IF(AND(ISNUMBER(H77),H77&gt;G77),"Price increased",IF(LEN(H77&amp;"")=0,"Final price pending","OK")))))))))))</f>
        <v/>
      </c>
      <c r="AN77" s="16" t="str">
        <f t="shared" si="21"/>
        <v/>
      </c>
      <c r="AO77" s="14" t="str">
        <f>IF(A77="","",IFERROR(IF(INDEX(Suppliers!$A$9:$A$508,MATCH(D77,Suppliers!$D$9:$D$508,0))=C77,"OK","Contact / supplier mismatch"),"Contact missing"))</f>
        <v/>
      </c>
      <c r="AP77" s="14" t="str">
        <f>IF(OR(A77="",IFERROR(INDEX(Jobs!$P$9:$P$258,MATCH(B77,Jobs!$A$9:$A$258,0)),"")=""),"",HYPERLINK("#'"&amp;IFERROR(INDEX(Jobs!$P$9:$P$258,MATCH(B77,Jobs!$A$9:$A$258,0)),"")&amp;"'!A1","OPEN JOB"))</f>
        <v/>
      </c>
      <c r="AQ77" s="14"/>
      <c r="AR77" s="14"/>
      <c r="AS77" t="str">
        <f t="shared" si="22"/>
        <v/>
      </c>
      <c r="AT77" t="str">
        <f t="shared" si="23"/>
        <v/>
      </c>
    </row>
    <row r="78" spans="1:46" ht="40" customHeight="1" x14ac:dyDescent="0.35">
      <c r="A78" s="18"/>
      <c r="B78" s="37"/>
      <c r="C78" s="18"/>
      <c r="D78" s="15"/>
      <c r="E78" s="15"/>
      <c r="F78" s="15"/>
      <c r="G78" s="24"/>
      <c r="H78" s="24"/>
      <c r="I78" s="15"/>
      <c r="J78" s="17"/>
      <c r="K78" s="17"/>
      <c r="L78" s="17"/>
      <c r="M78" s="15"/>
      <c r="N78" s="15"/>
      <c r="O78" s="15"/>
      <c r="P78" s="15"/>
      <c r="Q78" s="15"/>
      <c r="R78" s="15"/>
      <c r="S78" s="18"/>
      <c r="T78" s="18"/>
      <c r="U78" s="18" t="str">
        <f>IF(A78="","",IFERROR(IF(LEN(INDEX(Suppliers!$B$9:$B$508,MATCH(C78,Suppliers!$A$9:$A$508,0))&amp;"")=0,"",INDEX(Suppliers!$B$9:$B$508,MATCH(C78,Suppliers!$A$9:$A$508,0))),""))</f>
        <v/>
      </c>
      <c r="V78" s="18" t="str">
        <f>IF(A78="","",IFERROR(IF(LEN(INDEX(Suppliers!$E$9:$E$508,MATCH(D78,Suppliers!$D$9:$D$508,0))&amp;"")=0,"",INDEX(Suppliers!$E$9:$E$508,MATCH(D78,Suppliers!$D$9:$D$508,0))),""))</f>
        <v/>
      </c>
      <c r="W78" s="18" t="str">
        <f>IF(A78="","",IFERROR(IF(LEN(INDEX(Suppliers!$F$9:$F$508,MATCH(D78,Suppliers!$D$9:$D$508,0))&amp;"")=0,"",INDEX(Suppliers!$F$9:$F$508,MATCH(D78,Suppliers!$D$9:$D$508,0))),""))</f>
        <v/>
      </c>
      <c r="X78" s="18" t="str">
        <f>IF(A78="","",IFERROR(IF(LEN(INDEX(Suppliers!$G$9:$G$508,MATCH(D78,Suppliers!$D$9:$D$508,0))&amp;"")=0,"",INDEX(Suppliers!$G$9:$G$508,MATCH(D78,Suppliers!$D$9:$D$508,0))),""))</f>
        <v/>
      </c>
      <c r="Y78" s="18" t="str">
        <f>IF(A78="","",IFERROR(INDEX(Jobs!$C$9:$C$258,MATCH(B78,Jobs!$A$9:$A$258,0)),""))</f>
        <v/>
      </c>
      <c r="Z78" s="18" t="str">
        <f>IF(A78="","",IFERROR(INDEX(Jobs!$B$9:$B$258,MATCH(B78,Jobs!$A$9:$A$258,0)),""))</f>
        <v/>
      </c>
      <c r="AA78" s="19" t="str">
        <f>IF(A78="","",IFERROR(VLOOKUP(I78,Lists!$E$9:$F$14,2,FALSE),0))</f>
        <v/>
      </c>
      <c r="AB78" s="19" t="str">
        <f t="shared" si="12"/>
        <v/>
      </c>
      <c r="AC78" s="19" t="str">
        <f t="shared" si="13"/>
        <v/>
      </c>
      <c r="AD78" s="19" t="str">
        <f t="shared" si="14"/>
        <v/>
      </c>
      <c r="AE78" s="19" t="str">
        <f t="shared" si="15"/>
        <v/>
      </c>
      <c r="AF78" s="19" t="str">
        <f t="shared" si="16"/>
        <v/>
      </c>
      <c r="AG78" s="27" t="str">
        <f t="shared" si="17"/>
        <v/>
      </c>
      <c r="AH78" s="19" t="str">
        <f t="shared" si="18"/>
        <v/>
      </c>
      <c r="AI78" s="19" t="str">
        <f t="shared" si="19"/>
        <v/>
      </c>
      <c r="AJ78" s="19" t="str">
        <f t="shared" si="20"/>
        <v/>
      </c>
      <c r="AK78" s="18" t="str">
        <f>IF(AND(A78&lt;&gt;"",F78="Selected"),COUNTIF($F$9:F78,"Selected"),"")</f>
        <v/>
      </c>
      <c r="AL78" s="18" t="str">
        <f>IF(A78="","",COUNTIF($B$9:B78,B78))</f>
        <v/>
      </c>
      <c r="AM78" s="18" t="str">
        <f>IF(A78="","",IF(COUNTIF(Jobs!$A$9:$A$258,B78)&lt;&gt;1,"Check JobID",IF(COUNTIF(Suppliers!$D$9:$D$508,D78)&lt;&gt;1,"Check contact",IF(AA78&lt;=0,"Currency / FX missing",IF(NOT(ISNUMBER(G78)),"Original price missing",IF(G78&lt;0,"Invalid original price",IF(AND(H78&lt;&gt;"",NOT(ISNUMBER(H78))),"Invalid final price",IF(AND(ISNUMBER(H78),H78&lt;0),"Invalid final price",IF(AND(F78="Selected",COUNTIFS($B$9:$B$258,B78,$E$9:$E$258,E78,$F$9:$F$258,"Selected")&gt;1),"Selected scope overlap",IF(AND(ISNUMBER(H78),H78&gt;G78),"Price increased",IF(LEN(H78&amp;"")=0,"Final price pending","OK")))))))))))</f>
        <v/>
      </c>
      <c r="AN78" s="19" t="str">
        <f t="shared" si="21"/>
        <v/>
      </c>
      <c r="AO78" s="18" t="str">
        <f>IF(A78="","",IFERROR(IF(INDEX(Suppliers!$A$9:$A$508,MATCH(D78,Suppliers!$D$9:$D$508,0))=C78,"OK","Contact / supplier mismatch"),"Contact missing"))</f>
        <v/>
      </c>
      <c r="AP78" s="18" t="str">
        <f>IF(OR(A78="",IFERROR(INDEX(Jobs!$P$9:$P$258,MATCH(B78,Jobs!$A$9:$A$258,0)),"")=""),"",HYPERLINK("#'"&amp;IFERROR(INDEX(Jobs!$P$9:$P$258,MATCH(B78,Jobs!$A$9:$A$258,0)),"")&amp;"'!A1","OPEN JOB"))</f>
        <v/>
      </c>
      <c r="AQ78" s="18"/>
      <c r="AR78" s="18"/>
      <c r="AS78" t="str">
        <f t="shared" si="22"/>
        <v/>
      </c>
      <c r="AT78" t="str">
        <f t="shared" si="23"/>
        <v/>
      </c>
    </row>
    <row r="79" spans="1:46" ht="40" customHeight="1" x14ac:dyDescent="0.35">
      <c r="A79" s="14"/>
      <c r="B79" s="37"/>
      <c r="C79" s="14"/>
      <c r="D79" s="15"/>
      <c r="E79" s="15"/>
      <c r="F79" s="15"/>
      <c r="G79" s="24"/>
      <c r="H79" s="24"/>
      <c r="I79" s="15"/>
      <c r="J79" s="17"/>
      <c r="K79" s="17"/>
      <c r="L79" s="17"/>
      <c r="M79" s="15"/>
      <c r="N79" s="15"/>
      <c r="O79" s="15"/>
      <c r="P79" s="15"/>
      <c r="Q79" s="15"/>
      <c r="R79" s="15"/>
      <c r="S79" s="14"/>
      <c r="T79" s="14"/>
      <c r="U79" s="14" t="str">
        <f>IF(A79="","",IFERROR(IF(LEN(INDEX(Suppliers!$B$9:$B$508,MATCH(C79,Suppliers!$A$9:$A$508,0))&amp;"")=0,"",INDEX(Suppliers!$B$9:$B$508,MATCH(C79,Suppliers!$A$9:$A$508,0))),""))</f>
        <v/>
      </c>
      <c r="V79" s="14" t="str">
        <f>IF(A79="","",IFERROR(IF(LEN(INDEX(Suppliers!$E$9:$E$508,MATCH(D79,Suppliers!$D$9:$D$508,0))&amp;"")=0,"",INDEX(Suppliers!$E$9:$E$508,MATCH(D79,Suppliers!$D$9:$D$508,0))),""))</f>
        <v/>
      </c>
      <c r="W79" s="14" t="str">
        <f>IF(A79="","",IFERROR(IF(LEN(INDEX(Suppliers!$F$9:$F$508,MATCH(D79,Suppliers!$D$9:$D$508,0))&amp;"")=0,"",INDEX(Suppliers!$F$9:$F$508,MATCH(D79,Suppliers!$D$9:$D$508,0))),""))</f>
        <v/>
      </c>
      <c r="X79" s="14" t="str">
        <f>IF(A79="","",IFERROR(IF(LEN(INDEX(Suppliers!$G$9:$G$508,MATCH(D79,Suppliers!$D$9:$D$508,0))&amp;"")=0,"",INDEX(Suppliers!$G$9:$G$508,MATCH(D79,Suppliers!$D$9:$D$508,0))),""))</f>
        <v/>
      </c>
      <c r="Y79" s="14" t="str">
        <f>IF(A79="","",IFERROR(INDEX(Jobs!$C$9:$C$258,MATCH(B79,Jobs!$A$9:$A$258,0)),""))</f>
        <v/>
      </c>
      <c r="Z79" s="14" t="str">
        <f>IF(A79="","",IFERROR(INDEX(Jobs!$B$9:$B$258,MATCH(B79,Jobs!$A$9:$A$258,0)),""))</f>
        <v/>
      </c>
      <c r="AA79" s="16" t="str">
        <f>IF(A79="","",IFERROR(VLOOKUP(I79,Lists!$E$9:$F$14,2,FALSE),0))</f>
        <v/>
      </c>
      <c r="AB79" s="16" t="str">
        <f t="shared" si="12"/>
        <v/>
      </c>
      <c r="AC79" s="16" t="str">
        <f t="shared" si="13"/>
        <v/>
      </c>
      <c r="AD79" s="16" t="str">
        <f t="shared" si="14"/>
        <v/>
      </c>
      <c r="AE79" s="16" t="str">
        <f t="shared" si="15"/>
        <v/>
      </c>
      <c r="AF79" s="16" t="str">
        <f t="shared" si="16"/>
        <v/>
      </c>
      <c r="AG79" s="26" t="str">
        <f t="shared" si="17"/>
        <v/>
      </c>
      <c r="AH79" s="16" t="str">
        <f t="shared" si="18"/>
        <v/>
      </c>
      <c r="AI79" s="16" t="str">
        <f t="shared" si="19"/>
        <v/>
      </c>
      <c r="AJ79" s="16" t="str">
        <f t="shared" si="20"/>
        <v/>
      </c>
      <c r="AK79" s="14" t="str">
        <f>IF(AND(A79&lt;&gt;"",F79="Selected"),COUNTIF($F$9:F79,"Selected"),"")</f>
        <v/>
      </c>
      <c r="AL79" s="14" t="str">
        <f>IF(A79="","",COUNTIF($B$9:B79,B79))</f>
        <v/>
      </c>
      <c r="AM79" s="14" t="str">
        <f>IF(A79="","",IF(COUNTIF(Jobs!$A$9:$A$258,B79)&lt;&gt;1,"Check JobID",IF(COUNTIF(Suppliers!$D$9:$D$508,D79)&lt;&gt;1,"Check contact",IF(AA79&lt;=0,"Currency / FX missing",IF(NOT(ISNUMBER(G79)),"Original price missing",IF(G79&lt;0,"Invalid original price",IF(AND(H79&lt;&gt;"",NOT(ISNUMBER(H79))),"Invalid final price",IF(AND(ISNUMBER(H79),H79&lt;0),"Invalid final price",IF(AND(F79="Selected",COUNTIFS($B$9:$B$258,B79,$E$9:$E$258,E79,$F$9:$F$258,"Selected")&gt;1),"Selected scope overlap",IF(AND(ISNUMBER(H79),H79&gt;G79),"Price increased",IF(LEN(H79&amp;"")=0,"Final price pending","OK")))))))))))</f>
        <v/>
      </c>
      <c r="AN79" s="16" t="str">
        <f t="shared" si="21"/>
        <v/>
      </c>
      <c r="AO79" s="14" t="str">
        <f>IF(A79="","",IFERROR(IF(INDEX(Suppliers!$A$9:$A$508,MATCH(D79,Suppliers!$D$9:$D$508,0))=C79,"OK","Contact / supplier mismatch"),"Contact missing"))</f>
        <v/>
      </c>
      <c r="AP79" s="14" t="str">
        <f>IF(OR(A79="",IFERROR(INDEX(Jobs!$P$9:$P$258,MATCH(B79,Jobs!$A$9:$A$258,0)),"")=""),"",HYPERLINK("#'"&amp;IFERROR(INDEX(Jobs!$P$9:$P$258,MATCH(B79,Jobs!$A$9:$A$258,0)),"")&amp;"'!A1","OPEN JOB"))</f>
        <v/>
      </c>
      <c r="AQ79" s="14"/>
      <c r="AR79" s="14"/>
      <c r="AS79" t="str">
        <f t="shared" si="22"/>
        <v/>
      </c>
      <c r="AT79" t="str">
        <f t="shared" si="23"/>
        <v/>
      </c>
    </row>
    <row r="80" spans="1:46" ht="40" customHeight="1" x14ac:dyDescent="0.35">
      <c r="A80" s="18"/>
      <c r="B80" s="37"/>
      <c r="C80" s="18"/>
      <c r="D80" s="15"/>
      <c r="E80" s="15"/>
      <c r="F80" s="15"/>
      <c r="G80" s="24"/>
      <c r="H80" s="24"/>
      <c r="I80" s="15"/>
      <c r="J80" s="17"/>
      <c r="K80" s="17"/>
      <c r="L80" s="17"/>
      <c r="M80" s="15"/>
      <c r="N80" s="15"/>
      <c r="O80" s="15"/>
      <c r="P80" s="15"/>
      <c r="Q80" s="15"/>
      <c r="R80" s="15"/>
      <c r="S80" s="18"/>
      <c r="T80" s="18"/>
      <c r="U80" s="18" t="str">
        <f>IF(A80="","",IFERROR(IF(LEN(INDEX(Suppliers!$B$9:$B$508,MATCH(C80,Suppliers!$A$9:$A$508,0))&amp;"")=0,"",INDEX(Suppliers!$B$9:$B$508,MATCH(C80,Suppliers!$A$9:$A$508,0))),""))</f>
        <v/>
      </c>
      <c r="V80" s="18" t="str">
        <f>IF(A80="","",IFERROR(IF(LEN(INDEX(Suppliers!$E$9:$E$508,MATCH(D80,Suppliers!$D$9:$D$508,0))&amp;"")=0,"",INDEX(Suppliers!$E$9:$E$508,MATCH(D80,Suppliers!$D$9:$D$508,0))),""))</f>
        <v/>
      </c>
      <c r="W80" s="18" t="str">
        <f>IF(A80="","",IFERROR(IF(LEN(INDEX(Suppliers!$F$9:$F$508,MATCH(D80,Suppliers!$D$9:$D$508,0))&amp;"")=0,"",INDEX(Suppliers!$F$9:$F$508,MATCH(D80,Suppliers!$D$9:$D$508,0))),""))</f>
        <v/>
      </c>
      <c r="X80" s="18" t="str">
        <f>IF(A80="","",IFERROR(IF(LEN(INDEX(Suppliers!$G$9:$G$508,MATCH(D80,Suppliers!$D$9:$D$508,0))&amp;"")=0,"",INDEX(Suppliers!$G$9:$G$508,MATCH(D80,Suppliers!$D$9:$D$508,0))),""))</f>
        <v/>
      </c>
      <c r="Y80" s="18" t="str">
        <f>IF(A80="","",IFERROR(INDEX(Jobs!$C$9:$C$258,MATCH(B80,Jobs!$A$9:$A$258,0)),""))</f>
        <v/>
      </c>
      <c r="Z80" s="18" t="str">
        <f>IF(A80="","",IFERROR(INDEX(Jobs!$B$9:$B$258,MATCH(B80,Jobs!$A$9:$A$258,0)),""))</f>
        <v/>
      </c>
      <c r="AA80" s="19" t="str">
        <f>IF(A80="","",IFERROR(VLOOKUP(I80,Lists!$E$9:$F$14,2,FALSE),0))</f>
        <v/>
      </c>
      <c r="AB80" s="19" t="str">
        <f t="shared" si="12"/>
        <v/>
      </c>
      <c r="AC80" s="19" t="str">
        <f t="shared" si="13"/>
        <v/>
      </c>
      <c r="AD80" s="19" t="str">
        <f t="shared" si="14"/>
        <v/>
      </c>
      <c r="AE80" s="19" t="str">
        <f t="shared" si="15"/>
        <v/>
      </c>
      <c r="AF80" s="19" t="str">
        <f t="shared" si="16"/>
        <v/>
      </c>
      <c r="AG80" s="27" t="str">
        <f t="shared" si="17"/>
        <v/>
      </c>
      <c r="AH80" s="19" t="str">
        <f t="shared" si="18"/>
        <v/>
      </c>
      <c r="AI80" s="19" t="str">
        <f t="shared" si="19"/>
        <v/>
      </c>
      <c r="AJ80" s="19" t="str">
        <f t="shared" si="20"/>
        <v/>
      </c>
      <c r="AK80" s="18" t="str">
        <f>IF(AND(A80&lt;&gt;"",F80="Selected"),COUNTIF($F$9:F80,"Selected"),"")</f>
        <v/>
      </c>
      <c r="AL80" s="18" t="str">
        <f>IF(A80="","",COUNTIF($B$9:B80,B80))</f>
        <v/>
      </c>
      <c r="AM80" s="18" t="str">
        <f>IF(A80="","",IF(COUNTIF(Jobs!$A$9:$A$258,B80)&lt;&gt;1,"Check JobID",IF(COUNTIF(Suppliers!$D$9:$D$508,D80)&lt;&gt;1,"Check contact",IF(AA80&lt;=0,"Currency / FX missing",IF(NOT(ISNUMBER(G80)),"Original price missing",IF(G80&lt;0,"Invalid original price",IF(AND(H80&lt;&gt;"",NOT(ISNUMBER(H80))),"Invalid final price",IF(AND(ISNUMBER(H80),H80&lt;0),"Invalid final price",IF(AND(F80="Selected",COUNTIFS($B$9:$B$258,B80,$E$9:$E$258,E80,$F$9:$F$258,"Selected")&gt;1),"Selected scope overlap",IF(AND(ISNUMBER(H80),H80&gt;G80),"Price increased",IF(LEN(H80&amp;"")=0,"Final price pending","OK")))))))))))</f>
        <v/>
      </c>
      <c r="AN80" s="19" t="str">
        <f t="shared" si="21"/>
        <v/>
      </c>
      <c r="AO80" s="18" t="str">
        <f>IF(A80="","",IFERROR(IF(INDEX(Suppliers!$A$9:$A$508,MATCH(D80,Suppliers!$D$9:$D$508,0))=C80,"OK","Contact / supplier mismatch"),"Contact missing"))</f>
        <v/>
      </c>
      <c r="AP80" s="18" t="str">
        <f>IF(OR(A80="",IFERROR(INDEX(Jobs!$P$9:$P$258,MATCH(B80,Jobs!$A$9:$A$258,0)),"")=""),"",HYPERLINK("#'"&amp;IFERROR(INDEX(Jobs!$P$9:$P$258,MATCH(B80,Jobs!$A$9:$A$258,0)),"")&amp;"'!A1","OPEN JOB"))</f>
        <v/>
      </c>
      <c r="AQ80" s="18"/>
      <c r="AR80" s="18"/>
      <c r="AS80" t="str">
        <f t="shared" si="22"/>
        <v/>
      </c>
      <c r="AT80" t="str">
        <f t="shared" si="23"/>
        <v/>
      </c>
    </row>
    <row r="81" spans="1:46" ht="40" customHeight="1" x14ac:dyDescent="0.35">
      <c r="A81" s="14"/>
      <c r="B81" s="37"/>
      <c r="C81" s="14"/>
      <c r="D81" s="15"/>
      <c r="E81" s="15"/>
      <c r="F81" s="15"/>
      <c r="G81" s="24"/>
      <c r="H81" s="24"/>
      <c r="I81" s="15"/>
      <c r="J81" s="17"/>
      <c r="K81" s="17"/>
      <c r="L81" s="17"/>
      <c r="M81" s="15"/>
      <c r="N81" s="15"/>
      <c r="O81" s="15"/>
      <c r="P81" s="15"/>
      <c r="Q81" s="15"/>
      <c r="R81" s="15"/>
      <c r="S81" s="14"/>
      <c r="T81" s="14"/>
      <c r="U81" s="14" t="str">
        <f>IF(A81="","",IFERROR(IF(LEN(INDEX(Suppliers!$B$9:$B$508,MATCH(C81,Suppliers!$A$9:$A$508,0))&amp;"")=0,"",INDEX(Suppliers!$B$9:$B$508,MATCH(C81,Suppliers!$A$9:$A$508,0))),""))</f>
        <v/>
      </c>
      <c r="V81" s="14" t="str">
        <f>IF(A81="","",IFERROR(IF(LEN(INDEX(Suppliers!$E$9:$E$508,MATCH(D81,Suppliers!$D$9:$D$508,0))&amp;"")=0,"",INDEX(Suppliers!$E$9:$E$508,MATCH(D81,Suppliers!$D$9:$D$508,0))),""))</f>
        <v/>
      </c>
      <c r="W81" s="14" t="str">
        <f>IF(A81="","",IFERROR(IF(LEN(INDEX(Suppliers!$F$9:$F$508,MATCH(D81,Suppliers!$D$9:$D$508,0))&amp;"")=0,"",INDEX(Suppliers!$F$9:$F$508,MATCH(D81,Suppliers!$D$9:$D$508,0))),""))</f>
        <v/>
      </c>
      <c r="X81" s="14" t="str">
        <f>IF(A81="","",IFERROR(IF(LEN(INDEX(Suppliers!$G$9:$G$508,MATCH(D81,Suppliers!$D$9:$D$508,0))&amp;"")=0,"",INDEX(Suppliers!$G$9:$G$508,MATCH(D81,Suppliers!$D$9:$D$508,0))),""))</f>
        <v/>
      </c>
      <c r="Y81" s="14" t="str">
        <f>IF(A81="","",IFERROR(INDEX(Jobs!$C$9:$C$258,MATCH(B81,Jobs!$A$9:$A$258,0)),""))</f>
        <v/>
      </c>
      <c r="Z81" s="14" t="str">
        <f>IF(A81="","",IFERROR(INDEX(Jobs!$B$9:$B$258,MATCH(B81,Jobs!$A$9:$A$258,0)),""))</f>
        <v/>
      </c>
      <c r="AA81" s="16" t="str">
        <f>IF(A81="","",IFERROR(VLOOKUP(I81,Lists!$E$9:$F$14,2,FALSE),0))</f>
        <v/>
      </c>
      <c r="AB81" s="16" t="str">
        <f t="shared" si="12"/>
        <v/>
      </c>
      <c r="AC81" s="16" t="str">
        <f t="shared" si="13"/>
        <v/>
      </c>
      <c r="AD81" s="16" t="str">
        <f t="shared" si="14"/>
        <v/>
      </c>
      <c r="AE81" s="16" t="str">
        <f t="shared" si="15"/>
        <v/>
      </c>
      <c r="AF81" s="16" t="str">
        <f t="shared" si="16"/>
        <v/>
      </c>
      <c r="AG81" s="26" t="str">
        <f t="shared" si="17"/>
        <v/>
      </c>
      <c r="AH81" s="16" t="str">
        <f t="shared" si="18"/>
        <v/>
      </c>
      <c r="AI81" s="16" t="str">
        <f t="shared" si="19"/>
        <v/>
      </c>
      <c r="AJ81" s="16" t="str">
        <f t="shared" si="20"/>
        <v/>
      </c>
      <c r="AK81" s="14" t="str">
        <f>IF(AND(A81&lt;&gt;"",F81="Selected"),COUNTIF($F$9:F81,"Selected"),"")</f>
        <v/>
      </c>
      <c r="AL81" s="14" t="str">
        <f>IF(A81="","",COUNTIF($B$9:B81,B81))</f>
        <v/>
      </c>
      <c r="AM81" s="14" t="str">
        <f>IF(A81="","",IF(COUNTIF(Jobs!$A$9:$A$258,B81)&lt;&gt;1,"Check JobID",IF(COUNTIF(Suppliers!$D$9:$D$508,D81)&lt;&gt;1,"Check contact",IF(AA81&lt;=0,"Currency / FX missing",IF(NOT(ISNUMBER(G81)),"Original price missing",IF(G81&lt;0,"Invalid original price",IF(AND(H81&lt;&gt;"",NOT(ISNUMBER(H81))),"Invalid final price",IF(AND(ISNUMBER(H81),H81&lt;0),"Invalid final price",IF(AND(F81="Selected",COUNTIFS($B$9:$B$258,B81,$E$9:$E$258,E81,$F$9:$F$258,"Selected")&gt;1),"Selected scope overlap",IF(AND(ISNUMBER(H81),H81&gt;G81),"Price increased",IF(LEN(H81&amp;"")=0,"Final price pending","OK")))))))))))</f>
        <v/>
      </c>
      <c r="AN81" s="16" t="str">
        <f t="shared" si="21"/>
        <v/>
      </c>
      <c r="AO81" s="14" t="str">
        <f>IF(A81="","",IFERROR(IF(INDEX(Suppliers!$A$9:$A$508,MATCH(D81,Suppliers!$D$9:$D$508,0))=C81,"OK","Contact / supplier mismatch"),"Contact missing"))</f>
        <v/>
      </c>
      <c r="AP81" s="14" t="str">
        <f>IF(OR(A81="",IFERROR(INDEX(Jobs!$P$9:$P$258,MATCH(B81,Jobs!$A$9:$A$258,0)),"")=""),"",HYPERLINK("#'"&amp;IFERROR(INDEX(Jobs!$P$9:$P$258,MATCH(B81,Jobs!$A$9:$A$258,0)),"")&amp;"'!A1","OPEN JOB"))</f>
        <v/>
      </c>
      <c r="AQ81" s="14"/>
      <c r="AR81" s="14"/>
      <c r="AS81" t="str">
        <f t="shared" si="22"/>
        <v/>
      </c>
      <c r="AT81" t="str">
        <f t="shared" si="23"/>
        <v/>
      </c>
    </row>
    <row r="82" spans="1:46" ht="40" customHeight="1" x14ac:dyDescent="0.35">
      <c r="A82" s="18"/>
      <c r="B82" s="37"/>
      <c r="C82" s="18"/>
      <c r="D82" s="15"/>
      <c r="E82" s="15"/>
      <c r="F82" s="15"/>
      <c r="G82" s="24"/>
      <c r="H82" s="24"/>
      <c r="I82" s="15"/>
      <c r="J82" s="17"/>
      <c r="K82" s="17"/>
      <c r="L82" s="17"/>
      <c r="M82" s="15"/>
      <c r="N82" s="15"/>
      <c r="O82" s="15"/>
      <c r="P82" s="15"/>
      <c r="Q82" s="15"/>
      <c r="R82" s="15"/>
      <c r="S82" s="18"/>
      <c r="T82" s="18"/>
      <c r="U82" s="18" t="str">
        <f>IF(A82="","",IFERROR(IF(LEN(INDEX(Suppliers!$B$9:$B$508,MATCH(C82,Suppliers!$A$9:$A$508,0))&amp;"")=0,"",INDEX(Suppliers!$B$9:$B$508,MATCH(C82,Suppliers!$A$9:$A$508,0))),""))</f>
        <v/>
      </c>
      <c r="V82" s="18" t="str">
        <f>IF(A82="","",IFERROR(IF(LEN(INDEX(Suppliers!$E$9:$E$508,MATCH(D82,Suppliers!$D$9:$D$508,0))&amp;"")=0,"",INDEX(Suppliers!$E$9:$E$508,MATCH(D82,Suppliers!$D$9:$D$508,0))),""))</f>
        <v/>
      </c>
      <c r="W82" s="18" t="str">
        <f>IF(A82="","",IFERROR(IF(LEN(INDEX(Suppliers!$F$9:$F$508,MATCH(D82,Suppliers!$D$9:$D$508,0))&amp;"")=0,"",INDEX(Suppliers!$F$9:$F$508,MATCH(D82,Suppliers!$D$9:$D$508,0))),""))</f>
        <v/>
      </c>
      <c r="X82" s="18" t="str">
        <f>IF(A82="","",IFERROR(IF(LEN(INDEX(Suppliers!$G$9:$G$508,MATCH(D82,Suppliers!$D$9:$D$508,0))&amp;"")=0,"",INDEX(Suppliers!$G$9:$G$508,MATCH(D82,Suppliers!$D$9:$D$508,0))),""))</f>
        <v/>
      </c>
      <c r="Y82" s="18" t="str">
        <f>IF(A82="","",IFERROR(INDEX(Jobs!$C$9:$C$258,MATCH(B82,Jobs!$A$9:$A$258,0)),""))</f>
        <v/>
      </c>
      <c r="Z82" s="18" t="str">
        <f>IF(A82="","",IFERROR(INDEX(Jobs!$B$9:$B$258,MATCH(B82,Jobs!$A$9:$A$258,0)),""))</f>
        <v/>
      </c>
      <c r="AA82" s="19" t="str">
        <f>IF(A82="","",IFERROR(VLOOKUP(I82,Lists!$E$9:$F$14,2,FALSE),0))</f>
        <v/>
      </c>
      <c r="AB82" s="19" t="str">
        <f t="shared" si="12"/>
        <v/>
      </c>
      <c r="AC82" s="19" t="str">
        <f t="shared" si="13"/>
        <v/>
      </c>
      <c r="AD82" s="19" t="str">
        <f t="shared" si="14"/>
        <v/>
      </c>
      <c r="AE82" s="19" t="str">
        <f t="shared" si="15"/>
        <v/>
      </c>
      <c r="AF82" s="19" t="str">
        <f t="shared" si="16"/>
        <v/>
      </c>
      <c r="AG82" s="27" t="str">
        <f t="shared" si="17"/>
        <v/>
      </c>
      <c r="AH82" s="19" t="str">
        <f t="shared" si="18"/>
        <v/>
      </c>
      <c r="AI82" s="19" t="str">
        <f t="shared" si="19"/>
        <v/>
      </c>
      <c r="AJ82" s="19" t="str">
        <f t="shared" si="20"/>
        <v/>
      </c>
      <c r="AK82" s="18" t="str">
        <f>IF(AND(A82&lt;&gt;"",F82="Selected"),COUNTIF($F$9:F82,"Selected"),"")</f>
        <v/>
      </c>
      <c r="AL82" s="18" t="str">
        <f>IF(A82="","",COUNTIF($B$9:B82,B82))</f>
        <v/>
      </c>
      <c r="AM82" s="18" t="str">
        <f>IF(A82="","",IF(COUNTIF(Jobs!$A$9:$A$258,B82)&lt;&gt;1,"Check JobID",IF(COUNTIF(Suppliers!$D$9:$D$508,D82)&lt;&gt;1,"Check contact",IF(AA82&lt;=0,"Currency / FX missing",IF(NOT(ISNUMBER(G82)),"Original price missing",IF(G82&lt;0,"Invalid original price",IF(AND(H82&lt;&gt;"",NOT(ISNUMBER(H82))),"Invalid final price",IF(AND(ISNUMBER(H82),H82&lt;0),"Invalid final price",IF(AND(F82="Selected",COUNTIFS($B$9:$B$258,B82,$E$9:$E$258,E82,$F$9:$F$258,"Selected")&gt;1),"Selected scope overlap",IF(AND(ISNUMBER(H82),H82&gt;G82),"Price increased",IF(LEN(H82&amp;"")=0,"Final price pending","OK")))))))))))</f>
        <v/>
      </c>
      <c r="AN82" s="19" t="str">
        <f t="shared" si="21"/>
        <v/>
      </c>
      <c r="AO82" s="18" t="str">
        <f>IF(A82="","",IFERROR(IF(INDEX(Suppliers!$A$9:$A$508,MATCH(D82,Suppliers!$D$9:$D$508,0))=C82,"OK","Contact / supplier mismatch"),"Contact missing"))</f>
        <v/>
      </c>
      <c r="AP82" s="18" t="str">
        <f>IF(OR(A82="",IFERROR(INDEX(Jobs!$P$9:$P$258,MATCH(B82,Jobs!$A$9:$A$258,0)),"")=""),"",HYPERLINK("#'"&amp;IFERROR(INDEX(Jobs!$P$9:$P$258,MATCH(B82,Jobs!$A$9:$A$258,0)),"")&amp;"'!A1","OPEN JOB"))</f>
        <v/>
      </c>
      <c r="AQ82" s="18"/>
      <c r="AR82" s="18"/>
      <c r="AS82" t="str">
        <f t="shared" si="22"/>
        <v/>
      </c>
      <c r="AT82" t="str">
        <f t="shared" si="23"/>
        <v/>
      </c>
    </row>
    <row r="83" spans="1:46" ht="40" customHeight="1" x14ac:dyDescent="0.35">
      <c r="A83" s="14"/>
      <c r="B83" s="37"/>
      <c r="C83" s="14"/>
      <c r="D83" s="15"/>
      <c r="E83" s="15"/>
      <c r="F83" s="15"/>
      <c r="G83" s="24"/>
      <c r="H83" s="24"/>
      <c r="I83" s="15"/>
      <c r="J83" s="17"/>
      <c r="K83" s="17"/>
      <c r="L83" s="17"/>
      <c r="M83" s="15"/>
      <c r="N83" s="15"/>
      <c r="O83" s="15"/>
      <c r="P83" s="15"/>
      <c r="Q83" s="15"/>
      <c r="R83" s="15"/>
      <c r="S83" s="14"/>
      <c r="T83" s="14"/>
      <c r="U83" s="14" t="str">
        <f>IF(A83="","",IFERROR(IF(LEN(INDEX(Suppliers!$B$9:$B$508,MATCH(C83,Suppliers!$A$9:$A$508,0))&amp;"")=0,"",INDEX(Suppliers!$B$9:$B$508,MATCH(C83,Suppliers!$A$9:$A$508,0))),""))</f>
        <v/>
      </c>
      <c r="V83" s="14" t="str">
        <f>IF(A83="","",IFERROR(IF(LEN(INDEX(Suppliers!$E$9:$E$508,MATCH(D83,Suppliers!$D$9:$D$508,0))&amp;"")=0,"",INDEX(Suppliers!$E$9:$E$508,MATCH(D83,Suppliers!$D$9:$D$508,0))),""))</f>
        <v/>
      </c>
      <c r="W83" s="14" t="str">
        <f>IF(A83="","",IFERROR(IF(LEN(INDEX(Suppliers!$F$9:$F$508,MATCH(D83,Suppliers!$D$9:$D$508,0))&amp;"")=0,"",INDEX(Suppliers!$F$9:$F$508,MATCH(D83,Suppliers!$D$9:$D$508,0))),""))</f>
        <v/>
      </c>
      <c r="X83" s="14" t="str">
        <f>IF(A83="","",IFERROR(IF(LEN(INDEX(Suppliers!$G$9:$G$508,MATCH(D83,Suppliers!$D$9:$D$508,0))&amp;"")=0,"",INDEX(Suppliers!$G$9:$G$508,MATCH(D83,Suppliers!$D$9:$D$508,0))),""))</f>
        <v/>
      </c>
      <c r="Y83" s="14" t="str">
        <f>IF(A83="","",IFERROR(INDEX(Jobs!$C$9:$C$258,MATCH(B83,Jobs!$A$9:$A$258,0)),""))</f>
        <v/>
      </c>
      <c r="Z83" s="14" t="str">
        <f>IF(A83="","",IFERROR(INDEX(Jobs!$B$9:$B$258,MATCH(B83,Jobs!$A$9:$A$258,0)),""))</f>
        <v/>
      </c>
      <c r="AA83" s="16" t="str">
        <f>IF(A83="","",IFERROR(VLOOKUP(I83,Lists!$E$9:$F$14,2,FALSE),0))</f>
        <v/>
      </c>
      <c r="AB83" s="16" t="str">
        <f t="shared" si="12"/>
        <v/>
      </c>
      <c r="AC83" s="16" t="str">
        <f t="shared" si="13"/>
        <v/>
      </c>
      <c r="AD83" s="16" t="str">
        <f t="shared" si="14"/>
        <v/>
      </c>
      <c r="AE83" s="16" t="str">
        <f t="shared" si="15"/>
        <v/>
      </c>
      <c r="AF83" s="16" t="str">
        <f t="shared" si="16"/>
        <v/>
      </c>
      <c r="AG83" s="26" t="str">
        <f t="shared" si="17"/>
        <v/>
      </c>
      <c r="AH83" s="16" t="str">
        <f t="shared" si="18"/>
        <v/>
      </c>
      <c r="AI83" s="16" t="str">
        <f t="shared" si="19"/>
        <v/>
      </c>
      <c r="AJ83" s="16" t="str">
        <f t="shared" si="20"/>
        <v/>
      </c>
      <c r="AK83" s="14" t="str">
        <f>IF(AND(A83&lt;&gt;"",F83="Selected"),COUNTIF($F$9:F83,"Selected"),"")</f>
        <v/>
      </c>
      <c r="AL83" s="14" t="str">
        <f>IF(A83="","",COUNTIF($B$9:B83,B83))</f>
        <v/>
      </c>
      <c r="AM83" s="14" t="str">
        <f>IF(A83="","",IF(COUNTIF(Jobs!$A$9:$A$258,B83)&lt;&gt;1,"Check JobID",IF(COUNTIF(Suppliers!$D$9:$D$508,D83)&lt;&gt;1,"Check contact",IF(AA83&lt;=0,"Currency / FX missing",IF(NOT(ISNUMBER(G83)),"Original price missing",IF(G83&lt;0,"Invalid original price",IF(AND(H83&lt;&gt;"",NOT(ISNUMBER(H83))),"Invalid final price",IF(AND(ISNUMBER(H83),H83&lt;0),"Invalid final price",IF(AND(F83="Selected",COUNTIFS($B$9:$B$258,B83,$E$9:$E$258,E83,$F$9:$F$258,"Selected")&gt;1),"Selected scope overlap",IF(AND(ISNUMBER(H83),H83&gt;G83),"Price increased",IF(LEN(H83&amp;"")=0,"Final price pending","OK")))))))))))</f>
        <v/>
      </c>
      <c r="AN83" s="16" t="str">
        <f t="shared" si="21"/>
        <v/>
      </c>
      <c r="AO83" s="14" t="str">
        <f>IF(A83="","",IFERROR(IF(INDEX(Suppliers!$A$9:$A$508,MATCH(D83,Suppliers!$D$9:$D$508,0))=C83,"OK","Contact / supplier mismatch"),"Contact missing"))</f>
        <v/>
      </c>
      <c r="AP83" s="14" t="str">
        <f>IF(OR(A83="",IFERROR(INDEX(Jobs!$P$9:$P$258,MATCH(B83,Jobs!$A$9:$A$258,0)),"")=""),"",HYPERLINK("#'"&amp;IFERROR(INDEX(Jobs!$P$9:$P$258,MATCH(B83,Jobs!$A$9:$A$258,0)),"")&amp;"'!A1","OPEN JOB"))</f>
        <v/>
      </c>
      <c r="AQ83" s="14"/>
      <c r="AR83" s="14"/>
      <c r="AS83" t="str">
        <f t="shared" si="22"/>
        <v/>
      </c>
      <c r="AT83" t="str">
        <f t="shared" si="23"/>
        <v/>
      </c>
    </row>
    <row r="84" spans="1:46" ht="40" customHeight="1" x14ac:dyDescent="0.35">
      <c r="A84" s="18"/>
      <c r="B84" s="37"/>
      <c r="C84" s="18"/>
      <c r="D84" s="15"/>
      <c r="E84" s="15"/>
      <c r="F84" s="15"/>
      <c r="G84" s="24"/>
      <c r="H84" s="24"/>
      <c r="I84" s="15"/>
      <c r="J84" s="17"/>
      <c r="K84" s="17"/>
      <c r="L84" s="17"/>
      <c r="M84" s="15"/>
      <c r="N84" s="15"/>
      <c r="O84" s="15"/>
      <c r="P84" s="15"/>
      <c r="Q84" s="15"/>
      <c r="R84" s="15"/>
      <c r="S84" s="18"/>
      <c r="T84" s="18"/>
      <c r="U84" s="18" t="str">
        <f>IF(A84="","",IFERROR(IF(LEN(INDEX(Suppliers!$B$9:$B$508,MATCH(C84,Suppliers!$A$9:$A$508,0))&amp;"")=0,"",INDEX(Suppliers!$B$9:$B$508,MATCH(C84,Suppliers!$A$9:$A$508,0))),""))</f>
        <v/>
      </c>
      <c r="V84" s="18" t="str">
        <f>IF(A84="","",IFERROR(IF(LEN(INDEX(Suppliers!$E$9:$E$508,MATCH(D84,Suppliers!$D$9:$D$508,0))&amp;"")=0,"",INDEX(Suppliers!$E$9:$E$508,MATCH(D84,Suppliers!$D$9:$D$508,0))),""))</f>
        <v/>
      </c>
      <c r="W84" s="18" t="str">
        <f>IF(A84="","",IFERROR(IF(LEN(INDEX(Suppliers!$F$9:$F$508,MATCH(D84,Suppliers!$D$9:$D$508,0))&amp;"")=0,"",INDEX(Suppliers!$F$9:$F$508,MATCH(D84,Suppliers!$D$9:$D$508,0))),""))</f>
        <v/>
      </c>
      <c r="X84" s="18" t="str">
        <f>IF(A84="","",IFERROR(IF(LEN(INDEX(Suppliers!$G$9:$G$508,MATCH(D84,Suppliers!$D$9:$D$508,0))&amp;"")=0,"",INDEX(Suppliers!$G$9:$G$508,MATCH(D84,Suppliers!$D$9:$D$508,0))),""))</f>
        <v/>
      </c>
      <c r="Y84" s="18" t="str">
        <f>IF(A84="","",IFERROR(INDEX(Jobs!$C$9:$C$258,MATCH(B84,Jobs!$A$9:$A$258,0)),""))</f>
        <v/>
      </c>
      <c r="Z84" s="18" t="str">
        <f>IF(A84="","",IFERROR(INDEX(Jobs!$B$9:$B$258,MATCH(B84,Jobs!$A$9:$A$258,0)),""))</f>
        <v/>
      </c>
      <c r="AA84" s="19" t="str">
        <f>IF(A84="","",IFERROR(VLOOKUP(I84,Lists!$E$9:$F$14,2,FALSE),0))</f>
        <v/>
      </c>
      <c r="AB84" s="19" t="str">
        <f t="shared" si="12"/>
        <v/>
      </c>
      <c r="AC84" s="19" t="str">
        <f t="shared" si="13"/>
        <v/>
      </c>
      <c r="AD84" s="19" t="str">
        <f t="shared" si="14"/>
        <v/>
      </c>
      <c r="AE84" s="19" t="str">
        <f t="shared" si="15"/>
        <v/>
      </c>
      <c r="AF84" s="19" t="str">
        <f t="shared" si="16"/>
        <v/>
      </c>
      <c r="AG84" s="27" t="str">
        <f t="shared" si="17"/>
        <v/>
      </c>
      <c r="AH84" s="19" t="str">
        <f t="shared" si="18"/>
        <v/>
      </c>
      <c r="AI84" s="19" t="str">
        <f t="shared" si="19"/>
        <v/>
      </c>
      <c r="AJ84" s="19" t="str">
        <f t="shared" si="20"/>
        <v/>
      </c>
      <c r="AK84" s="18" t="str">
        <f>IF(AND(A84&lt;&gt;"",F84="Selected"),COUNTIF($F$9:F84,"Selected"),"")</f>
        <v/>
      </c>
      <c r="AL84" s="18" t="str">
        <f>IF(A84="","",COUNTIF($B$9:B84,B84))</f>
        <v/>
      </c>
      <c r="AM84" s="18" t="str">
        <f>IF(A84="","",IF(COUNTIF(Jobs!$A$9:$A$258,B84)&lt;&gt;1,"Check JobID",IF(COUNTIF(Suppliers!$D$9:$D$508,D84)&lt;&gt;1,"Check contact",IF(AA84&lt;=0,"Currency / FX missing",IF(NOT(ISNUMBER(G84)),"Original price missing",IF(G84&lt;0,"Invalid original price",IF(AND(H84&lt;&gt;"",NOT(ISNUMBER(H84))),"Invalid final price",IF(AND(ISNUMBER(H84),H84&lt;0),"Invalid final price",IF(AND(F84="Selected",COUNTIFS($B$9:$B$258,B84,$E$9:$E$258,E84,$F$9:$F$258,"Selected")&gt;1),"Selected scope overlap",IF(AND(ISNUMBER(H84),H84&gt;G84),"Price increased",IF(LEN(H84&amp;"")=0,"Final price pending","OK")))))))))))</f>
        <v/>
      </c>
      <c r="AN84" s="19" t="str">
        <f t="shared" si="21"/>
        <v/>
      </c>
      <c r="AO84" s="18" t="str">
        <f>IF(A84="","",IFERROR(IF(INDEX(Suppliers!$A$9:$A$508,MATCH(D84,Suppliers!$D$9:$D$508,0))=C84,"OK","Contact / supplier mismatch"),"Contact missing"))</f>
        <v/>
      </c>
      <c r="AP84" s="18" t="str">
        <f>IF(OR(A84="",IFERROR(INDEX(Jobs!$P$9:$P$258,MATCH(B84,Jobs!$A$9:$A$258,0)),"")=""),"",HYPERLINK("#'"&amp;IFERROR(INDEX(Jobs!$P$9:$P$258,MATCH(B84,Jobs!$A$9:$A$258,0)),"")&amp;"'!A1","OPEN JOB"))</f>
        <v/>
      </c>
      <c r="AQ84" s="18"/>
      <c r="AR84" s="18"/>
      <c r="AS84" t="str">
        <f t="shared" si="22"/>
        <v/>
      </c>
      <c r="AT84" t="str">
        <f t="shared" si="23"/>
        <v/>
      </c>
    </row>
    <row r="85" spans="1:46" ht="40" customHeight="1" x14ac:dyDescent="0.35">
      <c r="A85" s="14"/>
      <c r="B85" s="37"/>
      <c r="C85" s="14"/>
      <c r="D85" s="15"/>
      <c r="E85" s="15"/>
      <c r="F85" s="15"/>
      <c r="G85" s="24"/>
      <c r="H85" s="24"/>
      <c r="I85" s="15"/>
      <c r="J85" s="17"/>
      <c r="K85" s="17"/>
      <c r="L85" s="17"/>
      <c r="M85" s="15"/>
      <c r="N85" s="15"/>
      <c r="O85" s="15"/>
      <c r="P85" s="15"/>
      <c r="Q85" s="15"/>
      <c r="R85" s="15"/>
      <c r="S85" s="14"/>
      <c r="T85" s="14"/>
      <c r="U85" s="14" t="str">
        <f>IF(A85="","",IFERROR(IF(LEN(INDEX(Suppliers!$B$9:$B$508,MATCH(C85,Suppliers!$A$9:$A$508,0))&amp;"")=0,"",INDEX(Suppliers!$B$9:$B$508,MATCH(C85,Suppliers!$A$9:$A$508,0))),""))</f>
        <v/>
      </c>
      <c r="V85" s="14" t="str">
        <f>IF(A85="","",IFERROR(IF(LEN(INDEX(Suppliers!$E$9:$E$508,MATCH(D85,Suppliers!$D$9:$D$508,0))&amp;"")=0,"",INDEX(Suppliers!$E$9:$E$508,MATCH(D85,Suppliers!$D$9:$D$508,0))),""))</f>
        <v/>
      </c>
      <c r="W85" s="14" t="str">
        <f>IF(A85="","",IFERROR(IF(LEN(INDEX(Suppliers!$F$9:$F$508,MATCH(D85,Suppliers!$D$9:$D$508,0))&amp;"")=0,"",INDEX(Suppliers!$F$9:$F$508,MATCH(D85,Suppliers!$D$9:$D$508,0))),""))</f>
        <v/>
      </c>
      <c r="X85" s="14" t="str">
        <f>IF(A85="","",IFERROR(IF(LEN(INDEX(Suppliers!$G$9:$G$508,MATCH(D85,Suppliers!$D$9:$D$508,0))&amp;"")=0,"",INDEX(Suppliers!$G$9:$G$508,MATCH(D85,Suppliers!$D$9:$D$508,0))),""))</f>
        <v/>
      </c>
      <c r="Y85" s="14" t="str">
        <f>IF(A85="","",IFERROR(INDEX(Jobs!$C$9:$C$258,MATCH(B85,Jobs!$A$9:$A$258,0)),""))</f>
        <v/>
      </c>
      <c r="Z85" s="14" t="str">
        <f>IF(A85="","",IFERROR(INDEX(Jobs!$B$9:$B$258,MATCH(B85,Jobs!$A$9:$A$258,0)),""))</f>
        <v/>
      </c>
      <c r="AA85" s="16" t="str">
        <f>IF(A85="","",IFERROR(VLOOKUP(I85,Lists!$E$9:$F$14,2,FALSE),0))</f>
        <v/>
      </c>
      <c r="AB85" s="16" t="str">
        <f t="shared" si="12"/>
        <v/>
      </c>
      <c r="AC85" s="16" t="str">
        <f t="shared" si="13"/>
        <v/>
      </c>
      <c r="AD85" s="16" t="str">
        <f t="shared" si="14"/>
        <v/>
      </c>
      <c r="AE85" s="16" t="str">
        <f t="shared" si="15"/>
        <v/>
      </c>
      <c r="AF85" s="16" t="str">
        <f t="shared" si="16"/>
        <v/>
      </c>
      <c r="AG85" s="26" t="str">
        <f t="shared" si="17"/>
        <v/>
      </c>
      <c r="AH85" s="16" t="str">
        <f t="shared" si="18"/>
        <v/>
      </c>
      <c r="AI85" s="16" t="str">
        <f t="shared" si="19"/>
        <v/>
      </c>
      <c r="AJ85" s="16" t="str">
        <f t="shared" si="20"/>
        <v/>
      </c>
      <c r="AK85" s="14" t="str">
        <f>IF(AND(A85&lt;&gt;"",F85="Selected"),COUNTIF($F$9:F85,"Selected"),"")</f>
        <v/>
      </c>
      <c r="AL85" s="14" t="str">
        <f>IF(A85="","",COUNTIF($B$9:B85,B85))</f>
        <v/>
      </c>
      <c r="AM85" s="14" t="str">
        <f>IF(A85="","",IF(COUNTIF(Jobs!$A$9:$A$258,B85)&lt;&gt;1,"Check JobID",IF(COUNTIF(Suppliers!$D$9:$D$508,D85)&lt;&gt;1,"Check contact",IF(AA85&lt;=0,"Currency / FX missing",IF(NOT(ISNUMBER(G85)),"Original price missing",IF(G85&lt;0,"Invalid original price",IF(AND(H85&lt;&gt;"",NOT(ISNUMBER(H85))),"Invalid final price",IF(AND(ISNUMBER(H85),H85&lt;0),"Invalid final price",IF(AND(F85="Selected",COUNTIFS($B$9:$B$258,B85,$E$9:$E$258,E85,$F$9:$F$258,"Selected")&gt;1),"Selected scope overlap",IF(AND(ISNUMBER(H85),H85&gt;G85),"Price increased",IF(LEN(H85&amp;"")=0,"Final price pending","OK")))))))))))</f>
        <v/>
      </c>
      <c r="AN85" s="16" t="str">
        <f t="shared" si="21"/>
        <v/>
      </c>
      <c r="AO85" s="14" t="str">
        <f>IF(A85="","",IFERROR(IF(INDEX(Suppliers!$A$9:$A$508,MATCH(D85,Suppliers!$D$9:$D$508,0))=C85,"OK","Contact / supplier mismatch"),"Contact missing"))</f>
        <v/>
      </c>
      <c r="AP85" s="14" t="str">
        <f>IF(OR(A85="",IFERROR(INDEX(Jobs!$P$9:$P$258,MATCH(B85,Jobs!$A$9:$A$258,0)),"")=""),"",HYPERLINK("#'"&amp;IFERROR(INDEX(Jobs!$P$9:$P$258,MATCH(B85,Jobs!$A$9:$A$258,0)),"")&amp;"'!A1","OPEN JOB"))</f>
        <v/>
      </c>
      <c r="AQ85" s="14"/>
      <c r="AR85" s="14"/>
      <c r="AS85" t="str">
        <f t="shared" si="22"/>
        <v/>
      </c>
      <c r="AT85" t="str">
        <f t="shared" si="23"/>
        <v/>
      </c>
    </row>
    <row r="86" spans="1:46" ht="40" customHeight="1" x14ac:dyDescent="0.35">
      <c r="A86" s="18"/>
      <c r="B86" s="37"/>
      <c r="C86" s="18"/>
      <c r="D86" s="15"/>
      <c r="E86" s="15"/>
      <c r="F86" s="15"/>
      <c r="G86" s="24"/>
      <c r="H86" s="24"/>
      <c r="I86" s="15"/>
      <c r="J86" s="17"/>
      <c r="K86" s="17"/>
      <c r="L86" s="17"/>
      <c r="M86" s="15"/>
      <c r="N86" s="15"/>
      <c r="O86" s="15"/>
      <c r="P86" s="15"/>
      <c r="Q86" s="15"/>
      <c r="R86" s="15"/>
      <c r="S86" s="18"/>
      <c r="T86" s="18"/>
      <c r="U86" s="18" t="str">
        <f>IF(A86="","",IFERROR(IF(LEN(INDEX(Suppliers!$B$9:$B$508,MATCH(C86,Suppliers!$A$9:$A$508,0))&amp;"")=0,"",INDEX(Suppliers!$B$9:$B$508,MATCH(C86,Suppliers!$A$9:$A$508,0))),""))</f>
        <v/>
      </c>
      <c r="V86" s="18" t="str">
        <f>IF(A86="","",IFERROR(IF(LEN(INDEX(Suppliers!$E$9:$E$508,MATCH(D86,Suppliers!$D$9:$D$508,0))&amp;"")=0,"",INDEX(Suppliers!$E$9:$E$508,MATCH(D86,Suppliers!$D$9:$D$508,0))),""))</f>
        <v/>
      </c>
      <c r="W86" s="18" t="str">
        <f>IF(A86="","",IFERROR(IF(LEN(INDEX(Suppliers!$F$9:$F$508,MATCH(D86,Suppliers!$D$9:$D$508,0))&amp;"")=0,"",INDEX(Suppliers!$F$9:$F$508,MATCH(D86,Suppliers!$D$9:$D$508,0))),""))</f>
        <v/>
      </c>
      <c r="X86" s="18" t="str">
        <f>IF(A86="","",IFERROR(IF(LEN(INDEX(Suppliers!$G$9:$G$508,MATCH(D86,Suppliers!$D$9:$D$508,0))&amp;"")=0,"",INDEX(Suppliers!$G$9:$G$508,MATCH(D86,Suppliers!$D$9:$D$508,0))),""))</f>
        <v/>
      </c>
      <c r="Y86" s="18" t="str">
        <f>IF(A86="","",IFERROR(INDEX(Jobs!$C$9:$C$258,MATCH(B86,Jobs!$A$9:$A$258,0)),""))</f>
        <v/>
      </c>
      <c r="Z86" s="18" t="str">
        <f>IF(A86="","",IFERROR(INDEX(Jobs!$B$9:$B$258,MATCH(B86,Jobs!$A$9:$A$258,0)),""))</f>
        <v/>
      </c>
      <c r="AA86" s="19" t="str">
        <f>IF(A86="","",IFERROR(VLOOKUP(I86,Lists!$E$9:$F$14,2,FALSE),0))</f>
        <v/>
      </c>
      <c r="AB86" s="19" t="str">
        <f t="shared" si="12"/>
        <v/>
      </c>
      <c r="AC86" s="19" t="str">
        <f t="shared" si="13"/>
        <v/>
      </c>
      <c r="AD86" s="19" t="str">
        <f t="shared" si="14"/>
        <v/>
      </c>
      <c r="AE86" s="19" t="str">
        <f t="shared" si="15"/>
        <v/>
      </c>
      <c r="AF86" s="19" t="str">
        <f t="shared" si="16"/>
        <v/>
      </c>
      <c r="AG86" s="27" t="str">
        <f t="shared" si="17"/>
        <v/>
      </c>
      <c r="AH86" s="19" t="str">
        <f t="shared" si="18"/>
        <v/>
      </c>
      <c r="AI86" s="19" t="str">
        <f t="shared" si="19"/>
        <v/>
      </c>
      <c r="AJ86" s="19" t="str">
        <f t="shared" si="20"/>
        <v/>
      </c>
      <c r="AK86" s="18" t="str">
        <f>IF(AND(A86&lt;&gt;"",F86="Selected"),COUNTIF($F$9:F86,"Selected"),"")</f>
        <v/>
      </c>
      <c r="AL86" s="18" t="str">
        <f>IF(A86="","",COUNTIF($B$9:B86,B86))</f>
        <v/>
      </c>
      <c r="AM86" s="18" t="str">
        <f>IF(A86="","",IF(COUNTIF(Jobs!$A$9:$A$258,B86)&lt;&gt;1,"Check JobID",IF(COUNTIF(Suppliers!$D$9:$D$508,D86)&lt;&gt;1,"Check contact",IF(AA86&lt;=0,"Currency / FX missing",IF(NOT(ISNUMBER(G86)),"Original price missing",IF(G86&lt;0,"Invalid original price",IF(AND(H86&lt;&gt;"",NOT(ISNUMBER(H86))),"Invalid final price",IF(AND(ISNUMBER(H86),H86&lt;0),"Invalid final price",IF(AND(F86="Selected",COUNTIFS($B$9:$B$258,B86,$E$9:$E$258,E86,$F$9:$F$258,"Selected")&gt;1),"Selected scope overlap",IF(AND(ISNUMBER(H86),H86&gt;G86),"Price increased",IF(LEN(H86&amp;"")=0,"Final price pending","OK")))))))))))</f>
        <v/>
      </c>
      <c r="AN86" s="19" t="str">
        <f t="shared" si="21"/>
        <v/>
      </c>
      <c r="AO86" s="18" t="str">
        <f>IF(A86="","",IFERROR(IF(INDEX(Suppliers!$A$9:$A$508,MATCH(D86,Suppliers!$D$9:$D$508,0))=C86,"OK","Contact / supplier mismatch"),"Contact missing"))</f>
        <v/>
      </c>
      <c r="AP86" s="18" t="str">
        <f>IF(OR(A86="",IFERROR(INDEX(Jobs!$P$9:$P$258,MATCH(B86,Jobs!$A$9:$A$258,0)),"")=""),"",HYPERLINK("#'"&amp;IFERROR(INDEX(Jobs!$P$9:$P$258,MATCH(B86,Jobs!$A$9:$A$258,0)),"")&amp;"'!A1","OPEN JOB"))</f>
        <v/>
      </c>
      <c r="AQ86" s="18"/>
      <c r="AR86" s="18"/>
      <c r="AS86" t="str">
        <f t="shared" si="22"/>
        <v/>
      </c>
      <c r="AT86" t="str">
        <f t="shared" si="23"/>
        <v/>
      </c>
    </row>
    <row r="87" spans="1:46" ht="40" customHeight="1" x14ac:dyDescent="0.35">
      <c r="A87" s="14"/>
      <c r="B87" s="37"/>
      <c r="C87" s="14"/>
      <c r="D87" s="15"/>
      <c r="E87" s="15"/>
      <c r="F87" s="15"/>
      <c r="G87" s="24"/>
      <c r="H87" s="24"/>
      <c r="I87" s="15"/>
      <c r="J87" s="17"/>
      <c r="K87" s="17"/>
      <c r="L87" s="17"/>
      <c r="M87" s="15"/>
      <c r="N87" s="15"/>
      <c r="O87" s="15"/>
      <c r="P87" s="15"/>
      <c r="Q87" s="15"/>
      <c r="R87" s="15"/>
      <c r="S87" s="14"/>
      <c r="T87" s="14"/>
      <c r="U87" s="14" t="str">
        <f>IF(A87="","",IFERROR(IF(LEN(INDEX(Suppliers!$B$9:$B$508,MATCH(C87,Suppliers!$A$9:$A$508,0))&amp;"")=0,"",INDEX(Suppliers!$B$9:$B$508,MATCH(C87,Suppliers!$A$9:$A$508,0))),""))</f>
        <v/>
      </c>
      <c r="V87" s="14" t="str">
        <f>IF(A87="","",IFERROR(IF(LEN(INDEX(Suppliers!$E$9:$E$508,MATCH(D87,Suppliers!$D$9:$D$508,0))&amp;"")=0,"",INDEX(Suppliers!$E$9:$E$508,MATCH(D87,Suppliers!$D$9:$D$508,0))),""))</f>
        <v/>
      </c>
      <c r="W87" s="14" t="str">
        <f>IF(A87="","",IFERROR(IF(LEN(INDEX(Suppliers!$F$9:$F$508,MATCH(D87,Suppliers!$D$9:$D$508,0))&amp;"")=0,"",INDEX(Suppliers!$F$9:$F$508,MATCH(D87,Suppliers!$D$9:$D$508,0))),""))</f>
        <v/>
      </c>
      <c r="X87" s="14" t="str">
        <f>IF(A87="","",IFERROR(IF(LEN(INDEX(Suppliers!$G$9:$G$508,MATCH(D87,Suppliers!$D$9:$D$508,0))&amp;"")=0,"",INDEX(Suppliers!$G$9:$G$508,MATCH(D87,Suppliers!$D$9:$D$508,0))),""))</f>
        <v/>
      </c>
      <c r="Y87" s="14" t="str">
        <f>IF(A87="","",IFERROR(INDEX(Jobs!$C$9:$C$258,MATCH(B87,Jobs!$A$9:$A$258,0)),""))</f>
        <v/>
      </c>
      <c r="Z87" s="14" t="str">
        <f>IF(A87="","",IFERROR(INDEX(Jobs!$B$9:$B$258,MATCH(B87,Jobs!$A$9:$A$258,0)),""))</f>
        <v/>
      </c>
      <c r="AA87" s="16" t="str">
        <f>IF(A87="","",IFERROR(VLOOKUP(I87,Lists!$E$9:$F$14,2,FALSE),0))</f>
        <v/>
      </c>
      <c r="AB87" s="16" t="str">
        <f t="shared" si="12"/>
        <v/>
      </c>
      <c r="AC87" s="16" t="str">
        <f t="shared" si="13"/>
        <v/>
      </c>
      <c r="AD87" s="16" t="str">
        <f t="shared" si="14"/>
        <v/>
      </c>
      <c r="AE87" s="16" t="str">
        <f t="shared" si="15"/>
        <v/>
      </c>
      <c r="AF87" s="16" t="str">
        <f t="shared" si="16"/>
        <v/>
      </c>
      <c r="AG87" s="26" t="str">
        <f t="shared" si="17"/>
        <v/>
      </c>
      <c r="AH87" s="16" t="str">
        <f t="shared" si="18"/>
        <v/>
      </c>
      <c r="AI87" s="16" t="str">
        <f t="shared" si="19"/>
        <v/>
      </c>
      <c r="AJ87" s="16" t="str">
        <f t="shared" si="20"/>
        <v/>
      </c>
      <c r="AK87" s="14" t="str">
        <f>IF(AND(A87&lt;&gt;"",F87="Selected"),COUNTIF($F$9:F87,"Selected"),"")</f>
        <v/>
      </c>
      <c r="AL87" s="14" t="str">
        <f>IF(A87="","",COUNTIF($B$9:B87,B87))</f>
        <v/>
      </c>
      <c r="AM87" s="14" t="str">
        <f>IF(A87="","",IF(COUNTIF(Jobs!$A$9:$A$258,B87)&lt;&gt;1,"Check JobID",IF(COUNTIF(Suppliers!$D$9:$D$508,D87)&lt;&gt;1,"Check contact",IF(AA87&lt;=0,"Currency / FX missing",IF(NOT(ISNUMBER(G87)),"Original price missing",IF(G87&lt;0,"Invalid original price",IF(AND(H87&lt;&gt;"",NOT(ISNUMBER(H87))),"Invalid final price",IF(AND(ISNUMBER(H87),H87&lt;0),"Invalid final price",IF(AND(F87="Selected",COUNTIFS($B$9:$B$258,B87,$E$9:$E$258,E87,$F$9:$F$258,"Selected")&gt;1),"Selected scope overlap",IF(AND(ISNUMBER(H87),H87&gt;G87),"Price increased",IF(LEN(H87&amp;"")=0,"Final price pending","OK")))))))))))</f>
        <v/>
      </c>
      <c r="AN87" s="16" t="str">
        <f t="shared" si="21"/>
        <v/>
      </c>
      <c r="AO87" s="14" t="str">
        <f>IF(A87="","",IFERROR(IF(INDEX(Suppliers!$A$9:$A$508,MATCH(D87,Suppliers!$D$9:$D$508,0))=C87,"OK","Contact / supplier mismatch"),"Contact missing"))</f>
        <v/>
      </c>
      <c r="AP87" s="14" t="str">
        <f>IF(OR(A87="",IFERROR(INDEX(Jobs!$P$9:$P$258,MATCH(B87,Jobs!$A$9:$A$258,0)),"")=""),"",HYPERLINK("#'"&amp;IFERROR(INDEX(Jobs!$P$9:$P$258,MATCH(B87,Jobs!$A$9:$A$258,0)),"")&amp;"'!A1","OPEN JOB"))</f>
        <v/>
      </c>
      <c r="AQ87" s="14"/>
      <c r="AR87" s="14"/>
      <c r="AS87" t="str">
        <f t="shared" si="22"/>
        <v/>
      </c>
      <c r="AT87" t="str">
        <f t="shared" si="23"/>
        <v/>
      </c>
    </row>
    <row r="88" spans="1:46" ht="40" customHeight="1" x14ac:dyDescent="0.35">
      <c r="A88" s="18"/>
      <c r="B88" s="37"/>
      <c r="C88" s="18"/>
      <c r="D88" s="15"/>
      <c r="E88" s="15"/>
      <c r="F88" s="15"/>
      <c r="G88" s="24"/>
      <c r="H88" s="24"/>
      <c r="I88" s="15"/>
      <c r="J88" s="17"/>
      <c r="K88" s="17"/>
      <c r="L88" s="17"/>
      <c r="M88" s="15"/>
      <c r="N88" s="15"/>
      <c r="O88" s="15"/>
      <c r="P88" s="15"/>
      <c r="Q88" s="15"/>
      <c r="R88" s="15"/>
      <c r="S88" s="18"/>
      <c r="T88" s="18"/>
      <c r="U88" s="18" t="str">
        <f>IF(A88="","",IFERROR(IF(LEN(INDEX(Suppliers!$B$9:$B$508,MATCH(C88,Suppliers!$A$9:$A$508,0))&amp;"")=0,"",INDEX(Suppliers!$B$9:$B$508,MATCH(C88,Suppliers!$A$9:$A$508,0))),""))</f>
        <v/>
      </c>
      <c r="V88" s="18" t="str">
        <f>IF(A88="","",IFERROR(IF(LEN(INDEX(Suppliers!$E$9:$E$508,MATCH(D88,Suppliers!$D$9:$D$508,0))&amp;"")=0,"",INDEX(Suppliers!$E$9:$E$508,MATCH(D88,Suppliers!$D$9:$D$508,0))),""))</f>
        <v/>
      </c>
      <c r="W88" s="18" t="str">
        <f>IF(A88="","",IFERROR(IF(LEN(INDEX(Suppliers!$F$9:$F$508,MATCH(D88,Suppliers!$D$9:$D$508,0))&amp;"")=0,"",INDEX(Suppliers!$F$9:$F$508,MATCH(D88,Suppliers!$D$9:$D$508,0))),""))</f>
        <v/>
      </c>
      <c r="X88" s="18" t="str">
        <f>IF(A88="","",IFERROR(IF(LEN(INDEX(Suppliers!$G$9:$G$508,MATCH(D88,Suppliers!$D$9:$D$508,0))&amp;"")=0,"",INDEX(Suppliers!$G$9:$G$508,MATCH(D88,Suppliers!$D$9:$D$508,0))),""))</f>
        <v/>
      </c>
      <c r="Y88" s="18" t="str">
        <f>IF(A88="","",IFERROR(INDEX(Jobs!$C$9:$C$258,MATCH(B88,Jobs!$A$9:$A$258,0)),""))</f>
        <v/>
      </c>
      <c r="Z88" s="18" t="str">
        <f>IF(A88="","",IFERROR(INDEX(Jobs!$B$9:$B$258,MATCH(B88,Jobs!$A$9:$A$258,0)),""))</f>
        <v/>
      </c>
      <c r="AA88" s="19" t="str">
        <f>IF(A88="","",IFERROR(VLOOKUP(I88,Lists!$E$9:$F$14,2,FALSE),0))</f>
        <v/>
      </c>
      <c r="AB88" s="19" t="str">
        <f t="shared" si="12"/>
        <v/>
      </c>
      <c r="AC88" s="19" t="str">
        <f t="shared" si="13"/>
        <v/>
      </c>
      <c r="AD88" s="19" t="str">
        <f t="shared" si="14"/>
        <v/>
      </c>
      <c r="AE88" s="19" t="str">
        <f t="shared" si="15"/>
        <v/>
      </c>
      <c r="AF88" s="19" t="str">
        <f t="shared" si="16"/>
        <v/>
      </c>
      <c r="AG88" s="27" t="str">
        <f t="shared" si="17"/>
        <v/>
      </c>
      <c r="AH88" s="19" t="str">
        <f t="shared" si="18"/>
        <v/>
      </c>
      <c r="AI88" s="19" t="str">
        <f t="shared" si="19"/>
        <v/>
      </c>
      <c r="AJ88" s="19" t="str">
        <f t="shared" si="20"/>
        <v/>
      </c>
      <c r="AK88" s="18" t="str">
        <f>IF(AND(A88&lt;&gt;"",F88="Selected"),COUNTIF($F$9:F88,"Selected"),"")</f>
        <v/>
      </c>
      <c r="AL88" s="18" t="str">
        <f>IF(A88="","",COUNTIF($B$9:B88,B88))</f>
        <v/>
      </c>
      <c r="AM88" s="18" t="str">
        <f>IF(A88="","",IF(COUNTIF(Jobs!$A$9:$A$258,B88)&lt;&gt;1,"Check JobID",IF(COUNTIF(Suppliers!$D$9:$D$508,D88)&lt;&gt;1,"Check contact",IF(AA88&lt;=0,"Currency / FX missing",IF(NOT(ISNUMBER(G88)),"Original price missing",IF(G88&lt;0,"Invalid original price",IF(AND(H88&lt;&gt;"",NOT(ISNUMBER(H88))),"Invalid final price",IF(AND(ISNUMBER(H88),H88&lt;0),"Invalid final price",IF(AND(F88="Selected",COUNTIFS($B$9:$B$258,B88,$E$9:$E$258,E88,$F$9:$F$258,"Selected")&gt;1),"Selected scope overlap",IF(AND(ISNUMBER(H88),H88&gt;G88),"Price increased",IF(LEN(H88&amp;"")=0,"Final price pending","OK")))))))))))</f>
        <v/>
      </c>
      <c r="AN88" s="19" t="str">
        <f t="shared" si="21"/>
        <v/>
      </c>
      <c r="AO88" s="18" t="str">
        <f>IF(A88="","",IFERROR(IF(INDEX(Suppliers!$A$9:$A$508,MATCH(D88,Suppliers!$D$9:$D$508,0))=C88,"OK","Contact / supplier mismatch"),"Contact missing"))</f>
        <v/>
      </c>
      <c r="AP88" s="18" t="str">
        <f>IF(OR(A88="",IFERROR(INDEX(Jobs!$P$9:$P$258,MATCH(B88,Jobs!$A$9:$A$258,0)),"")=""),"",HYPERLINK("#'"&amp;IFERROR(INDEX(Jobs!$P$9:$P$258,MATCH(B88,Jobs!$A$9:$A$258,0)),"")&amp;"'!A1","OPEN JOB"))</f>
        <v/>
      </c>
      <c r="AQ88" s="18"/>
      <c r="AR88" s="18"/>
      <c r="AS88" t="str">
        <f t="shared" si="22"/>
        <v/>
      </c>
      <c r="AT88" t="str">
        <f t="shared" si="23"/>
        <v/>
      </c>
    </row>
    <row r="89" spans="1:46" ht="40" customHeight="1" x14ac:dyDescent="0.35">
      <c r="A89" s="14"/>
      <c r="B89" s="37"/>
      <c r="C89" s="14"/>
      <c r="D89" s="15"/>
      <c r="E89" s="15"/>
      <c r="F89" s="15"/>
      <c r="G89" s="24"/>
      <c r="H89" s="24"/>
      <c r="I89" s="15"/>
      <c r="J89" s="17"/>
      <c r="K89" s="17"/>
      <c r="L89" s="17"/>
      <c r="M89" s="15"/>
      <c r="N89" s="15"/>
      <c r="O89" s="15"/>
      <c r="P89" s="15"/>
      <c r="Q89" s="15"/>
      <c r="R89" s="15"/>
      <c r="S89" s="14"/>
      <c r="T89" s="14"/>
      <c r="U89" s="14" t="str">
        <f>IF(A89="","",IFERROR(IF(LEN(INDEX(Suppliers!$B$9:$B$508,MATCH(C89,Suppliers!$A$9:$A$508,0))&amp;"")=0,"",INDEX(Suppliers!$B$9:$B$508,MATCH(C89,Suppliers!$A$9:$A$508,0))),""))</f>
        <v/>
      </c>
      <c r="V89" s="14" t="str">
        <f>IF(A89="","",IFERROR(IF(LEN(INDEX(Suppliers!$E$9:$E$508,MATCH(D89,Suppliers!$D$9:$D$508,0))&amp;"")=0,"",INDEX(Suppliers!$E$9:$E$508,MATCH(D89,Suppliers!$D$9:$D$508,0))),""))</f>
        <v/>
      </c>
      <c r="W89" s="14" t="str">
        <f>IF(A89="","",IFERROR(IF(LEN(INDEX(Suppliers!$F$9:$F$508,MATCH(D89,Suppliers!$D$9:$D$508,0))&amp;"")=0,"",INDEX(Suppliers!$F$9:$F$508,MATCH(D89,Suppliers!$D$9:$D$508,0))),""))</f>
        <v/>
      </c>
      <c r="X89" s="14" t="str">
        <f>IF(A89="","",IFERROR(IF(LEN(INDEX(Suppliers!$G$9:$G$508,MATCH(D89,Suppliers!$D$9:$D$508,0))&amp;"")=0,"",INDEX(Suppliers!$G$9:$G$508,MATCH(D89,Suppliers!$D$9:$D$508,0))),""))</f>
        <v/>
      </c>
      <c r="Y89" s="14" t="str">
        <f>IF(A89="","",IFERROR(INDEX(Jobs!$C$9:$C$258,MATCH(B89,Jobs!$A$9:$A$258,0)),""))</f>
        <v/>
      </c>
      <c r="Z89" s="14" t="str">
        <f>IF(A89="","",IFERROR(INDEX(Jobs!$B$9:$B$258,MATCH(B89,Jobs!$A$9:$A$258,0)),""))</f>
        <v/>
      </c>
      <c r="AA89" s="16" t="str">
        <f>IF(A89="","",IFERROR(VLOOKUP(I89,Lists!$E$9:$F$14,2,FALSE),0))</f>
        <v/>
      </c>
      <c r="AB89" s="16" t="str">
        <f t="shared" si="12"/>
        <v/>
      </c>
      <c r="AC89" s="16" t="str">
        <f t="shared" si="13"/>
        <v/>
      </c>
      <c r="AD89" s="16" t="str">
        <f t="shared" si="14"/>
        <v/>
      </c>
      <c r="AE89" s="16" t="str">
        <f t="shared" si="15"/>
        <v/>
      </c>
      <c r="AF89" s="16" t="str">
        <f t="shared" si="16"/>
        <v/>
      </c>
      <c r="AG89" s="26" t="str">
        <f t="shared" si="17"/>
        <v/>
      </c>
      <c r="AH89" s="16" t="str">
        <f t="shared" si="18"/>
        <v/>
      </c>
      <c r="AI89" s="16" t="str">
        <f t="shared" si="19"/>
        <v/>
      </c>
      <c r="AJ89" s="16" t="str">
        <f t="shared" si="20"/>
        <v/>
      </c>
      <c r="AK89" s="14" t="str">
        <f>IF(AND(A89&lt;&gt;"",F89="Selected"),COUNTIF($F$9:F89,"Selected"),"")</f>
        <v/>
      </c>
      <c r="AL89" s="14" t="str">
        <f>IF(A89="","",COUNTIF($B$9:B89,B89))</f>
        <v/>
      </c>
      <c r="AM89" s="14" t="str">
        <f>IF(A89="","",IF(COUNTIF(Jobs!$A$9:$A$258,B89)&lt;&gt;1,"Check JobID",IF(COUNTIF(Suppliers!$D$9:$D$508,D89)&lt;&gt;1,"Check contact",IF(AA89&lt;=0,"Currency / FX missing",IF(NOT(ISNUMBER(G89)),"Original price missing",IF(G89&lt;0,"Invalid original price",IF(AND(H89&lt;&gt;"",NOT(ISNUMBER(H89))),"Invalid final price",IF(AND(ISNUMBER(H89),H89&lt;0),"Invalid final price",IF(AND(F89="Selected",COUNTIFS($B$9:$B$258,B89,$E$9:$E$258,E89,$F$9:$F$258,"Selected")&gt;1),"Selected scope overlap",IF(AND(ISNUMBER(H89),H89&gt;G89),"Price increased",IF(LEN(H89&amp;"")=0,"Final price pending","OK")))))))))))</f>
        <v/>
      </c>
      <c r="AN89" s="16" t="str">
        <f t="shared" si="21"/>
        <v/>
      </c>
      <c r="AO89" s="14" t="str">
        <f>IF(A89="","",IFERROR(IF(INDEX(Suppliers!$A$9:$A$508,MATCH(D89,Suppliers!$D$9:$D$508,0))=C89,"OK","Contact / supplier mismatch"),"Contact missing"))</f>
        <v/>
      </c>
      <c r="AP89" s="14" t="str">
        <f>IF(OR(A89="",IFERROR(INDEX(Jobs!$P$9:$P$258,MATCH(B89,Jobs!$A$9:$A$258,0)),"")=""),"",HYPERLINK("#'"&amp;IFERROR(INDEX(Jobs!$P$9:$P$258,MATCH(B89,Jobs!$A$9:$A$258,0)),"")&amp;"'!A1","OPEN JOB"))</f>
        <v/>
      </c>
      <c r="AQ89" s="14"/>
      <c r="AR89" s="14"/>
      <c r="AS89" t="str">
        <f t="shared" si="22"/>
        <v/>
      </c>
      <c r="AT89" t="str">
        <f t="shared" si="23"/>
        <v/>
      </c>
    </row>
    <row r="90" spans="1:46" ht="40" customHeight="1" x14ac:dyDescent="0.35">
      <c r="A90" s="18"/>
      <c r="B90" s="37"/>
      <c r="C90" s="18"/>
      <c r="D90" s="15"/>
      <c r="E90" s="15"/>
      <c r="F90" s="15"/>
      <c r="G90" s="24"/>
      <c r="H90" s="24"/>
      <c r="I90" s="15"/>
      <c r="J90" s="17"/>
      <c r="K90" s="17"/>
      <c r="L90" s="17"/>
      <c r="M90" s="15"/>
      <c r="N90" s="15"/>
      <c r="O90" s="15"/>
      <c r="P90" s="15"/>
      <c r="Q90" s="15"/>
      <c r="R90" s="15"/>
      <c r="S90" s="18"/>
      <c r="T90" s="18"/>
      <c r="U90" s="18" t="str">
        <f>IF(A90="","",IFERROR(IF(LEN(INDEX(Suppliers!$B$9:$B$508,MATCH(C90,Suppliers!$A$9:$A$508,0))&amp;"")=0,"",INDEX(Suppliers!$B$9:$B$508,MATCH(C90,Suppliers!$A$9:$A$508,0))),""))</f>
        <v/>
      </c>
      <c r="V90" s="18" t="str">
        <f>IF(A90="","",IFERROR(IF(LEN(INDEX(Suppliers!$E$9:$E$508,MATCH(D90,Suppliers!$D$9:$D$508,0))&amp;"")=0,"",INDEX(Suppliers!$E$9:$E$508,MATCH(D90,Suppliers!$D$9:$D$508,0))),""))</f>
        <v/>
      </c>
      <c r="W90" s="18" t="str">
        <f>IF(A90="","",IFERROR(IF(LEN(INDEX(Suppliers!$F$9:$F$508,MATCH(D90,Suppliers!$D$9:$D$508,0))&amp;"")=0,"",INDEX(Suppliers!$F$9:$F$508,MATCH(D90,Suppliers!$D$9:$D$508,0))),""))</f>
        <v/>
      </c>
      <c r="X90" s="18" t="str">
        <f>IF(A90="","",IFERROR(IF(LEN(INDEX(Suppliers!$G$9:$G$508,MATCH(D90,Suppliers!$D$9:$D$508,0))&amp;"")=0,"",INDEX(Suppliers!$G$9:$G$508,MATCH(D90,Suppliers!$D$9:$D$508,0))),""))</f>
        <v/>
      </c>
      <c r="Y90" s="18" t="str">
        <f>IF(A90="","",IFERROR(INDEX(Jobs!$C$9:$C$258,MATCH(B90,Jobs!$A$9:$A$258,0)),""))</f>
        <v/>
      </c>
      <c r="Z90" s="18" t="str">
        <f>IF(A90="","",IFERROR(INDEX(Jobs!$B$9:$B$258,MATCH(B90,Jobs!$A$9:$A$258,0)),""))</f>
        <v/>
      </c>
      <c r="AA90" s="19" t="str">
        <f>IF(A90="","",IFERROR(VLOOKUP(I90,Lists!$E$9:$F$14,2,FALSE),0))</f>
        <v/>
      </c>
      <c r="AB90" s="19" t="str">
        <f t="shared" si="12"/>
        <v/>
      </c>
      <c r="AC90" s="19" t="str">
        <f t="shared" si="13"/>
        <v/>
      </c>
      <c r="AD90" s="19" t="str">
        <f t="shared" si="14"/>
        <v/>
      </c>
      <c r="AE90" s="19" t="str">
        <f t="shared" si="15"/>
        <v/>
      </c>
      <c r="AF90" s="19" t="str">
        <f t="shared" si="16"/>
        <v/>
      </c>
      <c r="AG90" s="27" t="str">
        <f t="shared" si="17"/>
        <v/>
      </c>
      <c r="AH90" s="19" t="str">
        <f t="shared" si="18"/>
        <v/>
      </c>
      <c r="AI90" s="19" t="str">
        <f t="shared" si="19"/>
        <v/>
      </c>
      <c r="AJ90" s="19" t="str">
        <f t="shared" si="20"/>
        <v/>
      </c>
      <c r="AK90" s="18" t="str">
        <f>IF(AND(A90&lt;&gt;"",F90="Selected"),COUNTIF($F$9:F90,"Selected"),"")</f>
        <v/>
      </c>
      <c r="AL90" s="18" t="str">
        <f>IF(A90="","",COUNTIF($B$9:B90,B90))</f>
        <v/>
      </c>
      <c r="AM90" s="18" t="str">
        <f>IF(A90="","",IF(COUNTIF(Jobs!$A$9:$A$258,B90)&lt;&gt;1,"Check JobID",IF(COUNTIF(Suppliers!$D$9:$D$508,D90)&lt;&gt;1,"Check contact",IF(AA90&lt;=0,"Currency / FX missing",IF(NOT(ISNUMBER(G90)),"Original price missing",IF(G90&lt;0,"Invalid original price",IF(AND(H90&lt;&gt;"",NOT(ISNUMBER(H90))),"Invalid final price",IF(AND(ISNUMBER(H90),H90&lt;0),"Invalid final price",IF(AND(F90="Selected",COUNTIFS($B$9:$B$258,B90,$E$9:$E$258,E90,$F$9:$F$258,"Selected")&gt;1),"Selected scope overlap",IF(AND(ISNUMBER(H90),H90&gt;G90),"Price increased",IF(LEN(H90&amp;"")=0,"Final price pending","OK")))))))))))</f>
        <v/>
      </c>
      <c r="AN90" s="19" t="str">
        <f t="shared" si="21"/>
        <v/>
      </c>
      <c r="AO90" s="18" t="str">
        <f>IF(A90="","",IFERROR(IF(INDEX(Suppliers!$A$9:$A$508,MATCH(D90,Suppliers!$D$9:$D$508,0))=C90,"OK","Contact / supplier mismatch"),"Contact missing"))</f>
        <v/>
      </c>
      <c r="AP90" s="18" t="str">
        <f>IF(OR(A90="",IFERROR(INDEX(Jobs!$P$9:$P$258,MATCH(B90,Jobs!$A$9:$A$258,0)),"")=""),"",HYPERLINK("#'"&amp;IFERROR(INDEX(Jobs!$P$9:$P$258,MATCH(B90,Jobs!$A$9:$A$258,0)),"")&amp;"'!A1","OPEN JOB"))</f>
        <v/>
      </c>
      <c r="AQ90" s="18"/>
      <c r="AR90" s="18"/>
      <c r="AS90" t="str">
        <f t="shared" si="22"/>
        <v/>
      </c>
      <c r="AT90" t="str">
        <f t="shared" si="23"/>
        <v/>
      </c>
    </row>
    <row r="91" spans="1:46" ht="40" customHeight="1" x14ac:dyDescent="0.35">
      <c r="A91" s="14"/>
      <c r="B91" s="37"/>
      <c r="C91" s="14"/>
      <c r="D91" s="15"/>
      <c r="E91" s="15"/>
      <c r="F91" s="15"/>
      <c r="G91" s="24"/>
      <c r="H91" s="24"/>
      <c r="I91" s="15"/>
      <c r="J91" s="17"/>
      <c r="K91" s="17"/>
      <c r="L91" s="17"/>
      <c r="M91" s="15"/>
      <c r="N91" s="15"/>
      <c r="O91" s="15"/>
      <c r="P91" s="15"/>
      <c r="Q91" s="15"/>
      <c r="R91" s="15"/>
      <c r="S91" s="14"/>
      <c r="T91" s="14"/>
      <c r="U91" s="14" t="str">
        <f>IF(A91="","",IFERROR(IF(LEN(INDEX(Suppliers!$B$9:$B$508,MATCH(C91,Suppliers!$A$9:$A$508,0))&amp;"")=0,"",INDEX(Suppliers!$B$9:$B$508,MATCH(C91,Suppliers!$A$9:$A$508,0))),""))</f>
        <v/>
      </c>
      <c r="V91" s="14" t="str">
        <f>IF(A91="","",IFERROR(IF(LEN(INDEX(Suppliers!$E$9:$E$508,MATCH(D91,Suppliers!$D$9:$D$508,0))&amp;"")=0,"",INDEX(Suppliers!$E$9:$E$508,MATCH(D91,Suppliers!$D$9:$D$508,0))),""))</f>
        <v/>
      </c>
      <c r="W91" s="14" t="str">
        <f>IF(A91="","",IFERROR(IF(LEN(INDEX(Suppliers!$F$9:$F$508,MATCH(D91,Suppliers!$D$9:$D$508,0))&amp;"")=0,"",INDEX(Suppliers!$F$9:$F$508,MATCH(D91,Suppliers!$D$9:$D$508,0))),""))</f>
        <v/>
      </c>
      <c r="X91" s="14" t="str">
        <f>IF(A91="","",IFERROR(IF(LEN(INDEX(Suppliers!$G$9:$G$508,MATCH(D91,Suppliers!$D$9:$D$508,0))&amp;"")=0,"",INDEX(Suppliers!$G$9:$G$508,MATCH(D91,Suppliers!$D$9:$D$508,0))),""))</f>
        <v/>
      </c>
      <c r="Y91" s="14" t="str">
        <f>IF(A91="","",IFERROR(INDEX(Jobs!$C$9:$C$258,MATCH(B91,Jobs!$A$9:$A$258,0)),""))</f>
        <v/>
      </c>
      <c r="Z91" s="14" t="str">
        <f>IF(A91="","",IFERROR(INDEX(Jobs!$B$9:$B$258,MATCH(B91,Jobs!$A$9:$A$258,0)),""))</f>
        <v/>
      </c>
      <c r="AA91" s="16" t="str">
        <f>IF(A91="","",IFERROR(VLOOKUP(I91,Lists!$E$9:$F$14,2,FALSE),0))</f>
        <v/>
      </c>
      <c r="AB91" s="16" t="str">
        <f t="shared" si="12"/>
        <v/>
      </c>
      <c r="AC91" s="16" t="str">
        <f t="shared" si="13"/>
        <v/>
      </c>
      <c r="AD91" s="16" t="str">
        <f t="shared" si="14"/>
        <v/>
      </c>
      <c r="AE91" s="16" t="str">
        <f t="shared" si="15"/>
        <v/>
      </c>
      <c r="AF91" s="16" t="str">
        <f t="shared" si="16"/>
        <v/>
      </c>
      <c r="AG91" s="26" t="str">
        <f t="shared" si="17"/>
        <v/>
      </c>
      <c r="AH91" s="16" t="str">
        <f t="shared" si="18"/>
        <v/>
      </c>
      <c r="AI91" s="16" t="str">
        <f t="shared" si="19"/>
        <v/>
      </c>
      <c r="AJ91" s="16" t="str">
        <f t="shared" si="20"/>
        <v/>
      </c>
      <c r="AK91" s="14" t="str">
        <f>IF(AND(A91&lt;&gt;"",F91="Selected"),COUNTIF($F$9:F91,"Selected"),"")</f>
        <v/>
      </c>
      <c r="AL91" s="14" t="str">
        <f>IF(A91="","",COUNTIF($B$9:B91,B91))</f>
        <v/>
      </c>
      <c r="AM91" s="14" t="str">
        <f>IF(A91="","",IF(COUNTIF(Jobs!$A$9:$A$258,B91)&lt;&gt;1,"Check JobID",IF(COUNTIF(Suppliers!$D$9:$D$508,D91)&lt;&gt;1,"Check contact",IF(AA91&lt;=0,"Currency / FX missing",IF(NOT(ISNUMBER(G91)),"Original price missing",IF(G91&lt;0,"Invalid original price",IF(AND(H91&lt;&gt;"",NOT(ISNUMBER(H91))),"Invalid final price",IF(AND(ISNUMBER(H91),H91&lt;0),"Invalid final price",IF(AND(F91="Selected",COUNTIFS($B$9:$B$258,B91,$E$9:$E$258,E91,$F$9:$F$258,"Selected")&gt;1),"Selected scope overlap",IF(AND(ISNUMBER(H91),H91&gt;G91),"Price increased",IF(LEN(H91&amp;"")=0,"Final price pending","OK")))))))))))</f>
        <v/>
      </c>
      <c r="AN91" s="16" t="str">
        <f t="shared" si="21"/>
        <v/>
      </c>
      <c r="AO91" s="14" t="str">
        <f>IF(A91="","",IFERROR(IF(INDEX(Suppliers!$A$9:$A$508,MATCH(D91,Suppliers!$D$9:$D$508,0))=C91,"OK","Contact / supplier mismatch"),"Contact missing"))</f>
        <v/>
      </c>
      <c r="AP91" s="14" t="str">
        <f>IF(OR(A91="",IFERROR(INDEX(Jobs!$P$9:$P$258,MATCH(B91,Jobs!$A$9:$A$258,0)),"")=""),"",HYPERLINK("#'"&amp;IFERROR(INDEX(Jobs!$P$9:$P$258,MATCH(B91,Jobs!$A$9:$A$258,0)),"")&amp;"'!A1","OPEN JOB"))</f>
        <v/>
      </c>
      <c r="AQ91" s="14"/>
      <c r="AR91" s="14"/>
      <c r="AS91" t="str">
        <f t="shared" si="22"/>
        <v/>
      </c>
      <c r="AT91" t="str">
        <f t="shared" si="23"/>
        <v/>
      </c>
    </row>
    <row r="92" spans="1:46" ht="40" customHeight="1" x14ac:dyDescent="0.35">
      <c r="A92" s="18"/>
      <c r="B92" s="37"/>
      <c r="C92" s="18"/>
      <c r="D92" s="15"/>
      <c r="E92" s="15"/>
      <c r="F92" s="15"/>
      <c r="G92" s="24"/>
      <c r="H92" s="24"/>
      <c r="I92" s="15"/>
      <c r="J92" s="17"/>
      <c r="K92" s="17"/>
      <c r="L92" s="17"/>
      <c r="M92" s="15"/>
      <c r="N92" s="15"/>
      <c r="O92" s="15"/>
      <c r="P92" s="15"/>
      <c r="Q92" s="15"/>
      <c r="R92" s="15"/>
      <c r="S92" s="18"/>
      <c r="T92" s="18"/>
      <c r="U92" s="18" t="str">
        <f>IF(A92="","",IFERROR(IF(LEN(INDEX(Suppliers!$B$9:$B$508,MATCH(C92,Suppliers!$A$9:$A$508,0))&amp;"")=0,"",INDEX(Suppliers!$B$9:$B$508,MATCH(C92,Suppliers!$A$9:$A$508,0))),""))</f>
        <v/>
      </c>
      <c r="V92" s="18" t="str">
        <f>IF(A92="","",IFERROR(IF(LEN(INDEX(Suppliers!$E$9:$E$508,MATCH(D92,Suppliers!$D$9:$D$508,0))&amp;"")=0,"",INDEX(Suppliers!$E$9:$E$508,MATCH(D92,Suppliers!$D$9:$D$508,0))),""))</f>
        <v/>
      </c>
      <c r="W92" s="18" t="str">
        <f>IF(A92="","",IFERROR(IF(LEN(INDEX(Suppliers!$F$9:$F$508,MATCH(D92,Suppliers!$D$9:$D$508,0))&amp;"")=0,"",INDEX(Suppliers!$F$9:$F$508,MATCH(D92,Suppliers!$D$9:$D$508,0))),""))</f>
        <v/>
      </c>
      <c r="X92" s="18" t="str">
        <f>IF(A92="","",IFERROR(IF(LEN(INDEX(Suppliers!$G$9:$G$508,MATCH(D92,Suppliers!$D$9:$D$508,0))&amp;"")=0,"",INDEX(Suppliers!$G$9:$G$508,MATCH(D92,Suppliers!$D$9:$D$508,0))),""))</f>
        <v/>
      </c>
      <c r="Y92" s="18" t="str">
        <f>IF(A92="","",IFERROR(INDEX(Jobs!$C$9:$C$258,MATCH(B92,Jobs!$A$9:$A$258,0)),""))</f>
        <v/>
      </c>
      <c r="Z92" s="18" t="str">
        <f>IF(A92="","",IFERROR(INDEX(Jobs!$B$9:$B$258,MATCH(B92,Jobs!$A$9:$A$258,0)),""))</f>
        <v/>
      </c>
      <c r="AA92" s="19" t="str">
        <f>IF(A92="","",IFERROR(VLOOKUP(I92,Lists!$E$9:$F$14,2,FALSE),0))</f>
        <v/>
      </c>
      <c r="AB92" s="19" t="str">
        <f t="shared" si="12"/>
        <v/>
      </c>
      <c r="AC92" s="19" t="str">
        <f t="shared" si="13"/>
        <v/>
      </c>
      <c r="AD92" s="19" t="str">
        <f t="shared" si="14"/>
        <v/>
      </c>
      <c r="AE92" s="19" t="str">
        <f t="shared" si="15"/>
        <v/>
      </c>
      <c r="AF92" s="19" t="str">
        <f t="shared" si="16"/>
        <v/>
      </c>
      <c r="AG92" s="27" t="str">
        <f t="shared" si="17"/>
        <v/>
      </c>
      <c r="AH92" s="19" t="str">
        <f t="shared" si="18"/>
        <v/>
      </c>
      <c r="AI92" s="19" t="str">
        <f t="shared" si="19"/>
        <v/>
      </c>
      <c r="AJ92" s="19" t="str">
        <f t="shared" si="20"/>
        <v/>
      </c>
      <c r="AK92" s="18" t="str">
        <f>IF(AND(A92&lt;&gt;"",F92="Selected"),COUNTIF($F$9:F92,"Selected"),"")</f>
        <v/>
      </c>
      <c r="AL92" s="18" t="str">
        <f>IF(A92="","",COUNTIF($B$9:B92,B92))</f>
        <v/>
      </c>
      <c r="AM92" s="18" t="str">
        <f>IF(A92="","",IF(COUNTIF(Jobs!$A$9:$A$258,B92)&lt;&gt;1,"Check JobID",IF(COUNTIF(Suppliers!$D$9:$D$508,D92)&lt;&gt;1,"Check contact",IF(AA92&lt;=0,"Currency / FX missing",IF(NOT(ISNUMBER(G92)),"Original price missing",IF(G92&lt;0,"Invalid original price",IF(AND(H92&lt;&gt;"",NOT(ISNUMBER(H92))),"Invalid final price",IF(AND(ISNUMBER(H92),H92&lt;0),"Invalid final price",IF(AND(F92="Selected",COUNTIFS($B$9:$B$258,B92,$E$9:$E$258,E92,$F$9:$F$258,"Selected")&gt;1),"Selected scope overlap",IF(AND(ISNUMBER(H92),H92&gt;G92),"Price increased",IF(LEN(H92&amp;"")=0,"Final price pending","OK")))))))))))</f>
        <v/>
      </c>
      <c r="AN92" s="19" t="str">
        <f t="shared" si="21"/>
        <v/>
      </c>
      <c r="AO92" s="18" t="str">
        <f>IF(A92="","",IFERROR(IF(INDEX(Suppliers!$A$9:$A$508,MATCH(D92,Suppliers!$D$9:$D$508,0))=C92,"OK","Contact / supplier mismatch"),"Contact missing"))</f>
        <v/>
      </c>
      <c r="AP92" s="18" t="str">
        <f>IF(OR(A92="",IFERROR(INDEX(Jobs!$P$9:$P$258,MATCH(B92,Jobs!$A$9:$A$258,0)),"")=""),"",HYPERLINK("#'"&amp;IFERROR(INDEX(Jobs!$P$9:$P$258,MATCH(B92,Jobs!$A$9:$A$258,0)),"")&amp;"'!A1","OPEN JOB"))</f>
        <v/>
      </c>
      <c r="AQ92" s="18"/>
      <c r="AR92" s="18"/>
      <c r="AS92" t="str">
        <f t="shared" si="22"/>
        <v/>
      </c>
      <c r="AT92" t="str">
        <f t="shared" si="23"/>
        <v/>
      </c>
    </row>
    <row r="93" spans="1:46" ht="40" customHeight="1" x14ac:dyDescent="0.35">
      <c r="A93" s="14"/>
      <c r="B93" s="37"/>
      <c r="C93" s="14"/>
      <c r="D93" s="15"/>
      <c r="E93" s="15"/>
      <c r="F93" s="15"/>
      <c r="G93" s="24"/>
      <c r="H93" s="24"/>
      <c r="I93" s="15"/>
      <c r="J93" s="17"/>
      <c r="K93" s="17"/>
      <c r="L93" s="17"/>
      <c r="M93" s="15"/>
      <c r="N93" s="15"/>
      <c r="O93" s="15"/>
      <c r="P93" s="15"/>
      <c r="Q93" s="15"/>
      <c r="R93" s="15"/>
      <c r="S93" s="14"/>
      <c r="T93" s="14"/>
      <c r="U93" s="14" t="str">
        <f>IF(A93="","",IFERROR(IF(LEN(INDEX(Suppliers!$B$9:$B$508,MATCH(C93,Suppliers!$A$9:$A$508,0))&amp;"")=0,"",INDEX(Suppliers!$B$9:$B$508,MATCH(C93,Suppliers!$A$9:$A$508,0))),""))</f>
        <v/>
      </c>
      <c r="V93" s="14" t="str">
        <f>IF(A93="","",IFERROR(IF(LEN(INDEX(Suppliers!$E$9:$E$508,MATCH(D93,Suppliers!$D$9:$D$508,0))&amp;"")=0,"",INDEX(Suppliers!$E$9:$E$508,MATCH(D93,Suppliers!$D$9:$D$508,0))),""))</f>
        <v/>
      </c>
      <c r="W93" s="14" t="str">
        <f>IF(A93="","",IFERROR(IF(LEN(INDEX(Suppliers!$F$9:$F$508,MATCH(D93,Suppliers!$D$9:$D$508,0))&amp;"")=0,"",INDEX(Suppliers!$F$9:$F$508,MATCH(D93,Suppliers!$D$9:$D$508,0))),""))</f>
        <v/>
      </c>
      <c r="X93" s="14" t="str">
        <f>IF(A93="","",IFERROR(IF(LEN(INDEX(Suppliers!$G$9:$G$508,MATCH(D93,Suppliers!$D$9:$D$508,0))&amp;"")=0,"",INDEX(Suppliers!$G$9:$G$508,MATCH(D93,Suppliers!$D$9:$D$508,0))),""))</f>
        <v/>
      </c>
      <c r="Y93" s="14" t="str">
        <f>IF(A93="","",IFERROR(INDEX(Jobs!$C$9:$C$258,MATCH(B93,Jobs!$A$9:$A$258,0)),""))</f>
        <v/>
      </c>
      <c r="Z93" s="14" t="str">
        <f>IF(A93="","",IFERROR(INDEX(Jobs!$B$9:$B$258,MATCH(B93,Jobs!$A$9:$A$258,0)),""))</f>
        <v/>
      </c>
      <c r="AA93" s="16" t="str">
        <f>IF(A93="","",IFERROR(VLOOKUP(I93,Lists!$E$9:$F$14,2,FALSE),0))</f>
        <v/>
      </c>
      <c r="AB93" s="16" t="str">
        <f t="shared" si="12"/>
        <v/>
      </c>
      <c r="AC93" s="16" t="str">
        <f t="shared" si="13"/>
        <v/>
      </c>
      <c r="AD93" s="16" t="str">
        <f t="shared" si="14"/>
        <v/>
      </c>
      <c r="AE93" s="16" t="str">
        <f t="shared" si="15"/>
        <v/>
      </c>
      <c r="AF93" s="16" t="str">
        <f t="shared" si="16"/>
        <v/>
      </c>
      <c r="AG93" s="26" t="str">
        <f t="shared" si="17"/>
        <v/>
      </c>
      <c r="AH93" s="16" t="str">
        <f t="shared" si="18"/>
        <v/>
      </c>
      <c r="AI93" s="16" t="str">
        <f t="shared" si="19"/>
        <v/>
      </c>
      <c r="AJ93" s="16" t="str">
        <f t="shared" si="20"/>
        <v/>
      </c>
      <c r="AK93" s="14" t="str">
        <f>IF(AND(A93&lt;&gt;"",F93="Selected"),COUNTIF($F$9:F93,"Selected"),"")</f>
        <v/>
      </c>
      <c r="AL93" s="14" t="str">
        <f>IF(A93="","",COUNTIF($B$9:B93,B93))</f>
        <v/>
      </c>
      <c r="AM93" s="14" t="str">
        <f>IF(A93="","",IF(COUNTIF(Jobs!$A$9:$A$258,B93)&lt;&gt;1,"Check JobID",IF(COUNTIF(Suppliers!$D$9:$D$508,D93)&lt;&gt;1,"Check contact",IF(AA93&lt;=0,"Currency / FX missing",IF(NOT(ISNUMBER(G93)),"Original price missing",IF(G93&lt;0,"Invalid original price",IF(AND(H93&lt;&gt;"",NOT(ISNUMBER(H93))),"Invalid final price",IF(AND(ISNUMBER(H93),H93&lt;0),"Invalid final price",IF(AND(F93="Selected",COUNTIFS($B$9:$B$258,B93,$E$9:$E$258,E93,$F$9:$F$258,"Selected")&gt;1),"Selected scope overlap",IF(AND(ISNUMBER(H93),H93&gt;G93),"Price increased",IF(LEN(H93&amp;"")=0,"Final price pending","OK")))))))))))</f>
        <v/>
      </c>
      <c r="AN93" s="16" t="str">
        <f t="shared" si="21"/>
        <v/>
      </c>
      <c r="AO93" s="14" t="str">
        <f>IF(A93="","",IFERROR(IF(INDEX(Suppliers!$A$9:$A$508,MATCH(D93,Suppliers!$D$9:$D$508,0))=C93,"OK","Contact / supplier mismatch"),"Contact missing"))</f>
        <v/>
      </c>
      <c r="AP93" s="14" t="str">
        <f>IF(OR(A93="",IFERROR(INDEX(Jobs!$P$9:$P$258,MATCH(B93,Jobs!$A$9:$A$258,0)),"")=""),"",HYPERLINK("#'"&amp;IFERROR(INDEX(Jobs!$P$9:$P$258,MATCH(B93,Jobs!$A$9:$A$258,0)),"")&amp;"'!A1","OPEN JOB"))</f>
        <v/>
      </c>
      <c r="AQ93" s="14"/>
      <c r="AR93" s="14"/>
      <c r="AS93" t="str">
        <f t="shared" si="22"/>
        <v/>
      </c>
      <c r="AT93" t="str">
        <f t="shared" si="23"/>
        <v/>
      </c>
    </row>
    <row r="94" spans="1:46" ht="40" customHeight="1" x14ac:dyDescent="0.35">
      <c r="A94" s="18"/>
      <c r="B94" s="37"/>
      <c r="C94" s="18"/>
      <c r="D94" s="15"/>
      <c r="E94" s="15"/>
      <c r="F94" s="15"/>
      <c r="G94" s="24"/>
      <c r="H94" s="24"/>
      <c r="I94" s="15"/>
      <c r="J94" s="17"/>
      <c r="K94" s="17"/>
      <c r="L94" s="17"/>
      <c r="M94" s="15"/>
      <c r="N94" s="15"/>
      <c r="O94" s="15"/>
      <c r="P94" s="15"/>
      <c r="Q94" s="15"/>
      <c r="R94" s="15"/>
      <c r="S94" s="18"/>
      <c r="T94" s="18"/>
      <c r="U94" s="18" t="str">
        <f>IF(A94="","",IFERROR(IF(LEN(INDEX(Suppliers!$B$9:$B$508,MATCH(C94,Suppliers!$A$9:$A$508,0))&amp;"")=0,"",INDEX(Suppliers!$B$9:$B$508,MATCH(C94,Suppliers!$A$9:$A$508,0))),""))</f>
        <v/>
      </c>
      <c r="V94" s="18" t="str">
        <f>IF(A94="","",IFERROR(IF(LEN(INDEX(Suppliers!$E$9:$E$508,MATCH(D94,Suppliers!$D$9:$D$508,0))&amp;"")=0,"",INDEX(Suppliers!$E$9:$E$508,MATCH(D94,Suppliers!$D$9:$D$508,0))),""))</f>
        <v/>
      </c>
      <c r="W94" s="18" t="str">
        <f>IF(A94="","",IFERROR(IF(LEN(INDEX(Suppliers!$F$9:$F$508,MATCH(D94,Suppliers!$D$9:$D$508,0))&amp;"")=0,"",INDEX(Suppliers!$F$9:$F$508,MATCH(D94,Suppliers!$D$9:$D$508,0))),""))</f>
        <v/>
      </c>
      <c r="X94" s="18" t="str">
        <f>IF(A94="","",IFERROR(IF(LEN(INDEX(Suppliers!$G$9:$G$508,MATCH(D94,Suppliers!$D$9:$D$508,0))&amp;"")=0,"",INDEX(Suppliers!$G$9:$G$508,MATCH(D94,Suppliers!$D$9:$D$508,0))),""))</f>
        <v/>
      </c>
      <c r="Y94" s="18" t="str">
        <f>IF(A94="","",IFERROR(INDEX(Jobs!$C$9:$C$258,MATCH(B94,Jobs!$A$9:$A$258,0)),""))</f>
        <v/>
      </c>
      <c r="Z94" s="18" t="str">
        <f>IF(A94="","",IFERROR(INDEX(Jobs!$B$9:$B$258,MATCH(B94,Jobs!$A$9:$A$258,0)),""))</f>
        <v/>
      </c>
      <c r="AA94" s="19" t="str">
        <f>IF(A94="","",IFERROR(VLOOKUP(I94,Lists!$E$9:$F$14,2,FALSE),0))</f>
        <v/>
      </c>
      <c r="AB94" s="19" t="str">
        <f t="shared" si="12"/>
        <v/>
      </c>
      <c r="AC94" s="19" t="str">
        <f t="shared" si="13"/>
        <v/>
      </c>
      <c r="AD94" s="19" t="str">
        <f t="shared" si="14"/>
        <v/>
      </c>
      <c r="AE94" s="19" t="str">
        <f t="shared" si="15"/>
        <v/>
      </c>
      <c r="AF94" s="19" t="str">
        <f t="shared" si="16"/>
        <v/>
      </c>
      <c r="AG94" s="27" t="str">
        <f t="shared" si="17"/>
        <v/>
      </c>
      <c r="AH94" s="19" t="str">
        <f t="shared" si="18"/>
        <v/>
      </c>
      <c r="AI94" s="19" t="str">
        <f t="shared" si="19"/>
        <v/>
      </c>
      <c r="AJ94" s="19" t="str">
        <f t="shared" si="20"/>
        <v/>
      </c>
      <c r="AK94" s="18" t="str">
        <f>IF(AND(A94&lt;&gt;"",F94="Selected"),COUNTIF($F$9:F94,"Selected"),"")</f>
        <v/>
      </c>
      <c r="AL94" s="18" t="str">
        <f>IF(A94="","",COUNTIF($B$9:B94,B94))</f>
        <v/>
      </c>
      <c r="AM94" s="18" t="str">
        <f>IF(A94="","",IF(COUNTIF(Jobs!$A$9:$A$258,B94)&lt;&gt;1,"Check JobID",IF(COUNTIF(Suppliers!$D$9:$D$508,D94)&lt;&gt;1,"Check contact",IF(AA94&lt;=0,"Currency / FX missing",IF(NOT(ISNUMBER(G94)),"Original price missing",IF(G94&lt;0,"Invalid original price",IF(AND(H94&lt;&gt;"",NOT(ISNUMBER(H94))),"Invalid final price",IF(AND(ISNUMBER(H94),H94&lt;0),"Invalid final price",IF(AND(F94="Selected",COUNTIFS($B$9:$B$258,B94,$E$9:$E$258,E94,$F$9:$F$258,"Selected")&gt;1),"Selected scope overlap",IF(AND(ISNUMBER(H94),H94&gt;G94),"Price increased",IF(LEN(H94&amp;"")=0,"Final price pending","OK")))))))))))</f>
        <v/>
      </c>
      <c r="AN94" s="19" t="str">
        <f t="shared" si="21"/>
        <v/>
      </c>
      <c r="AO94" s="18" t="str">
        <f>IF(A94="","",IFERROR(IF(INDEX(Suppliers!$A$9:$A$508,MATCH(D94,Suppliers!$D$9:$D$508,0))=C94,"OK","Contact / supplier mismatch"),"Contact missing"))</f>
        <v/>
      </c>
      <c r="AP94" s="18" t="str">
        <f>IF(OR(A94="",IFERROR(INDEX(Jobs!$P$9:$P$258,MATCH(B94,Jobs!$A$9:$A$258,0)),"")=""),"",HYPERLINK("#'"&amp;IFERROR(INDEX(Jobs!$P$9:$P$258,MATCH(B94,Jobs!$A$9:$A$258,0)),"")&amp;"'!A1","OPEN JOB"))</f>
        <v/>
      </c>
      <c r="AQ94" s="18"/>
      <c r="AR94" s="18"/>
      <c r="AS94" t="str">
        <f t="shared" si="22"/>
        <v/>
      </c>
      <c r="AT94" t="str">
        <f t="shared" si="23"/>
        <v/>
      </c>
    </row>
    <row r="95" spans="1:46" ht="40" customHeight="1" x14ac:dyDescent="0.35">
      <c r="A95" s="14"/>
      <c r="B95" s="37"/>
      <c r="C95" s="14"/>
      <c r="D95" s="15"/>
      <c r="E95" s="15"/>
      <c r="F95" s="15"/>
      <c r="G95" s="24"/>
      <c r="H95" s="24"/>
      <c r="I95" s="15"/>
      <c r="J95" s="17"/>
      <c r="K95" s="17"/>
      <c r="L95" s="17"/>
      <c r="M95" s="15"/>
      <c r="N95" s="15"/>
      <c r="O95" s="15"/>
      <c r="P95" s="15"/>
      <c r="Q95" s="15"/>
      <c r="R95" s="15"/>
      <c r="S95" s="14"/>
      <c r="T95" s="14"/>
      <c r="U95" s="14" t="str">
        <f>IF(A95="","",IFERROR(IF(LEN(INDEX(Suppliers!$B$9:$B$508,MATCH(C95,Suppliers!$A$9:$A$508,0))&amp;"")=0,"",INDEX(Suppliers!$B$9:$B$508,MATCH(C95,Suppliers!$A$9:$A$508,0))),""))</f>
        <v/>
      </c>
      <c r="V95" s="14" t="str">
        <f>IF(A95="","",IFERROR(IF(LEN(INDEX(Suppliers!$E$9:$E$508,MATCH(D95,Suppliers!$D$9:$D$508,0))&amp;"")=0,"",INDEX(Suppliers!$E$9:$E$508,MATCH(D95,Suppliers!$D$9:$D$508,0))),""))</f>
        <v/>
      </c>
      <c r="W95" s="14" t="str">
        <f>IF(A95="","",IFERROR(IF(LEN(INDEX(Suppliers!$F$9:$F$508,MATCH(D95,Suppliers!$D$9:$D$508,0))&amp;"")=0,"",INDEX(Suppliers!$F$9:$F$508,MATCH(D95,Suppliers!$D$9:$D$508,0))),""))</f>
        <v/>
      </c>
      <c r="X95" s="14" t="str">
        <f>IF(A95="","",IFERROR(IF(LEN(INDEX(Suppliers!$G$9:$G$508,MATCH(D95,Suppliers!$D$9:$D$508,0))&amp;"")=0,"",INDEX(Suppliers!$G$9:$G$508,MATCH(D95,Suppliers!$D$9:$D$508,0))),""))</f>
        <v/>
      </c>
      <c r="Y95" s="14" t="str">
        <f>IF(A95="","",IFERROR(INDEX(Jobs!$C$9:$C$258,MATCH(B95,Jobs!$A$9:$A$258,0)),""))</f>
        <v/>
      </c>
      <c r="Z95" s="14" t="str">
        <f>IF(A95="","",IFERROR(INDEX(Jobs!$B$9:$B$258,MATCH(B95,Jobs!$A$9:$A$258,0)),""))</f>
        <v/>
      </c>
      <c r="AA95" s="16" t="str">
        <f>IF(A95="","",IFERROR(VLOOKUP(I95,Lists!$E$9:$F$14,2,FALSE),0))</f>
        <v/>
      </c>
      <c r="AB95" s="16" t="str">
        <f t="shared" si="12"/>
        <v/>
      </c>
      <c r="AC95" s="16" t="str">
        <f t="shared" si="13"/>
        <v/>
      </c>
      <c r="AD95" s="16" t="str">
        <f t="shared" si="14"/>
        <v/>
      </c>
      <c r="AE95" s="16" t="str">
        <f t="shared" si="15"/>
        <v/>
      </c>
      <c r="AF95" s="16" t="str">
        <f t="shared" si="16"/>
        <v/>
      </c>
      <c r="AG95" s="26" t="str">
        <f t="shared" si="17"/>
        <v/>
      </c>
      <c r="AH95" s="16" t="str">
        <f t="shared" si="18"/>
        <v/>
      </c>
      <c r="AI95" s="16" t="str">
        <f t="shared" si="19"/>
        <v/>
      </c>
      <c r="AJ95" s="16" t="str">
        <f t="shared" si="20"/>
        <v/>
      </c>
      <c r="AK95" s="14" t="str">
        <f>IF(AND(A95&lt;&gt;"",F95="Selected"),COUNTIF($F$9:F95,"Selected"),"")</f>
        <v/>
      </c>
      <c r="AL95" s="14" t="str">
        <f>IF(A95="","",COUNTIF($B$9:B95,B95))</f>
        <v/>
      </c>
      <c r="AM95" s="14" t="str">
        <f>IF(A95="","",IF(COUNTIF(Jobs!$A$9:$A$258,B95)&lt;&gt;1,"Check JobID",IF(COUNTIF(Suppliers!$D$9:$D$508,D95)&lt;&gt;1,"Check contact",IF(AA95&lt;=0,"Currency / FX missing",IF(NOT(ISNUMBER(G95)),"Original price missing",IF(G95&lt;0,"Invalid original price",IF(AND(H95&lt;&gt;"",NOT(ISNUMBER(H95))),"Invalid final price",IF(AND(ISNUMBER(H95),H95&lt;0),"Invalid final price",IF(AND(F95="Selected",COUNTIFS($B$9:$B$258,B95,$E$9:$E$258,E95,$F$9:$F$258,"Selected")&gt;1),"Selected scope overlap",IF(AND(ISNUMBER(H95),H95&gt;G95),"Price increased",IF(LEN(H95&amp;"")=0,"Final price pending","OK")))))))))))</f>
        <v/>
      </c>
      <c r="AN95" s="16" t="str">
        <f t="shared" si="21"/>
        <v/>
      </c>
      <c r="AO95" s="14" t="str">
        <f>IF(A95="","",IFERROR(IF(INDEX(Suppliers!$A$9:$A$508,MATCH(D95,Suppliers!$D$9:$D$508,0))=C95,"OK","Contact / supplier mismatch"),"Contact missing"))</f>
        <v/>
      </c>
      <c r="AP95" s="14" t="str">
        <f>IF(OR(A95="",IFERROR(INDEX(Jobs!$P$9:$P$258,MATCH(B95,Jobs!$A$9:$A$258,0)),"")=""),"",HYPERLINK("#'"&amp;IFERROR(INDEX(Jobs!$P$9:$P$258,MATCH(B95,Jobs!$A$9:$A$258,0)),"")&amp;"'!A1","OPEN JOB"))</f>
        <v/>
      </c>
      <c r="AQ95" s="14"/>
      <c r="AR95" s="14"/>
      <c r="AS95" t="str">
        <f t="shared" si="22"/>
        <v/>
      </c>
      <c r="AT95" t="str">
        <f t="shared" si="23"/>
        <v/>
      </c>
    </row>
    <row r="96" spans="1:46" ht="40" customHeight="1" x14ac:dyDescent="0.35">
      <c r="A96" s="18"/>
      <c r="B96" s="37"/>
      <c r="C96" s="18"/>
      <c r="D96" s="15"/>
      <c r="E96" s="15"/>
      <c r="F96" s="15"/>
      <c r="G96" s="24"/>
      <c r="H96" s="24"/>
      <c r="I96" s="15"/>
      <c r="J96" s="17"/>
      <c r="K96" s="17"/>
      <c r="L96" s="17"/>
      <c r="M96" s="15"/>
      <c r="N96" s="15"/>
      <c r="O96" s="15"/>
      <c r="P96" s="15"/>
      <c r="Q96" s="15"/>
      <c r="R96" s="15"/>
      <c r="S96" s="18"/>
      <c r="T96" s="18"/>
      <c r="U96" s="18" t="str">
        <f>IF(A96="","",IFERROR(IF(LEN(INDEX(Suppliers!$B$9:$B$508,MATCH(C96,Suppliers!$A$9:$A$508,0))&amp;"")=0,"",INDEX(Suppliers!$B$9:$B$508,MATCH(C96,Suppliers!$A$9:$A$508,0))),""))</f>
        <v/>
      </c>
      <c r="V96" s="18" t="str">
        <f>IF(A96="","",IFERROR(IF(LEN(INDEX(Suppliers!$E$9:$E$508,MATCH(D96,Suppliers!$D$9:$D$508,0))&amp;"")=0,"",INDEX(Suppliers!$E$9:$E$508,MATCH(D96,Suppliers!$D$9:$D$508,0))),""))</f>
        <v/>
      </c>
      <c r="W96" s="18" t="str">
        <f>IF(A96="","",IFERROR(IF(LEN(INDEX(Suppliers!$F$9:$F$508,MATCH(D96,Suppliers!$D$9:$D$508,0))&amp;"")=0,"",INDEX(Suppliers!$F$9:$F$508,MATCH(D96,Suppliers!$D$9:$D$508,0))),""))</f>
        <v/>
      </c>
      <c r="X96" s="18" t="str">
        <f>IF(A96="","",IFERROR(IF(LEN(INDEX(Suppliers!$G$9:$G$508,MATCH(D96,Suppliers!$D$9:$D$508,0))&amp;"")=0,"",INDEX(Suppliers!$G$9:$G$508,MATCH(D96,Suppliers!$D$9:$D$508,0))),""))</f>
        <v/>
      </c>
      <c r="Y96" s="18" t="str">
        <f>IF(A96="","",IFERROR(INDEX(Jobs!$C$9:$C$258,MATCH(B96,Jobs!$A$9:$A$258,0)),""))</f>
        <v/>
      </c>
      <c r="Z96" s="18" t="str">
        <f>IF(A96="","",IFERROR(INDEX(Jobs!$B$9:$B$258,MATCH(B96,Jobs!$A$9:$A$258,0)),""))</f>
        <v/>
      </c>
      <c r="AA96" s="19" t="str">
        <f>IF(A96="","",IFERROR(VLOOKUP(I96,Lists!$E$9:$F$14,2,FALSE),0))</f>
        <v/>
      </c>
      <c r="AB96" s="19" t="str">
        <f t="shared" si="12"/>
        <v/>
      </c>
      <c r="AC96" s="19" t="str">
        <f t="shared" si="13"/>
        <v/>
      </c>
      <c r="AD96" s="19" t="str">
        <f t="shared" si="14"/>
        <v/>
      </c>
      <c r="AE96" s="19" t="str">
        <f t="shared" si="15"/>
        <v/>
      </c>
      <c r="AF96" s="19" t="str">
        <f t="shared" si="16"/>
        <v/>
      </c>
      <c r="AG96" s="27" t="str">
        <f t="shared" si="17"/>
        <v/>
      </c>
      <c r="AH96" s="19" t="str">
        <f t="shared" si="18"/>
        <v/>
      </c>
      <c r="AI96" s="19" t="str">
        <f t="shared" si="19"/>
        <v/>
      </c>
      <c r="AJ96" s="19" t="str">
        <f t="shared" si="20"/>
        <v/>
      </c>
      <c r="AK96" s="18" t="str">
        <f>IF(AND(A96&lt;&gt;"",F96="Selected"),COUNTIF($F$9:F96,"Selected"),"")</f>
        <v/>
      </c>
      <c r="AL96" s="18" t="str">
        <f>IF(A96="","",COUNTIF($B$9:B96,B96))</f>
        <v/>
      </c>
      <c r="AM96" s="18" t="str">
        <f>IF(A96="","",IF(COUNTIF(Jobs!$A$9:$A$258,B96)&lt;&gt;1,"Check JobID",IF(COUNTIF(Suppliers!$D$9:$D$508,D96)&lt;&gt;1,"Check contact",IF(AA96&lt;=0,"Currency / FX missing",IF(NOT(ISNUMBER(G96)),"Original price missing",IF(G96&lt;0,"Invalid original price",IF(AND(H96&lt;&gt;"",NOT(ISNUMBER(H96))),"Invalid final price",IF(AND(ISNUMBER(H96),H96&lt;0),"Invalid final price",IF(AND(F96="Selected",COUNTIFS($B$9:$B$258,B96,$E$9:$E$258,E96,$F$9:$F$258,"Selected")&gt;1),"Selected scope overlap",IF(AND(ISNUMBER(H96),H96&gt;G96),"Price increased",IF(LEN(H96&amp;"")=0,"Final price pending","OK")))))))))))</f>
        <v/>
      </c>
      <c r="AN96" s="19" t="str">
        <f t="shared" si="21"/>
        <v/>
      </c>
      <c r="AO96" s="18" t="str">
        <f>IF(A96="","",IFERROR(IF(INDEX(Suppliers!$A$9:$A$508,MATCH(D96,Suppliers!$D$9:$D$508,0))=C96,"OK","Contact / supplier mismatch"),"Contact missing"))</f>
        <v/>
      </c>
      <c r="AP96" s="18" t="str">
        <f>IF(OR(A96="",IFERROR(INDEX(Jobs!$P$9:$P$258,MATCH(B96,Jobs!$A$9:$A$258,0)),"")=""),"",HYPERLINK("#'"&amp;IFERROR(INDEX(Jobs!$P$9:$P$258,MATCH(B96,Jobs!$A$9:$A$258,0)),"")&amp;"'!A1","OPEN JOB"))</f>
        <v/>
      </c>
      <c r="AQ96" s="18"/>
      <c r="AR96" s="18"/>
      <c r="AS96" t="str">
        <f t="shared" si="22"/>
        <v/>
      </c>
      <c r="AT96" t="str">
        <f t="shared" si="23"/>
        <v/>
      </c>
    </row>
    <row r="97" spans="1:46" ht="40" customHeight="1" x14ac:dyDescent="0.35">
      <c r="A97" s="14"/>
      <c r="B97" s="37"/>
      <c r="C97" s="14"/>
      <c r="D97" s="15"/>
      <c r="E97" s="15"/>
      <c r="F97" s="15"/>
      <c r="G97" s="24"/>
      <c r="H97" s="24"/>
      <c r="I97" s="15"/>
      <c r="J97" s="17"/>
      <c r="K97" s="17"/>
      <c r="L97" s="17"/>
      <c r="M97" s="15"/>
      <c r="N97" s="15"/>
      <c r="O97" s="15"/>
      <c r="P97" s="15"/>
      <c r="Q97" s="15"/>
      <c r="R97" s="15"/>
      <c r="S97" s="14"/>
      <c r="T97" s="14"/>
      <c r="U97" s="14" t="str">
        <f>IF(A97="","",IFERROR(IF(LEN(INDEX(Suppliers!$B$9:$B$508,MATCH(C97,Suppliers!$A$9:$A$508,0))&amp;"")=0,"",INDEX(Suppliers!$B$9:$B$508,MATCH(C97,Suppliers!$A$9:$A$508,0))),""))</f>
        <v/>
      </c>
      <c r="V97" s="14" t="str">
        <f>IF(A97="","",IFERROR(IF(LEN(INDEX(Suppliers!$E$9:$E$508,MATCH(D97,Suppliers!$D$9:$D$508,0))&amp;"")=0,"",INDEX(Suppliers!$E$9:$E$508,MATCH(D97,Suppliers!$D$9:$D$508,0))),""))</f>
        <v/>
      </c>
      <c r="W97" s="14" t="str">
        <f>IF(A97="","",IFERROR(IF(LEN(INDEX(Suppliers!$F$9:$F$508,MATCH(D97,Suppliers!$D$9:$D$508,0))&amp;"")=0,"",INDEX(Suppliers!$F$9:$F$508,MATCH(D97,Suppliers!$D$9:$D$508,0))),""))</f>
        <v/>
      </c>
      <c r="X97" s="14" t="str">
        <f>IF(A97="","",IFERROR(IF(LEN(INDEX(Suppliers!$G$9:$G$508,MATCH(D97,Suppliers!$D$9:$D$508,0))&amp;"")=0,"",INDEX(Suppliers!$G$9:$G$508,MATCH(D97,Suppliers!$D$9:$D$508,0))),""))</f>
        <v/>
      </c>
      <c r="Y97" s="14" t="str">
        <f>IF(A97="","",IFERROR(INDEX(Jobs!$C$9:$C$258,MATCH(B97,Jobs!$A$9:$A$258,0)),""))</f>
        <v/>
      </c>
      <c r="Z97" s="14" t="str">
        <f>IF(A97="","",IFERROR(INDEX(Jobs!$B$9:$B$258,MATCH(B97,Jobs!$A$9:$A$258,0)),""))</f>
        <v/>
      </c>
      <c r="AA97" s="16" t="str">
        <f>IF(A97="","",IFERROR(VLOOKUP(I97,Lists!$E$9:$F$14,2,FALSE),0))</f>
        <v/>
      </c>
      <c r="AB97" s="16" t="str">
        <f t="shared" si="12"/>
        <v/>
      </c>
      <c r="AC97" s="16" t="str">
        <f t="shared" si="13"/>
        <v/>
      </c>
      <c r="AD97" s="16" t="str">
        <f t="shared" si="14"/>
        <v/>
      </c>
      <c r="AE97" s="16" t="str">
        <f t="shared" si="15"/>
        <v/>
      </c>
      <c r="AF97" s="16" t="str">
        <f t="shared" si="16"/>
        <v/>
      </c>
      <c r="AG97" s="26" t="str">
        <f t="shared" si="17"/>
        <v/>
      </c>
      <c r="AH97" s="16" t="str">
        <f t="shared" si="18"/>
        <v/>
      </c>
      <c r="AI97" s="16" t="str">
        <f t="shared" si="19"/>
        <v/>
      </c>
      <c r="AJ97" s="16" t="str">
        <f t="shared" si="20"/>
        <v/>
      </c>
      <c r="AK97" s="14" t="str">
        <f>IF(AND(A97&lt;&gt;"",F97="Selected"),COUNTIF($F$9:F97,"Selected"),"")</f>
        <v/>
      </c>
      <c r="AL97" s="14" t="str">
        <f>IF(A97="","",COUNTIF($B$9:B97,B97))</f>
        <v/>
      </c>
      <c r="AM97" s="14" t="str">
        <f>IF(A97="","",IF(COUNTIF(Jobs!$A$9:$A$258,B97)&lt;&gt;1,"Check JobID",IF(COUNTIF(Suppliers!$D$9:$D$508,D97)&lt;&gt;1,"Check contact",IF(AA97&lt;=0,"Currency / FX missing",IF(NOT(ISNUMBER(G97)),"Original price missing",IF(G97&lt;0,"Invalid original price",IF(AND(H97&lt;&gt;"",NOT(ISNUMBER(H97))),"Invalid final price",IF(AND(ISNUMBER(H97),H97&lt;0),"Invalid final price",IF(AND(F97="Selected",COUNTIFS($B$9:$B$258,B97,$E$9:$E$258,E97,$F$9:$F$258,"Selected")&gt;1),"Selected scope overlap",IF(AND(ISNUMBER(H97),H97&gt;G97),"Price increased",IF(LEN(H97&amp;"")=0,"Final price pending","OK")))))))))))</f>
        <v/>
      </c>
      <c r="AN97" s="16" t="str">
        <f t="shared" si="21"/>
        <v/>
      </c>
      <c r="AO97" s="14" t="str">
        <f>IF(A97="","",IFERROR(IF(INDEX(Suppliers!$A$9:$A$508,MATCH(D97,Suppliers!$D$9:$D$508,0))=C97,"OK","Contact / supplier mismatch"),"Contact missing"))</f>
        <v/>
      </c>
      <c r="AP97" s="14" t="str">
        <f>IF(OR(A97="",IFERROR(INDEX(Jobs!$P$9:$P$258,MATCH(B97,Jobs!$A$9:$A$258,0)),"")=""),"",HYPERLINK("#'"&amp;IFERROR(INDEX(Jobs!$P$9:$P$258,MATCH(B97,Jobs!$A$9:$A$258,0)),"")&amp;"'!A1","OPEN JOB"))</f>
        <v/>
      </c>
      <c r="AQ97" s="14"/>
      <c r="AR97" s="14"/>
      <c r="AS97" t="str">
        <f t="shared" si="22"/>
        <v/>
      </c>
      <c r="AT97" t="str">
        <f t="shared" si="23"/>
        <v/>
      </c>
    </row>
    <row r="98" spans="1:46" ht="40" customHeight="1" x14ac:dyDescent="0.35">
      <c r="A98" s="18"/>
      <c r="B98" s="37"/>
      <c r="C98" s="18"/>
      <c r="D98" s="15"/>
      <c r="E98" s="15"/>
      <c r="F98" s="15"/>
      <c r="G98" s="24"/>
      <c r="H98" s="24"/>
      <c r="I98" s="15"/>
      <c r="J98" s="17"/>
      <c r="K98" s="17"/>
      <c r="L98" s="17"/>
      <c r="M98" s="15"/>
      <c r="N98" s="15"/>
      <c r="O98" s="15"/>
      <c r="P98" s="15"/>
      <c r="Q98" s="15"/>
      <c r="R98" s="15"/>
      <c r="S98" s="18"/>
      <c r="T98" s="18"/>
      <c r="U98" s="18" t="str">
        <f>IF(A98="","",IFERROR(IF(LEN(INDEX(Suppliers!$B$9:$B$508,MATCH(C98,Suppliers!$A$9:$A$508,0))&amp;"")=0,"",INDEX(Suppliers!$B$9:$B$508,MATCH(C98,Suppliers!$A$9:$A$508,0))),""))</f>
        <v/>
      </c>
      <c r="V98" s="18" t="str">
        <f>IF(A98="","",IFERROR(IF(LEN(INDEX(Suppliers!$E$9:$E$508,MATCH(D98,Suppliers!$D$9:$D$508,0))&amp;"")=0,"",INDEX(Suppliers!$E$9:$E$508,MATCH(D98,Suppliers!$D$9:$D$508,0))),""))</f>
        <v/>
      </c>
      <c r="W98" s="18" t="str">
        <f>IF(A98="","",IFERROR(IF(LEN(INDEX(Suppliers!$F$9:$F$508,MATCH(D98,Suppliers!$D$9:$D$508,0))&amp;"")=0,"",INDEX(Suppliers!$F$9:$F$508,MATCH(D98,Suppliers!$D$9:$D$508,0))),""))</f>
        <v/>
      </c>
      <c r="X98" s="18" t="str">
        <f>IF(A98="","",IFERROR(IF(LEN(INDEX(Suppliers!$G$9:$G$508,MATCH(D98,Suppliers!$D$9:$D$508,0))&amp;"")=0,"",INDEX(Suppliers!$G$9:$G$508,MATCH(D98,Suppliers!$D$9:$D$508,0))),""))</f>
        <v/>
      </c>
      <c r="Y98" s="18" t="str">
        <f>IF(A98="","",IFERROR(INDEX(Jobs!$C$9:$C$258,MATCH(B98,Jobs!$A$9:$A$258,0)),""))</f>
        <v/>
      </c>
      <c r="Z98" s="18" t="str">
        <f>IF(A98="","",IFERROR(INDEX(Jobs!$B$9:$B$258,MATCH(B98,Jobs!$A$9:$A$258,0)),""))</f>
        <v/>
      </c>
      <c r="AA98" s="19" t="str">
        <f>IF(A98="","",IFERROR(VLOOKUP(I98,Lists!$E$9:$F$14,2,FALSE),0))</f>
        <v/>
      </c>
      <c r="AB98" s="19" t="str">
        <f t="shared" si="12"/>
        <v/>
      </c>
      <c r="AC98" s="19" t="str">
        <f t="shared" si="13"/>
        <v/>
      </c>
      <c r="AD98" s="19" t="str">
        <f t="shared" si="14"/>
        <v/>
      </c>
      <c r="AE98" s="19" t="str">
        <f t="shared" si="15"/>
        <v/>
      </c>
      <c r="AF98" s="19" t="str">
        <f t="shared" si="16"/>
        <v/>
      </c>
      <c r="AG98" s="27" t="str">
        <f t="shared" si="17"/>
        <v/>
      </c>
      <c r="AH98" s="19" t="str">
        <f t="shared" si="18"/>
        <v/>
      </c>
      <c r="AI98" s="19" t="str">
        <f t="shared" si="19"/>
        <v/>
      </c>
      <c r="AJ98" s="19" t="str">
        <f t="shared" si="20"/>
        <v/>
      </c>
      <c r="AK98" s="18" t="str">
        <f>IF(AND(A98&lt;&gt;"",F98="Selected"),COUNTIF($F$9:F98,"Selected"),"")</f>
        <v/>
      </c>
      <c r="AL98" s="18" t="str">
        <f>IF(A98="","",COUNTIF($B$9:B98,B98))</f>
        <v/>
      </c>
      <c r="AM98" s="18" t="str">
        <f>IF(A98="","",IF(COUNTIF(Jobs!$A$9:$A$258,B98)&lt;&gt;1,"Check JobID",IF(COUNTIF(Suppliers!$D$9:$D$508,D98)&lt;&gt;1,"Check contact",IF(AA98&lt;=0,"Currency / FX missing",IF(NOT(ISNUMBER(G98)),"Original price missing",IF(G98&lt;0,"Invalid original price",IF(AND(H98&lt;&gt;"",NOT(ISNUMBER(H98))),"Invalid final price",IF(AND(ISNUMBER(H98),H98&lt;0),"Invalid final price",IF(AND(F98="Selected",COUNTIFS($B$9:$B$258,B98,$E$9:$E$258,E98,$F$9:$F$258,"Selected")&gt;1),"Selected scope overlap",IF(AND(ISNUMBER(H98),H98&gt;G98),"Price increased",IF(LEN(H98&amp;"")=0,"Final price pending","OK")))))))))))</f>
        <v/>
      </c>
      <c r="AN98" s="19" t="str">
        <f t="shared" si="21"/>
        <v/>
      </c>
      <c r="AO98" s="18" t="str">
        <f>IF(A98="","",IFERROR(IF(INDEX(Suppliers!$A$9:$A$508,MATCH(D98,Suppliers!$D$9:$D$508,0))=C98,"OK","Contact / supplier mismatch"),"Contact missing"))</f>
        <v/>
      </c>
      <c r="AP98" s="18" t="str">
        <f>IF(OR(A98="",IFERROR(INDEX(Jobs!$P$9:$P$258,MATCH(B98,Jobs!$A$9:$A$258,0)),"")=""),"",HYPERLINK("#'"&amp;IFERROR(INDEX(Jobs!$P$9:$P$258,MATCH(B98,Jobs!$A$9:$A$258,0)),"")&amp;"'!A1","OPEN JOB"))</f>
        <v/>
      </c>
      <c r="AQ98" s="18"/>
      <c r="AR98" s="18"/>
      <c r="AS98" t="str">
        <f t="shared" si="22"/>
        <v/>
      </c>
      <c r="AT98" t="str">
        <f t="shared" si="23"/>
        <v/>
      </c>
    </row>
    <row r="99" spans="1:46" ht="40" customHeight="1" x14ac:dyDescent="0.35">
      <c r="A99" s="14"/>
      <c r="B99" s="37"/>
      <c r="C99" s="14"/>
      <c r="D99" s="15"/>
      <c r="E99" s="15"/>
      <c r="F99" s="15"/>
      <c r="G99" s="24"/>
      <c r="H99" s="24"/>
      <c r="I99" s="15"/>
      <c r="J99" s="17"/>
      <c r="K99" s="17"/>
      <c r="L99" s="17"/>
      <c r="M99" s="15"/>
      <c r="N99" s="15"/>
      <c r="O99" s="15"/>
      <c r="P99" s="15"/>
      <c r="Q99" s="15"/>
      <c r="R99" s="15"/>
      <c r="S99" s="14"/>
      <c r="T99" s="14"/>
      <c r="U99" s="14" t="str">
        <f>IF(A99="","",IFERROR(IF(LEN(INDEX(Suppliers!$B$9:$B$508,MATCH(C99,Suppliers!$A$9:$A$508,0))&amp;"")=0,"",INDEX(Suppliers!$B$9:$B$508,MATCH(C99,Suppliers!$A$9:$A$508,0))),""))</f>
        <v/>
      </c>
      <c r="V99" s="14" t="str">
        <f>IF(A99="","",IFERROR(IF(LEN(INDEX(Suppliers!$E$9:$E$508,MATCH(D99,Suppliers!$D$9:$D$508,0))&amp;"")=0,"",INDEX(Suppliers!$E$9:$E$508,MATCH(D99,Suppliers!$D$9:$D$508,0))),""))</f>
        <v/>
      </c>
      <c r="W99" s="14" t="str">
        <f>IF(A99="","",IFERROR(IF(LEN(INDEX(Suppliers!$F$9:$F$508,MATCH(D99,Suppliers!$D$9:$D$508,0))&amp;"")=0,"",INDEX(Suppliers!$F$9:$F$508,MATCH(D99,Suppliers!$D$9:$D$508,0))),""))</f>
        <v/>
      </c>
      <c r="X99" s="14" t="str">
        <f>IF(A99="","",IFERROR(IF(LEN(INDEX(Suppliers!$G$9:$G$508,MATCH(D99,Suppliers!$D$9:$D$508,0))&amp;"")=0,"",INDEX(Suppliers!$G$9:$G$508,MATCH(D99,Suppliers!$D$9:$D$508,0))),""))</f>
        <v/>
      </c>
      <c r="Y99" s="14" t="str">
        <f>IF(A99="","",IFERROR(INDEX(Jobs!$C$9:$C$258,MATCH(B99,Jobs!$A$9:$A$258,0)),""))</f>
        <v/>
      </c>
      <c r="Z99" s="14" t="str">
        <f>IF(A99="","",IFERROR(INDEX(Jobs!$B$9:$B$258,MATCH(B99,Jobs!$A$9:$A$258,0)),""))</f>
        <v/>
      </c>
      <c r="AA99" s="16" t="str">
        <f>IF(A99="","",IFERROR(VLOOKUP(I99,Lists!$E$9:$F$14,2,FALSE),0))</f>
        <v/>
      </c>
      <c r="AB99" s="16" t="str">
        <f t="shared" si="12"/>
        <v/>
      </c>
      <c r="AC99" s="16" t="str">
        <f t="shared" si="13"/>
        <v/>
      </c>
      <c r="AD99" s="16" t="str">
        <f t="shared" si="14"/>
        <v/>
      </c>
      <c r="AE99" s="16" t="str">
        <f t="shared" si="15"/>
        <v/>
      </c>
      <c r="AF99" s="16" t="str">
        <f t="shared" si="16"/>
        <v/>
      </c>
      <c r="AG99" s="26" t="str">
        <f t="shared" si="17"/>
        <v/>
      </c>
      <c r="AH99" s="16" t="str">
        <f t="shared" si="18"/>
        <v/>
      </c>
      <c r="AI99" s="16" t="str">
        <f t="shared" si="19"/>
        <v/>
      </c>
      <c r="AJ99" s="16" t="str">
        <f t="shared" si="20"/>
        <v/>
      </c>
      <c r="AK99" s="14" t="str">
        <f>IF(AND(A99&lt;&gt;"",F99="Selected"),COUNTIF($F$9:F99,"Selected"),"")</f>
        <v/>
      </c>
      <c r="AL99" s="14" t="str">
        <f>IF(A99="","",COUNTIF($B$9:B99,B99))</f>
        <v/>
      </c>
      <c r="AM99" s="14" t="str">
        <f>IF(A99="","",IF(COUNTIF(Jobs!$A$9:$A$258,B99)&lt;&gt;1,"Check JobID",IF(COUNTIF(Suppliers!$D$9:$D$508,D99)&lt;&gt;1,"Check contact",IF(AA99&lt;=0,"Currency / FX missing",IF(NOT(ISNUMBER(G99)),"Original price missing",IF(G99&lt;0,"Invalid original price",IF(AND(H99&lt;&gt;"",NOT(ISNUMBER(H99))),"Invalid final price",IF(AND(ISNUMBER(H99),H99&lt;0),"Invalid final price",IF(AND(F99="Selected",COUNTIFS($B$9:$B$258,B99,$E$9:$E$258,E99,$F$9:$F$258,"Selected")&gt;1),"Selected scope overlap",IF(AND(ISNUMBER(H99),H99&gt;G99),"Price increased",IF(LEN(H99&amp;"")=0,"Final price pending","OK")))))))))))</f>
        <v/>
      </c>
      <c r="AN99" s="16" t="str">
        <f t="shared" si="21"/>
        <v/>
      </c>
      <c r="AO99" s="14" t="str">
        <f>IF(A99="","",IFERROR(IF(INDEX(Suppliers!$A$9:$A$508,MATCH(D99,Suppliers!$D$9:$D$508,0))=C99,"OK","Contact / supplier mismatch"),"Contact missing"))</f>
        <v/>
      </c>
      <c r="AP99" s="14" t="str">
        <f>IF(OR(A99="",IFERROR(INDEX(Jobs!$P$9:$P$258,MATCH(B99,Jobs!$A$9:$A$258,0)),"")=""),"",HYPERLINK("#'"&amp;IFERROR(INDEX(Jobs!$P$9:$P$258,MATCH(B99,Jobs!$A$9:$A$258,0)),"")&amp;"'!A1","OPEN JOB"))</f>
        <v/>
      </c>
      <c r="AQ99" s="14"/>
      <c r="AR99" s="14"/>
      <c r="AS99" t="str">
        <f t="shared" si="22"/>
        <v/>
      </c>
      <c r="AT99" t="str">
        <f t="shared" si="23"/>
        <v/>
      </c>
    </row>
    <row r="100" spans="1:46" ht="40" customHeight="1" x14ac:dyDescent="0.35">
      <c r="A100" s="18"/>
      <c r="B100" s="37"/>
      <c r="C100" s="18"/>
      <c r="D100" s="15"/>
      <c r="E100" s="15"/>
      <c r="F100" s="15"/>
      <c r="G100" s="24"/>
      <c r="H100" s="24"/>
      <c r="I100" s="15"/>
      <c r="J100" s="17"/>
      <c r="K100" s="17"/>
      <c r="L100" s="17"/>
      <c r="M100" s="15"/>
      <c r="N100" s="15"/>
      <c r="O100" s="15"/>
      <c r="P100" s="15"/>
      <c r="Q100" s="15"/>
      <c r="R100" s="15"/>
      <c r="S100" s="18"/>
      <c r="T100" s="18"/>
      <c r="U100" s="18" t="str">
        <f>IF(A100="","",IFERROR(IF(LEN(INDEX(Suppliers!$B$9:$B$508,MATCH(C100,Suppliers!$A$9:$A$508,0))&amp;"")=0,"",INDEX(Suppliers!$B$9:$B$508,MATCH(C100,Suppliers!$A$9:$A$508,0))),""))</f>
        <v/>
      </c>
      <c r="V100" s="18" t="str">
        <f>IF(A100="","",IFERROR(IF(LEN(INDEX(Suppliers!$E$9:$E$508,MATCH(D100,Suppliers!$D$9:$D$508,0))&amp;"")=0,"",INDEX(Suppliers!$E$9:$E$508,MATCH(D100,Suppliers!$D$9:$D$508,0))),""))</f>
        <v/>
      </c>
      <c r="W100" s="18" t="str">
        <f>IF(A100="","",IFERROR(IF(LEN(INDEX(Suppliers!$F$9:$F$508,MATCH(D100,Suppliers!$D$9:$D$508,0))&amp;"")=0,"",INDEX(Suppliers!$F$9:$F$508,MATCH(D100,Suppliers!$D$9:$D$508,0))),""))</f>
        <v/>
      </c>
      <c r="X100" s="18" t="str">
        <f>IF(A100="","",IFERROR(IF(LEN(INDEX(Suppliers!$G$9:$G$508,MATCH(D100,Suppliers!$D$9:$D$508,0))&amp;"")=0,"",INDEX(Suppliers!$G$9:$G$508,MATCH(D100,Suppliers!$D$9:$D$508,0))),""))</f>
        <v/>
      </c>
      <c r="Y100" s="18" t="str">
        <f>IF(A100="","",IFERROR(INDEX(Jobs!$C$9:$C$258,MATCH(B100,Jobs!$A$9:$A$258,0)),""))</f>
        <v/>
      </c>
      <c r="Z100" s="18" t="str">
        <f>IF(A100="","",IFERROR(INDEX(Jobs!$B$9:$B$258,MATCH(B100,Jobs!$A$9:$A$258,0)),""))</f>
        <v/>
      </c>
      <c r="AA100" s="19" t="str">
        <f>IF(A100="","",IFERROR(VLOOKUP(I100,Lists!$E$9:$F$14,2,FALSE),0))</f>
        <v/>
      </c>
      <c r="AB100" s="19" t="str">
        <f t="shared" si="12"/>
        <v/>
      </c>
      <c r="AC100" s="19" t="str">
        <f t="shared" si="13"/>
        <v/>
      </c>
      <c r="AD100" s="19" t="str">
        <f t="shared" si="14"/>
        <v/>
      </c>
      <c r="AE100" s="19" t="str">
        <f t="shared" si="15"/>
        <v/>
      </c>
      <c r="AF100" s="19" t="str">
        <f t="shared" si="16"/>
        <v/>
      </c>
      <c r="AG100" s="27" t="str">
        <f t="shared" si="17"/>
        <v/>
      </c>
      <c r="AH100" s="19" t="str">
        <f t="shared" si="18"/>
        <v/>
      </c>
      <c r="AI100" s="19" t="str">
        <f t="shared" si="19"/>
        <v/>
      </c>
      <c r="AJ100" s="19" t="str">
        <f t="shared" si="20"/>
        <v/>
      </c>
      <c r="AK100" s="18" t="str">
        <f>IF(AND(A100&lt;&gt;"",F100="Selected"),COUNTIF($F$9:F100,"Selected"),"")</f>
        <v/>
      </c>
      <c r="AL100" s="18" t="str">
        <f>IF(A100="","",COUNTIF($B$9:B100,B100))</f>
        <v/>
      </c>
      <c r="AM100" s="18" t="str">
        <f>IF(A100="","",IF(COUNTIF(Jobs!$A$9:$A$258,B100)&lt;&gt;1,"Check JobID",IF(COUNTIF(Suppliers!$D$9:$D$508,D100)&lt;&gt;1,"Check contact",IF(AA100&lt;=0,"Currency / FX missing",IF(NOT(ISNUMBER(G100)),"Original price missing",IF(G100&lt;0,"Invalid original price",IF(AND(H100&lt;&gt;"",NOT(ISNUMBER(H100))),"Invalid final price",IF(AND(ISNUMBER(H100),H100&lt;0),"Invalid final price",IF(AND(F100="Selected",COUNTIFS($B$9:$B$258,B100,$E$9:$E$258,E100,$F$9:$F$258,"Selected")&gt;1),"Selected scope overlap",IF(AND(ISNUMBER(H100),H100&gt;G100),"Price increased",IF(LEN(H100&amp;"")=0,"Final price pending","OK")))))))))))</f>
        <v/>
      </c>
      <c r="AN100" s="19" t="str">
        <f t="shared" si="21"/>
        <v/>
      </c>
      <c r="AO100" s="18" t="str">
        <f>IF(A100="","",IFERROR(IF(INDEX(Suppliers!$A$9:$A$508,MATCH(D100,Suppliers!$D$9:$D$508,0))=C100,"OK","Contact / supplier mismatch"),"Contact missing"))</f>
        <v/>
      </c>
      <c r="AP100" s="18" t="str">
        <f>IF(OR(A100="",IFERROR(INDEX(Jobs!$P$9:$P$258,MATCH(B100,Jobs!$A$9:$A$258,0)),"")=""),"",HYPERLINK("#'"&amp;IFERROR(INDEX(Jobs!$P$9:$P$258,MATCH(B100,Jobs!$A$9:$A$258,0)),"")&amp;"'!A1","OPEN JOB"))</f>
        <v/>
      </c>
      <c r="AQ100" s="18"/>
      <c r="AR100" s="18"/>
      <c r="AS100" t="str">
        <f t="shared" si="22"/>
        <v/>
      </c>
      <c r="AT100" t="str">
        <f t="shared" si="23"/>
        <v/>
      </c>
    </row>
    <row r="101" spans="1:46" ht="40" customHeight="1" x14ac:dyDescent="0.35">
      <c r="A101" s="14"/>
      <c r="B101" s="37"/>
      <c r="C101" s="14"/>
      <c r="D101" s="15"/>
      <c r="E101" s="15"/>
      <c r="F101" s="15"/>
      <c r="G101" s="24"/>
      <c r="H101" s="24"/>
      <c r="I101" s="15"/>
      <c r="J101" s="17"/>
      <c r="K101" s="17"/>
      <c r="L101" s="17"/>
      <c r="M101" s="15"/>
      <c r="N101" s="15"/>
      <c r="O101" s="15"/>
      <c r="P101" s="15"/>
      <c r="Q101" s="15"/>
      <c r="R101" s="15"/>
      <c r="S101" s="14"/>
      <c r="T101" s="14"/>
      <c r="U101" s="14" t="str">
        <f>IF(A101="","",IFERROR(IF(LEN(INDEX(Suppliers!$B$9:$B$508,MATCH(C101,Suppliers!$A$9:$A$508,0))&amp;"")=0,"",INDEX(Suppliers!$B$9:$B$508,MATCH(C101,Suppliers!$A$9:$A$508,0))),""))</f>
        <v/>
      </c>
      <c r="V101" s="14" t="str">
        <f>IF(A101="","",IFERROR(IF(LEN(INDEX(Suppliers!$E$9:$E$508,MATCH(D101,Suppliers!$D$9:$D$508,0))&amp;"")=0,"",INDEX(Suppliers!$E$9:$E$508,MATCH(D101,Suppliers!$D$9:$D$508,0))),""))</f>
        <v/>
      </c>
      <c r="W101" s="14" t="str">
        <f>IF(A101="","",IFERROR(IF(LEN(INDEX(Suppliers!$F$9:$F$508,MATCH(D101,Suppliers!$D$9:$D$508,0))&amp;"")=0,"",INDEX(Suppliers!$F$9:$F$508,MATCH(D101,Suppliers!$D$9:$D$508,0))),""))</f>
        <v/>
      </c>
      <c r="X101" s="14" t="str">
        <f>IF(A101="","",IFERROR(IF(LEN(INDEX(Suppliers!$G$9:$G$508,MATCH(D101,Suppliers!$D$9:$D$508,0))&amp;"")=0,"",INDEX(Suppliers!$G$9:$G$508,MATCH(D101,Suppliers!$D$9:$D$508,0))),""))</f>
        <v/>
      </c>
      <c r="Y101" s="14" t="str">
        <f>IF(A101="","",IFERROR(INDEX(Jobs!$C$9:$C$258,MATCH(B101,Jobs!$A$9:$A$258,0)),""))</f>
        <v/>
      </c>
      <c r="Z101" s="14" t="str">
        <f>IF(A101="","",IFERROR(INDEX(Jobs!$B$9:$B$258,MATCH(B101,Jobs!$A$9:$A$258,0)),""))</f>
        <v/>
      </c>
      <c r="AA101" s="16" t="str">
        <f>IF(A101="","",IFERROR(VLOOKUP(I101,Lists!$E$9:$F$14,2,FALSE),0))</f>
        <v/>
      </c>
      <c r="AB101" s="16" t="str">
        <f t="shared" si="12"/>
        <v/>
      </c>
      <c r="AC101" s="16" t="str">
        <f t="shared" si="13"/>
        <v/>
      </c>
      <c r="AD101" s="16" t="str">
        <f t="shared" si="14"/>
        <v/>
      </c>
      <c r="AE101" s="16" t="str">
        <f t="shared" si="15"/>
        <v/>
      </c>
      <c r="AF101" s="16" t="str">
        <f t="shared" si="16"/>
        <v/>
      </c>
      <c r="AG101" s="26" t="str">
        <f t="shared" si="17"/>
        <v/>
      </c>
      <c r="AH101" s="16" t="str">
        <f t="shared" si="18"/>
        <v/>
      </c>
      <c r="AI101" s="16" t="str">
        <f t="shared" si="19"/>
        <v/>
      </c>
      <c r="AJ101" s="16" t="str">
        <f t="shared" si="20"/>
        <v/>
      </c>
      <c r="AK101" s="14" t="str">
        <f>IF(AND(A101&lt;&gt;"",F101="Selected"),COUNTIF($F$9:F101,"Selected"),"")</f>
        <v/>
      </c>
      <c r="AL101" s="14" t="str">
        <f>IF(A101="","",COUNTIF($B$9:B101,B101))</f>
        <v/>
      </c>
      <c r="AM101" s="14" t="str">
        <f>IF(A101="","",IF(COUNTIF(Jobs!$A$9:$A$258,B101)&lt;&gt;1,"Check JobID",IF(COUNTIF(Suppliers!$D$9:$D$508,D101)&lt;&gt;1,"Check contact",IF(AA101&lt;=0,"Currency / FX missing",IF(NOT(ISNUMBER(G101)),"Original price missing",IF(G101&lt;0,"Invalid original price",IF(AND(H101&lt;&gt;"",NOT(ISNUMBER(H101))),"Invalid final price",IF(AND(ISNUMBER(H101),H101&lt;0),"Invalid final price",IF(AND(F101="Selected",COUNTIFS($B$9:$B$258,B101,$E$9:$E$258,E101,$F$9:$F$258,"Selected")&gt;1),"Selected scope overlap",IF(AND(ISNUMBER(H101),H101&gt;G101),"Price increased",IF(LEN(H101&amp;"")=0,"Final price pending","OK")))))))))))</f>
        <v/>
      </c>
      <c r="AN101" s="16" t="str">
        <f t="shared" si="21"/>
        <v/>
      </c>
      <c r="AO101" s="14" t="str">
        <f>IF(A101="","",IFERROR(IF(INDEX(Suppliers!$A$9:$A$508,MATCH(D101,Suppliers!$D$9:$D$508,0))=C101,"OK","Contact / supplier mismatch"),"Contact missing"))</f>
        <v/>
      </c>
      <c r="AP101" s="14" t="str">
        <f>IF(OR(A101="",IFERROR(INDEX(Jobs!$P$9:$P$258,MATCH(B101,Jobs!$A$9:$A$258,0)),"")=""),"",HYPERLINK("#'"&amp;IFERROR(INDEX(Jobs!$P$9:$P$258,MATCH(B101,Jobs!$A$9:$A$258,0)),"")&amp;"'!A1","OPEN JOB"))</f>
        <v/>
      </c>
      <c r="AQ101" s="14"/>
      <c r="AR101" s="14"/>
      <c r="AS101" t="str">
        <f t="shared" si="22"/>
        <v/>
      </c>
      <c r="AT101" t="str">
        <f t="shared" si="23"/>
        <v/>
      </c>
    </row>
    <row r="102" spans="1:46" ht="40" customHeight="1" x14ac:dyDescent="0.35">
      <c r="A102" s="18"/>
      <c r="B102" s="37"/>
      <c r="C102" s="18"/>
      <c r="D102" s="15"/>
      <c r="E102" s="15"/>
      <c r="F102" s="15"/>
      <c r="G102" s="24"/>
      <c r="H102" s="24"/>
      <c r="I102" s="15"/>
      <c r="J102" s="17"/>
      <c r="K102" s="17"/>
      <c r="L102" s="17"/>
      <c r="M102" s="15"/>
      <c r="N102" s="15"/>
      <c r="O102" s="15"/>
      <c r="P102" s="15"/>
      <c r="Q102" s="15"/>
      <c r="R102" s="15"/>
      <c r="S102" s="18"/>
      <c r="T102" s="18"/>
      <c r="U102" s="18" t="str">
        <f>IF(A102="","",IFERROR(IF(LEN(INDEX(Suppliers!$B$9:$B$508,MATCH(C102,Suppliers!$A$9:$A$508,0))&amp;"")=0,"",INDEX(Suppliers!$B$9:$B$508,MATCH(C102,Suppliers!$A$9:$A$508,0))),""))</f>
        <v/>
      </c>
      <c r="V102" s="18" t="str">
        <f>IF(A102="","",IFERROR(IF(LEN(INDEX(Suppliers!$E$9:$E$508,MATCH(D102,Suppliers!$D$9:$D$508,0))&amp;"")=0,"",INDEX(Suppliers!$E$9:$E$508,MATCH(D102,Suppliers!$D$9:$D$508,0))),""))</f>
        <v/>
      </c>
      <c r="W102" s="18" t="str">
        <f>IF(A102="","",IFERROR(IF(LEN(INDEX(Suppliers!$F$9:$F$508,MATCH(D102,Suppliers!$D$9:$D$508,0))&amp;"")=0,"",INDEX(Suppliers!$F$9:$F$508,MATCH(D102,Suppliers!$D$9:$D$508,0))),""))</f>
        <v/>
      </c>
      <c r="X102" s="18" t="str">
        <f>IF(A102="","",IFERROR(IF(LEN(INDEX(Suppliers!$G$9:$G$508,MATCH(D102,Suppliers!$D$9:$D$508,0))&amp;"")=0,"",INDEX(Suppliers!$G$9:$G$508,MATCH(D102,Suppliers!$D$9:$D$508,0))),""))</f>
        <v/>
      </c>
      <c r="Y102" s="18" t="str">
        <f>IF(A102="","",IFERROR(INDEX(Jobs!$C$9:$C$258,MATCH(B102,Jobs!$A$9:$A$258,0)),""))</f>
        <v/>
      </c>
      <c r="Z102" s="18" t="str">
        <f>IF(A102="","",IFERROR(INDEX(Jobs!$B$9:$B$258,MATCH(B102,Jobs!$A$9:$A$258,0)),""))</f>
        <v/>
      </c>
      <c r="AA102" s="19" t="str">
        <f>IF(A102="","",IFERROR(VLOOKUP(I102,Lists!$E$9:$F$14,2,FALSE),0))</f>
        <v/>
      </c>
      <c r="AB102" s="19" t="str">
        <f t="shared" si="12"/>
        <v/>
      </c>
      <c r="AC102" s="19" t="str">
        <f t="shared" si="13"/>
        <v/>
      </c>
      <c r="AD102" s="19" t="str">
        <f t="shared" si="14"/>
        <v/>
      </c>
      <c r="AE102" s="19" t="str">
        <f t="shared" si="15"/>
        <v/>
      </c>
      <c r="AF102" s="19" t="str">
        <f t="shared" si="16"/>
        <v/>
      </c>
      <c r="AG102" s="27" t="str">
        <f t="shared" si="17"/>
        <v/>
      </c>
      <c r="AH102" s="19" t="str">
        <f t="shared" si="18"/>
        <v/>
      </c>
      <c r="AI102" s="19" t="str">
        <f t="shared" si="19"/>
        <v/>
      </c>
      <c r="AJ102" s="19" t="str">
        <f t="shared" si="20"/>
        <v/>
      </c>
      <c r="AK102" s="18" t="str">
        <f>IF(AND(A102&lt;&gt;"",F102="Selected"),COUNTIF($F$9:F102,"Selected"),"")</f>
        <v/>
      </c>
      <c r="AL102" s="18" t="str">
        <f>IF(A102="","",COUNTIF($B$9:B102,B102))</f>
        <v/>
      </c>
      <c r="AM102" s="18" t="str">
        <f>IF(A102="","",IF(COUNTIF(Jobs!$A$9:$A$258,B102)&lt;&gt;1,"Check JobID",IF(COUNTIF(Suppliers!$D$9:$D$508,D102)&lt;&gt;1,"Check contact",IF(AA102&lt;=0,"Currency / FX missing",IF(NOT(ISNUMBER(G102)),"Original price missing",IF(G102&lt;0,"Invalid original price",IF(AND(H102&lt;&gt;"",NOT(ISNUMBER(H102))),"Invalid final price",IF(AND(ISNUMBER(H102),H102&lt;0),"Invalid final price",IF(AND(F102="Selected",COUNTIFS($B$9:$B$258,B102,$E$9:$E$258,E102,$F$9:$F$258,"Selected")&gt;1),"Selected scope overlap",IF(AND(ISNUMBER(H102),H102&gt;G102),"Price increased",IF(LEN(H102&amp;"")=0,"Final price pending","OK")))))))))))</f>
        <v/>
      </c>
      <c r="AN102" s="19" t="str">
        <f t="shared" si="21"/>
        <v/>
      </c>
      <c r="AO102" s="18" t="str">
        <f>IF(A102="","",IFERROR(IF(INDEX(Suppliers!$A$9:$A$508,MATCH(D102,Suppliers!$D$9:$D$508,0))=C102,"OK","Contact / supplier mismatch"),"Contact missing"))</f>
        <v/>
      </c>
      <c r="AP102" s="18" t="str">
        <f>IF(OR(A102="",IFERROR(INDEX(Jobs!$P$9:$P$258,MATCH(B102,Jobs!$A$9:$A$258,0)),"")=""),"",HYPERLINK("#'"&amp;IFERROR(INDEX(Jobs!$P$9:$P$258,MATCH(B102,Jobs!$A$9:$A$258,0)),"")&amp;"'!A1","OPEN JOB"))</f>
        <v/>
      </c>
      <c r="AQ102" s="18"/>
      <c r="AR102" s="18"/>
      <c r="AS102" t="str">
        <f t="shared" si="22"/>
        <v/>
      </c>
      <c r="AT102" t="str">
        <f t="shared" si="23"/>
        <v/>
      </c>
    </row>
    <row r="103" spans="1:46" ht="40" customHeight="1" x14ac:dyDescent="0.35">
      <c r="A103" s="14"/>
      <c r="B103" s="37"/>
      <c r="C103" s="14"/>
      <c r="D103" s="15"/>
      <c r="E103" s="15"/>
      <c r="F103" s="15"/>
      <c r="G103" s="24"/>
      <c r="H103" s="24"/>
      <c r="I103" s="15"/>
      <c r="J103" s="17"/>
      <c r="K103" s="17"/>
      <c r="L103" s="17"/>
      <c r="M103" s="15"/>
      <c r="N103" s="15"/>
      <c r="O103" s="15"/>
      <c r="P103" s="15"/>
      <c r="Q103" s="15"/>
      <c r="R103" s="15"/>
      <c r="S103" s="14"/>
      <c r="T103" s="14"/>
      <c r="U103" s="14" t="str">
        <f>IF(A103="","",IFERROR(IF(LEN(INDEX(Suppliers!$B$9:$B$508,MATCH(C103,Suppliers!$A$9:$A$508,0))&amp;"")=0,"",INDEX(Suppliers!$B$9:$B$508,MATCH(C103,Suppliers!$A$9:$A$508,0))),""))</f>
        <v/>
      </c>
      <c r="V103" s="14" t="str">
        <f>IF(A103="","",IFERROR(IF(LEN(INDEX(Suppliers!$E$9:$E$508,MATCH(D103,Suppliers!$D$9:$D$508,0))&amp;"")=0,"",INDEX(Suppliers!$E$9:$E$508,MATCH(D103,Suppliers!$D$9:$D$508,0))),""))</f>
        <v/>
      </c>
      <c r="W103" s="14" t="str">
        <f>IF(A103="","",IFERROR(IF(LEN(INDEX(Suppliers!$F$9:$F$508,MATCH(D103,Suppliers!$D$9:$D$508,0))&amp;"")=0,"",INDEX(Suppliers!$F$9:$F$508,MATCH(D103,Suppliers!$D$9:$D$508,0))),""))</f>
        <v/>
      </c>
      <c r="X103" s="14" t="str">
        <f>IF(A103="","",IFERROR(IF(LEN(INDEX(Suppliers!$G$9:$G$508,MATCH(D103,Suppliers!$D$9:$D$508,0))&amp;"")=0,"",INDEX(Suppliers!$G$9:$G$508,MATCH(D103,Suppliers!$D$9:$D$508,0))),""))</f>
        <v/>
      </c>
      <c r="Y103" s="14" t="str">
        <f>IF(A103="","",IFERROR(INDEX(Jobs!$C$9:$C$258,MATCH(B103,Jobs!$A$9:$A$258,0)),""))</f>
        <v/>
      </c>
      <c r="Z103" s="14" t="str">
        <f>IF(A103="","",IFERROR(INDEX(Jobs!$B$9:$B$258,MATCH(B103,Jobs!$A$9:$A$258,0)),""))</f>
        <v/>
      </c>
      <c r="AA103" s="16" t="str">
        <f>IF(A103="","",IFERROR(VLOOKUP(I103,Lists!$E$9:$F$14,2,FALSE),0))</f>
        <v/>
      </c>
      <c r="AB103" s="16" t="str">
        <f t="shared" si="12"/>
        <v/>
      </c>
      <c r="AC103" s="16" t="str">
        <f t="shared" si="13"/>
        <v/>
      </c>
      <c r="AD103" s="16" t="str">
        <f t="shared" si="14"/>
        <v/>
      </c>
      <c r="AE103" s="16" t="str">
        <f t="shared" si="15"/>
        <v/>
      </c>
      <c r="AF103" s="16" t="str">
        <f t="shared" si="16"/>
        <v/>
      </c>
      <c r="AG103" s="26" t="str">
        <f t="shared" si="17"/>
        <v/>
      </c>
      <c r="AH103" s="16" t="str">
        <f t="shared" si="18"/>
        <v/>
      </c>
      <c r="AI103" s="16" t="str">
        <f t="shared" si="19"/>
        <v/>
      </c>
      <c r="AJ103" s="16" t="str">
        <f t="shared" si="20"/>
        <v/>
      </c>
      <c r="AK103" s="14" t="str">
        <f>IF(AND(A103&lt;&gt;"",F103="Selected"),COUNTIF($F$9:F103,"Selected"),"")</f>
        <v/>
      </c>
      <c r="AL103" s="14" t="str">
        <f>IF(A103="","",COUNTIF($B$9:B103,B103))</f>
        <v/>
      </c>
      <c r="AM103" s="14" t="str">
        <f>IF(A103="","",IF(COUNTIF(Jobs!$A$9:$A$258,B103)&lt;&gt;1,"Check JobID",IF(COUNTIF(Suppliers!$D$9:$D$508,D103)&lt;&gt;1,"Check contact",IF(AA103&lt;=0,"Currency / FX missing",IF(NOT(ISNUMBER(G103)),"Original price missing",IF(G103&lt;0,"Invalid original price",IF(AND(H103&lt;&gt;"",NOT(ISNUMBER(H103))),"Invalid final price",IF(AND(ISNUMBER(H103),H103&lt;0),"Invalid final price",IF(AND(F103="Selected",COUNTIFS($B$9:$B$258,B103,$E$9:$E$258,E103,$F$9:$F$258,"Selected")&gt;1),"Selected scope overlap",IF(AND(ISNUMBER(H103),H103&gt;G103),"Price increased",IF(LEN(H103&amp;"")=0,"Final price pending","OK")))))))))))</f>
        <v/>
      </c>
      <c r="AN103" s="16" t="str">
        <f t="shared" si="21"/>
        <v/>
      </c>
      <c r="AO103" s="14" t="str">
        <f>IF(A103="","",IFERROR(IF(INDEX(Suppliers!$A$9:$A$508,MATCH(D103,Suppliers!$D$9:$D$508,0))=C103,"OK","Contact / supplier mismatch"),"Contact missing"))</f>
        <v/>
      </c>
      <c r="AP103" s="14" t="str">
        <f>IF(OR(A103="",IFERROR(INDEX(Jobs!$P$9:$P$258,MATCH(B103,Jobs!$A$9:$A$258,0)),"")=""),"",HYPERLINK("#'"&amp;IFERROR(INDEX(Jobs!$P$9:$P$258,MATCH(B103,Jobs!$A$9:$A$258,0)),"")&amp;"'!A1","OPEN JOB"))</f>
        <v/>
      </c>
      <c r="AQ103" s="14"/>
      <c r="AR103" s="14"/>
      <c r="AS103" t="str">
        <f t="shared" si="22"/>
        <v/>
      </c>
      <c r="AT103" t="str">
        <f t="shared" si="23"/>
        <v/>
      </c>
    </row>
    <row r="104" spans="1:46" ht="40" customHeight="1" x14ac:dyDescent="0.35">
      <c r="A104" s="18"/>
      <c r="B104" s="37"/>
      <c r="C104" s="18"/>
      <c r="D104" s="15"/>
      <c r="E104" s="15"/>
      <c r="F104" s="15"/>
      <c r="G104" s="24"/>
      <c r="H104" s="24"/>
      <c r="I104" s="15"/>
      <c r="J104" s="17"/>
      <c r="K104" s="17"/>
      <c r="L104" s="17"/>
      <c r="M104" s="15"/>
      <c r="N104" s="15"/>
      <c r="O104" s="15"/>
      <c r="P104" s="15"/>
      <c r="Q104" s="15"/>
      <c r="R104" s="15"/>
      <c r="S104" s="18"/>
      <c r="T104" s="18"/>
      <c r="U104" s="18" t="str">
        <f>IF(A104="","",IFERROR(IF(LEN(INDEX(Suppliers!$B$9:$B$508,MATCH(C104,Suppliers!$A$9:$A$508,0))&amp;"")=0,"",INDEX(Suppliers!$B$9:$B$508,MATCH(C104,Suppliers!$A$9:$A$508,0))),""))</f>
        <v/>
      </c>
      <c r="V104" s="18" t="str">
        <f>IF(A104="","",IFERROR(IF(LEN(INDEX(Suppliers!$E$9:$E$508,MATCH(D104,Suppliers!$D$9:$D$508,0))&amp;"")=0,"",INDEX(Suppliers!$E$9:$E$508,MATCH(D104,Suppliers!$D$9:$D$508,0))),""))</f>
        <v/>
      </c>
      <c r="W104" s="18" t="str">
        <f>IF(A104="","",IFERROR(IF(LEN(INDEX(Suppliers!$F$9:$F$508,MATCH(D104,Suppliers!$D$9:$D$508,0))&amp;"")=0,"",INDEX(Suppliers!$F$9:$F$508,MATCH(D104,Suppliers!$D$9:$D$508,0))),""))</f>
        <v/>
      </c>
      <c r="X104" s="18" t="str">
        <f>IF(A104="","",IFERROR(IF(LEN(INDEX(Suppliers!$G$9:$G$508,MATCH(D104,Suppliers!$D$9:$D$508,0))&amp;"")=0,"",INDEX(Suppliers!$G$9:$G$508,MATCH(D104,Suppliers!$D$9:$D$508,0))),""))</f>
        <v/>
      </c>
      <c r="Y104" s="18" t="str">
        <f>IF(A104="","",IFERROR(INDEX(Jobs!$C$9:$C$258,MATCH(B104,Jobs!$A$9:$A$258,0)),""))</f>
        <v/>
      </c>
      <c r="Z104" s="18" t="str">
        <f>IF(A104="","",IFERROR(INDEX(Jobs!$B$9:$B$258,MATCH(B104,Jobs!$A$9:$A$258,0)),""))</f>
        <v/>
      </c>
      <c r="AA104" s="19" t="str">
        <f>IF(A104="","",IFERROR(VLOOKUP(I104,Lists!$E$9:$F$14,2,FALSE),0))</f>
        <v/>
      </c>
      <c r="AB104" s="19" t="str">
        <f t="shared" si="12"/>
        <v/>
      </c>
      <c r="AC104" s="19" t="str">
        <f t="shared" si="13"/>
        <v/>
      </c>
      <c r="AD104" s="19" t="str">
        <f t="shared" si="14"/>
        <v/>
      </c>
      <c r="AE104" s="19" t="str">
        <f t="shared" si="15"/>
        <v/>
      </c>
      <c r="AF104" s="19" t="str">
        <f t="shared" si="16"/>
        <v/>
      </c>
      <c r="AG104" s="27" t="str">
        <f t="shared" si="17"/>
        <v/>
      </c>
      <c r="AH104" s="19" t="str">
        <f t="shared" si="18"/>
        <v/>
      </c>
      <c r="AI104" s="19" t="str">
        <f t="shared" si="19"/>
        <v/>
      </c>
      <c r="AJ104" s="19" t="str">
        <f t="shared" si="20"/>
        <v/>
      </c>
      <c r="AK104" s="18" t="str">
        <f>IF(AND(A104&lt;&gt;"",F104="Selected"),COUNTIF($F$9:F104,"Selected"),"")</f>
        <v/>
      </c>
      <c r="AL104" s="18" t="str">
        <f>IF(A104="","",COUNTIF($B$9:B104,B104))</f>
        <v/>
      </c>
      <c r="AM104" s="18" t="str">
        <f>IF(A104="","",IF(COUNTIF(Jobs!$A$9:$A$258,B104)&lt;&gt;1,"Check JobID",IF(COUNTIF(Suppliers!$D$9:$D$508,D104)&lt;&gt;1,"Check contact",IF(AA104&lt;=0,"Currency / FX missing",IF(NOT(ISNUMBER(G104)),"Original price missing",IF(G104&lt;0,"Invalid original price",IF(AND(H104&lt;&gt;"",NOT(ISNUMBER(H104))),"Invalid final price",IF(AND(ISNUMBER(H104),H104&lt;0),"Invalid final price",IF(AND(F104="Selected",COUNTIFS($B$9:$B$258,B104,$E$9:$E$258,E104,$F$9:$F$258,"Selected")&gt;1),"Selected scope overlap",IF(AND(ISNUMBER(H104),H104&gt;G104),"Price increased",IF(LEN(H104&amp;"")=0,"Final price pending","OK")))))))))))</f>
        <v/>
      </c>
      <c r="AN104" s="19" t="str">
        <f t="shared" si="21"/>
        <v/>
      </c>
      <c r="AO104" s="18" t="str">
        <f>IF(A104="","",IFERROR(IF(INDEX(Suppliers!$A$9:$A$508,MATCH(D104,Suppliers!$D$9:$D$508,0))=C104,"OK","Contact / supplier mismatch"),"Contact missing"))</f>
        <v/>
      </c>
      <c r="AP104" s="18" t="str">
        <f>IF(OR(A104="",IFERROR(INDEX(Jobs!$P$9:$P$258,MATCH(B104,Jobs!$A$9:$A$258,0)),"")=""),"",HYPERLINK("#'"&amp;IFERROR(INDEX(Jobs!$P$9:$P$258,MATCH(B104,Jobs!$A$9:$A$258,0)),"")&amp;"'!A1","OPEN JOB"))</f>
        <v/>
      </c>
      <c r="AQ104" s="18"/>
      <c r="AR104" s="18"/>
      <c r="AS104" t="str">
        <f t="shared" si="22"/>
        <v/>
      </c>
      <c r="AT104" t="str">
        <f t="shared" si="23"/>
        <v/>
      </c>
    </row>
    <row r="105" spans="1:46" ht="40" customHeight="1" x14ac:dyDescent="0.35">
      <c r="A105" s="14"/>
      <c r="B105" s="37"/>
      <c r="C105" s="14"/>
      <c r="D105" s="15"/>
      <c r="E105" s="15"/>
      <c r="F105" s="15"/>
      <c r="G105" s="24"/>
      <c r="H105" s="24"/>
      <c r="I105" s="15"/>
      <c r="J105" s="17"/>
      <c r="K105" s="17"/>
      <c r="L105" s="17"/>
      <c r="M105" s="15"/>
      <c r="N105" s="15"/>
      <c r="O105" s="15"/>
      <c r="P105" s="15"/>
      <c r="Q105" s="15"/>
      <c r="R105" s="15"/>
      <c r="S105" s="14"/>
      <c r="T105" s="14"/>
      <c r="U105" s="14" t="str">
        <f>IF(A105="","",IFERROR(IF(LEN(INDEX(Suppliers!$B$9:$B$508,MATCH(C105,Suppliers!$A$9:$A$508,0))&amp;"")=0,"",INDEX(Suppliers!$B$9:$B$508,MATCH(C105,Suppliers!$A$9:$A$508,0))),""))</f>
        <v/>
      </c>
      <c r="V105" s="14" t="str">
        <f>IF(A105="","",IFERROR(IF(LEN(INDEX(Suppliers!$E$9:$E$508,MATCH(D105,Suppliers!$D$9:$D$508,0))&amp;"")=0,"",INDEX(Suppliers!$E$9:$E$508,MATCH(D105,Suppliers!$D$9:$D$508,0))),""))</f>
        <v/>
      </c>
      <c r="W105" s="14" t="str">
        <f>IF(A105="","",IFERROR(IF(LEN(INDEX(Suppliers!$F$9:$F$508,MATCH(D105,Suppliers!$D$9:$D$508,0))&amp;"")=0,"",INDEX(Suppliers!$F$9:$F$508,MATCH(D105,Suppliers!$D$9:$D$508,0))),""))</f>
        <v/>
      </c>
      <c r="X105" s="14" t="str">
        <f>IF(A105="","",IFERROR(IF(LEN(INDEX(Suppliers!$G$9:$G$508,MATCH(D105,Suppliers!$D$9:$D$508,0))&amp;"")=0,"",INDEX(Suppliers!$G$9:$G$508,MATCH(D105,Suppliers!$D$9:$D$508,0))),""))</f>
        <v/>
      </c>
      <c r="Y105" s="14" t="str">
        <f>IF(A105="","",IFERROR(INDEX(Jobs!$C$9:$C$258,MATCH(B105,Jobs!$A$9:$A$258,0)),""))</f>
        <v/>
      </c>
      <c r="Z105" s="14" t="str">
        <f>IF(A105="","",IFERROR(INDEX(Jobs!$B$9:$B$258,MATCH(B105,Jobs!$A$9:$A$258,0)),""))</f>
        <v/>
      </c>
      <c r="AA105" s="16" t="str">
        <f>IF(A105="","",IFERROR(VLOOKUP(I105,Lists!$E$9:$F$14,2,FALSE),0))</f>
        <v/>
      </c>
      <c r="AB105" s="16" t="str">
        <f t="shared" si="12"/>
        <v/>
      </c>
      <c r="AC105" s="16" t="str">
        <f t="shared" si="13"/>
        <v/>
      </c>
      <c r="AD105" s="16" t="str">
        <f t="shared" si="14"/>
        <v/>
      </c>
      <c r="AE105" s="16" t="str">
        <f t="shared" si="15"/>
        <v/>
      </c>
      <c r="AF105" s="16" t="str">
        <f t="shared" si="16"/>
        <v/>
      </c>
      <c r="AG105" s="26" t="str">
        <f t="shared" si="17"/>
        <v/>
      </c>
      <c r="AH105" s="16" t="str">
        <f t="shared" si="18"/>
        <v/>
      </c>
      <c r="AI105" s="16" t="str">
        <f t="shared" si="19"/>
        <v/>
      </c>
      <c r="AJ105" s="16" t="str">
        <f t="shared" si="20"/>
        <v/>
      </c>
      <c r="AK105" s="14" t="str">
        <f>IF(AND(A105&lt;&gt;"",F105="Selected"),COUNTIF($F$9:F105,"Selected"),"")</f>
        <v/>
      </c>
      <c r="AL105" s="14" t="str">
        <f>IF(A105="","",COUNTIF($B$9:B105,B105))</f>
        <v/>
      </c>
      <c r="AM105" s="14" t="str">
        <f>IF(A105="","",IF(COUNTIF(Jobs!$A$9:$A$258,B105)&lt;&gt;1,"Check JobID",IF(COUNTIF(Suppliers!$D$9:$D$508,D105)&lt;&gt;1,"Check contact",IF(AA105&lt;=0,"Currency / FX missing",IF(NOT(ISNUMBER(G105)),"Original price missing",IF(G105&lt;0,"Invalid original price",IF(AND(H105&lt;&gt;"",NOT(ISNUMBER(H105))),"Invalid final price",IF(AND(ISNUMBER(H105),H105&lt;0),"Invalid final price",IF(AND(F105="Selected",COUNTIFS($B$9:$B$258,B105,$E$9:$E$258,E105,$F$9:$F$258,"Selected")&gt;1),"Selected scope overlap",IF(AND(ISNUMBER(H105),H105&gt;G105),"Price increased",IF(LEN(H105&amp;"")=0,"Final price pending","OK")))))))))))</f>
        <v/>
      </c>
      <c r="AN105" s="16" t="str">
        <f t="shared" si="21"/>
        <v/>
      </c>
      <c r="AO105" s="14" t="str">
        <f>IF(A105="","",IFERROR(IF(INDEX(Suppliers!$A$9:$A$508,MATCH(D105,Suppliers!$D$9:$D$508,0))=C105,"OK","Contact / supplier mismatch"),"Contact missing"))</f>
        <v/>
      </c>
      <c r="AP105" s="14" t="str">
        <f>IF(OR(A105="",IFERROR(INDEX(Jobs!$P$9:$P$258,MATCH(B105,Jobs!$A$9:$A$258,0)),"")=""),"",HYPERLINK("#'"&amp;IFERROR(INDEX(Jobs!$P$9:$P$258,MATCH(B105,Jobs!$A$9:$A$258,0)),"")&amp;"'!A1","OPEN JOB"))</f>
        <v/>
      </c>
      <c r="AQ105" s="14"/>
      <c r="AR105" s="14"/>
      <c r="AS105" t="str">
        <f t="shared" si="22"/>
        <v/>
      </c>
      <c r="AT105" t="str">
        <f t="shared" si="23"/>
        <v/>
      </c>
    </row>
    <row r="106" spans="1:46" ht="40" customHeight="1" x14ac:dyDescent="0.35">
      <c r="A106" s="18"/>
      <c r="B106" s="37"/>
      <c r="C106" s="18"/>
      <c r="D106" s="15"/>
      <c r="E106" s="15"/>
      <c r="F106" s="15"/>
      <c r="G106" s="24"/>
      <c r="H106" s="24"/>
      <c r="I106" s="15"/>
      <c r="J106" s="17"/>
      <c r="K106" s="17"/>
      <c r="L106" s="17"/>
      <c r="M106" s="15"/>
      <c r="N106" s="15"/>
      <c r="O106" s="15"/>
      <c r="P106" s="15"/>
      <c r="Q106" s="15"/>
      <c r="R106" s="15"/>
      <c r="S106" s="18"/>
      <c r="T106" s="18"/>
      <c r="U106" s="18" t="str">
        <f>IF(A106="","",IFERROR(IF(LEN(INDEX(Suppliers!$B$9:$B$508,MATCH(C106,Suppliers!$A$9:$A$508,0))&amp;"")=0,"",INDEX(Suppliers!$B$9:$B$508,MATCH(C106,Suppliers!$A$9:$A$508,0))),""))</f>
        <v/>
      </c>
      <c r="V106" s="18" t="str">
        <f>IF(A106="","",IFERROR(IF(LEN(INDEX(Suppliers!$E$9:$E$508,MATCH(D106,Suppliers!$D$9:$D$508,0))&amp;"")=0,"",INDEX(Suppliers!$E$9:$E$508,MATCH(D106,Suppliers!$D$9:$D$508,0))),""))</f>
        <v/>
      </c>
      <c r="W106" s="18" t="str">
        <f>IF(A106="","",IFERROR(IF(LEN(INDEX(Suppliers!$F$9:$F$508,MATCH(D106,Suppliers!$D$9:$D$508,0))&amp;"")=0,"",INDEX(Suppliers!$F$9:$F$508,MATCH(D106,Suppliers!$D$9:$D$508,0))),""))</f>
        <v/>
      </c>
      <c r="X106" s="18" t="str">
        <f>IF(A106="","",IFERROR(IF(LEN(INDEX(Suppliers!$G$9:$G$508,MATCH(D106,Suppliers!$D$9:$D$508,0))&amp;"")=0,"",INDEX(Suppliers!$G$9:$G$508,MATCH(D106,Suppliers!$D$9:$D$508,0))),""))</f>
        <v/>
      </c>
      <c r="Y106" s="18" t="str">
        <f>IF(A106="","",IFERROR(INDEX(Jobs!$C$9:$C$258,MATCH(B106,Jobs!$A$9:$A$258,0)),""))</f>
        <v/>
      </c>
      <c r="Z106" s="18" t="str">
        <f>IF(A106="","",IFERROR(INDEX(Jobs!$B$9:$B$258,MATCH(B106,Jobs!$A$9:$A$258,0)),""))</f>
        <v/>
      </c>
      <c r="AA106" s="19" t="str">
        <f>IF(A106="","",IFERROR(VLOOKUP(I106,Lists!$E$9:$F$14,2,FALSE),0))</f>
        <v/>
      </c>
      <c r="AB106" s="19" t="str">
        <f t="shared" si="12"/>
        <v/>
      </c>
      <c r="AC106" s="19" t="str">
        <f t="shared" si="13"/>
        <v/>
      </c>
      <c r="AD106" s="19" t="str">
        <f t="shared" si="14"/>
        <v/>
      </c>
      <c r="AE106" s="19" t="str">
        <f t="shared" si="15"/>
        <v/>
      </c>
      <c r="AF106" s="19" t="str">
        <f t="shared" si="16"/>
        <v/>
      </c>
      <c r="AG106" s="27" t="str">
        <f t="shared" si="17"/>
        <v/>
      </c>
      <c r="AH106" s="19" t="str">
        <f t="shared" si="18"/>
        <v/>
      </c>
      <c r="AI106" s="19" t="str">
        <f t="shared" si="19"/>
        <v/>
      </c>
      <c r="AJ106" s="19" t="str">
        <f t="shared" si="20"/>
        <v/>
      </c>
      <c r="AK106" s="18" t="str">
        <f>IF(AND(A106&lt;&gt;"",F106="Selected"),COUNTIF($F$9:F106,"Selected"),"")</f>
        <v/>
      </c>
      <c r="AL106" s="18" t="str">
        <f>IF(A106="","",COUNTIF($B$9:B106,B106))</f>
        <v/>
      </c>
      <c r="AM106" s="18" t="str">
        <f>IF(A106="","",IF(COUNTIF(Jobs!$A$9:$A$258,B106)&lt;&gt;1,"Check JobID",IF(COUNTIF(Suppliers!$D$9:$D$508,D106)&lt;&gt;1,"Check contact",IF(AA106&lt;=0,"Currency / FX missing",IF(NOT(ISNUMBER(G106)),"Original price missing",IF(G106&lt;0,"Invalid original price",IF(AND(H106&lt;&gt;"",NOT(ISNUMBER(H106))),"Invalid final price",IF(AND(ISNUMBER(H106),H106&lt;0),"Invalid final price",IF(AND(F106="Selected",COUNTIFS($B$9:$B$258,B106,$E$9:$E$258,E106,$F$9:$F$258,"Selected")&gt;1),"Selected scope overlap",IF(AND(ISNUMBER(H106),H106&gt;G106),"Price increased",IF(LEN(H106&amp;"")=0,"Final price pending","OK")))))))))))</f>
        <v/>
      </c>
      <c r="AN106" s="19" t="str">
        <f t="shared" si="21"/>
        <v/>
      </c>
      <c r="AO106" s="18" t="str">
        <f>IF(A106="","",IFERROR(IF(INDEX(Suppliers!$A$9:$A$508,MATCH(D106,Suppliers!$D$9:$D$508,0))=C106,"OK","Contact / supplier mismatch"),"Contact missing"))</f>
        <v/>
      </c>
      <c r="AP106" s="18" t="str">
        <f>IF(OR(A106="",IFERROR(INDEX(Jobs!$P$9:$P$258,MATCH(B106,Jobs!$A$9:$A$258,0)),"")=""),"",HYPERLINK("#'"&amp;IFERROR(INDEX(Jobs!$P$9:$P$258,MATCH(B106,Jobs!$A$9:$A$258,0)),"")&amp;"'!A1","OPEN JOB"))</f>
        <v/>
      </c>
      <c r="AQ106" s="18"/>
      <c r="AR106" s="18"/>
      <c r="AS106" t="str">
        <f t="shared" si="22"/>
        <v/>
      </c>
      <c r="AT106" t="str">
        <f t="shared" si="23"/>
        <v/>
      </c>
    </row>
    <row r="107" spans="1:46" ht="40" customHeight="1" x14ac:dyDescent="0.35">
      <c r="A107" s="14"/>
      <c r="B107" s="37"/>
      <c r="C107" s="14"/>
      <c r="D107" s="15"/>
      <c r="E107" s="15"/>
      <c r="F107" s="15"/>
      <c r="G107" s="24"/>
      <c r="H107" s="24"/>
      <c r="I107" s="15"/>
      <c r="J107" s="17"/>
      <c r="K107" s="17"/>
      <c r="L107" s="17"/>
      <c r="M107" s="15"/>
      <c r="N107" s="15"/>
      <c r="O107" s="15"/>
      <c r="P107" s="15"/>
      <c r="Q107" s="15"/>
      <c r="R107" s="15"/>
      <c r="S107" s="14"/>
      <c r="T107" s="14"/>
      <c r="U107" s="14" t="str">
        <f>IF(A107="","",IFERROR(IF(LEN(INDEX(Suppliers!$B$9:$B$508,MATCH(C107,Suppliers!$A$9:$A$508,0))&amp;"")=0,"",INDEX(Suppliers!$B$9:$B$508,MATCH(C107,Suppliers!$A$9:$A$508,0))),""))</f>
        <v/>
      </c>
      <c r="V107" s="14" t="str">
        <f>IF(A107="","",IFERROR(IF(LEN(INDEX(Suppliers!$E$9:$E$508,MATCH(D107,Suppliers!$D$9:$D$508,0))&amp;"")=0,"",INDEX(Suppliers!$E$9:$E$508,MATCH(D107,Suppliers!$D$9:$D$508,0))),""))</f>
        <v/>
      </c>
      <c r="W107" s="14" t="str">
        <f>IF(A107="","",IFERROR(IF(LEN(INDEX(Suppliers!$F$9:$F$508,MATCH(D107,Suppliers!$D$9:$D$508,0))&amp;"")=0,"",INDEX(Suppliers!$F$9:$F$508,MATCH(D107,Suppliers!$D$9:$D$508,0))),""))</f>
        <v/>
      </c>
      <c r="X107" s="14" t="str">
        <f>IF(A107="","",IFERROR(IF(LEN(INDEX(Suppliers!$G$9:$G$508,MATCH(D107,Suppliers!$D$9:$D$508,0))&amp;"")=0,"",INDEX(Suppliers!$G$9:$G$508,MATCH(D107,Suppliers!$D$9:$D$508,0))),""))</f>
        <v/>
      </c>
      <c r="Y107" s="14" t="str">
        <f>IF(A107="","",IFERROR(INDEX(Jobs!$C$9:$C$258,MATCH(B107,Jobs!$A$9:$A$258,0)),""))</f>
        <v/>
      </c>
      <c r="Z107" s="14" t="str">
        <f>IF(A107="","",IFERROR(INDEX(Jobs!$B$9:$B$258,MATCH(B107,Jobs!$A$9:$A$258,0)),""))</f>
        <v/>
      </c>
      <c r="AA107" s="16" t="str">
        <f>IF(A107="","",IFERROR(VLOOKUP(I107,Lists!$E$9:$F$14,2,FALSE),0))</f>
        <v/>
      </c>
      <c r="AB107" s="16" t="str">
        <f t="shared" si="12"/>
        <v/>
      </c>
      <c r="AC107" s="16" t="str">
        <f t="shared" si="13"/>
        <v/>
      </c>
      <c r="AD107" s="16" t="str">
        <f t="shared" si="14"/>
        <v/>
      </c>
      <c r="AE107" s="16" t="str">
        <f t="shared" si="15"/>
        <v/>
      </c>
      <c r="AF107" s="16" t="str">
        <f t="shared" si="16"/>
        <v/>
      </c>
      <c r="AG107" s="26" t="str">
        <f t="shared" si="17"/>
        <v/>
      </c>
      <c r="AH107" s="16" t="str">
        <f t="shared" si="18"/>
        <v/>
      </c>
      <c r="AI107" s="16" t="str">
        <f t="shared" si="19"/>
        <v/>
      </c>
      <c r="AJ107" s="16" t="str">
        <f t="shared" si="20"/>
        <v/>
      </c>
      <c r="AK107" s="14" t="str">
        <f>IF(AND(A107&lt;&gt;"",F107="Selected"),COUNTIF($F$9:F107,"Selected"),"")</f>
        <v/>
      </c>
      <c r="AL107" s="14" t="str">
        <f>IF(A107="","",COUNTIF($B$9:B107,B107))</f>
        <v/>
      </c>
      <c r="AM107" s="14" t="str">
        <f>IF(A107="","",IF(COUNTIF(Jobs!$A$9:$A$258,B107)&lt;&gt;1,"Check JobID",IF(COUNTIF(Suppliers!$D$9:$D$508,D107)&lt;&gt;1,"Check contact",IF(AA107&lt;=0,"Currency / FX missing",IF(NOT(ISNUMBER(G107)),"Original price missing",IF(G107&lt;0,"Invalid original price",IF(AND(H107&lt;&gt;"",NOT(ISNUMBER(H107))),"Invalid final price",IF(AND(ISNUMBER(H107),H107&lt;0),"Invalid final price",IF(AND(F107="Selected",COUNTIFS($B$9:$B$258,B107,$E$9:$E$258,E107,$F$9:$F$258,"Selected")&gt;1),"Selected scope overlap",IF(AND(ISNUMBER(H107),H107&gt;G107),"Price increased",IF(LEN(H107&amp;"")=0,"Final price pending","OK")))))))))))</f>
        <v/>
      </c>
      <c r="AN107" s="16" t="str">
        <f t="shared" si="21"/>
        <v/>
      </c>
      <c r="AO107" s="14" t="str">
        <f>IF(A107="","",IFERROR(IF(INDEX(Suppliers!$A$9:$A$508,MATCH(D107,Suppliers!$D$9:$D$508,0))=C107,"OK","Contact / supplier mismatch"),"Contact missing"))</f>
        <v/>
      </c>
      <c r="AP107" s="14" t="str">
        <f>IF(OR(A107="",IFERROR(INDEX(Jobs!$P$9:$P$258,MATCH(B107,Jobs!$A$9:$A$258,0)),"")=""),"",HYPERLINK("#'"&amp;IFERROR(INDEX(Jobs!$P$9:$P$258,MATCH(B107,Jobs!$A$9:$A$258,0)),"")&amp;"'!A1","OPEN JOB"))</f>
        <v/>
      </c>
      <c r="AQ107" s="14"/>
      <c r="AR107" s="14"/>
      <c r="AS107" t="str">
        <f t="shared" si="22"/>
        <v/>
      </c>
      <c r="AT107" t="str">
        <f t="shared" si="23"/>
        <v/>
      </c>
    </row>
    <row r="108" spans="1:46" ht="40" customHeight="1" x14ac:dyDescent="0.35">
      <c r="A108" s="18"/>
      <c r="B108" s="37"/>
      <c r="C108" s="18"/>
      <c r="D108" s="15"/>
      <c r="E108" s="15"/>
      <c r="F108" s="15"/>
      <c r="G108" s="24"/>
      <c r="H108" s="24"/>
      <c r="I108" s="15"/>
      <c r="J108" s="17"/>
      <c r="K108" s="17"/>
      <c r="L108" s="17"/>
      <c r="M108" s="15"/>
      <c r="N108" s="15"/>
      <c r="O108" s="15"/>
      <c r="P108" s="15"/>
      <c r="Q108" s="15"/>
      <c r="R108" s="15"/>
      <c r="S108" s="18"/>
      <c r="T108" s="18"/>
      <c r="U108" s="18" t="str">
        <f>IF(A108="","",IFERROR(IF(LEN(INDEX(Suppliers!$B$9:$B$508,MATCH(C108,Suppliers!$A$9:$A$508,0))&amp;"")=0,"",INDEX(Suppliers!$B$9:$B$508,MATCH(C108,Suppliers!$A$9:$A$508,0))),""))</f>
        <v/>
      </c>
      <c r="V108" s="18" t="str">
        <f>IF(A108="","",IFERROR(IF(LEN(INDEX(Suppliers!$E$9:$E$508,MATCH(D108,Suppliers!$D$9:$D$508,0))&amp;"")=0,"",INDEX(Suppliers!$E$9:$E$508,MATCH(D108,Suppliers!$D$9:$D$508,0))),""))</f>
        <v/>
      </c>
      <c r="W108" s="18" t="str">
        <f>IF(A108="","",IFERROR(IF(LEN(INDEX(Suppliers!$F$9:$F$508,MATCH(D108,Suppliers!$D$9:$D$508,0))&amp;"")=0,"",INDEX(Suppliers!$F$9:$F$508,MATCH(D108,Suppliers!$D$9:$D$508,0))),""))</f>
        <v/>
      </c>
      <c r="X108" s="18" t="str">
        <f>IF(A108="","",IFERROR(IF(LEN(INDEX(Suppliers!$G$9:$G$508,MATCH(D108,Suppliers!$D$9:$D$508,0))&amp;"")=0,"",INDEX(Suppliers!$G$9:$G$508,MATCH(D108,Suppliers!$D$9:$D$508,0))),""))</f>
        <v/>
      </c>
      <c r="Y108" s="18" t="str">
        <f>IF(A108="","",IFERROR(INDEX(Jobs!$C$9:$C$258,MATCH(B108,Jobs!$A$9:$A$258,0)),""))</f>
        <v/>
      </c>
      <c r="Z108" s="18" t="str">
        <f>IF(A108="","",IFERROR(INDEX(Jobs!$B$9:$B$258,MATCH(B108,Jobs!$A$9:$A$258,0)),""))</f>
        <v/>
      </c>
      <c r="AA108" s="19" t="str">
        <f>IF(A108="","",IFERROR(VLOOKUP(I108,Lists!$E$9:$F$14,2,FALSE),0))</f>
        <v/>
      </c>
      <c r="AB108" s="19" t="str">
        <f t="shared" si="12"/>
        <v/>
      </c>
      <c r="AC108" s="19" t="str">
        <f t="shared" si="13"/>
        <v/>
      </c>
      <c r="AD108" s="19" t="str">
        <f t="shared" si="14"/>
        <v/>
      </c>
      <c r="AE108" s="19" t="str">
        <f t="shared" si="15"/>
        <v/>
      </c>
      <c r="AF108" s="19" t="str">
        <f t="shared" si="16"/>
        <v/>
      </c>
      <c r="AG108" s="27" t="str">
        <f t="shared" si="17"/>
        <v/>
      </c>
      <c r="AH108" s="19" t="str">
        <f t="shared" si="18"/>
        <v/>
      </c>
      <c r="AI108" s="19" t="str">
        <f t="shared" si="19"/>
        <v/>
      </c>
      <c r="AJ108" s="19" t="str">
        <f t="shared" si="20"/>
        <v/>
      </c>
      <c r="AK108" s="18" t="str">
        <f>IF(AND(A108&lt;&gt;"",F108="Selected"),COUNTIF($F$9:F108,"Selected"),"")</f>
        <v/>
      </c>
      <c r="AL108" s="18" t="str">
        <f>IF(A108="","",COUNTIF($B$9:B108,B108))</f>
        <v/>
      </c>
      <c r="AM108" s="18" t="str">
        <f>IF(A108="","",IF(COUNTIF(Jobs!$A$9:$A$258,B108)&lt;&gt;1,"Check JobID",IF(COUNTIF(Suppliers!$D$9:$D$508,D108)&lt;&gt;1,"Check contact",IF(AA108&lt;=0,"Currency / FX missing",IF(NOT(ISNUMBER(G108)),"Original price missing",IF(G108&lt;0,"Invalid original price",IF(AND(H108&lt;&gt;"",NOT(ISNUMBER(H108))),"Invalid final price",IF(AND(ISNUMBER(H108),H108&lt;0),"Invalid final price",IF(AND(F108="Selected",COUNTIFS($B$9:$B$258,B108,$E$9:$E$258,E108,$F$9:$F$258,"Selected")&gt;1),"Selected scope overlap",IF(AND(ISNUMBER(H108),H108&gt;G108),"Price increased",IF(LEN(H108&amp;"")=0,"Final price pending","OK")))))))))))</f>
        <v/>
      </c>
      <c r="AN108" s="19" t="str">
        <f t="shared" si="21"/>
        <v/>
      </c>
      <c r="AO108" s="18" t="str">
        <f>IF(A108="","",IFERROR(IF(INDEX(Suppliers!$A$9:$A$508,MATCH(D108,Suppliers!$D$9:$D$508,0))=C108,"OK","Contact / supplier mismatch"),"Contact missing"))</f>
        <v/>
      </c>
      <c r="AP108" s="18" t="str">
        <f>IF(OR(A108="",IFERROR(INDEX(Jobs!$P$9:$P$258,MATCH(B108,Jobs!$A$9:$A$258,0)),"")=""),"",HYPERLINK("#'"&amp;IFERROR(INDEX(Jobs!$P$9:$P$258,MATCH(B108,Jobs!$A$9:$A$258,0)),"")&amp;"'!A1","OPEN JOB"))</f>
        <v/>
      </c>
      <c r="AQ108" s="18"/>
      <c r="AR108" s="18"/>
      <c r="AS108" t="str">
        <f t="shared" si="22"/>
        <v/>
      </c>
      <c r="AT108" t="str">
        <f t="shared" si="23"/>
        <v/>
      </c>
    </row>
    <row r="109" spans="1:46" ht="40" customHeight="1" x14ac:dyDescent="0.35">
      <c r="A109" s="14"/>
      <c r="B109" s="37"/>
      <c r="C109" s="14"/>
      <c r="D109" s="15"/>
      <c r="E109" s="15"/>
      <c r="F109" s="15"/>
      <c r="G109" s="24"/>
      <c r="H109" s="24"/>
      <c r="I109" s="15"/>
      <c r="J109" s="17"/>
      <c r="K109" s="17"/>
      <c r="L109" s="17"/>
      <c r="M109" s="15"/>
      <c r="N109" s="15"/>
      <c r="O109" s="15"/>
      <c r="P109" s="15"/>
      <c r="Q109" s="15"/>
      <c r="R109" s="15"/>
      <c r="S109" s="14"/>
      <c r="T109" s="14"/>
      <c r="U109" s="14" t="str">
        <f>IF(A109="","",IFERROR(IF(LEN(INDEX(Suppliers!$B$9:$B$508,MATCH(C109,Suppliers!$A$9:$A$508,0))&amp;"")=0,"",INDEX(Suppliers!$B$9:$B$508,MATCH(C109,Suppliers!$A$9:$A$508,0))),""))</f>
        <v/>
      </c>
      <c r="V109" s="14" t="str">
        <f>IF(A109="","",IFERROR(IF(LEN(INDEX(Suppliers!$E$9:$E$508,MATCH(D109,Suppliers!$D$9:$D$508,0))&amp;"")=0,"",INDEX(Suppliers!$E$9:$E$508,MATCH(D109,Suppliers!$D$9:$D$508,0))),""))</f>
        <v/>
      </c>
      <c r="W109" s="14" t="str">
        <f>IF(A109="","",IFERROR(IF(LEN(INDEX(Suppliers!$F$9:$F$508,MATCH(D109,Suppliers!$D$9:$D$508,0))&amp;"")=0,"",INDEX(Suppliers!$F$9:$F$508,MATCH(D109,Suppliers!$D$9:$D$508,0))),""))</f>
        <v/>
      </c>
      <c r="X109" s="14" t="str">
        <f>IF(A109="","",IFERROR(IF(LEN(INDEX(Suppliers!$G$9:$G$508,MATCH(D109,Suppliers!$D$9:$D$508,0))&amp;"")=0,"",INDEX(Suppliers!$G$9:$G$508,MATCH(D109,Suppliers!$D$9:$D$508,0))),""))</f>
        <v/>
      </c>
      <c r="Y109" s="14" t="str">
        <f>IF(A109="","",IFERROR(INDEX(Jobs!$C$9:$C$258,MATCH(B109,Jobs!$A$9:$A$258,0)),""))</f>
        <v/>
      </c>
      <c r="Z109" s="14" t="str">
        <f>IF(A109="","",IFERROR(INDEX(Jobs!$B$9:$B$258,MATCH(B109,Jobs!$A$9:$A$258,0)),""))</f>
        <v/>
      </c>
      <c r="AA109" s="16" t="str">
        <f>IF(A109="","",IFERROR(VLOOKUP(I109,Lists!$E$9:$F$14,2,FALSE),0))</f>
        <v/>
      </c>
      <c r="AB109" s="16" t="str">
        <f t="shared" si="12"/>
        <v/>
      </c>
      <c r="AC109" s="16" t="str">
        <f t="shared" si="13"/>
        <v/>
      </c>
      <c r="AD109" s="16" t="str">
        <f t="shared" si="14"/>
        <v/>
      </c>
      <c r="AE109" s="16" t="str">
        <f t="shared" si="15"/>
        <v/>
      </c>
      <c r="AF109" s="16" t="str">
        <f t="shared" si="16"/>
        <v/>
      </c>
      <c r="AG109" s="26" t="str">
        <f t="shared" si="17"/>
        <v/>
      </c>
      <c r="AH109" s="16" t="str">
        <f t="shared" si="18"/>
        <v/>
      </c>
      <c r="AI109" s="16" t="str">
        <f t="shared" si="19"/>
        <v/>
      </c>
      <c r="AJ109" s="16" t="str">
        <f t="shared" si="20"/>
        <v/>
      </c>
      <c r="AK109" s="14" t="str">
        <f>IF(AND(A109&lt;&gt;"",F109="Selected"),COUNTIF($F$9:F109,"Selected"),"")</f>
        <v/>
      </c>
      <c r="AL109" s="14" t="str">
        <f>IF(A109="","",COUNTIF($B$9:B109,B109))</f>
        <v/>
      </c>
      <c r="AM109" s="14" t="str">
        <f>IF(A109="","",IF(COUNTIF(Jobs!$A$9:$A$258,B109)&lt;&gt;1,"Check JobID",IF(COUNTIF(Suppliers!$D$9:$D$508,D109)&lt;&gt;1,"Check contact",IF(AA109&lt;=0,"Currency / FX missing",IF(NOT(ISNUMBER(G109)),"Original price missing",IF(G109&lt;0,"Invalid original price",IF(AND(H109&lt;&gt;"",NOT(ISNUMBER(H109))),"Invalid final price",IF(AND(ISNUMBER(H109),H109&lt;0),"Invalid final price",IF(AND(F109="Selected",COUNTIFS($B$9:$B$258,B109,$E$9:$E$258,E109,$F$9:$F$258,"Selected")&gt;1),"Selected scope overlap",IF(AND(ISNUMBER(H109),H109&gt;G109),"Price increased",IF(LEN(H109&amp;"")=0,"Final price pending","OK")))))))))))</f>
        <v/>
      </c>
      <c r="AN109" s="16" t="str">
        <f t="shared" si="21"/>
        <v/>
      </c>
      <c r="AO109" s="14" t="str">
        <f>IF(A109="","",IFERROR(IF(INDEX(Suppliers!$A$9:$A$508,MATCH(D109,Suppliers!$D$9:$D$508,0))=C109,"OK","Contact / supplier mismatch"),"Contact missing"))</f>
        <v/>
      </c>
      <c r="AP109" s="14" t="str">
        <f>IF(OR(A109="",IFERROR(INDEX(Jobs!$P$9:$P$258,MATCH(B109,Jobs!$A$9:$A$258,0)),"")=""),"",HYPERLINK("#'"&amp;IFERROR(INDEX(Jobs!$P$9:$P$258,MATCH(B109,Jobs!$A$9:$A$258,0)),"")&amp;"'!A1","OPEN JOB"))</f>
        <v/>
      </c>
      <c r="AQ109" s="14"/>
      <c r="AR109" s="14"/>
      <c r="AS109" t="str">
        <f t="shared" si="22"/>
        <v/>
      </c>
      <c r="AT109" t="str">
        <f t="shared" si="23"/>
        <v/>
      </c>
    </row>
    <row r="110" spans="1:46" ht="40" customHeight="1" x14ac:dyDescent="0.35">
      <c r="A110" s="18"/>
      <c r="B110" s="37"/>
      <c r="C110" s="18"/>
      <c r="D110" s="15"/>
      <c r="E110" s="15"/>
      <c r="F110" s="15"/>
      <c r="G110" s="24"/>
      <c r="H110" s="24"/>
      <c r="I110" s="15"/>
      <c r="J110" s="17"/>
      <c r="K110" s="17"/>
      <c r="L110" s="17"/>
      <c r="M110" s="15"/>
      <c r="N110" s="15"/>
      <c r="O110" s="15"/>
      <c r="P110" s="15"/>
      <c r="Q110" s="15"/>
      <c r="R110" s="15"/>
      <c r="S110" s="18"/>
      <c r="T110" s="18"/>
      <c r="U110" s="18" t="str">
        <f>IF(A110="","",IFERROR(IF(LEN(INDEX(Suppliers!$B$9:$B$508,MATCH(C110,Suppliers!$A$9:$A$508,0))&amp;"")=0,"",INDEX(Suppliers!$B$9:$B$508,MATCH(C110,Suppliers!$A$9:$A$508,0))),""))</f>
        <v/>
      </c>
      <c r="V110" s="18" t="str">
        <f>IF(A110="","",IFERROR(IF(LEN(INDEX(Suppliers!$E$9:$E$508,MATCH(D110,Suppliers!$D$9:$D$508,0))&amp;"")=0,"",INDEX(Suppliers!$E$9:$E$508,MATCH(D110,Suppliers!$D$9:$D$508,0))),""))</f>
        <v/>
      </c>
      <c r="W110" s="18" t="str">
        <f>IF(A110="","",IFERROR(IF(LEN(INDEX(Suppliers!$F$9:$F$508,MATCH(D110,Suppliers!$D$9:$D$508,0))&amp;"")=0,"",INDEX(Suppliers!$F$9:$F$508,MATCH(D110,Suppliers!$D$9:$D$508,0))),""))</f>
        <v/>
      </c>
      <c r="X110" s="18" t="str">
        <f>IF(A110="","",IFERROR(IF(LEN(INDEX(Suppliers!$G$9:$G$508,MATCH(D110,Suppliers!$D$9:$D$508,0))&amp;"")=0,"",INDEX(Suppliers!$G$9:$G$508,MATCH(D110,Suppliers!$D$9:$D$508,0))),""))</f>
        <v/>
      </c>
      <c r="Y110" s="18" t="str">
        <f>IF(A110="","",IFERROR(INDEX(Jobs!$C$9:$C$258,MATCH(B110,Jobs!$A$9:$A$258,0)),""))</f>
        <v/>
      </c>
      <c r="Z110" s="18" t="str">
        <f>IF(A110="","",IFERROR(INDEX(Jobs!$B$9:$B$258,MATCH(B110,Jobs!$A$9:$A$258,0)),""))</f>
        <v/>
      </c>
      <c r="AA110" s="19" t="str">
        <f>IF(A110="","",IFERROR(VLOOKUP(I110,Lists!$E$9:$F$14,2,FALSE),0))</f>
        <v/>
      </c>
      <c r="AB110" s="19" t="str">
        <f t="shared" si="12"/>
        <v/>
      </c>
      <c r="AC110" s="19" t="str">
        <f t="shared" si="13"/>
        <v/>
      </c>
      <c r="AD110" s="19" t="str">
        <f t="shared" si="14"/>
        <v/>
      </c>
      <c r="AE110" s="19" t="str">
        <f t="shared" si="15"/>
        <v/>
      </c>
      <c r="AF110" s="19" t="str">
        <f t="shared" si="16"/>
        <v/>
      </c>
      <c r="AG110" s="27" t="str">
        <f t="shared" si="17"/>
        <v/>
      </c>
      <c r="AH110" s="19" t="str">
        <f t="shared" si="18"/>
        <v/>
      </c>
      <c r="AI110" s="19" t="str">
        <f t="shared" si="19"/>
        <v/>
      </c>
      <c r="AJ110" s="19" t="str">
        <f t="shared" si="20"/>
        <v/>
      </c>
      <c r="AK110" s="18" t="str">
        <f>IF(AND(A110&lt;&gt;"",F110="Selected"),COUNTIF($F$9:F110,"Selected"),"")</f>
        <v/>
      </c>
      <c r="AL110" s="18" t="str">
        <f>IF(A110="","",COUNTIF($B$9:B110,B110))</f>
        <v/>
      </c>
      <c r="AM110" s="18" t="str">
        <f>IF(A110="","",IF(COUNTIF(Jobs!$A$9:$A$258,B110)&lt;&gt;1,"Check JobID",IF(COUNTIF(Suppliers!$D$9:$D$508,D110)&lt;&gt;1,"Check contact",IF(AA110&lt;=0,"Currency / FX missing",IF(NOT(ISNUMBER(G110)),"Original price missing",IF(G110&lt;0,"Invalid original price",IF(AND(H110&lt;&gt;"",NOT(ISNUMBER(H110))),"Invalid final price",IF(AND(ISNUMBER(H110),H110&lt;0),"Invalid final price",IF(AND(F110="Selected",COUNTIFS($B$9:$B$258,B110,$E$9:$E$258,E110,$F$9:$F$258,"Selected")&gt;1),"Selected scope overlap",IF(AND(ISNUMBER(H110),H110&gt;G110),"Price increased",IF(LEN(H110&amp;"")=0,"Final price pending","OK")))))))))))</f>
        <v/>
      </c>
      <c r="AN110" s="19" t="str">
        <f t="shared" si="21"/>
        <v/>
      </c>
      <c r="AO110" s="18" t="str">
        <f>IF(A110="","",IFERROR(IF(INDEX(Suppliers!$A$9:$A$508,MATCH(D110,Suppliers!$D$9:$D$508,0))=C110,"OK","Contact / supplier mismatch"),"Contact missing"))</f>
        <v/>
      </c>
      <c r="AP110" s="18" t="str">
        <f>IF(OR(A110="",IFERROR(INDEX(Jobs!$P$9:$P$258,MATCH(B110,Jobs!$A$9:$A$258,0)),"")=""),"",HYPERLINK("#'"&amp;IFERROR(INDEX(Jobs!$P$9:$P$258,MATCH(B110,Jobs!$A$9:$A$258,0)),"")&amp;"'!A1","OPEN JOB"))</f>
        <v/>
      </c>
      <c r="AQ110" s="18"/>
      <c r="AR110" s="18"/>
      <c r="AS110" t="str">
        <f t="shared" si="22"/>
        <v/>
      </c>
      <c r="AT110" t="str">
        <f t="shared" si="23"/>
        <v/>
      </c>
    </row>
    <row r="111" spans="1:46" ht="40" customHeight="1" x14ac:dyDescent="0.35">
      <c r="A111" s="14"/>
      <c r="B111" s="37"/>
      <c r="C111" s="14"/>
      <c r="D111" s="15"/>
      <c r="E111" s="15"/>
      <c r="F111" s="15"/>
      <c r="G111" s="24"/>
      <c r="H111" s="24"/>
      <c r="I111" s="15"/>
      <c r="J111" s="17"/>
      <c r="K111" s="17"/>
      <c r="L111" s="17"/>
      <c r="M111" s="15"/>
      <c r="N111" s="15"/>
      <c r="O111" s="15"/>
      <c r="P111" s="15"/>
      <c r="Q111" s="15"/>
      <c r="R111" s="15"/>
      <c r="S111" s="14"/>
      <c r="T111" s="14"/>
      <c r="U111" s="14" t="str">
        <f>IF(A111="","",IFERROR(IF(LEN(INDEX(Suppliers!$B$9:$B$508,MATCH(C111,Suppliers!$A$9:$A$508,0))&amp;"")=0,"",INDEX(Suppliers!$B$9:$B$508,MATCH(C111,Suppliers!$A$9:$A$508,0))),""))</f>
        <v/>
      </c>
      <c r="V111" s="14" t="str">
        <f>IF(A111="","",IFERROR(IF(LEN(INDEX(Suppliers!$E$9:$E$508,MATCH(D111,Suppliers!$D$9:$D$508,0))&amp;"")=0,"",INDEX(Suppliers!$E$9:$E$508,MATCH(D111,Suppliers!$D$9:$D$508,0))),""))</f>
        <v/>
      </c>
      <c r="W111" s="14" t="str">
        <f>IF(A111="","",IFERROR(IF(LEN(INDEX(Suppliers!$F$9:$F$508,MATCH(D111,Suppliers!$D$9:$D$508,0))&amp;"")=0,"",INDEX(Suppliers!$F$9:$F$508,MATCH(D111,Suppliers!$D$9:$D$508,0))),""))</f>
        <v/>
      </c>
      <c r="X111" s="14" t="str">
        <f>IF(A111="","",IFERROR(IF(LEN(INDEX(Suppliers!$G$9:$G$508,MATCH(D111,Suppliers!$D$9:$D$508,0))&amp;"")=0,"",INDEX(Suppliers!$G$9:$G$508,MATCH(D111,Suppliers!$D$9:$D$508,0))),""))</f>
        <v/>
      </c>
      <c r="Y111" s="14" t="str">
        <f>IF(A111="","",IFERROR(INDEX(Jobs!$C$9:$C$258,MATCH(B111,Jobs!$A$9:$A$258,0)),""))</f>
        <v/>
      </c>
      <c r="Z111" s="14" t="str">
        <f>IF(A111="","",IFERROR(INDEX(Jobs!$B$9:$B$258,MATCH(B111,Jobs!$A$9:$A$258,0)),""))</f>
        <v/>
      </c>
      <c r="AA111" s="16" t="str">
        <f>IF(A111="","",IFERROR(VLOOKUP(I111,Lists!$E$9:$F$14,2,FALSE),0))</f>
        <v/>
      </c>
      <c r="AB111" s="16" t="str">
        <f t="shared" si="12"/>
        <v/>
      </c>
      <c r="AC111" s="16" t="str">
        <f t="shared" si="13"/>
        <v/>
      </c>
      <c r="AD111" s="16" t="str">
        <f t="shared" si="14"/>
        <v/>
      </c>
      <c r="AE111" s="16" t="str">
        <f t="shared" si="15"/>
        <v/>
      </c>
      <c r="AF111" s="16" t="str">
        <f t="shared" si="16"/>
        <v/>
      </c>
      <c r="AG111" s="26" t="str">
        <f t="shared" si="17"/>
        <v/>
      </c>
      <c r="AH111" s="16" t="str">
        <f t="shared" si="18"/>
        <v/>
      </c>
      <c r="AI111" s="16" t="str">
        <f t="shared" si="19"/>
        <v/>
      </c>
      <c r="AJ111" s="16" t="str">
        <f t="shared" si="20"/>
        <v/>
      </c>
      <c r="AK111" s="14" t="str">
        <f>IF(AND(A111&lt;&gt;"",F111="Selected"),COUNTIF($F$9:F111,"Selected"),"")</f>
        <v/>
      </c>
      <c r="AL111" s="14" t="str">
        <f>IF(A111="","",COUNTIF($B$9:B111,B111))</f>
        <v/>
      </c>
      <c r="AM111" s="14" t="str">
        <f>IF(A111="","",IF(COUNTIF(Jobs!$A$9:$A$258,B111)&lt;&gt;1,"Check JobID",IF(COUNTIF(Suppliers!$D$9:$D$508,D111)&lt;&gt;1,"Check contact",IF(AA111&lt;=0,"Currency / FX missing",IF(NOT(ISNUMBER(G111)),"Original price missing",IF(G111&lt;0,"Invalid original price",IF(AND(H111&lt;&gt;"",NOT(ISNUMBER(H111))),"Invalid final price",IF(AND(ISNUMBER(H111),H111&lt;0),"Invalid final price",IF(AND(F111="Selected",COUNTIFS($B$9:$B$258,B111,$E$9:$E$258,E111,$F$9:$F$258,"Selected")&gt;1),"Selected scope overlap",IF(AND(ISNUMBER(H111),H111&gt;G111),"Price increased",IF(LEN(H111&amp;"")=0,"Final price pending","OK")))))))))))</f>
        <v/>
      </c>
      <c r="AN111" s="16" t="str">
        <f t="shared" si="21"/>
        <v/>
      </c>
      <c r="AO111" s="14" t="str">
        <f>IF(A111="","",IFERROR(IF(INDEX(Suppliers!$A$9:$A$508,MATCH(D111,Suppliers!$D$9:$D$508,0))=C111,"OK","Contact / supplier mismatch"),"Contact missing"))</f>
        <v/>
      </c>
      <c r="AP111" s="14" t="str">
        <f>IF(OR(A111="",IFERROR(INDEX(Jobs!$P$9:$P$258,MATCH(B111,Jobs!$A$9:$A$258,0)),"")=""),"",HYPERLINK("#'"&amp;IFERROR(INDEX(Jobs!$P$9:$P$258,MATCH(B111,Jobs!$A$9:$A$258,0)),"")&amp;"'!A1","OPEN JOB"))</f>
        <v/>
      </c>
      <c r="AQ111" s="14"/>
      <c r="AR111" s="14"/>
      <c r="AS111" t="str">
        <f t="shared" si="22"/>
        <v/>
      </c>
      <c r="AT111" t="str">
        <f t="shared" si="23"/>
        <v/>
      </c>
    </row>
    <row r="112" spans="1:46" ht="40" customHeight="1" x14ac:dyDescent="0.35">
      <c r="A112" s="18"/>
      <c r="B112" s="37"/>
      <c r="C112" s="18"/>
      <c r="D112" s="15"/>
      <c r="E112" s="15"/>
      <c r="F112" s="15"/>
      <c r="G112" s="24"/>
      <c r="H112" s="24"/>
      <c r="I112" s="15"/>
      <c r="J112" s="17"/>
      <c r="K112" s="17"/>
      <c r="L112" s="17"/>
      <c r="M112" s="15"/>
      <c r="N112" s="15"/>
      <c r="O112" s="15"/>
      <c r="P112" s="15"/>
      <c r="Q112" s="15"/>
      <c r="R112" s="15"/>
      <c r="S112" s="18"/>
      <c r="T112" s="18"/>
      <c r="U112" s="18" t="str">
        <f>IF(A112="","",IFERROR(IF(LEN(INDEX(Suppliers!$B$9:$B$508,MATCH(C112,Suppliers!$A$9:$A$508,0))&amp;"")=0,"",INDEX(Suppliers!$B$9:$B$508,MATCH(C112,Suppliers!$A$9:$A$508,0))),""))</f>
        <v/>
      </c>
      <c r="V112" s="18" t="str">
        <f>IF(A112="","",IFERROR(IF(LEN(INDEX(Suppliers!$E$9:$E$508,MATCH(D112,Suppliers!$D$9:$D$508,0))&amp;"")=0,"",INDEX(Suppliers!$E$9:$E$508,MATCH(D112,Suppliers!$D$9:$D$508,0))),""))</f>
        <v/>
      </c>
      <c r="W112" s="18" t="str">
        <f>IF(A112="","",IFERROR(IF(LEN(INDEX(Suppliers!$F$9:$F$508,MATCH(D112,Suppliers!$D$9:$D$508,0))&amp;"")=0,"",INDEX(Suppliers!$F$9:$F$508,MATCH(D112,Suppliers!$D$9:$D$508,0))),""))</f>
        <v/>
      </c>
      <c r="X112" s="18" t="str">
        <f>IF(A112="","",IFERROR(IF(LEN(INDEX(Suppliers!$G$9:$G$508,MATCH(D112,Suppliers!$D$9:$D$508,0))&amp;"")=0,"",INDEX(Suppliers!$G$9:$G$508,MATCH(D112,Suppliers!$D$9:$D$508,0))),""))</f>
        <v/>
      </c>
      <c r="Y112" s="18" t="str">
        <f>IF(A112="","",IFERROR(INDEX(Jobs!$C$9:$C$258,MATCH(B112,Jobs!$A$9:$A$258,0)),""))</f>
        <v/>
      </c>
      <c r="Z112" s="18" t="str">
        <f>IF(A112="","",IFERROR(INDEX(Jobs!$B$9:$B$258,MATCH(B112,Jobs!$A$9:$A$258,0)),""))</f>
        <v/>
      </c>
      <c r="AA112" s="19" t="str">
        <f>IF(A112="","",IFERROR(VLOOKUP(I112,Lists!$E$9:$F$14,2,FALSE),0))</f>
        <v/>
      </c>
      <c r="AB112" s="19" t="str">
        <f t="shared" si="12"/>
        <v/>
      </c>
      <c r="AC112" s="19" t="str">
        <f t="shared" si="13"/>
        <v/>
      </c>
      <c r="AD112" s="19" t="str">
        <f t="shared" si="14"/>
        <v/>
      </c>
      <c r="AE112" s="19" t="str">
        <f t="shared" si="15"/>
        <v/>
      </c>
      <c r="AF112" s="19" t="str">
        <f t="shared" si="16"/>
        <v/>
      </c>
      <c r="AG112" s="27" t="str">
        <f t="shared" si="17"/>
        <v/>
      </c>
      <c r="AH112" s="19" t="str">
        <f t="shared" si="18"/>
        <v/>
      </c>
      <c r="AI112" s="19" t="str">
        <f t="shared" si="19"/>
        <v/>
      </c>
      <c r="AJ112" s="19" t="str">
        <f t="shared" si="20"/>
        <v/>
      </c>
      <c r="AK112" s="18" t="str">
        <f>IF(AND(A112&lt;&gt;"",F112="Selected"),COUNTIF($F$9:F112,"Selected"),"")</f>
        <v/>
      </c>
      <c r="AL112" s="18" t="str">
        <f>IF(A112="","",COUNTIF($B$9:B112,B112))</f>
        <v/>
      </c>
      <c r="AM112" s="18" t="str">
        <f>IF(A112="","",IF(COUNTIF(Jobs!$A$9:$A$258,B112)&lt;&gt;1,"Check JobID",IF(COUNTIF(Suppliers!$D$9:$D$508,D112)&lt;&gt;1,"Check contact",IF(AA112&lt;=0,"Currency / FX missing",IF(NOT(ISNUMBER(G112)),"Original price missing",IF(G112&lt;0,"Invalid original price",IF(AND(H112&lt;&gt;"",NOT(ISNUMBER(H112))),"Invalid final price",IF(AND(ISNUMBER(H112),H112&lt;0),"Invalid final price",IF(AND(F112="Selected",COUNTIFS($B$9:$B$258,B112,$E$9:$E$258,E112,$F$9:$F$258,"Selected")&gt;1),"Selected scope overlap",IF(AND(ISNUMBER(H112),H112&gt;G112),"Price increased",IF(LEN(H112&amp;"")=0,"Final price pending","OK")))))))))))</f>
        <v/>
      </c>
      <c r="AN112" s="19" t="str">
        <f t="shared" si="21"/>
        <v/>
      </c>
      <c r="AO112" s="18" t="str">
        <f>IF(A112="","",IFERROR(IF(INDEX(Suppliers!$A$9:$A$508,MATCH(D112,Suppliers!$D$9:$D$508,0))=C112,"OK","Contact / supplier mismatch"),"Contact missing"))</f>
        <v/>
      </c>
      <c r="AP112" s="18" t="str">
        <f>IF(OR(A112="",IFERROR(INDEX(Jobs!$P$9:$P$258,MATCH(B112,Jobs!$A$9:$A$258,0)),"")=""),"",HYPERLINK("#'"&amp;IFERROR(INDEX(Jobs!$P$9:$P$258,MATCH(B112,Jobs!$A$9:$A$258,0)),"")&amp;"'!A1","OPEN JOB"))</f>
        <v/>
      </c>
      <c r="AQ112" s="18"/>
      <c r="AR112" s="18"/>
      <c r="AS112" t="str">
        <f t="shared" si="22"/>
        <v/>
      </c>
      <c r="AT112" t="str">
        <f t="shared" si="23"/>
        <v/>
      </c>
    </row>
    <row r="113" spans="1:46" ht="40" customHeight="1" x14ac:dyDescent="0.35">
      <c r="A113" s="14"/>
      <c r="B113" s="37"/>
      <c r="C113" s="14"/>
      <c r="D113" s="15"/>
      <c r="E113" s="15"/>
      <c r="F113" s="15"/>
      <c r="G113" s="24"/>
      <c r="H113" s="24"/>
      <c r="I113" s="15"/>
      <c r="J113" s="17"/>
      <c r="K113" s="17"/>
      <c r="L113" s="17"/>
      <c r="M113" s="15"/>
      <c r="N113" s="15"/>
      <c r="O113" s="15"/>
      <c r="P113" s="15"/>
      <c r="Q113" s="15"/>
      <c r="R113" s="15"/>
      <c r="S113" s="14"/>
      <c r="T113" s="14"/>
      <c r="U113" s="14" t="str">
        <f>IF(A113="","",IFERROR(IF(LEN(INDEX(Suppliers!$B$9:$B$508,MATCH(C113,Suppliers!$A$9:$A$508,0))&amp;"")=0,"",INDEX(Suppliers!$B$9:$B$508,MATCH(C113,Suppliers!$A$9:$A$508,0))),""))</f>
        <v/>
      </c>
      <c r="V113" s="14" t="str">
        <f>IF(A113="","",IFERROR(IF(LEN(INDEX(Suppliers!$E$9:$E$508,MATCH(D113,Suppliers!$D$9:$D$508,0))&amp;"")=0,"",INDEX(Suppliers!$E$9:$E$508,MATCH(D113,Suppliers!$D$9:$D$508,0))),""))</f>
        <v/>
      </c>
      <c r="W113" s="14" t="str">
        <f>IF(A113="","",IFERROR(IF(LEN(INDEX(Suppliers!$F$9:$F$508,MATCH(D113,Suppliers!$D$9:$D$508,0))&amp;"")=0,"",INDEX(Suppliers!$F$9:$F$508,MATCH(D113,Suppliers!$D$9:$D$508,0))),""))</f>
        <v/>
      </c>
      <c r="X113" s="14" t="str">
        <f>IF(A113="","",IFERROR(IF(LEN(INDEX(Suppliers!$G$9:$G$508,MATCH(D113,Suppliers!$D$9:$D$508,0))&amp;"")=0,"",INDEX(Suppliers!$G$9:$G$508,MATCH(D113,Suppliers!$D$9:$D$508,0))),""))</f>
        <v/>
      </c>
      <c r="Y113" s="14" t="str">
        <f>IF(A113="","",IFERROR(INDEX(Jobs!$C$9:$C$258,MATCH(B113,Jobs!$A$9:$A$258,0)),""))</f>
        <v/>
      </c>
      <c r="Z113" s="14" t="str">
        <f>IF(A113="","",IFERROR(INDEX(Jobs!$B$9:$B$258,MATCH(B113,Jobs!$A$9:$A$258,0)),""))</f>
        <v/>
      </c>
      <c r="AA113" s="16" t="str">
        <f>IF(A113="","",IFERROR(VLOOKUP(I113,Lists!$E$9:$F$14,2,FALSE),0))</f>
        <v/>
      </c>
      <c r="AB113" s="16" t="str">
        <f t="shared" si="12"/>
        <v/>
      </c>
      <c r="AC113" s="16" t="str">
        <f t="shared" si="13"/>
        <v/>
      </c>
      <c r="AD113" s="16" t="str">
        <f t="shared" si="14"/>
        <v/>
      </c>
      <c r="AE113" s="16" t="str">
        <f t="shared" si="15"/>
        <v/>
      </c>
      <c r="AF113" s="16" t="str">
        <f t="shared" si="16"/>
        <v/>
      </c>
      <c r="AG113" s="26" t="str">
        <f t="shared" si="17"/>
        <v/>
      </c>
      <c r="AH113" s="16" t="str">
        <f t="shared" si="18"/>
        <v/>
      </c>
      <c r="AI113" s="16" t="str">
        <f t="shared" si="19"/>
        <v/>
      </c>
      <c r="AJ113" s="16" t="str">
        <f t="shared" si="20"/>
        <v/>
      </c>
      <c r="AK113" s="14" t="str">
        <f>IF(AND(A113&lt;&gt;"",F113="Selected"),COUNTIF($F$9:F113,"Selected"),"")</f>
        <v/>
      </c>
      <c r="AL113" s="14" t="str">
        <f>IF(A113="","",COUNTIF($B$9:B113,B113))</f>
        <v/>
      </c>
      <c r="AM113" s="14" t="str">
        <f>IF(A113="","",IF(COUNTIF(Jobs!$A$9:$A$258,B113)&lt;&gt;1,"Check JobID",IF(COUNTIF(Suppliers!$D$9:$D$508,D113)&lt;&gt;1,"Check contact",IF(AA113&lt;=0,"Currency / FX missing",IF(NOT(ISNUMBER(G113)),"Original price missing",IF(G113&lt;0,"Invalid original price",IF(AND(H113&lt;&gt;"",NOT(ISNUMBER(H113))),"Invalid final price",IF(AND(ISNUMBER(H113),H113&lt;0),"Invalid final price",IF(AND(F113="Selected",COUNTIFS($B$9:$B$258,B113,$E$9:$E$258,E113,$F$9:$F$258,"Selected")&gt;1),"Selected scope overlap",IF(AND(ISNUMBER(H113),H113&gt;G113),"Price increased",IF(LEN(H113&amp;"")=0,"Final price pending","OK")))))))))))</f>
        <v/>
      </c>
      <c r="AN113" s="16" t="str">
        <f t="shared" si="21"/>
        <v/>
      </c>
      <c r="AO113" s="14" t="str">
        <f>IF(A113="","",IFERROR(IF(INDEX(Suppliers!$A$9:$A$508,MATCH(D113,Suppliers!$D$9:$D$508,0))=C113,"OK","Contact / supplier mismatch"),"Contact missing"))</f>
        <v/>
      </c>
      <c r="AP113" s="14" t="str">
        <f>IF(OR(A113="",IFERROR(INDEX(Jobs!$P$9:$P$258,MATCH(B113,Jobs!$A$9:$A$258,0)),"")=""),"",HYPERLINK("#'"&amp;IFERROR(INDEX(Jobs!$P$9:$P$258,MATCH(B113,Jobs!$A$9:$A$258,0)),"")&amp;"'!A1","OPEN JOB"))</f>
        <v/>
      </c>
      <c r="AQ113" s="14"/>
      <c r="AR113" s="14"/>
      <c r="AS113" t="str">
        <f t="shared" si="22"/>
        <v/>
      </c>
      <c r="AT113" t="str">
        <f t="shared" si="23"/>
        <v/>
      </c>
    </row>
    <row r="114" spans="1:46" ht="40" customHeight="1" x14ac:dyDescent="0.35">
      <c r="A114" s="18"/>
      <c r="B114" s="37"/>
      <c r="C114" s="18"/>
      <c r="D114" s="15"/>
      <c r="E114" s="15"/>
      <c r="F114" s="15"/>
      <c r="G114" s="24"/>
      <c r="H114" s="24"/>
      <c r="I114" s="15"/>
      <c r="J114" s="17"/>
      <c r="K114" s="17"/>
      <c r="L114" s="17"/>
      <c r="M114" s="15"/>
      <c r="N114" s="15"/>
      <c r="O114" s="15"/>
      <c r="P114" s="15"/>
      <c r="Q114" s="15"/>
      <c r="R114" s="15"/>
      <c r="S114" s="18"/>
      <c r="T114" s="18"/>
      <c r="U114" s="18" t="str">
        <f>IF(A114="","",IFERROR(IF(LEN(INDEX(Suppliers!$B$9:$B$508,MATCH(C114,Suppliers!$A$9:$A$508,0))&amp;"")=0,"",INDEX(Suppliers!$B$9:$B$508,MATCH(C114,Suppliers!$A$9:$A$508,0))),""))</f>
        <v/>
      </c>
      <c r="V114" s="18" t="str">
        <f>IF(A114="","",IFERROR(IF(LEN(INDEX(Suppliers!$E$9:$E$508,MATCH(D114,Suppliers!$D$9:$D$508,0))&amp;"")=0,"",INDEX(Suppliers!$E$9:$E$508,MATCH(D114,Suppliers!$D$9:$D$508,0))),""))</f>
        <v/>
      </c>
      <c r="W114" s="18" t="str">
        <f>IF(A114="","",IFERROR(IF(LEN(INDEX(Suppliers!$F$9:$F$508,MATCH(D114,Suppliers!$D$9:$D$508,0))&amp;"")=0,"",INDEX(Suppliers!$F$9:$F$508,MATCH(D114,Suppliers!$D$9:$D$508,0))),""))</f>
        <v/>
      </c>
      <c r="X114" s="18" t="str">
        <f>IF(A114="","",IFERROR(IF(LEN(INDEX(Suppliers!$G$9:$G$508,MATCH(D114,Suppliers!$D$9:$D$508,0))&amp;"")=0,"",INDEX(Suppliers!$G$9:$G$508,MATCH(D114,Suppliers!$D$9:$D$508,0))),""))</f>
        <v/>
      </c>
      <c r="Y114" s="18" t="str">
        <f>IF(A114="","",IFERROR(INDEX(Jobs!$C$9:$C$258,MATCH(B114,Jobs!$A$9:$A$258,0)),""))</f>
        <v/>
      </c>
      <c r="Z114" s="18" t="str">
        <f>IF(A114="","",IFERROR(INDEX(Jobs!$B$9:$B$258,MATCH(B114,Jobs!$A$9:$A$258,0)),""))</f>
        <v/>
      </c>
      <c r="AA114" s="19" t="str">
        <f>IF(A114="","",IFERROR(VLOOKUP(I114,Lists!$E$9:$F$14,2,FALSE),0))</f>
        <v/>
      </c>
      <c r="AB114" s="19" t="str">
        <f t="shared" si="12"/>
        <v/>
      </c>
      <c r="AC114" s="19" t="str">
        <f t="shared" si="13"/>
        <v/>
      </c>
      <c r="AD114" s="19" t="str">
        <f t="shared" si="14"/>
        <v/>
      </c>
      <c r="AE114" s="19" t="str">
        <f t="shared" si="15"/>
        <v/>
      </c>
      <c r="AF114" s="19" t="str">
        <f t="shared" si="16"/>
        <v/>
      </c>
      <c r="AG114" s="27" t="str">
        <f t="shared" si="17"/>
        <v/>
      </c>
      <c r="AH114" s="19" t="str">
        <f t="shared" si="18"/>
        <v/>
      </c>
      <c r="AI114" s="19" t="str">
        <f t="shared" si="19"/>
        <v/>
      </c>
      <c r="AJ114" s="19" t="str">
        <f t="shared" si="20"/>
        <v/>
      </c>
      <c r="AK114" s="18" t="str">
        <f>IF(AND(A114&lt;&gt;"",F114="Selected"),COUNTIF($F$9:F114,"Selected"),"")</f>
        <v/>
      </c>
      <c r="AL114" s="18" t="str">
        <f>IF(A114="","",COUNTIF($B$9:B114,B114))</f>
        <v/>
      </c>
      <c r="AM114" s="18" t="str">
        <f>IF(A114="","",IF(COUNTIF(Jobs!$A$9:$A$258,B114)&lt;&gt;1,"Check JobID",IF(COUNTIF(Suppliers!$D$9:$D$508,D114)&lt;&gt;1,"Check contact",IF(AA114&lt;=0,"Currency / FX missing",IF(NOT(ISNUMBER(G114)),"Original price missing",IF(G114&lt;0,"Invalid original price",IF(AND(H114&lt;&gt;"",NOT(ISNUMBER(H114))),"Invalid final price",IF(AND(ISNUMBER(H114),H114&lt;0),"Invalid final price",IF(AND(F114="Selected",COUNTIFS($B$9:$B$258,B114,$E$9:$E$258,E114,$F$9:$F$258,"Selected")&gt;1),"Selected scope overlap",IF(AND(ISNUMBER(H114),H114&gt;G114),"Price increased",IF(LEN(H114&amp;"")=0,"Final price pending","OK")))))))))))</f>
        <v/>
      </c>
      <c r="AN114" s="19" t="str">
        <f t="shared" si="21"/>
        <v/>
      </c>
      <c r="AO114" s="18" t="str">
        <f>IF(A114="","",IFERROR(IF(INDEX(Suppliers!$A$9:$A$508,MATCH(D114,Suppliers!$D$9:$D$508,0))=C114,"OK","Contact / supplier mismatch"),"Contact missing"))</f>
        <v/>
      </c>
      <c r="AP114" s="18" t="str">
        <f>IF(OR(A114="",IFERROR(INDEX(Jobs!$P$9:$P$258,MATCH(B114,Jobs!$A$9:$A$258,0)),"")=""),"",HYPERLINK("#'"&amp;IFERROR(INDEX(Jobs!$P$9:$P$258,MATCH(B114,Jobs!$A$9:$A$258,0)),"")&amp;"'!A1","OPEN JOB"))</f>
        <v/>
      </c>
      <c r="AQ114" s="18"/>
      <c r="AR114" s="18"/>
      <c r="AS114" t="str">
        <f t="shared" si="22"/>
        <v/>
      </c>
      <c r="AT114" t="str">
        <f t="shared" si="23"/>
        <v/>
      </c>
    </row>
    <row r="115" spans="1:46" ht="40" customHeight="1" x14ac:dyDescent="0.35">
      <c r="A115" s="14"/>
      <c r="B115" s="37"/>
      <c r="C115" s="14"/>
      <c r="D115" s="15"/>
      <c r="E115" s="15"/>
      <c r="F115" s="15"/>
      <c r="G115" s="24"/>
      <c r="H115" s="24"/>
      <c r="I115" s="15"/>
      <c r="J115" s="17"/>
      <c r="K115" s="17"/>
      <c r="L115" s="17"/>
      <c r="M115" s="15"/>
      <c r="N115" s="15"/>
      <c r="O115" s="15"/>
      <c r="P115" s="15"/>
      <c r="Q115" s="15"/>
      <c r="R115" s="15"/>
      <c r="S115" s="14"/>
      <c r="T115" s="14"/>
      <c r="U115" s="14" t="str">
        <f>IF(A115="","",IFERROR(IF(LEN(INDEX(Suppliers!$B$9:$B$508,MATCH(C115,Suppliers!$A$9:$A$508,0))&amp;"")=0,"",INDEX(Suppliers!$B$9:$B$508,MATCH(C115,Suppliers!$A$9:$A$508,0))),""))</f>
        <v/>
      </c>
      <c r="V115" s="14" t="str">
        <f>IF(A115="","",IFERROR(IF(LEN(INDEX(Suppliers!$E$9:$E$508,MATCH(D115,Suppliers!$D$9:$D$508,0))&amp;"")=0,"",INDEX(Suppliers!$E$9:$E$508,MATCH(D115,Suppliers!$D$9:$D$508,0))),""))</f>
        <v/>
      </c>
      <c r="W115" s="14" t="str">
        <f>IF(A115="","",IFERROR(IF(LEN(INDEX(Suppliers!$F$9:$F$508,MATCH(D115,Suppliers!$D$9:$D$508,0))&amp;"")=0,"",INDEX(Suppliers!$F$9:$F$508,MATCH(D115,Suppliers!$D$9:$D$508,0))),""))</f>
        <v/>
      </c>
      <c r="X115" s="14" t="str">
        <f>IF(A115="","",IFERROR(IF(LEN(INDEX(Suppliers!$G$9:$G$508,MATCH(D115,Suppliers!$D$9:$D$508,0))&amp;"")=0,"",INDEX(Suppliers!$G$9:$G$508,MATCH(D115,Suppliers!$D$9:$D$508,0))),""))</f>
        <v/>
      </c>
      <c r="Y115" s="14" t="str">
        <f>IF(A115="","",IFERROR(INDEX(Jobs!$C$9:$C$258,MATCH(B115,Jobs!$A$9:$A$258,0)),""))</f>
        <v/>
      </c>
      <c r="Z115" s="14" t="str">
        <f>IF(A115="","",IFERROR(INDEX(Jobs!$B$9:$B$258,MATCH(B115,Jobs!$A$9:$A$258,0)),""))</f>
        <v/>
      </c>
      <c r="AA115" s="16" t="str">
        <f>IF(A115="","",IFERROR(VLOOKUP(I115,Lists!$E$9:$F$14,2,FALSE),0))</f>
        <v/>
      </c>
      <c r="AB115" s="16" t="str">
        <f t="shared" si="12"/>
        <v/>
      </c>
      <c r="AC115" s="16" t="str">
        <f t="shared" si="13"/>
        <v/>
      </c>
      <c r="AD115" s="16" t="str">
        <f t="shared" si="14"/>
        <v/>
      </c>
      <c r="AE115" s="16" t="str">
        <f t="shared" si="15"/>
        <v/>
      </c>
      <c r="AF115" s="16" t="str">
        <f t="shared" si="16"/>
        <v/>
      </c>
      <c r="AG115" s="26" t="str">
        <f t="shared" si="17"/>
        <v/>
      </c>
      <c r="AH115" s="16" t="str">
        <f t="shared" si="18"/>
        <v/>
      </c>
      <c r="AI115" s="16" t="str">
        <f t="shared" si="19"/>
        <v/>
      </c>
      <c r="AJ115" s="16" t="str">
        <f t="shared" si="20"/>
        <v/>
      </c>
      <c r="AK115" s="14" t="str">
        <f>IF(AND(A115&lt;&gt;"",F115="Selected"),COUNTIF($F$9:F115,"Selected"),"")</f>
        <v/>
      </c>
      <c r="AL115" s="14" t="str">
        <f>IF(A115="","",COUNTIF($B$9:B115,B115))</f>
        <v/>
      </c>
      <c r="AM115" s="14" t="str">
        <f>IF(A115="","",IF(COUNTIF(Jobs!$A$9:$A$258,B115)&lt;&gt;1,"Check JobID",IF(COUNTIF(Suppliers!$D$9:$D$508,D115)&lt;&gt;1,"Check contact",IF(AA115&lt;=0,"Currency / FX missing",IF(NOT(ISNUMBER(G115)),"Original price missing",IF(G115&lt;0,"Invalid original price",IF(AND(H115&lt;&gt;"",NOT(ISNUMBER(H115))),"Invalid final price",IF(AND(ISNUMBER(H115),H115&lt;0),"Invalid final price",IF(AND(F115="Selected",COUNTIFS($B$9:$B$258,B115,$E$9:$E$258,E115,$F$9:$F$258,"Selected")&gt;1),"Selected scope overlap",IF(AND(ISNUMBER(H115),H115&gt;G115),"Price increased",IF(LEN(H115&amp;"")=0,"Final price pending","OK")))))))))))</f>
        <v/>
      </c>
      <c r="AN115" s="16" t="str">
        <f t="shared" si="21"/>
        <v/>
      </c>
      <c r="AO115" s="14" t="str">
        <f>IF(A115="","",IFERROR(IF(INDEX(Suppliers!$A$9:$A$508,MATCH(D115,Suppliers!$D$9:$D$508,0))=C115,"OK","Contact / supplier mismatch"),"Contact missing"))</f>
        <v/>
      </c>
      <c r="AP115" s="14" t="str">
        <f>IF(OR(A115="",IFERROR(INDEX(Jobs!$P$9:$P$258,MATCH(B115,Jobs!$A$9:$A$258,0)),"")=""),"",HYPERLINK("#'"&amp;IFERROR(INDEX(Jobs!$P$9:$P$258,MATCH(B115,Jobs!$A$9:$A$258,0)),"")&amp;"'!A1","OPEN JOB"))</f>
        <v/>
      </c>
      <c r="AQ115" s="14"/>
      <c r="AR115" s="14"/>
      <c r="AS115" t="str">
        <f t="shared" si="22"/>
        <v/>
      </c>
      <c r="AT115" t="str">
        <f t="shared" si="23"/>
        <v/>
      </c>
    </row>
    <row r="116" spans="1:46" ht="40" customHeight="1" x14ac:dyDescent="0.35">
      <c r="A116" s="18"/>
      <c r="B116" s="37"/>
      <c r="C116" s="18"/>
      <c r="D116" s="15"/>
      <c r="E116" s="15"/>
      <c r="F116" s="15"/>
      <c r="G116" s="24"/>
      <c r="H116" s="24"/>
      <c r="I116" s="15"/>
      <c r="J116" s="17"/>
      <c r="K116" s="17"/>
      <c r="L116" s="17"/>
      <c r="M116" s="15"/>
      <c r="N116" s="15"/>
      <c r="O116" s="15"/>
      <c r="P116" s="15"/>
      <c r="Q116" s="15"/>
      <c r="R116" s="15"/>
      <c r="S116" s="18"/>
      <c r="T116" s="18"/>
      <c r="U116" s="18" t="str">
        <f>IF(A116="","",IFERROR(IF(LEN(INDEX(Suppliers!$B$9:$B$508,MATCH(C116,Suppliers!$A$9:$A$508,0))&amp;"")=0,"",INDEX(Suppliers!$B$9:$B$508,MATCH(C116,Suppliers!$A$9:$A$508,0))),""))</f>
        <v/>
      </c>
      <c r="V116" s="18" t="str">
        <f>IF(A116="","",IFERROR(IF(LEN(INDEX(Suppliers!$E$9:$E$508,MATCH(D116,Suppliers!$D$9:$D$508,0))&amp;"")=0,"",INDEX(Suppliers!$E$9:$E$508,MATCH(D116,Suppliers!$D$9:$D$508,0))),""))</f>
        <v/>
      </c>
      <c r="W116" s="18" t="str">
        <f>IF(A116="","",IFERROR(IF(LEN(INDEX(Suppliers!$F$9:$F$508,MATCH(D116,Suppliers!$D$9:$D$508,0))&amp;"")=0,"",INDEX(Suppliers!$F$9:$F$508,MATCH(D116,Suppliers!$D$9:$D$508,0))),""))</f>
        <v/>
      </c>
      <c r="X116" s="18" t="str">
        <f>IF(A116="","",IFERROR(IF(LEN(INDEX(Suppliers!$G$9:$G$508,MATCH(D116,Suppliers!$D$9:$D$508,0))&amp;"")=0,"",INDEX(Suppliers!$G$9:$G$508,MATCH(D116,Suppliers!$D$9:$D$508,0))),""))</f>
        <v/>
      </c>
      <c r="Y116" s="18" t="str">
        <f>IF(A116="","",IFERROR(INDEX(Jobs!$C$9:$C$258,MATCH(B116,Jobs!$A$9:$A$258,0)),""))</f>
        <v/>
      </c>
      <c r="Z116" s="18" t="str">
        <f>IF(A116="","",IFERROR(INDEX(Jobs!$B$9:$B$258,MATCH(B116,Jobs!$A$9:$A$258,0)),""))</f>
        <v/>
      </c>
      <c r="AA116" s="19" t="str">
        <f>IF(A116="","",IFERROR(VLOOKUP(I116,Lists!$E$9:$F$14,2,FALSE),0))</f>
        <v/>
      </c>
      <c r="AB116" s="19" t="str">
        <f t="shared" si="12"/>
        <v/>
      </c>
      <c r="AC116" s="19" t="str">
        <f t="shared" si="13"/>
        <v/>
      </c>
      <c r="AD116" s="19" t="str">
        <f t="shared" si="14"/>
        <v/>
      </c>
      <c r="AE116" s="19" t="str">
        <f t="shared" si="15"/>
        <v/>
      </c>
      <c r="AF116" s="19" t="str">
        <f t="shared" si="16"/>
        <v/>
      </c>
      <c r="AG116" s="27" t="str">
        <f t="shared" si="17"/>
        <v/>
      </c>
      <c r="AH116" s="19" t="str">
        <f t="shared" si="18"/>
        <v/>
      </c>
      <c r="AI116" s="19" t="str">
        <f t="shared" si="19"/>
        <v/>
      </c>
      <c r="AJ116" s="19" t="str">
        <f t="shared" si="20"/>
        <v/>
      </c>
      <c r="AK116" s="18" t="str">
        <f>IF(AND(A116&lt;&gt;"",F116="Selected"),COUNTIF($F$9:F116,"Selected"),"")</f>
        <v/>
      </c>
      <c r="AL116" s="18" t="str">
        <f>IF(A116="","",COUNTIF($B$9:B116,B116))</f>
        <v/>
      </c>
      <c r="AM116" s="18" t="str">
        <f>IF(A116="","",IF(COUNTIF(Jobs!$A$9:$A$258,B116)&lt;&gt;1,"Check JobID",IF(COUNTIF(Suppliers!$D$9:$D$508,D116)&lt;&gt;1,"Check contact",IF(AA116&lt;=0,"Currency / FX missing",IF(NOT(ISNUMBER(G116)),"Original price missing",IF(G116&lt;0,"Invalid original price",IF(AND(H116&lt;&gt;"",NOT(ISNUMBER(H116))),"Invalid final price",IF(AND(ISNUMBER(H116),H116&lt;0),"Invalid final price",IF(AND(F116="Selected",COUNTIFS($B$9:$B$258,B116,$E$9:$E$258,E116,$F$9:$F$258,"Selected")&gt;1),"Selected scope overlap",IF(AND(ISNUMBER(H116),H116&gt;G116),"Price increased",IF(LEN(H116&amp;"")=0,"Final price pending","OK")))))))))))</f>
        <v/>
      </c>
      <c r="AN116" s="19" t="str">
        <f t="shared" si="21"/>
        <v/>
      </c>
      <c r="AO116" s="18" t="str">
        <f>IF(A116="","",IFERROR(IF(INDEX(Suppliers!$A$9:$A$508,MATCH(D116,Suppliers!$D$9:$D$508,0))=C116,"OK","Contact / supplier mismatch"),"Contact missing"))</f>
        <v/>
      </c>
      <c r="AP116" s="18" t="str">
        <f>IF(OR(A116="",IFERROR(INDEX(Jobs!$P$9:$P$258,MATCH(B116,Jobs!$A$9:$A$258,0)),"")=""),"",HYPERLINK("#'"&amp;IFERROR(INDEX(Jobs!$P$9:$P$258,MATCH(B116,Jobs!$A$9:$A$258,0)),"")&amp;"'!A1","OPEN JOB"))</f>
        <v/>
      </c>
      <c r="AQ116" s="18"/>
      <c r="AR116" s="18"/>
      <c r="AS116" t="str">
        <f t="shared" si="22"/>
        <v/>
      </c>
      <c r="AT116" t="str">
        <f t="shared" si="23"/>
        <v/>
      </c>
    </row>
    <row r="117" spans="1:46" ht="40" customHeight="1" x14ac:dyDescent="0.35">
      <c r="A117" s="14"/>
      <c r="B117" s="37"/>
      <c r="C117" s="14"/>
      <c r="D117" s="15"/>
      <c r="E117" s="15"/>
      <c r="F117" s="15"/>
      <c r="G117" s="24"/>
      <c r="H117" s="24"/>
      <c r="I117" s="15"/>
      <c r="J117" s="17"/>
      <c r="K117" s="17"/>
      <c r="L117" s="17"/>
      <c r="M117" s="15"/>
      <c r="N117" s="15"/>
      <c r="O117" s="15"/>
      <c r="P117" s="15"/>
      <c r="Q117" s="15"/>
      <c r="R117" s="15"/>
      <c r="S117" s="14"/>
      <c r="T117" s="14"/>
      <c r="U117" s="14" t="str">
        <f>IF(A117="","",IFERROR(IF(LEN(INDEX(Suppliers!$B$9:$B$508,MATCH(C117,Suppliers!$A$9:$A$508,0))&amp;"")=0,"",INDEX(Suppliers!$B$9:$B$508,MATCH(C117,Suppliers!$A$9:$A$508,0))),""))</f>
        <v/>
      </c>
      <c r="V117" s="14" t="str">
        <f>IF(A117="","",IFERROR(IF(LEN(INDEX(Suppliers!$E$9:$E$508,MATCH(D117,Suppliers!$D$9:$D$508,0))&amp;"")=0,"",INDEX(Suppliers!$E$9:$E$508,MATCH(D117,Suppliers!$D$9:$D$508,0))),""))</f>
        <v/>
      </c>
      <c r="W117" s="14" t="str">
        <f>IF(A117="","",IFERROR(IF(LEN(INDEX(Suppliers!$F$9:$F$508,MATCH(D117,Suppliers!$D$9:$D$508,0))&amp;"")=0,"",INDEX(Suppliers!$F$9:$F$508,MATCH(D117,Suppliers!$D$9:$D$508,0))),""))</f>
        <v/>
      </c>
      <c r="X117" s="14" t="str">
        <f>IF(A117="","",IFERROR(IF(LEN(INDEX(Suppliers!$G$9:$G$508,MATCH(D117,Suppliers!$D$9:$D$508,0))&amp;"")=0,"",INDEX(Suppliers!$G$9:$G$508,MATCH(D117,Suppliers!$D$9:$D$508,0))),""))</f>
        <v/>
      </c>
      <c r="Y117" s="14" t="str">
        <f>IF(A117="","",IFERROR(INDEX(Jobs!$C$9:$C$258,MATCH(B117,Jobs!$A$9:$A$258,0)),""))</f>
        <v/>
      </c>
      <c r="Z117" s="14" t="str">
        <f>IF(A117="","",IFERROR(INDEX(Jobs!$B$9:$B$258,MATCH(B117,Jobs!$A$9:$A$258,0)),""))</f>
        <v/>
      </c>
      <c r="AA117" s="16" t="str">
        <f>IF(A117="","",IFERROR(VLOOKUP(I117,Lists!$E$9:$F$14,2,FALSE),0))</f>
        <v/>
      </c>
      <c r="AB117" s="16" t="str">
        <f t="shared" si="12"/>
        <v/>
      </c>
      <c r="AC117" s="16" t="str">
        <f t="shared" si="13"/>
        <v/>
      </c>
      <c r="AD117" s="16" t="str">
        <f t="shared" si="14"/>
        <v/>
      </c>
      <c r="AE117" s="16" t="str">
        <f t="shared" si="15"/>
        <v/>
      </c>
      <c r="AF117" s="16" t="str">
        <f t="shared" si="16"/>
        <v/>
      </c>
      <c r="AG117" s="26" t="str">
        <f t="shared" si="17"/>
        <v/>
      </c>
      <c r="AH117" s="16" t="str">
        <f t="shared" si="18"/>
        <v/>
      </c>
      <c r="AI117" s="16" t="str">
        <f t="shared" si="19"/>
        <v/>
      </c>
      <c r="AJ117" s="16" t="str">
        <f t="shared" si="20"/>
        <v/>
      </c>
      <c r="AK117" s="14" t="str">
        <f>IF(AND(A117&lt;&gt;"",F117="Selected"),COUNTIF($F$9:F117,"Selected"),"")</f>
        <v/>
      </c>
      <c r="AL117" s="14" t="str">
        <f>IF(A117="","",COUNTIF($B$9:B117,B117))</f>
        <v/>
      </c>
      <c r="AM117" s="14" t="str">
        <f>IF(A117="","",IF(COUNTIF(Jobs!$A$9:$A$258,B117)&lt;&gt;1,"Check JobID",IF(COUNTIF(Suppliers!$D$9:$D$508,D117)&lt;&gt;1,"Check contact",IF(AA117&lt;=0,"Currency / FX missing",IF(NOT(ISNUMBER(G117)),"Original price missing",IF(G117&lt;0,"Invalid original price",IF(AND(H117&lt;&gt;"",NOT(ISNUMBER(H117))),"Invalid final price",IF(AND(ISNUMBER(H117),H117&lt;0),"Invalid final price",IF(AND(F117="Selected",COUNTIFS($B$9:$B$258,B117,$E$9:$E$258,E117,$F$9:$F$258,"Selected")&gt;1),"Selected scope overlap",IF(AND(ISNUMBER(H117),H117&gt;G117),"Price increased",IF(LEN(H117&amp;"")=0,"Final price pending","OK")))))))))))</f>
        <v/>
      </c>
      <c r="AN117" s="16" t="str">
        <f t="shared" si="21"/>
        <v/>
      </c>
      <c r="AO117" s="14" t="str">
        <f>IF(A117="","",IFERROR(IF(INDEX(Suppliers!$A$9:$A$508,MATCH(D117,Suppliers!$D$9:$D$508,0))=C117,"OK","Contact / supplier mismatch"),"Contact missing"))</f>
        <v/>
      </c>
      <c r="AP117" s="14" t="str">
        <f>IF(OR(A117="",IFERROR(INDEX(Jobs!$P$9:$P$258,MATCH(B117,Jobs!$A$9:$A$258,0)),"")=""),"",HYPERLINK("#'"&amp;IFERROR(INDEX(Jobs!$P$9:$P$258,MATCH(B117,Jobs!$A$9:$A$258,0)),"")&amp;"'!A1","OPEN JOB"))</f>
        <v/>
      </c>
      <c r="AQ117" s="14"/>
      <c r="AR117" s="14"/>
      <c r="AS117" t="str">
        <f t="shared" si="22"/>
        <v/>
      </c>
      <c r="AT117" t="str">
        <f t="shared" si="23"/>
        <v/>
      </c>
    </row>
    <row r="118" spans="1:46" ht="40" customHeight="1" x14ac:dyDescent="0.35">
      <c r="A118" s="18"/>
      <c r="B118" s="37"/>
      <c r="C118" s="18"/>
      <c r="D118" s="15"/>
      <c r="E118" s="15"/>
      <c r="F118" s="15"/>
      <c r="G118" s="24"/>
      <c r="H118" s="24"/>
      <c r="I118" s="15"/>
      <c r="J118" s="17"/>
      <c r="K118" s="17"/>
      <c r="L118" s="17"/>
      <c r="M118" s="15"/>
      <c r="N118" s="15"/>
      <c r="O118" s="15"/>
      <c r="P118" s="15"/>
      <c r="Q118" s="15"/>
      <c r="R118" s="15"/>
      <c r="S118" s="18"/>
      <c r="T118" s="18"/>
      <c r="U118" s="18" t="str">
        <f>IF(A118="","",IFERROR(IF(LEN(INDEX(Suppliers!$B$9:$B$508,MATCH(C118,Suppliers!$A$9:$A$508,0))&amp;"")=0,"",INDEX(Suppliers!$B$9:$B$508,MATCH(C118,Suppliers!$A$9:$A$508,0))),""))</f>
        <v/>
      </c>
      <c r="V118" s="18" t="str">
        <f>IF(A118="","",IFERROR(IF(LEN(INDEX(Suppliers!$E$9:$E$508,MATCH(D118,Suppliers!$D$9:$D$508,0))&amp;"")=0,"",INDEX(Suppliers!$E$9:$E$508,MATCH(D118,Suppliers!$D$9:$D$508,0))),""))</f>
        <v/>
      </c>
      <c r="W118" s="18" t="str">
        <f>IF(A118="","",IFERROR(IF(LEN(INDEX(Suppliers!$F$9:$F$508,MATCH(D118,Suppliers!$D$9:$D$508,0))&amp;"")=0,"",INDEX(Suppliers!$F$9:$F$508,MATCH(D118,Suppliers!$D$9:$D$508,0))),""))</f>
        <v/>
      </c>
      <c r="X118" s="18" t="str">
        <f>IF(A118="","",IFERROR(IF(LEN(INDEX(Suppliers!$G$9:$G$508,MATCH(D118,Suppliers!$D$9:$D$508,0))&amp;"")=0,"",INDEX(Suppliers!$G$9:$G$508,MATCH(D118,Suppliers!$D$9:$D$508,0))),""))</f>
        <v/>
      </c>
      <c r="Y118" s="18" t="str">
        <f>IF(A118="","",IFERROR(INDEX(Jobs!$C$9:$C$258,MATCH(B118,Jobs!$A$9:$A$258,0)),""))</f>
        <v/>
      </c>
      <c r="Z118" s="18" t="str">
        <f>IF(A118="","",IFERROR(INDEX(Jobs!$B$9:$B$258,MATCH(B118,Jobs!$A$9:$A$258,0)),""))</f>
        <v/>
      </c>
      <c r="AA118" s="19" t="str">
        <f>IF(A118="","",IFERROR(VLOOKUP(I118,Lists!$E$9:$F$14,2,FALSE),0))</f>
        <v/>
      </c>
      <c r="AB118" s="19" t="str">
        <f t="shared" si="12"/>
        <v/>
      </c>
      <c r="AC118" s="19" t="str">
        <f t="shared" si="13"/>
        <v/>
      </c>
      <c r="AD118" s="19" t="str">
        <f t="shared" si="14"/>
        <v/>
      </c>
      <c r="AE118" s="19" t="str">
        <f t="shared" si="15"/>
        <v/>
      </c>
      <c r="AF118" s="19" t="str">
        <f t="shared" si="16"/>
        <v/>
      </c>
      <c r="AG118" s="27" t="str">
        <f t="shared" si="17"/>
        <v/>
      </c>
      <c r="AH118" s="19" t="str">
        <f t="shared" si="18"/>
        <v/>
      </c>
      <c r="AI118" s="19" t="str">
        <f t="shared" si="19"/>
        <v/>
      </c>
      <c r="AJ118" s="19" t="str">
        <f t="shared" si="20"/>
        <v/>
      </c>
      <c r="AK118" s="18" t="str">
        <f>IF(AND(A118&lt;&gt;"",F118="Selected"),COUNTIF($F$9:F118,"Selected"),"")</f>
        <v/>
      </c>
      <c r="AL118" s="18" t="str">
        <f>IF(A118="","",COUNTIF($B$9:B118,B118))</f>
        <v/>
      </c>
      <c r="AM118" s="18" t="str">
        <f>IF(A118="","",IF(COUNTIF(Jobs!$A$9:$A$258,B118)&lt;&gt;1,"Check JobID",IF(COUNTIF(Suppliers!$D$9:$D$508,D118)&lt;&gt;1,"Check contact",IF(AA118&lt;=0,"Currency / FX missing",IF(NOT(ISNUMBER(G118)),"Original price missing",IF(G118&lt;0,"Invalid original price",IF(AND(H118&lt;&gt;"",NOT(ISNUMBER(H118))),"Invalid final price",IF(AND(ISNUMBER(H118),H118&lt;0),"Invalid final price",IF(AND(F118="Selected",COUNTIFS($B$9:$B$258,B118,$E$9:$E$258,E118,$F$9:$F$258,"Selected")&gt;1),"Selected scope overlap",IF(AND(ISNUMBER(H118),H118&gt;G118),"Price increased",IF(LEN(H118&amp;"")=0,"Final price pending","OK")))))))))))</f>
        <v/>
      </c>
      <c r="AN118" s="19" t="str">
        <f t="shared" si="21"/>
        <v/>
      </c>
      <c r="AO118" s="18" t="str">
        <f>IF(A118="","",IFERROR(IF(INDEX(Suppliers!$A$9:$A$508,MATCH(D118,Suppliers!$D$9:$D$508,0))=C118,"OK","Contact / supplier mismatch"),"Contact missing"))</f>
        <v/>
      </c>
      <c r="AP118" s="18" t="str">
        <f>IF(OR(A118="",IFERROR(INDEX(Jobs!$P$9:$P$258,MATCH(B118,Jobs!$A$9:$A$258,0)),"")=""),"",HYPERLINK("#'"&amp;IFERROR(INDEX(Jobs!$P$9:$P$258,MATCH(B118,Jobs!$A$9:$A$258,0)),"")&amp;"'!A1","OPEN JOB"))</f>
        <v/>
      </c>
      <c r="AQ118" s="18"/>
      <c r="AR118" s="18"/>
      <c r="AS118" t="str">
        <f t="shared" si="22"/>
        <v/>
      </c>
      <c r="AT118" t="str">
        <f t="shared" si="23"/>
        <v/>
      </c>
    </row>
    <row r="119" spans="1:46" ht="40" customHeight="1" x14ac:dyDescent="0.35">
      <c r="A119" s="14"/>
      <c r="B119" s="37"/>
      <c r="C119" s="14"/>
      <c r="D119" s="15"/>
      <c r="E119" s="15"/>
      <c r="F119" s="15"/>
      <c r="G119" s="24"/>
      <c r="H119" s="24"/>
      <c r="I119" s="15"/>
      <c r="J119" s="17"/>
      <c r="K119" s="17"/>
      <c r="L119" s="17"/>
      <c r="M119" s="15"/>
      <c r="N119" s="15"/>
      <c r="O119" s="15"/>
      <c r="P119" s="15"/>
      <c r="Q119" s="15"/>
      <c r="R119" s="15"/>
      <c r="S119" s="14"/>
      <c r="T119" s="14"/>
      <c r="U119" s="14" t="str">
        <f>IF(A119="","",IFERROR(IF(LEN(INDEX(Suppliers!$B$9:$B$508,MATCH(C119,Suppliers!$A$9:$A$508,0))&amp;"")=0,"",INDEX(Suppliers!$B$9:$B$508,MATCH(C119,Suppliers!$A$9:$A$508,0))),""))</f>
        <v/>
      </c>
      <c r="V119" s="14" t="str">
        <f>IF(A119="","",IFERROR(IF(LEN(INDEX(Suppliers!$E$9:$E$508,MATCH(D119,Suppliers!$D$9:$D$508,0))&amp;"")=0,"",INDEX(Suppliers!$E$9:$E$508,MATCH(D119,Suppliers!$D$9:$D$508,0))),""))</f>
        <v/>
      </c>
      <c r="W119" s="14" t="str">
        <f>IF(A119="","",IFERROR(IF(LEN(INDEX(Suppliers!$F$9:$F$508,MATCH(D119,Suppliers!$D$9:$D$508,0))&amp;"")=0,"",INDEX(Suppliers!$F$9:$F$508,MATCH(D119,Suppliers!$D$9:$D$508,0))),""))</f>
        <v/>
      </c>
      <c r="X119" s="14" t="str">
        <f>IF(A119="","",IFERROR(IF(LEN(INDEX(Suppliers!$G$9:$G$508,MATCH(D119,Suppliers!$D$9:$D$508,0))&amp;"")=0,"",INDEX(Suppliers!$G$9:$G$508,MATCH(D119,Suppliers!$D$9:$D$508,0))),""))</f>
        <v/>
      </c>
      <c r="Y119" s="14" t="str">
        <f>IF(A119="","",IFERROR(INDEX(Jobs!$C$9:$C$258,MATCH(B119,Jobs!$A$9:$A$258,0)),""))</f>
        <v/>
      </c>
      <c r="Z119" s="14" t="str">
        <f>IF(A119="","",IFERROR(INDEX(Jobs!$B$9:$B$258,MATCH(B119,Jobs!$A$9:$A$258,0)),""))</f>
        <v/>
      </c>
      <c r="AA119" s="16" t="str">
        <f>IF(A119="","",IFERROR(VLOOKUP(I119,Lists!$E$9:$F$14,2,FALSE),0))</f>
        <v/>
      </c>
      <c r="AB119" s="16" t="str">
        <f t="shared" si="12"/>
        <v/>
      </c>
      <c r="AC119" s="16" t="str">
        <f t="shared" si="13"/>
        <v/>
      </c>
      <c r="AD119" s="16" t="str">
        <f t="shared" si="14"/>
        <v/>
      </c>
      <c r="AE119" s="16" t="str">
        <f t="shared" si="15"/>
        <v/>
      </c>
      <c r="AF119" s="16" t="str">
        <f t="shared" si="16"/>
        <v/>
      </c>
      <c r="AG119" s="26" t="str">
        <f t="shared" si="17"/>
        <v/>
      </c>
      <c r="AH119" s="16" t="str">
        <f t="shared" si="18"/>
        <v/>
      </c>
      <c r="AI119" s="16" t="str">
        <f t="shared" si="19"/>
        <v/>
      </c>
      <c r="AJ119" s="16" t="str">
        <f t="shared" si="20"/>
        <v/>
      </c>
      <c r="AK119" s="14" t="str">
        <f>IF(AND(A119&lt;&gt;"",F119="Selected"),COUNTIF($F$9:F119,"Selected"),"")</f>
        <v/>
      </c>
      <c r="AL119" s="14" t="str">
        <f>IF(A119="","",COUNTIF($B$9:B119,B119))</f>
        <v/>
      </c>
      <c r="AM119" s="14" t="str">
        <f>IF(A119="","",IF(COUNTIF(Jobs!$A$9:$A$258,B119)&lt;&gt;1,"Check JobID",IF(COUNTIF(Suppliers!$D$9:$D$508,D119)&lt;&gt;1,"Check contact",IF(AA119&lt;=0,"Currency / FX missing",IF(NOT(ISNUMBER(G119)),"Original price missing",IF(G119&lt;0,"Invalid original price",IF(AND(H119&lt;&gt;"",NOT(ISNUMBER(H119))),"Invalid final price",IF(AND(ISNUMBER(H119),H119&lt;0),"Invalid final price",IF(AND(F119="Selected",COUNTIFS($B$9:$B$258,B119,$E$9:$E$258,E119,$F$9:$F$258,"Selected")&gt;1),"Selected scope overlap",IF(AND(ISNUMBER(H119),H119&gt;G119),"Price increased",IF(LEN(H119&amp;"")=0,"Final price pending","OK")))))))))))</f>
        <v/>
      </c>
      <c r="AN119" s="16" t="str">
        <f t="shared" si="21"/>
        <v/>
      </c>
      <c r="AO119" s="14" t="str">
        <f>IF(A119="","",IFERROR(IF(INDEX(Suppliers!$A$9:$A$508,MATCH(D119,Suppliers!$D$9:$D$508,0))=C119,"OK","Contact / supplier mismatch"),"Contact missing"))</f>
        <v/>
      </c>
      <c r="AP119" s="14" t="str">
        <f>IF(OR(A119="",IFERROR(INDEX(Jobs!$P$9:$P$258,MATCH(B119,Jobs!$A$9:$A$258,0)),"")=""),"",HYPERLINK("#'"&amp;IFERROR(INDEX(Jobs!$P$9:$P$258,MATCH(B119,Jobs!$A$9:$A$258,0)),"")&amp;"'!A1","OPEN JOB"))</f>
        <v/>
      </c>
      <c r="AQ119" s="14"/>
      <c r="AR119" s="14"/>
      <c r="AS119" t="str">
        <f t="shared" si="22"/>
        <v/>
      </c>
      <c r="AT119" t="str">
        <f t="shared" si="23"/>
        <v/>
      </c>
    </row>
    <row r="120" spans="1:46" ht="40" customHeight="1" x14ac:dyDescent="0.35">
      <c r="A120" s="18"/>
      <c r="B120" s="37"/>
      <c r="C120" s="18"/>
      <c r="D120" s="15"/>
      <c r="E120" s="15"/>
      <c r="F120" s="15"/>
      <c r="G120" s="24"/>
      <c r="H120" s="24"/>
      <c r="I120" s="15"/>
      <c r="J120" s="17"/>
      <c r="K120" s="17"/>
      <c r="L120" s="17"/>
      <c r="M120" s="15"/>
      <c r="N120" s="15"/>
      <c r="O120" s="15"/>
      <c r="P120" s="15"/>
      <c r="Q120" s="15"/>
      <c r="R120" s="15"/>
      <c r="S120" s="18"/>
      <c r="T120" s="18"/>
      <c r="U120" s="18" t="str">
        <f>IF(A120="","",IFERROR(IF(LEN(INDEX(Suppliers!$B$9:$B$508,MATCH(C120,Suppliers!$A$9:$A$508,0))&amp;"")=0,"",INDEX(Suppliers!$B$9:$B$508,MATCH(C120,Suppliers!$A$9:$A$508,0))),""))</f>
        <v/>
      </c>
      <c r="V120" s="18" t="str">
        <f>IF(A120="","",IFERROR(IF(LEN(INDEX(Suppliers!$E$9:$E$508,MATCH(D120,Suppliers!$D$9:$D$508,0))&amp;"")=0,"",INDEX(Suppliers!$E$9:$E$508,MATCH(D120,Suppliers!$D$9:$D$508,0))),""))</f>
        <v/>
      </c>
      <c r="W120" s="18" t="str">
        <f>IF(A120="","",IFERROR(IF(LEN(INDEX(Suppliers!$F$9:$F$508,MATCH(D120,Suppliers!$D$9:$D$508,0))&amp;"")=0,"",INDEX(Suppliers!$F$9:$F$508,MATCH(D120,Suppliers!$D$9:$D$508,0))),""))</f>
        <v/>
      </c>
      <c r="X120" s="18" t="str">
        <f>IF(A120="","",IFERROR(IF(LEN(INDEX(Suppliers!$G$9:$G$508,MATCH(D120,Suppliers!$D$9:$D$508,0))&amp;"")=0,"",INDEX(Suppliers!$G$9:$G$508,MATCH(D120,Suppliers!$D$9:$D$508,0))),""))</f>
        <v/>
      </c>
      <c r="Y120" s="18" t="str">
        <f>IF(A120="","",IFERROR(INDEX(Jobs!$C$9:$C$258,MATCH(B120,Jobs!$A$9:$A$258,0)),""))</f>
        <v/>
      </c>
      <c r="Z120" s="18" t="str">
        <f>IF(A120="","",IFERROR(INDEX(Jobs!$B$9:$B$258,MATCH(B120,Jobs!$A$9:$A$258,0)),""))</f>
        <v/>
      </c>
      <c r="AA120" s="19" t="str">
        <f>IF(A120="","",IFERROR(VLOOKUP(I120,Lists!$E$9:$F$14,2,FALSE),0))</f>
        <v/>
      </c>
      <c r="AB120" s="19" t="str">
        <f t="shared" si="12"/>
        <v/>
      </c>
      <c r="AC120" s="19" t="str">
        <f t="shared" si="13"/>
        <v/>
      </c>
      <c r="AD120" s="19" t="str">
        <f t="shared" si="14"/>
        <v/>
      </c>
      <c r="AE120" s="19" t="str">
        <f t="shared" si="15"/>
        <v/>
      </c>
      <c r="AF120" s="19" t="str">
        <f t="shared" si="16"/>
        <v/>
      </c>
      <c r="AG120" s="27" t="str">
        <f t="shared" si="17"/>
        <v/>
      </c>
      <c r="AH120" s="19" t="str">
        <f t="shared" si="18"/>
        <v/>
      </c>
      <c r="AI120" s="19" t="str">
        <f t="shared" si="19"/>
        <v/>
      </c>
      <c r="AJ120" s="19" t="str">
        <f t="shared" si="20"/>
        <v/>
      </c>
      <c r="AK120" s="18" t="str">
        <f>IF(AND(A120&lt;&gt;"",F120="Selected"),COUNTIF($F$9:F120,"Selected"),"")</f>
        <v/>
      </c>
      <c r="AL120" s="18" t="str">
        <f>IF(A120="","",COUNTIF($B$9:B120,B120))</f>
        <v/>
      </c>
      <c r="AM120" s="18" t="str">
        <f>IF(A120="","",IF(COUNTIF(Jobs!$A$9:$A$258,B120)&lt;&gt;1,"Check JobID",IF(COUNTIF(Suppliers!$D$9:$D$508,D120)&lt;&gt;1,"Check contact",IF(AA120&lt;=0,"Currency / FX missing",IF(NOT(ISNUMBER(G120)),"Original price missing",IF(G120&lt;0,"Invalid original price",IF(AND(H120&lt;&gt;"",NOT(ISNUMBER(H120))),"Invalid final price",IF(AND(ISNUMBER(H120),H120&lt;0),"Invalid final price",IF(AND(F120="Selected",COUNTIFS($B$9:$B$258,B120,$E$9:$E$258,E120,$F$9:$F$258,"Selected")&gt;1),"Selected scope overlap",IF(AND(ISNUMBER(H120),H120&gt;G120),"Price increased",IF(LEN(H120&amp;"")=0,"Final price pending","OK")))))))))))</f>
        <v/>
      </c>
      <c r="AN120" s="19" t="str">
        <f t="shared" si="21"/>
        <v/>
      </c>
      <c r="AO120" s="18" t="str">
        <f>IF(A120="","",IFERROR(IF(INDEX(Suppliers!$A$9:$A$508,MATCH(D120,Suppliers!$D$9:$D$508,0))=C120,"OK","Contact / supplier mismatch"),"Contact missing"))</f>
        <v/>
      </c>
      <c r="AP120" s="18" t="str">
        <f>IF(OR(A120="",IFERROR(INDEX(Jobs!$P$9:$P$258,MATCH(B120,Jobs!$A$9:$A$258,0)),"")=""),"",HYPERLINK("#'"&amp;IFERROR(INDEX(Jobs!$P$9:$P$258,MATCH(B120,Jobs!$A$9:$A$258,0)),"")&amp;"'!A1","OPEN JOB"))</f>
        <v/>
      </c>
      <c r="AQ120" s="18"/>
      <c r="AR120" s="18"/>
      <c r="AS120" t="str">
        <f t="shared" si="22"/>
        <v/>
      </c>
      <c r="AT120" t="str">
        <f t="shared" si="23"/>
        <v/>
      </c>
    </row>
    <row r="121" spans="1:46" ht="40" customHeight="1" x14ac:dyDescent="0.35">
      <c r="A121" s="14"/>
      <c r="B121" s="37"/>
      <c r="C121" s="14"/>
      <c r="D121" s="15"/>
      <c r="E121" s="15"/>
      <c r="F121" s="15"/>
      <c r="G121" s="24"/>
      <c r="H121" s="24"/>
      <c r="I121" s="15"/>
      <c r="J121" s="17"/>
      <c r="K121" s="17"/>
      <c r="L121" s="17"/>
      <c r="M121" s="15"/>
      <c r="N121" s="15"/>
      <c r="O121" s="15"/>
      <c r="P121" s="15"/>
      <c r="Q121" s="15"/>
      <c r="R121" s="15"/>
      <c r="S121" s="14"/>
      <c r="T121" s="14"/>
      <c r="U121" s="14" t="str">
        <f>IF(A121="","",IFERROR(IF(LEN(INDEX(Suppliers!$B$9:$B$508,MATCH(C121,Suppliers!$A$9:$A$508,0))&amp;"")=0,"",INDEX(Suppliers!$B$9:$B$508,MATCH(C121,Suppliers!$A$9:$A$508,0))),""))</f>
        <v/>
      </c>
      <c r="V121" s="14" t="str">
        <f>IF(A121="","",IFERROR(IF(LEN(INDEX(Suppliers!$E$9:$E$508,MATCH(D121,Suppliers!$D$9:$D$508,0))&amp;"")=0,"",INDEX(Suppliers!$E$9:$E$508,MATCH(D121,Suppliers!$D$9:$D$508,0))),""))</f>
        <v/>
      </c>
      <c r="W121" s="14" t="str">
        <f>IF(A121="","",IFERROR(IF(LEN(INDEX(Suppliers!$F$9:$F$508,MATCH(D121,Suppliers!$D$9:$D$508,0))&amp;"")=0,"",INDEX(Suppliers!$F$9:$F$508,MATCH(D121,Suppliers!$D$9:$D$508,0))),""))</f>
        <v/>
      </c>
      <c r="X121" s="14" t="str">
        <f>IF(A121="","",IFERROR(IF(LEN(INDEX(Suppliers!$G$9:$G$508,MATCH(D121,Suppliers!$D$9:$D$508,0))&amp;"")=0,"",INDEX(Suppliers!$G$9:$G$508,MATCH(D121,Suppliers!$D$9:$D$508,0))),""))</f>
        <v/>
      </c>
      <c r="Y121" s="14" t="str">
        <f>IF(A121="","",IFERROR(INDEX(Jobs!$C$9:$C$258,MATCH(B121,Jobs!$A$9:$A$258,0)),""))</f>
        <v/>
      </c>
      <c r="Z121" s="14" t="str">
        <f>IF(A121="","",IFERROR(INDEX(Jobs!$B$9:$B$258,MATCH(B121,Jobs!$A$9:$A$258,0)),""))</f>
        <v/>
      </c>
      <c r="AA121" s="16" t="str">
        <f>IF(A121="","",IFERROR(VLOOKUP(I121,Lists!$E$9:$F$14,2,FALSE),0))</f>
        <v/>
      </c>
      <c r="AB121" s="16" t="str">
        <f t="shared" si="12"/>
        <v/>
      </c>
      <c r="AC121" s="16" t="str">
        <f t="shared" si="13"/>
        <v/>
      </c>
      <c r="AD121" s="16" t="str">
        <f t="shared" si="14"/>
        <v/>
      </c>
      <c r="AE121" s="16" t="str">
        <f t="shared" si="15"/>
        <v/>
      </c>
      <c r="AF121" s="16" t="str">
        <f t="shared" si="16"/>
        <v/>
      </c>
      <c r="AG121" s="26" t="str">
        <f t="shared" si="17"/>
        <v/>
      </c>
      <c r="AH121" s="16" t="str">
        <f t="shared" si="18"/>
        <v/>
      </c>
      <c r="AI121" s="16" t="str">
        <f t="shared" si="19"/>
        <v/>
      </c>
      <c r="AJ121" s="16" t="str">
        <f t="shared" si="20"/>
        <v/>
      </c>
      <c r="AK121" s="14" t="str">
        <f>IF(AND(A121&lt;&gt;"",F121="Selected"),COUNTIF($F$9:F121,"Selected"),"")</f>
        <v/>
      </c>
      <c r="AL121" s="14" t="str">
        <f>IF(A121="","",COUNTIF($B$9:B121,B121))</f>
        <v/>
      </c>
      <c r="AM121" s="14" t="str">
        <f>IF(A121="","",IF(COUNTIF(Jobs!$A$9:$A$258,B121)&lt;&gt;1,"Check JobID",IF(COUNTIF(Suppliers!$D$9:$D$508,D121)&lt;&gt;1,"Check contact",IF(AA121&lt;=0,"Currency / FX missing",IF(NOT(ISNUMBER(G121)),"Original price missing",IF(G121&lt;0,"Invalid original price",IF(AND(H121&lt;&gt;"",NOT(ISNUMBER(H121))),"Invalid final price",IF(AND(ISNUMBER(H121),H121&lt;0),"Invalid final price",IF(AND(F121="Selected",COUNTIFS($B$9:$B$258,B121,$E$9:$E$258,E121,$F$9:$F$258,"Selected")&gt;1),"Selected scope overlap",IF(AND(ISNUMBER(H121),H121&gt;G121),"Price increased",IF(LEN(H121&amp;"")=0,"Final price pending","OK")))))))))))</f>
        <v/>
      </c>
      <c r="AN121" s="16" t="str">
        <f t="shared" si="21"/>
        <v/>
      </c>
      <c r="AO121" s="14" t="str">
        <f>IF(A121="","",IFERROR(IF(INDEX(Suppliers!$A$9:$A$508,MATCH(D121,Suppliers!$D$9:$D$508,0))=C121,"OK","Contact / supplier mismatch"),"Contact missing"))</f>
        <v/>
      </c>
      <c r="AP121" s="14" t="str">
        <f>IF(OR(A121="",IFERROR(INDEX(Jobs!$P$9:$P$258,MATCH(B121,Jobs!$A$9:$A$258,0)),"")=""),"",HYPERLINK("#'"&amp;IFERROR(INDEX(Jobs!$P$9:$P$258,MATCH(B121,Jobs!$A$9:$A$258,0)),"")&amp;"'!A1","OPEN JOB"))</f>
        <v/>
      </c>
      <c r="AQ121" s="14"/>
      <c r="AR121" s="14"/>
      <c r="AS121" t="str">
        <f t="shared" si="22"/>
        <v/>
      </c>
      <c r="AT121" t="str">
        <f t="shared" si="23"/>
        <v/>
      </c>
    </row>
    <row r="122" spans="1:46" ht="40" customHeight="1" x14ac:dyDescent="0.35">
      <c r="A122" s="18"/>
      <c r="B122" s="37"/>
      <c r="C122" s="18"/>
      <c r="D122" s="15"/>
      <c r="E122" s="15"/>
      <c r="F122" s="15"/>
      <c r="G122" s="24"/>
      <c r="H122" s="24"/>
      <c r="I122" s="15"/>
      <c r="J122" s="17"/>
      <c r="K122" s="17"/>
      <c r="L122" s="17"/>
      <c r="M122" s="15"/>
      <c r="N122" s="15"/>
      <c r="O122" s="15"/>
      <c r="P122" s="15"/>
      <c r="Q122" s="15"/>
      <c r="R122" s="15"/>
      <c r="S122" s="18"/>
      <c r="T122" s="18"/>
      <c r="U122" s="18" t="str">
        <f>IF(A122="","",IFERROR(IF(LEN(INDEX(Suppliers!$B$9:$B$508,MATCH(C122,Suppliers!$A$9:$A$508,0))&amp;"")=0,"",INDEX(Suppliers!$B$9:$B$508,MATCH(C122,Suppliers!$A$9:$A$508,0))),""))</f>
        <v/>
      </c>
      <c r="V122" s="18" t="str">
        <f>IF(A122="","",IFERROR(IF(LEN(INDEX(Suppliers!$E$9:$E$508,MATCH(D122,Suppliers!$D$9:$D$508,0))&amp;"")=0,"",INDEX(Suppliers!$E$9:$E$508,MATCH(D122,Suppliers!$D$9:$D$508,0))),""))</f>
        <v/>
      </c>
      <c r="W122" s="18" t="str">
        <f>IF(A122="","",IFERROR(IF(LEN(INDEX(Suppliers!$F$9:$F$508,MATCH(D122,Suppliers!$D$9:$D$508,0))&amp;"")=0,"",INDEX(Suppliers!$F$9:$F$508,MATCH(D122,Suppliers!$D$9:$D$508,0))),""))</f>
        <v/>
      </c>
      <c r="X122" s="18" t="str">
        <f>IF(A122="","",IFERROR(IF(LEN(INDEX(Suppliers!$G$9:$G$508,MATCH(D122,Suppliers!$D$9:$D$508,0))&amp;"")=0,"",INDEX(Suppliers!$G$9:$G$508,MATCH(D122,Suppliers!$D$9:$D$508,0))),""))</f>
        <v/>
      </c>
      <c r="Y122" s="18" t="str">
        <f>IF(A122="","",IFERROR(INDEX(Jobs!$C$9:$C$258,MATCH(B122,Jobs!$A$9:$A$258,0)),""))</f>
        <v/>
      </c>
      <c r="Z122" s="18" t="str">
        <f>IF(A122="","",IFERROR(INDEX(Jobs!$B$9:$B$258,MATCH(B122,Jobs!$A$9:$A$258,0)),""))</f>
        <v/>
      </c>
      <c r="AA122" s="19" t="str">
        <f>IF(A122="","",IFERROR(VLOOKUP(I122,Lists!$E$9:$F$14,2,FALSE),0))</f>
        <v/>
      </c>
      <c r="AB122" s="19" t="str">
        <f t="shared" si="12"/>
        <v/>
      </c>
      <c r="AC122" s="19" t="str">
        <f t="shared" si="13"/>
        <v/>
      </c>
      <c r="AD122" s="19" t="str">
        <f t="shared" si="14"/>
        <v/>
      </c>
      <c r="AE122" s="19" t="str">
        <f t="shared" si="15"/>
        <v/>
      </c>
      <c r="AF122" s="19" t="str">
        <f t="shared" si="16"/>
        <v/>
      </c>
      <c r="AG122" s="27" t="str">
        <f t="shared" si="17"/>
        <v/>
      </c>
      <c r="AH122" s="19" t="str">
        <f t="shared" si="18"/>
        <v/>
      </c>
      <c r="AI122" s="19" t="str">
        <f t="shared" si="19"/>
        <v/>
      </c>
      <c r="AJ122" s="19" t="str">
        <f t="shared" si="20"/>
        <v/>
      </c>
      <c r="AK122" s="18" t="str">
        <f>IF(AND(A122&lt;&gt;"",F122="Selected"),COUNTIF($F$9:F122,"Selected"),"")</f>
        <v/>
      </c>
      <c r="AL122" s="18" t="str">
        <f>IF(A122="","",COUNTIF($B$9:B122,B122))</f>
        <v/>
      </c>
      <c r="AM122" s="18" t="str">
        <f>IF(A122="","",IF(COUNTIF(Jobs!$A$9:$A$258,B122)&lt;&gt;1,"Check JobID",IF(COUNTIF(Suppliers!$D$9:$D$508,D122)&lt;&gt;1,"Check contact",IF(AA122&lt;=0,"Currency / FX missing",IF(NOT(ISNUMBER(G122)),"Original price missing",IF(G122&lt;0,"Invalid original price",IF(AND(H122&lt;&gt;"",NOT(ISNUMBER(H122))),"Invalid final price",IF(AND(ISNUMBER(H122),H122&lt;0),"Invalid final price",IF(AND(F122="Selected",COUNTIFS($B$9:$B$258,B122,$E$9:$E$258,E122,$F$9:$F$258,"Selected")&gt;1),"Selected scope overlap",IF(AND(ISNUMBER(H122),H122&gt;G122),"Price increased",IF(LEN(H122&amp;"")=0,"Final price pending","OK")))))))))))</f>
        <v/>
      </c>
      <c r="AN122" s="19" t="str">
        <f t="shared" si="21"/>
        <v/>
      </c>
      <c r="AO122" s="18" t="str">
        <f>IF(A122="","",IFERROR(IF(INDEX(Suppliers!$A$9:$A$508,MATCH(D122,Suppliers!$D$9:$D$508,0))=C122,"OK","Contact / supplier mismatch"),"Contact missing"))</f>
        <v/>
      </c>
      <c r="AP122" s="18" t="str">
        <f>IF(OR(A122="",IFERROR(INDEX(Jobs!$P$9:$P$258,MATCH(B122,Jobs!$A$9:$A$258,0)),"")=""),"",HYPERLINK("#'"&amp;IFERROR(INDEX(Jobs!$P$9:$P$258,MATCH(B122,Jobs!$A$9:$A$258,0)),"")&amp;"'!A1","OPEN JOB"))</f>
        <v/>
      </c>
      <c r="AQ122" s="18"/>
      <c r="AR122" s="18"/>
      <c r="AS122" t="str">
        <f t="shared" si="22"/>
        <v/>
      </c>
      <c r="AT122" t="str">
        <f t="shared" si="23"/>
        <v/>
      </c>
    </row>
    <row r="123" spans="1:46" ht="40" customHeight="1" x14ac:dyDescent="0.35">
      <c r="A123" s="14"/>
      <c r="B123" s="37"/>
      <c r="C123" s="14"/>
      <c r="D123" s="15"/>
      <c r="E123" s="15"/>
      <c r="F123" s="15"/>
      <c r="G123" s="24"/>
      <c r="H123" s="24"/>
      <c r="I123" s="15"/>
      <c r="J123" s="17"/>
      <c r="K123" s="17"/>
      <c r="L123" s="17"/>
      <c r="M123" s="15"/>
      <c r="N123" s="15"/>
      <c r="O123" s="15"/>
      <c r="P123" s="15"/>
      <c r="Q123" s="15"/>
      <c r="R123" s="15"/>
      <c r="S123" s="14"/>
      <c r="T123" s="14"/>
      <c r="U123" s="14" t="str">
        <f>IF(A123="","",IFERROR(IF(LEN(INDEX(Suppliers!$B$9:$B$508,MATCH(C123,Suppliers!$A$9:$A$508,0))&amp;"")=0,"",INDEX(Suppliers!$B$9:$B$508,MATCH(C123,Suppliers!$A$9:$A$508,0))),""))</f>
        <v/>
      </c>
      <c r="V123" s="14" t="str">
        <f>IF(A123="","",IFERROR(IF(LEN(INDEX(Suppliers!$E$9:$E$508,MATCH(D123,Suppliers!$D$9:$D$508,0))&amp;"")=0,"",INDEX(Suppliers!$E$9:$E$508,MATCH(D123,Suppliers!$D$9:$D$508,0))),""))</f>
        <v/>
      </c>
      <c r="W123" s="14" t="str">
        <f>IF(A123="","",IFERROR(IF(LEN(INDEX(Suppliers!$F$9:$F$508,MATCH(D123,Suppliers!$D$9:$D$508,0))&amp;"")=0,"",INDEX(Suppliers!$F$9:$F$508,MATCH(D123,Suppliers!$D$9:$D$508,0))),""))</f>
        <v/>
      </c>
      <c r="X123" s="14" t="str">
        <f>IF(A123="","",IFERROR(IF(LEN(INDEX(Suppliers!$G$9:$G$508,MATCH(D123,Suppliers!$D$9:$D$508,0))&amp;"")=0,"",INDEX(Suppliers!$G$9:$G$508,MATCH(D123,Suppliers!$D$9:$D$508,0))),""))</f>
        <v/>
      </c>
      <c r="Y123" s="14" t="str">
        <f>IF(A123="","",IFERROR(INDEX(Jobs!$C$9:$C$258,MATCH(B123,Jobs!$A$9:$A$258,0)),""))</f>
        <v/>
      </c>
      <c r="Z123" s="14" t="str">
        <f>IF(A123="","",IFERROR(INDEX(Jobs!$B$9:$B$258,MATCH(B123,Jobs!$A$9:$A$258,0)),""))</f>
        <v/>
      </c>
      <c r="AA123" s="16" t="str">
        <f>IF(A123="","",IFERROR(VLOOKUP(I123,Lists!$E$9:$F$14,2,FALSE),0))</f>
        <v/>
      </c>
      <c r="AB123" s="16" t="str">
        <f t="shared" si="12"/>
        <v/>
      </c>
      <c r="AC123" s="16" t="str">
        <f t="shared" si="13"/>
        <v/>
      </c>
      <c r="AD123" s="16" t="str">
        <f t="shared" si="14"/>
        <v/>
      </c>
      <c r="AE123" s="16" t="str">
        <f t="shared" si="15"/>
        <v/>
      </c>
      <c r="AF123" s="16" t="str">
        <f t="shared" si="16"/>
        <v/>
      </c>
      <c r="AG123" s="26" t="str">
        <f t="shared" si="17"/>
        <v/>
      </c>
      <c r="AH123" s="16" t="str">
        <f t="shared" si="18"/>
        <v/>
      </c>
      <c r="AI123" s="16" t="str">
        <f t="shared" si="19"/>
        <v/>
      </c>
      <c r="AJ123" s="16" t="str">
        <f t="shared" si="20"/>
        <v/>
      </c>
      <c r="AK123" s="14" t="str">
        <f>IF(AND(A123&lt;&gt;"",F123="Selected"),COUNTIF($F$9:F123,"Selected"),"")</f>
        <v/>
      </c>
      <c r="AL123" s="14" t="str">
        <f>IF(A123="","",COUNTIF($B$9:B123,B123))</f>
        <v/>
      </c>
      <c r="AM123" s="14" t="str">
        <f>IF(A123="","",IF(COUNTIF(Jobs!$A$9:$A$258,B123)&lt;&gt;1,"Check JobID",IF(COUNTIF(Suppliers!$D$9:$D$508,D123)&lt;&gt;1,"Check contact",IF(AA123&lt;=0,"Currency / FX missing",IF(NOT(ISNUMBER(G123)),"Original price missing",IF(G123&lt;0,"Invalid original price",IF(AND(H123&lt;&gt;"",NOT(ISNUMBER(H123))),"Invalid final price",IF(AND(ISNUMBER(H123),H123&lt;0),"Invalid final price",IF(AND(F123="Selected",COUNTIFS($B$9:$B$258,B123,$E$9:$E$258,E123,$F$9:$F$258,"Selected")&gt;1),"Selected scope overlap",IF(AND(ISNUMBER(H123),H123&gt;G123),"Price increased",IF(LEN(H123&amp;"")=0,"Final price pending","OK")))))))))))</f>
        <v/>
      </c>
      <c r="AN123" s="16" t="str">
        <f t="shared" si="21"/>
        <v/>
      </c>
      <c r="AO123" s="14" t="str">
        <f>IF(A123="","",IFERROR(IF(INDEX(Suppliers!$A$9:$A$508,MATCH(D123,Suppliers!$D$9:$D$508,0))=C123,"OK","Contact / supplier mismatch"),"Contact missing"))</f>
        <v/>
      </c>
      <c r="AP123" s="14" t="str">
        <f>IF(OR(A123="",IFERROR(INDEX(Jobs!$P$9:$P$258,MATCH(B123,Jobs!$A$9:$A$258,0)),"")=""),"",HYPERLINK("#'"&amp;IFERROR(INDEX(Jobs!$P$9:$P$258,MATCH(B123,Jobs!$A$9:$A$258,0)),"")&amp;"'!A1","OPEN JOB"))</f>
        <v/>
      </c>
      <c r="AQ123" s="14"/>
      <c r="AR123" s="14"/>
      <c r="AS123" t="str">
        <f t="shared" si="22"/>
        <v/>
      </c>
      <c r="AT123" t="str">
        <f t="shared" si="23"/>
        <v/>
      </c>
    </row>
    <row r="124" spans="1:46" ht="40" customHeight="1" x14ac:dyDescent="0.35">
      <c r="A124" s="18"/>
      <c r="B124" s="37"/>
      <c r="C124" s="18"/>
      <c r="D124" s="15"/>
      <c r="E124" s="15"/>
      <c r="F124" s="15"/>
      <c r="G124" s="24"/>
      <c r="H124" s="24"/>
      <c r="I124" s="15"/>
      <c r="J124" s="17"/>
      <c r="K124" s="17"/>
      <c r="L124" s="17"/>
      <c r="M124" s="15"/>
      <c r="N124" s="15"/>
      <c r="O124" s="15"/>
      <c r="P124" s="15"/>
      <c r="Q124" s="15"/>
      <c r="R124" s="15"/>
      <c r="S124" s="18"/>
      <c r="T124" s="18"/>
      <c r="U124" s="18" t="str">
        <f>IF(A124="","",IFERROR(IF(LEN(INDEX(Suppliers!$B$9:$B$508,MATCH(C124,Suppliers!$A$9:$A$508,0))&amp;"")=0,"",INDEX(Suppliers!$B$9:$B$508,MATCH(C124,Suppliers!$A$9:$A$508,0))),""))</f>
        <v/>
      </c>
      <c r="V124" s="18" t="str">
        <f>IF(A124="","",IFERROR(IF(LEN(INDEX(Suppliers!$E$9:$E$508,MATCH(D124,Suppliers!$D$9:$D$508,0))&amp;"")=0,"",INDEX(Suppliers!$E$9:$E$508,MATCH(D124,Suppliers!$D$9:$D$508,0))),""))</f>
        <v/>
      </c>
      <c r="W124" s="18" t="str">
        <f>IF(A124="","",IFERROR(IF(LEN(INDEX(Suppliers!$F$9:$F$508,MATCH(D124,Suppliers!$D$9:$D$508,0))&amp;"")=0,"",INDEX(Suppliers!$F$9:$F$508,MATCH(D124,Suppliers!$D$9:$D$508,0))),""))</f>
        <v/>
      </c>
      <c r="X124" s="18" t="str">
        <f>IF(A124="","",IFERROR(IF(LEN(INDEX(Suppliers!$G$9:$G$508,MATCH(D124,Suppliers!$D$9:$D$508,0))&amp;"")=0,"",INDEX(Suppliers!$G$9:$G$508,MATCH(D124,Suppliers!$D$9:$D$508,0))),""))</f>
        <v/>
      </c>
      <c r="Y124" s="18" t="str">
        <f>IF(A124="","",IFERROR(INDEX(Jobs!$C$9:$C$258,MATCH(B124,Jobs!$A$9:$A$258,0)),""))</f>
        <v/>
      </c>
      <c r="Z124" s="18" t="str">
        <f>IF(A124="","",IFERROR(INDEX(Jobs!$B$9:$B$258,MATCH(B124,Jobs!$A$9:$A$258,0)),""))</f>
        <v/>
      </c>
      <c r="AA124" s="19" t="str">
        <f>IF(A124="","",IFERROR(VLOOKUP(I124,Lists!$E$9:$F$14,2,FALSE),0))</f>
        <v/>
      </c>
      <c r="AB124" s="19" t="str">
        <f t="shared" si="12"/>
        <v/>
      </c>
      <c r="AC124" s="19" t="str">
        <f t="shared" si="13"/>
        <v/>
      </c>
      <c r="AD124" s="19" t="str">
        <f t="shared" si="14"/>
        <v/>
      </c>
      <c r="AE124" s="19" t="str">
        <f t="shared" si="15"/>
        <v/>
      </c>
      <c r="AF124" s="19" t="str">
        <f t="shared" si="16"/>
        <v/>
      </c>
      <c r="AG124" s="27" t="str">
        <f t="shared" si="17"/>
        <v/>
      </c>
      <c r="AH124" s="19" t="str">
        <f t="shared" si="18"/>
        <v/>
      </c>
      <c r="AI124" s="19" t="str">
        <f t="shared" si="19"/>
        <v/>
      </c>
      <c r="AJ124" s="19" t="str">
        <f t="shared" si="20"/>
        <v/>
      </c>
      <c r="AK124" s="18" t="str">
        <f>IF(AND(A124&lt;&gt;"",F124="Selected"),COUNTIF($F$9:F124,"Selected"),"")</f>
        <v/>
      </c>
      <c r="AL124" s="18" t="str">
        <f>IF(A124="","",COUNTIF($B$9:B124,B124))</f>
        <v/>
      </c>
      <c r="AM124" s="18" t="str">
        <f>IF(A124="","",IF(COUNTIF(Jobs!$A$9:$A$258,B124)&lt;&gt;1,"Check JobID",IF(COUNTIF(Suppliers!$D$9:$D$508,D124)&lt;&gt;1,"Check contact",IF(AA124&lt;=0,"Currency / FX missing",IF(NOT(ISNUMBER(G124)),"Original price missing",IF(G124&lt;0,"Invalid original price",IF(AND(H124&lt;&gt;"",NOT(ISNUMBER(H124))),"Invalid final price",IF(AND(ISNUMBER(H124),H124&lt;0),"Invalid final price",IF(AND(F124="Selected",COUNTIFS($B$9:$B$258,B124,$E$9:$E$258,E124,$F$9:$F$258,"Selected")&gt;1),"Selected scope overlap",IF(AND(ISNUMBER(H124),H124&gt;G124),"Price increased",IF(LEN(H124&amp;"")=0,"Final price pending","OK")))))))))))</f>
        <v/>
      </c>
      <c r="AN124" s="19" t="str">
        <f t="shared" si="21"/>
        <v/>
      </c>
      <c r="AO124" s="18" t="str">
        <f>IF(A124="","",IFERROR(IF(INDEX(Suppliers!$A$9:$A$508,MATCH(D124,Suppliers!$D$9:$D$508,0))=C124,"OK","Contact / supplier mismatch"),"Contact missing"))</f>
        <v/>
      </c>
      <c r="AP124" s="18" t="str">
        <f>IF(OR(A124="",IFERROR(INDEX(Jobs!$P$9:$P$258,MATCH(B124,Jobs!$A$9:$A$258,0)),"")=""),"",HYPERLINK("#'"&amp;IFERROR(INDEX(Jobs!$P$9:$P$258,MATCH(B124,Jobs!$A$9:$A$258,0)),"")&amp;"'!A1","OPEN JOB"))</f>
        <v/>
      </c>
      <c r="AQ124" s="18"/>
      <c r="AR124" s="18"/>
      <c r="AS124" t="str">
        <f t="shared" si="22"/>
        <v/>
      </c>
      <c r="AT124" t="str">
        <f t="shared" si="23"/>
        <v/>
      </c>
    </row>
    <row r="125" spans="1:46" ht="40" customHeight="1" x14ac:dyDescent="0.35">
      <c r="A125" s="14"/>
      <c r="B125" s="37"/>
      <c r="C125" s="14"/>
      <c r="D125" s="15"/>
      <c r="E125" s="15"/>
      <c r="F125" s="15"/>
      <c r="G125" s="24"/>
      <c r="H125" s="24"/>
      <c r="I125" s="15"/>
      <c r="J125" s="17"/>
      <c r="K125" s="17"/>
      <c r="L125" s="17"/>
      <c r="M125" s="15"/>
      <c r="N125" s="15"/>
      <c r="O125" s="15"/>
      <c r="P125" s="15"/>
      <c r="Q125" s="15"/>
      <c r="R125" s="15"/>
      <c r="S125" s="14"/>
      <c r="T125" s="14"/>
      <c r="U125" s="14" t="str">
        <f>IF(A125="","",IFERROR(IF(LEN(INDEX(Suppliers!$B$9:$B$508,MATCH(C125,Suppliers!$A$9:$A$508,0))&amp;"")=0,"",INDEX(Suppliers!$B$9:$B$508,MATCH(C125,Suppliers!$A$9:$A$508,0))),""))</f>
        <v/>
      </c>
      <c r="V125" s="14" t="str">
        <f>IF(A125="","",IFERROR(IF(LEN(INDEX(Suppliers!$E$9:$E$508,MATCH(D125,Suppliers!$D$9:$D$508,0))&amp;"")=0,"",INDEX(Suppliers!$E$9:$E$508,MATCH(D125,Suppliers!$D$9:$D$508,0))),""))</f>
        <v/>
      </c>
      <c r="W125" s="14" t="str">
        <f>IF(A125="","",IFERROR(IF(LEN(INDEX(Suppliers!$F$9:$F$508,MATCH(D125,Suppliers!$D$9:$D$508,0))&amp;"")=0,"",INDEX(Suppliers!$F$9:$F$508,MATCH(D125,Suppliers!$D$9:$D$508,0))),""))</f>
        <v/>
      </c>
      <c r="X125" s="14" t="str">
        <f>IF(A125="","",IFERROR(IF(LEN(INDEX(Suppliers!$G$9:$G$508,MATCH(D125,Suppliers!$D$9:$D$508,0))&amp;"")=0,"",INDEX(Suppliers!$G$9:$G$508,MATCH(D125,Suppliers!$D$9:$D$508,0))),""))</f>
        <v/>
      </c>
      <c r="Y125" s="14" t="str">
        <f>IF(A125="","",IFERROR(INDEX(Jobs!$C$9:$C$258,MATCH(B125,Jobs!$A$9:$A$258,0)),""))</f>
        <v/>
      </c>
      <c r="Z125" s="14" t="str">
        <f>IF(A125="","",IFERROR(INDEX(Jobs!$B$9:$B$258,MATCH(B125,Jobs!$A$9:$A$258,0)),""))</f>
        <v/>
      </c>
      <c r="AA125" s="16" t="str">
        <f>IF(A125="","",IFERROR(VLOOKUP(I125,Lists!$E$9:$F$14,2,FALSE),0))</f>
        <v/>
      </c>
      <c r="AB125" s="16" t="str">
        <f t="shared" si="12"/>
        <v/>
      </c>
      <c r="AC125" s="16" t="str">
        <f t="shared" si="13"/>
        <v/>
      </c>
      <c r="AD125" s="16" t="str">
        <f t="shared" si="14"/>
        <v/>
      </c>
      <c r="AE125" s="16" t="str">
        <f t="shared" si="15"/>
        <v/>
      </c>
      <c r="AF125" s="16" t="str">
        <f t="shared" si="16"/>
        <v/>
      </c>
      <c r="AG125" s="26" t="str">
        <f t="shared" si="17"/>
        <v/>
      </c>
      <c r="AH125" s="16" t="str">
        <f t="shared" si="18"/>
        <v/>
      </c>
      <c r="AI125" s="16" t="str">
        <f t="shared" si="19"/>
        <v/>
      </c>
      <c r="AJ125" s="16" t="str">
        <f t="shared" si="20"/>
        <v/>
      </c>
      <c r="AK125" s="14" t="str">
        <f>IF(AND(A125&lt;&gt;"",F125="Selected"),COUNTIF($F$9:F125,"Selected"),"")</f>
        <v/>
      </c>
      <c r="AL125" s="14" t="str">
        <f>IF(A125="","",COUNTIF($B$9:B125,B125))</f>
        <v/>
      </c>
      <c r="AM125" s="14" t="str">
        <f>IF(A125="","",IF(COUNTIF(Jobs!$A$9:$A$258,B125)&lt;&gt;1,"Check JobID",IF(COUNTIF(Suppliers!$D$9:$D$508,D125)&lt;&gt;1,"Check contact",IF(AA125&lt;=0,"Currency / FX missing",IF(NOT(ISNUMBER(G125)),"Original price missing",IF(G125&lt;0,"Invalid original price",IF(AND(H125&lt;&gt;"",NOT(ISNUMBER(H125))),"Invalid final price",IF(AND(ISNUMBER(H125),H125&lt;0),"Invalid final price",IF(AND(F125="Selected",COUNTIFS($B$9:$B$258,B125,$E$9:$E$258,E125,$F$9:$F$258,"Selected")&gt;1),"Selected scope overlap",IF(AND(ISNUMBER(H125),H125&gt;G125),"Price increased",IF(LEN(H125&amp;"")=0,"Final price pending","OK")))))))))))</f>
        <v/>
      </c>
      <c r="AN125" s="16" t="str">
        <f t="shared" si="21"/>
        <v/>
      </c>
      <c r="AO125" s="14" t="str">
        <f>IF(A125="","",IFERROR(IF(INDEX(Suppliers!$A$9:$A$508,MATCH(D125,Suppliers!$D$9:$D$508,0))=C125,"OK","Contact / supplier mismatch"),"Contact missing"))</f>
        <v/>
      </c>
      <c r="AP125" s="14" t="str">
        <f>IF(OR(A125="",IFERROR(INDEX(Jobs!$P$9:$P$258,MATCH(B125,Jobs!$A$9:$A$258,0)),"")=""),"",HYPERLINK("#'"&amp;IFERROR(INDEX(Jobs!$P$9:$P$258,MATCH(B125,Jobs!$A$9:$A$258,0)),"")&amp;"'!A1","OPEN JOB"))</f>
        <v/>
      </c>
      <c r="AQ125" s="14"/>
      <c r="AR125" s="14"/>
      <c r="AS125" t="str">
        <f t="shared" si="22"/>
        <v/>
      </c>
      <c r="AT125" t="str">
        <f t="shared" si="23"/>
        <v/>
      </c>
    </row>
    <row r="126" spans="1:46" ht="40" customHeight="1" x14ac:dyDescent="0.35">
      <c r="A126" s="18"/>
      <c r="B126" s="37"/>
      <c r="C126" s="18"/>
      <c r="D126" s="15"/>
      <c r="E126" s="15"/>
      <c r="F126" s="15"/>
      <c r="G126" s="24"/>
      <c r="H126" s="24"/>
      <c r="I126" s="15"/>
      <c r="J126" s="17"/>
      <c r="K126" s="17"/>
      <c r="L126" s="17"/>
      <c r="M126" s="15"/>
      <c r="N126" s="15"/>
      <c r="O126" s="15"/>
      <c r="P126" s="15"/>
      <c r="Q126" s="15"/>
      <c r="R126" s="15"/>
      <c r="S126" s="18"/>
      <c r="T126" s="18"/>
      <c r="U126" s="18" t="str">
        <f>IF(A126="","",IFERROR(IF(LEN(INDEX(Suppliers!$B$9:$B$508,MATCH(C126,Suppliers!$A$9:$A$508,0))&amp;"")=0,"",INDEX(Suppliers!$B$9:$B$508,MATCH(C126,Suppliers!$A$9:$A$508,0))),""))</f>
        <v/>
      </c>
      <c r="V126" s="18" t="str">
        <f>IF(A126="","",IFERROR(IF(LEN(INDEX(Suppliers!$E$9:$E$508,MATCH(D126,Suppliers!$D$9:$D$508,0))&amp;"")=0,"",INDEX(Suppliers!$E$9:$E$508,MATCH(D126,Suppliers!$D$9:$D$508,0))),""))</f>
        <v/>
      </c>
      <c r="W126" s="18" t="str">
        <f>IF(A126="","",IFERROR(IF(LEN(INDEX(Suppliers!$F$9:$F$508,MATCH(D126,Suppliers!$D$9:$D$508,0))&amp;"")=0,"",INDEX(Suppliers!$F$9:$F$508,MATCH(D126,Suppliers!$D$9:$D$508,0))),""))</f>
        <v/>
      </c>
      <c r="X126" s="18" t="str">
        <f>IF(A126="","",IFERROR(IF(LEN(INDEX(Suppliers!$G$9:$G$508,MATCH(D126,Suppliers!$D$9:$D$508,0))&amp;"")=0,"",INDEX(Suppliers!$G$9:$G$508,MATCH(D126,Suppliers!$D$9:$D$508,0))),""))</f>
        <v/>
      </c>
      <c r="Y126" s="18" t="str">
        <f>IF(A126="","",IFERROR(INDEX(Jobs!$C$9:$C$258,MATCH(B126,Jobs!$A$9:$A$258,0)),""))</f>
        <v/>
      </c>
      <c r="Z126" s="18" t="str">
        <f>IF(A126="","",IFERROR(INDEX(Jobs!$B$9:$B$258,MATCH(B126,Jobs!$A$9:$A$258,0)),""))</f>
        <v/>
      </c>
      <c r="AA126" s="19" t="str">
        <f>IF(A126="","",IFERROR(VLOOKUP(I126,Lists!$E$9:$F$14,2,FALSE),0))</f>
        <v/>
      </c>
      <c r="AB126" s="19" t="str">
        <f t="shared" si="12"/>
        <v/>
      </c>
      <c r="AC126" s="19" t="str">
        <f t="shared" si="13"/>
        <v/>
      </c>
      <c r="AD126" s="19" t="str">
        <f t="shared" si="14"/>
        <v/>
      </c>
      <c r="AE126" s="19" t="str">
        <f t="shared" si="15"/>
        <v/>
      </c>
      <c r="AF126" s="19" t="str">
        <f t="shared" si="16"/>
        <v/>
      </c>
      <c r="AG126" s="27" t="str">
        <f t="shared" si="17"/>
        <v/>
      </c>
      <c r="AH126" s="19" t="str">
        <f t="shared" si="18"/>
        <v/>
      </c>
      <c r="AI126" s="19" t="str">
        <f t="shared" si="19"/>
        <v/>
      </c>
      <c r="AJ126" s="19" t="str">
        <f t="shared" si="20"/>
        <v/>
      </c>
      <c r="AK126" s="18" t="str">
        <f>IF(AND(A126&lt;&gt;"",F126="Selected"),COUNTIF($F$9:F126,"Selected"),"")</f>
        <v/>
      </c>
      <c r="AL126" s="18" t="str">
        <f>IF(A126="","",COUNTIF($B$9:B126,B126))</f>
        <v/>
      </c>
      <c r="AM126" s="18" t="str">
        <f>IF(A126="","",IF(COUNTIF(Jobs!$A$9:$A$258,B126)&lt;&gt;1,"Check JobID",IF(COUNTIF(Suppliers!$D$9:$D$508,D126)&lt;&gt;1,"Check contact",IF(AA126&lt;=0,"Currency / FX missing",IF(NOT(ISNUMBER(G126)),"Original price missing",IF(G126&lt;0,"Invalid original price",IF(AND(H126&lt;&gt;"",NOT(ISNUMBER(H126))),"Invalid final price",IF(AND(ISNUMBER(H126),H126&lt;0),"Invalid final price",IF(AND(F126="Selected",COUNTIFS($B$9:$B$258,B126,$E$9:$E$258,E126,$F$9:$F$258,"Selected")&gt;1),"Selected scope overlap",IF(AND(ISNUMBER(H126),H126&gt;G126),"Price increased",IF(LEN(H126&amp;"")=0,"Final price pending","OK")))))))))))</f>
        <v/>
      </c>
      <c r="AN126" s="19" t="str">
        <f t="shared" si="21"/>
        <v/>
      </c>
      <c r="AO126" s="18" t="str">
        <f>IF(A126="","",IFERROR(IF(INDEX(Suppliers!$A$9:$A$508,MATCH(D126,Suppliers!$D$9:$D$508,0))=C126,"OK","Contact / supplier mismatch"),"Contact missing"))</f>
        <v/>
      </c>
      <c r="AP126" s="18" t="str">
        <f>IF(OR(A126="",IFERROR(INDEX(Jobs!$P$9:$P$258,MATCH(B126,Jobs!$A$9:$A$258,0)),"")=""),"",HYPERLINK("#'"&amp;IFERROR(INDEX(Jobs!$P$9:$P$258,MATCH(B126,Jobs!$A$9:$A$258,0)),"")&amp;"'!A1","OPEN JOB"))</f>
        <v/>
      </c>
      <c r="AQ126" s="18"/>
      <c r="AR126" s="18"/>
      <c r="AS126" t="str">
        <f t="shared" si="22"/>
        <v/>
      </c>
      <c r="AT126" t="str">
        <f t="shared" si="23"/>
        <v/>
      </c>
    </row>
    <row r="127" spans="1:46" ht="40" customHeight="1" x14ac:dyDescent="0.35">
      <c r="A127" s="14"/>
      <c r="B127" s="37"/>
      <c r="C127" s="14"/>
      <c r="D127" s="15"/>
      <c r="E127" s="15"/>
      <c r="F127" s="15"/>
      <c r="G127" s="24"/>
      <c r="H127" s="24"/>
      <c r="I127" s="15"/>
      <c r="J127" s="17"/>
      <c r="K127" s="17"/>
      <c r="L127" s="17"/>
      <c r="M127" s="15"/>
      <c r="N127" s="15"/>
      <c r="O127" s="15"/>
      <c r="P127" s="15"/>
      <c r="Q127" s="15"/>
      <c r="R127" s="15"/>
      <c r="S127" s="14"/>
      <c r="T127" s="14"/>
      <c r="U127" s="14" t="str">
        <f>IF(A127="","",IFERROR(IF(LEN(INDEX(Suppliers!$B$9:$B$508,MATCH(C127,Suppliers!$A$9:$A$508,0))&amp;"")=0,"",INDEX(Suppliers!$B$9:$B$508,MATCH(C127,Suppliers!$A$9:$A$508,0))),""))</f>
        <v/>
      </c>
      <c r="V127" s="14" t="str">
        <f>IF(A127="","",IFERROR(IF(LEN(INDEX(Suppliers!$E$9:$E$508,MATCH(D127,Suppliers!$D$9:$D$508,0))&amp;"")=0,"",INDEX(Suppliers!$E$9:$E$508,MATCH(D127,Suppliers!$D$9:$D$508,0))),""))</f>
        <v/>
      </c>
      <c r="W127" s="14" t="str">
        <f>IF(A127="","",IFERROR(IF(LEN(INDEX(Suppliers!$F$9:$F$508,MATCH(D127,Suppliers!$D$9:$D$508,0))&amp;"")=0,"",INDEX(Suppliers!$F$9:$F$508,MATCH(D127,Suppliers!$D$9:$D$508,0))),""))</f>
        <v/>
      </c>
      <c r="X127" s="14" t="str">
        <f>IF(A127="","",IFERROR(IF(LEN(INDEX(Suppliers!$G$9:$G$508,MATCH(D127,Suppliers!$D$9:$D$508,0))&amp;"")=0,"",INDEX(Suppliers!$G$9:$G$508,MATCH(D127,Suppliers!$D$9:$D$508,0))),""))</f>
        <v/>
      </c>
      <c r="Y127" s="14" t="str">
        <f>IF(A127="","",IFERROR(INDEX(Jobs!$C$9:$C$258,MATCH(B127,Jobs!$A$9:$A$258,0)),""))</f>
        <v/>
      </c>
      <c r="Z127" s="14" t="str">
        <f>IF(A127="","",IFERROR(INDEX(Jobs!$B$9:$B$258,MATCH(B127,Jobs!$A$9:$A$258,0)),""))</f>
        <v/>
      </c>
      <c r="AA127" s="16" t="str">
        <f>IF(A127="","",IFERROR(VLOOKUP(I127,Lists!$E$9:$F$14,2,FALSE),0))</f>
        <v/>
      </c>
      <c r="AB127" s="16" t="str">
        <f t="shared" si="12"/>
        <v/>
      </c>
      <c r="AC127" s="16" t="str">
        <f t="shared" si="13"/>
        <v/>
      </c>
      <c r="AD127" s="16" t="str">
        <f t="shared" si="14"/>
        <v/>
      </c>
      <c r="AE127" s="16" t="str">
        <f t="shared" si="15"/>
        <v/>
      </c>
      <c r="AF127" s="16" t="str">
        <f t="shared" si="16"/>
        <v/>
      </c>
      <c r="AG127" s="26" t="str">
        <f t="shared" si="17"/>
        <v/>
      </c>
      <c r="AH127" s="16" t="str">
        <f t="shared" si="18"/>
        <v/>
      </c>
      <c r="AI127" s="16" t="str">
        <f t="shared" si="19"/>
        <v/>
      </c>
      <c r="AJ127" s="16" t="str">
        <f t="shared" si="20"/>
        <v/>
      </c>
      <c r="AK127" s="14" t="str">
        <f>IF(AND(A127&lt;&gt;"",F127="Selected"),COUNTIF($F$9:F127,"Selected"),"")</f>
        <v/>
      </c>
      <c r="AL127" s="14" t="str">
        <f>IF(A127="","",COUNTIF($B$9:B127,B127))</f>
        <v/>
      </c>
      <c r="AM127" s="14" t="str">
        <f>IF(A127="","",IF(COUNTIF(Jobs!$A$9:$A$258,B127)&lt;&gt;1,"Check JobID",IF(COUNTIF(Suppliers!$D$9:$D$508,D127)&lt;&gt;1,"Check contact",IF(AA127&lt;=0,"Currency / FX missing",IF(NOT(ISNUMBER(G127)),"Original price missing",IF(G127&lt;0,"Invalid original price",IF(AND(H127&lt;&gt;"",NOT(ISNUMBER(H127))),"Invalid final price",IF(AND(ISNUMBER(H127),H127&lt;0),"Invalid final price",IF(AND(F127="Selected",COUNTIFS($B$9:$B$258,B127,$E$9:$E$258,E127,$F$9:$F$258,"Selected")&gt;1),"Selected scope overlap",IF(AND(ISNUMBER(H127),H127&gt;G127),"Price increased",IF(LEN(H127&amp;"")=0,"Final price pending","OK")))))))))))</f>
        <v/>
      </c>
      <c r="AN127" s="16" t="str">
        <f t="shared" si="21"/>
        <v/>
      </c>
      <c r="AO127" s="14" t="str">
        <f>IF(A127="","",IFERROR(IF(INDEX(Suppliers!$A$9:$A$508,MATCH(D127,Suppliers!$D$9:$D$508,0))=C127,"OK","Contact / supplier mismatch"),"Contact missing"))</f>
        <v/>
      </c>
      <c r="AP127" s="14" t="str">
        <f>IF(OR(A127="",IFERROR(INDEX(Jobs!$P$9:$P$258,MATCH(B127,Jobs!$A$9:$A$258,0)),"")=""),"",HYPERLINK("#'"&amp;IFERROR(INDEX(Jobs!$P$9:$P$258,MATCH(B127,Jobs!$A$9:$A$258,0)),"")&amp;"'!A1","OPEN JOB"))</f>
        <v/>
      </c>
      <c r="AQ127" s="14"/>
      <c r="AR127" s="14"/>
      <c r="AS127" t="str">
        <f t="shared" si="22"/>
        <v/>
      </c>
      <c r="AT127" t="str">
        <f t="shared" si="23"/>
        <v/>
      </c>
    </row>
    <row r="128" spans="1:46" ht="40" customHeight="1" x14ac:dyDescent="0.35">
      <c r="A128" s="18"/>
      <c r="B128" s="37"/>
      <c r="C128" s="18"/>
      <c r="D128" s="15"/>
      <c r="E128" s="15"/>
      <c r="F128" s="15"/>
      <c r="G128" s="24"/>
      <c r="H128" s="24"/>
      <c r="I128" s="15"/>
      <c r="J128" s="17"/>
      <c r="K128" s="17"/>
      <c r="L128" s="17"/>
      <c r="M128" s="15"/>
      <c r="N128" s="15"/>
      <c r="O128" s="15"/>
      <c r="P128" s="15"/>
      <c r="Q128" s="15"/>
      <c r="R128" s="15"/>
      <c r="S128" s="18"/>
      <c r="T128" s="18"/>
      <c r="U128" s="18" t="str">
        <f>IF(A128="","",IFERROR(IF(LEN(INDEX(Suppliers!$B$9:$B$508,MATCH(C128,Suppliers!$A$9:$A$508,0))&amp;"")=0,"",INDEX(Suppliers!$B$9:$B$508,MATCH(C128,Suppliers!$A$9:$A$508,0))),""))</f>
        <v/>
      </c>
      <c r="V128" s="18" t="str">
        <f>IF(A128="","",IFERROR(IF(LEN(INDEX(Suppliers!$E$9:$E$508,MATCH(D128,Suppliers!$D$9:$D$508,0))&amp;"")=0,"",INDEX(Suppliers!$E$9:$E$508,MATCH(D128,Suppliers!$D$9:$D$508,0))),""))</f>
        <v/>
      </c>
      <c r="W128" s="18" t="str">
        <f>IF(A128="","",IFERROR(IF(LEN(INDEX(Suppliers!$F$9:$F$508,MATCH(D128,Suppliers!$D$9:$D$508,0))&amp;"")=0,"",INDEX(Suppliers!$F$9:$F$508,MATCH(D128,Suppliers!$D$9:$D$508,0))),""))</f>
        <v/>
      </c>
      <c r="X128" s="18" t="str">
        <f>IF(A128="","",IFERROR(IF(LEN(INDEX(Suppliers!$G$9:$G$508,MATCH(D128,Suppliers!$D$9:$D$508,0))&amp;"")=0,"",INDEX(Suppliers!$G$9:$G$508,MATCH(D128,Suppliers!$D$9:$D$508,0))),""))</f>
        <v/>
      </c>
      <c r="Y128" s="18" t="str">
        <f>IF(A128="","",IFERROR(INDEX(Jobs!$C$9:$C$258,MATCH(B128,Jobs!$A$9:$A$258,0)),""))</f>
        <v/>
      </c>
      <c r="Z128" s="18" t="str">
        <f>IF(A128="","",IFERROR(INDEX(Jobs!$B$9:$B$258,MATCH(B128,Jobs!$A$9:$A$258,0)),""))</f>
        <v/>
      </c>
      <c r="AA128" s="19" t="str">
        <f>IF(A128="","",IFERROR(VLOOKUP(I128,Lists!$E$9:$F$14,2,FALSE),0))</f>
        <v/>
      </c>
      <c r="AB128" s="19" t="str">
        <f t="shared" si="12"/>
        <v/>
      </c>
      <c r="AC128" s="19" t="str">
        <f t="shared" si="13"/>
        <v/>
      </c>
      <c r="AD128" s="19" t="str">
        <f t="shared" si="14"/>
        <v/>
      </c>
      <c r="AE128" s="19" t="str">
        <f t="shared" si="15"/>
        <v/>
      </c>
      <c r="AF128" s="19" t="str">
        <f t="shared" si="16"/>
        <v/>
      </c>
      <c r="AG128" s="27" t="str">
        <f t="shared" si="17"/>
        <v/>
      </c>
      <c r="AH128" s="19" t="str">
        <f t="shared" si="18"/>
        <v/>
      </c>
      <c r="AI128" s="19" t="str">
        <f t="shared" si="19"/>
        <v/>
      </c>
      <c r="AJ128" s="19" t="str">
        <f t="shared" si="20"/>
        <v/>
      </c>
      <c r="AK128" s="18" t="str">
        <f>IF(AND(A128&lt;&gt;"",F128="Selected"),COUNTIF($F$9:F128,"Selected"),"")</f>
        <v/>
      </c>
      <c r="AL128" s="18" t="str">
        <f>IF(A128="","",COUNTIF($B$9:B128,B128))</f>
        <v/>
      </c>
      <c r="AM128" s="18" t="str">
        <f>IF(A128="","",IF(COUNTIF(Jobs!$A$9:$A$258,B128)&lt;&gt;1,"Check JobID",IF(COUNTIF(Suppliers!$D$9:$D$508,D128)&lt;&gt;1,"Check contact",IF(AA128&lt;=0,"Currency / FX missing",IF(NOT(ISNUMBER(G128)),"Original price missing",IF(G128&lt;0,"Invalid original price",IF(AND(H128&lt;&gt;"",NOT(ISNUMBER(H128))),"Invalid final price",IF(AND(ISNUMBER(H128),H128&lt;0),"Invalid final price",IF(AND(F128="Selected",COUNTIFS($B$9:$B$258,B128,$E$9:$E$258,E128,$F$9:$F$258,"Selected")&gt;1),"Selected scope overlap",IF(AND(ISNUMBER(H128),H128&gt;G128),"Price increased",IF(LEN(H128&amp;"")=0,"Final price pending","OK")))))))))))</f>
        <v/>
      </c>
      <c r="AN128" s="19" t="str">
        <f t="shared" si="21"/>
        <v/>
      </c>
      <c r="AO128" s="18" t="str">
        <f>IF(A128="","",IFERROR(IF(INDEX(Suppliers!$A$9:$A$508,MATCH(D128,Suppliers!$D$9:$D$508,0))=C128,"OK","Contact / supplier mismatch"),"Contact missing"))</f>
        <v/>
      </c>
      <c r="AP128" s="18" t="str">
        <f>IF(OR(A128="",IFERROR(INDEX(Jobs!$P$9:$P$258,MATCH(B128,Jobs!$A$9:$A$258,0)),"")=""),"",HYPERLINK("#'"&amp;IFERROR(INDEX(Jobs!$P$9:$P$258,MATCH(B128,Jobs!$A$9:$A$258,0)),"")&amp;"'!A1","OPEN JOB"))</f>
        <v/>
      </c>
      <c r="AQ128" s="18"/>
      <c r="AR128" s="18"/>
      <c r="AS128" t="str">
        <f t="shared" si="22"/>
        <v/>
      </c>
      <c r="AT128" t="str">
        <f t="shared" si="23"/>
        <v/>
      </c>
    </row>
    <row r="129" spans="1:46" ht="40" customHeight="1" x14ac:dyDescent="0.35">
      <c r="A129" s="14"/>
      <c r="B129" s="37"/>
      <c r="C129" s="14"/>
      <c r="D129" s="15"/>
      <c r="E129" s="15"/>
      <c r="F129" s="15"/>
      <c r="G129" s="24"/>
      <c r="H129" s="24"/>
      <c r="I129" s="15"/>
      <c r="J129" s="17"/>
      <c r="K129" s="17"/>
      <c r="L129" s="17"/>
      <c r="M129" s="15"/>
      <c r="N129" s="15"/>
      <c r="O129" s="15"/>
      <c r="P129" s="15"/>
      <c r="Q129" s="15"/>
      <c r="R129" s="15"/>
      <c r="S129" s="14"/>
      <c r="T129" s="14"/>
      <c r="U129" s="14" t="str">
        <f>IF(A129="","",IFERROR(IF(LEN(INDEX(Suppliers!$B$9:$B$508,MATCH(C129,Suppliers!$A$9:$A$508,0))&amp;"")=0,"",INDEX(Suppliers!$B$9:$B$508,MATCH(C129,Suppliers!$A$9:$A$508,0))),""))</f>
        <v/>
      </c>
      <c r="V129" s="14" t="str">
        <f>IF(A129="","",IFERROR(IF(LEN(INDEX(Suppliers!$E$9:$E$508,MATCH(D129,Suppliers!$D$9:$D$508,0))&amp;"")=0,"",INDEX(Suppliers!$E$9:$E$508,MATCH(D129,Suppliers!$D$9:$D$508,0))),""))</f>
        <v/>
      </c>
      <c r="W129" s="14" t="str">
        <f>IF(A129="","",IFERROR(IF(LEN(INDEX(Suppliers!$F$9:$F$508,MATCH(D129,Suppliers!$D$9:$D$508,0))&amp;"")=0,"",INDEX(Suppliers!$F$9:$F$508,MATCH(D129,Suppliers!$D$9:$D$508,0))),""))</f>
        <v/>
      </c>
      <c r="X129" s="14" t="str">
        <f>IF(A129="","",IFERROR(IF(LEN(INDEX(Suppliers!$G$9:$G$508,MATCH(D129,Suppliers!$D$9:$D$508,0))&amp;"")=0,"",INDEX(Suppliers!$G$9:$G$508,MATCH(D129,Suppliers!$D$9:$D$508,0))),""))</f>
        <v/>
      </c>
      <c r="Y129" s="14" t="str">
        <f>IF(A129="","",IFERROR(INDEX(Jobs!$C$9:$C$258,MATCH(B129,Jobs!$A$9:$A$258,0)),""))</f>
        <v/>
      </c>
      <c r="Z129" s="14" t="str">
        <f>IF(A129="","",IFERROR(INDEX(Jobs!$B$9:$B$258,MATCH(B129,Jobs!$A$9:$A$258,0)),""))</f>
        <v/>
      </c>
      <c r="AA129" s="16" t="str">
        <f>IF(A129="","",IFERROR(VLOOKUP(I129,Lists!$E$9:$F$14,2,FALSE),0))</f>
        <v/>
      </c>
      <c r="AB129" s="16" t="str">
        <f t="shared" si="12"/>
        <v/>
      </c>
      <c r="AC129" s="16" t="str">
        <f t="shared" si="13"/>
        <v/>
      </c>
      <c r="AD129" s="16" t="str">
        <f t="shared" si="14"/>
        <v/>
      </c>
      <c r="AE129" s="16" t="str">
        <f t="shared" si="15"/>
        <v/>
      </c>
      <c r="AF129" s="16" t="str">
        <f t="shared" si="16"/>
        <v/>
      </c>
      <c r="AG129" s="26" t="str">
        <f t="shared" si="17"/>
        <v/>
      </c>
      <c r="AH129" s="16" t="str">
        <f t="shared" si="18"/>
        <v/>
      </c>
      <c r="AI129" s="16" t="str">
        <f t="shared" si="19"/>
        <v/>
      </c>
      <c r="AJ129" s="16" t="str">
        <f t="shared" si="20"/>
        <v/>
      </c>
      <c r="AK129" s="14" t="str">
        <f>IF(AND(A129&lt;&gt;"",F129="Selected"),COUNTIF($F$9:F129,"Selected"),"")</f>
        <v/>
      </c>
      <c r="AL129" s="14" t="str">
        <f>IF(A129="","",COUNTIF($B$9:B129,B129))</f>
        <v/>
      </c>
      <c r="AM129" s="14" t="str">
        <f>IF(A129="","",IF(COUNTIF(Jobs!$A$9:$A$258,B129)&lt;&gt;1,"Check JobID",IF(COUNTIF(Suppliers!$D$9:$D$508,D129)&lt;&gt;1,"Check contact",IF(AA129&lt;=0,"Currency / FX missing",IF(NOT(ISNUMBER(G129)),"Original price missing",IF(G129&lt;0,"Invalid original price",IF(AND(H129&lt;&gt;"",NOT(ISNUMBER(H129))),"Invalid final price",IF(AND(ISNUMBER(H129),H129&lt;0),"Invalid final price",IF(AND(F129="Selected",COUNTIFS($B$9:$B$258,B129,$E$9:$E$258,E129,$F$9:$F$258,"Selected")&gt;1),"Selected scope overlap",IF(AND(ISNUMBER(H129),H129&gt;G129),"Price increased",IF(LEN(H129&amp;"")=0,"Final price pending","OK")))))))))))</f>
        <v/>
      </c>
      <c r="AN129" s="16" t="str">
        <f t="shared" si="21"/>
        <v/>
      </c>
      <c r="AO129" s="14" t="str">
        <f>IF(A129="","",IFERROR(IF(INDEX(Suppliers!$A$9:$A$508,MATCH(D129,Suppliers!$D$9:$D$508,0))=C129,"OK","Contact / supplier mismatch"),"Contact missing"))</f>
        <v/>
      </c>
      <c r="AP129" s="14" t="str">
        <f>IF(OR(A129="",IFERROR(INDEX(Jobs!$P$9:$P$258,MATCH(B129,Jobs!$A$9:$A$258,0)),"")=""),"",HYPERLINK("#'"&amp;IFERROR(INDEX(Jobs!$P$9:$P$258,MATCH(B129,Jobs!$A$9:$A$258,0)),"")&amp;"'!A1","OPEN JOB"))</f>
        <v/>
      </c>
      <c r="AQ129" s="14"/>
      <c r="AR129" s="14"/>
      <c r="AS129" t="str">
        <f t="shared" si="22"/>
        <v/>
      </c>
      <c r="AT129" t="str">
        <f t="shared" si="23"/>
        <v/>
      </c>
    </row>
    <row r="130" spans="1:46" ht="40" customHeight="1" x14ac:dyDescent="0.35">
      <c r="A130" s="18"/>
      <c r="B130" s="37"/>
      <c r="C130" s="18"/>
      <c r="D130" s="15"/>
      <c r="E130" s="15"/>
      <c r="F130" s="15"/>
      <c r="G130" s="24"/>
      <c r="H130" s="24"/>
      <c r="I130" s="15"/>
      <c r="J130" s="17"/>
      <c r="K130" s="17"/>
      <c r="L130" s="17"/>
      <c r="M130" s="15"/>
      <c r="N130" s="15"/>
      <c r="O130" s="15"/>
      <c r="P130" s="15"/>
      <c r="Q130" s="15"/>
      <c r="R130" s="15"/>
      <c r="S130" s="18"/>
      <c r="T130" s="18"/>
      <c r="U130" s="18" t="str">
        <f>IF(A130="","",IFERROR(IF(LEN(INDEX(Suppliers!$B$9:$B$508,MATCH(C130,Suppliers!$A$9:$A$508,0))&amp;"")=0,"",INDEX(Suppliers!$B$9:$B$508,MATCH(C130,Suppliers!$A$9:$A$508,0))),""))</f>
        <v/>
      </c>
      <c r="V130" s="18" t="str">
        <f>IF(A130="","",IFERROR(IF(LEN(INDEX(Suppliers!$E$9:$E$508,MATCH(D130,Suppliers!$D$9:$D$508,0))&amp;"")=0,"",INDEX(Suppliers!$E$9:$E$508,MATCH(D130,Suppliers!$D$9:$D$508,0))),""))</f>
        <v/>
      </c>
      <c r="W130" s="18" t="str">
        <f>IF(A130="","",IFERROR(IF(LEN(INDEX(Suppliers!$F$9:$F$508,MATCH(D130,Suppliers!$D$9:$D$508,0))&amp;"")=0,"",INDEX(Suppliers!$F$9:$F$508,MATCH(D130,Suppliers!$D$9:$D$508,0))),""))</f>
        <v/>
      </c>
      <c r="X130" s="18" t="str">
        <f>IF(A130="","",IFERROR(IF(LEN(INDEX(Suppliers!$G$9:$G$508,MATCH(D130,Suppliers!$D$9:$D$508,0))&amp;"")=0,"",INDEX(Suppliers!$G$9:$G$508,MATCH(D130,Suppliers!$D$9:$D$508,0))),""))</f>
        <v/>
      </c>
      <c r="Y130" s="18" t="str">
        <f>IF(A130="","",IFERROR(INDEX(Jobs!$C$9:$C$258,MATCH(B130,Jobs!$A$9:$A$258,0)),""))</f>
        <v/>
      </c>
      <c r="Z130" s="18" t="str">
        <f>IF(A130="","",IFERROR(INDEX(Jobs!$B$9:$B$258,MATCH(B130,Jobs!$A$9:$A$258,0)),""))</f>
        <v/>
      </c>
      <c r="AA130" s="19" t="str">
        <f>IF(A130="","",IFERROR(VLOOKUP(I130,Lists!$E$9:$F$14,2,FALSE),0))</f>
        <v/>
      </c>
      <c r="AB130" s="19" t="str">
        <f t="shared" si="12"/>
        <v/>
      </c>
      <c r="AC130" s="19" t="str">
        <f t="shared" si="13"/>
        <v/>
      </c>
      <c r="AD130" s="19" t="str">
        <f t="shared" si="14"/>
        <v/>
      </c>
      <c r="AE130" s="19" t="str">
        <f t="shared" si="15"/>
        <v/>
      </c>
      <c r="AF130" s="19" t="str">
        <f t="shared" si="16"/>
        <v/>
      </c>
      <c r="AG130" s="27" t="str">
        <f t="shared" si="17"/>
        <v/>
      </c>
      <c r="AH130" s="19" t="str">
        <f t="shared" si="18"/>
        <v/>
      </c>
      <c r="AI130" s="19" t="str">
        <f t="shared" si="19"/>
        <v/>
      </c>
      <c r="AJ130" s="19" t="str">
        <f t="shared" si="20"/>
        <v/>
      </c>
      <c r="AK130" s="18" t="str">
        <f>IF(AND(A130&lt;&gt;"",F130="Selected"),COUNTIF($F$9:F130,"Selected"),"")</f>
        <v/>
      </c>
      <c r="AL130" s="18" t="str">
        <f>IF(A130="","",COUNTIF($B$9:B130,B130))</f>
        <v/>
      </c>
      <c r="AM130" s="18" t="str">
        <f>IF(A130="","",IF(COUNTIF(Jobs!$A$9:$A$258,B130)&lt;&gt;1,"Check JobID",IF(COUNTIF(Suppliers!$D$9:$D$508,D130)&lt;&gt;1,"Check contact",IF(AA130&lt;=0,"Currency / FX missing",IF(NOT(ISNUMBER(G130)),"Original price missing",IF(G130&lt;0,"Invalid original price",IF(AND(H130&lt;&gt;"",NOT(ISNUMBER(H130))),"Invalid final price",IF(AND(ISNUMBER(H130),H130&lt;0),"Invalid final price",IF(AND(F130="Selected",COUNTIFS($B$9:$B$258,B130,$E$9:$E$258,E130,$F$9:$F$258,"Selected")&gt;1),"Selected scope overlap",IF(AND(ISNUMBER(H130),H130&gt;G130),"Price increased",IF(LEN(H130&amp;"")=0,"Final price pending","OK")))))))))))</f>
        <v/>
      </c>
      <c r="AN130" s="19" t="str">
        <f t="shared" si="21"/>
        <v/>
      </c>
      <c r="AO130" s="18" t="str">
        <f>IF(A130="","",IFERROR(IF(INDEX(Suppliers!$A$9:$A$508,MATCH(D130,Suppliers!$D$9:$D$508,0))=C130,"OK","Contact / supplier mismatch"),"Contact missing"))</f>
        <v/>
      </c>
      <c r="AP130" s="18" t="str">
        <f>IF(OR(A130="",IFERROR(INDEX(Jobs!$P$9:$P$258,MATCH(B130,Jobs!$A$9:$A$258,0)),"")=""),"",HYPERLINK("#'"&amp;IFERROR(INDEX(Jobs!$P$9:$P$258,MATCH(B130,Jobs!$A$9:$A$258,0)),"")&amp;"'!A1","OPEN JOB"))</f>
        <v/>
      </c>
      <c r="AQ130" s="18"/>
      <c r="AR130" s="18"/>
      <c r="AS130" t="str">
        <f t="shared" si="22"/>
        <v/>
      </c>
      <c r="AT130" t="str">
        <f t="shared" si="23"/>
        <v/>
      </c>
    </row>
    <row r="131" spans="1:46" ht="40" customHeight="1" x14ac:dyDescent="0.35">
      <c r="A131" s="14"/>
      <c r="B131" s="37"/>
      <c r="C131" s="14"/>
      <c r="D131" s="15"/>
      <c r="E131" s="15"/>
      <c r="F131" s="15"/>
      <c r="G131" s="24"/>
      <c r="H131" s="24"/>
      <c r="I131" s="15"/>
      <c r="J131" s="17"/>
      <c r="K131" s="17"/>
      <c r="L131" s="17"/>
      <c r="M131" s="15"/>
      <c r="N131" s="15"/>
      <c r="O131" s="15"/>
      <c r="P131" s="15"/>
      <c r="Q131" s="15"/>
      <c r="R131" s="15"/>
      <c r="S131" s="14"/>
      <c r="T131" s="14"/>
      <c r="U131" s="14" t="str">
        <f>IF(A131="","",IFERROR(IF(LEN(INDEX(Suppliers!$B$9:$B$508,MATCH(C131,Suppliers!$A$9:$A$508,0))&amp;"")=0,"",INDEX(Suppliers!$B$9:$B$508,MATCH(C131,Suppliers!$A$9:$A$508,0))),""))</f>
        <v/>
      </c>
      <c r="V131" s="14" t="str">
        <f>IF(A131="","",IFERROR(IF(LEN(INDEX(Suppliers!$E$9:$E$508,MATCH(D131,Suppliers!$D$9:$D$508,0))&amp;"")=0,"",INDEX(Suppliers!$E$9:$E$508,MATCH(D131,Suppliers!$D$9:$D$508,0))),""))</f>
        <v/>
      </c>
      <c r="W131" s="14" t="str">
        <f>IF(A131="","",IFERROR(IF(LEN(INDEX(Suppliers!$F$9:$F$508,MATCH(D131,Suppliers!$D$9:$D$508,0))&amp;"")=0,"",INDEX(Suppliers!$F$9:$F$508,MATCH(D131,Suppliers!$D$9:$D$508,0))),""))</f>
        <v/>
      </c>
      <c r="X131" s="14" t="str">
        <f>IF(A131="","",IFERROR(IF(LEN(INDEX(Suppliers!$G$9:$G$508,MATCH(D131,Suppliers!$D$9:$D$508,0))&amp;"")=0,"",INDEX(Suppliers!$G$9:$G$508,MATCH(D131,Suppliers!$D$9:$D$508,0))),""))</f>
        <v/>
      </c>
      <c r="Y131" s="14" t="str">
        <f>IF(A131="","",IFERROR(INDEX(Jobs!$C$9:$C$258,MATCH(B131,Jobs!$A$9:$A$258,0)),""))</f>
        <v/>
      </c>
      <c r="Z131" s="14" t="str">
        <f>IF(A131="","",IFERROR(INDEX(Jobs!$B$9:$B$258,MATCH(B131,Jobs!$A$9:$A$258,0)),""))</f>
        <v/>
      </c>
      <c r="AA131" s="16" t="str">
        <f>IF(A131="","",IFERROR(VLOOKUP(I131,Lists!$E$9:$F$14,2,FALSE),0))</f>
        <v/>
      </c>
      <c r="AB131" s="16" t="str">
        <f t="shared" si="12"/>
        <v/>
      </c>
      <c r="AC131" s="16" t="str">
        <f t="shared" si="13"/>
        <v/>
      </c>
      <c r="AD131" s="16" t="str">
        <f t="shared" si="14"/>
        <v/>
      </c>
      <c r="AE131" s="16" t="str">
        <f t="shared" si="15"/>
        <v/>
      </c>
      <c r="AF131" s="16" t="str">
        <f t="shared" si="16"/>
        <v/>
      </c>
      <c r="AG131" s="26" t="str">
        <f t="shared" si="17"/>
        <v/>
      </c>
      <c r="AH131" s="16" t="str">
        <f t="shared" si="18"/>
        <v/>
      </c>
      <c r="AI131" s="16" t="str">
        <f t="shared" si="19"/>
        <v/>
      </c>
      <c r="AJ131" s="16" t="str">
        <f t="shared" si="20"/>
        <v/>
      </c>
      <c r="AK131" s="14" t="str">
        <f>IF(AND(A131&lt;&gt;"",F131="Selected"),COUNTIF($F$9:F131,"Selected"),"")</f>
        <v/>
      </c>
      <c r="AL131" s="14" t="str">
        <f>IF(A131="","",COUNTIF($B$9:B131,B131))</f>
        <v/>
      </c>
      <c r="AM131" s="14" t="str">
        <f>IF(A131="","",IF(COUNTIF(Jobs!$A$9:$A$258,B131)&lt;&gt;1,"Check JobID",IF(COUNTIF(Suppliers!$D$9:$D$508,D131)&lt;&gt;1,"Check contact",IF(AA131&lt;=0,"Currency / FX missing",IF(NOT(ISNUMBER(G131)),"Original price missing",IF(G131&lt;0,"Invalid original price",IF(AND(H131&lt;&gt;"",NOT(ISNUMBER(H131))),"Invalid final price",IF(AND(ISNUMBER(H131),H131&lt;0),"Invalid final price",IF(AND(F131="Selected",COUNTIFS($B$9:$B$258,B131,$E$9:$E$258,E131,$F$9:$F$258,"Selected")&gt;1),"Selected scope overlap",IF(AND(ISNUMBER(H131),H131&gt;G131),"Price increased",IF(LEN(H131&amp;"")=0,"Final price pending","OK")))))))))))</f>
        <v/>
      </c>
      <c r="AN131" s="16" t="str">
        <f t="shared" si="21"/>
        <v/>
      </c>
      <c r="AO131" s="14" t="str">
        <f>IF(A131="","",IFERROR(IF(INDEX(Suppliers!$A$9:$A$508,MATCH(D131,Suppliers!$D$9:$D$508,0))=C131,"OK","Contact / supplier mismatch"),"Contact missing"))</f>
        <v/>
      </c>
      <c r="AP131" s="14" t="str">
        <f>IF(OR(A131="",IFERROR(INDEX(Jobs!$P$9:$P$258,MATCH(B131,Jobs!$A$9:$A$258,0)),"")=""),"",HYPERLINK("#'"&amp;IFERROR(INDEX(Jobs!$P$9:$P$258,MATCH(B131,Jobs!$A$9:$A$258,0)),"")&amp;"'!A1","OPEN JOB"))</f>
        <v/>
      </c>
      <c r="AQ131" s="14"/>
      <c r="AR131" s="14"/>
      <c r="AS131" t="str">
        <f t="shared" si="22"/>
        <v/>
      </c>
      <c r="AT131" t="str">
        <f t="shared" si="23"/>
        <v/>
      </c>
    </row>
    <row r="132" spans="1:46" ht="40" customHeight="1" x14ac:dyDescent="0.35">
      <c r="A132" s="18"/>
      <c r="B132" s="37"/>
      <c r="C132" s="18"/>
      <c r="D132" s="15"/>
      <c r="E132" s="15"/>
      <c r="F132" s="15"/>
      <c r="G132" s="24"/>
      <c r="H132" s="24"/>
      <c r="I132" s="15"/>
      <c r="J132" s="17"/>
      <c r="K132" s="17"/>
      <c r="L132" s="17"/>
      <c r="M132" s="15"/>
      <c r="N132" s="15"/>
      <c r="O132" s="15"/>
      <c r="P132" s="15"/>
      <c r="Q132" s="15"/>
      <c r="R132" s="15"/>
      <c r="S132" s="18"/>
      <c r="T132" s="18"/>
      <c r="U132" s="18" t="str">
        <f>IF(A132="","",IFERROR(IF(LEN(INDEX(Suppliers!$B$9:$B$508,MATCH(C132,Suppliers!$A$9:$A$508,0))&amp;"")=0,"",INDEX(Suppliers!$B$9:$B$508,MATCH(C132,Suppliers!$A$9:$A$508,0))),""))</f>
        <v/>
      </c>
      <c r="V132" s="18" t="str">
        <f>IF(A132="","",IFERROR(IF(LEN(INDEX(Suppliers!$E$9:$E$508,MATCH(D132,Suppliers!$D$9:$D$508,0))&amp;"")=0,"",INDEX(Suppliers!$E$9:$E$508,MATCH(D132,Suppliers!$D$9:$D$508,0))),""))</f>
        <v/>
      </c>
      <c r="W132" s="18" t="str">
        <f>IF(A132="","",IFERROR(IF(LEN(INDEX(Suppliers!$F$9:$F$508,MATCH(D132,Suppliers!$D$9:$D$508,0))&amp;"")=0,"",INDEX(Suppliers!$F$9:$F$508,MATCH(D132,Suppliers!$D$9:$D$508,0))),""))</f>
        <v/>
      </c>
      <c r="X132" s="18" t="str">
        <f>IF(A132="","",IFERROR(IF(LEN(INDEX(Suppliers!$G$9:$G$508,MATCH(D132,Suppliers!$D$9:$D$508,0))&amp;"")=0,"",INDEX(Suppliers!$G$9:$G$508,MATCH(D132,Suppliers!$D$9:$D$508,0))),""))</f>
        <v/>
      </c>
      <c r="Y132" s="18" t="str">
        <f>IF(A132="","",IFERROR(INDEX(Jobs!$C$9:$C$258,MATCH(B132,Jobs!$A$9:$A$258,0)),""))</f>
        <v/>
      </c>
      <c r="Z132" s="18" t="str">
        <f>IF(A132="","",IFERROR(INDEX(Jobs!$B$9:$B$258,MATCH(B132,Jobs!$A$9:$A$258,0)),""))</f>
        <v/>
      </c>
      <c r="AA132" s="19" t="str">
        <f>IF(A132="","",IFERROR(VLOOKUP(I132,Lists!$E$9:$F$14,2,FALSE),0))</f>
        <v/>
      </c>
      <c r="AB132" s="19" t="str">
        <f t="shared" si="12"/>
        <v/>
      </c>
      <c r="AC132" s="19" t="str">
        <f t="shared" si="13"/>
        <v/>
      </c>
      <c r="AD132" s="19" t="str">
        <f t="shared" si="14"/>
        <v/>
      </c>
      <c r="AE132" s="19" t="str">
        <f t="shared" si="15"/>
        <v/>
      </c>
      <c r="AF132" s="19" t="str">
        <f t="shared" si="16"/>
        <v/>
      </c>
      <c r="AG132" s="27" t="str">
        <f t="shared" si="17"/>
        <v/>
      </c>
      <c r="AH132" s="19" t="str">
        <f t="shared" si="18"/>
        <v/>
      </c>
      <c r="AI132" s="19" t="str">
        <f t="shared" si="19"/>
        <v/>
      </c>
      <c r="AJ132" s="19" t="str">
        <f t="shared" si="20"/>
        <v/>
      </c>
      <c r="AK132" s="18" t="str">
        <f>IF(AND(A132&lt;&gt;"",F132="Selected"),COUNTIF($F$9:F132,"Selected"),"")</f>
        <v/>
      </c>
      <c r="AL132" s="18" t="str">
        <f>IF(A132="","",COUNTIF($B$9:B132,B132))</f>
        <v/>
      </c>
      <c r="AM132" s="18" t="str">
        <f>IF(A132="","",IF(COUNTIF(Jobs!$A$9:$A$258,B132)&lt;&gt;1,"Check JobID",IF(COUNTIF(Suppliers!$D$9:$D$508,D132)&lt;&gt;1,"Check contact",IF(AA132&lt;=0,"Currency / FX missing",IF(NOT(ISNUMBER(G132)),"Original price missing",IF(G132&lt;0,"Invalid original price",IF(AND(H132&lt;&gt;"",NOT(ISNUMBER(H132))),"Invalid final price",IF(AND(ISNUMBER(H132),H132&lt;0),"Invalid final price",IF(AND(F132="Selected",COUNTIFS($B$9:$B$258,B132,$E$9:$E$258,E132,$F$9:$F$258,"Selected")&gt;1),"Selected scope overlap",IF(AND(ISNUMBER(H132),H132&gt;G132),"Price increased",IF(LEN(H132&amp;"")=0,"Final price pending","OK")))))))))))</f>
        <v/>
      </c>
      <c r="AN132" s="19" t="str">
        <f t="shared" si="21"/>
        <v/>
      </c>
      <c r="AO132" s="18" t="str">
        <f>IF(A132="","",IFERROR(IF(INDEX(Suppliers!$A$9:$A$508,MATCH(D132,Suppliers!$D$9:$D$508,0))=C132,"OK","Contact / supplier mismatch"),"Contact missing"))</f>
        <v/>
      </c>
      <c r="AP132" s="18" t="str">
        <f>IF(OR(A132="",IFERROR(INDEX(Jobs!$P$9:$P$258,MATCH(B132,Jobs!$A$9:$A$258,0)),"")=""),"",HYPERLINK("#'"&amp;IFERROR(INDEX(Jobs!$P$9:$P$258,MATCH(B132,Jobs!$A$9:$A$258,0)),"")&amp;"'!A1","OPEN JOB"))</f>
        <v/>
      </c>
      <c r="AQ132" s="18"/>
      <c r="AR132" s="18"/>
      <c r="AS132" t="str">
        <f t="shared" si="22"/>
        <v/>
      </c>
      <c r="AT132" t="str">
        <f t="shared" si="23"/>
        <v/>
      </c>
    </row>
    <row r="133" spans="1:46" ht="40" customHeight="1" x14ac:dyDescent="0.35">
      <c r="A133" s="14"/>
      <c r="B133" s="37"/>
      <c r="C133" s="14"/>
      <c r="D133" s="15"/>
      <c r="E133" s="15"/>
      <c r="F133" s="15"/>
      <c r="G133" s="24"/>
      <c r="H133" s="24"/>
      <c r="I133" s="15"/>
      <c r="J133" s="17"/>
      <c r="K133" s="17"/>
      <c r="L133" s="17"/>
      <c r="M133" s="15"/>
      <c r="N133" s="15"/>
      <c r="O133" s="15"/>
      <c r="P133" s="15"/>
      <c r="Q133" s="15"/>
      <c r="R133" s="15"/>
      <c r="S133" s="14"/>
      <c r="T133" s="14"/>
      <c r="U133" s="14" t="str">
        <f>IF(A133="","",IFERROR(IF(LEN(INDEX(Suppliers!$B$9:$B$508,MATCH(C133,Suppliers!$A$9:$A$508,0))&amp;"")=0,"",INDEX(Suppliers!$B$9:$B$508,MATCH(C133,Suppliers!$A$9:$A$508,0))),""))</f>
        <v/>
      </c>
      <c r="V133" s="14" t="str">
        <f>IF(A133="","",IFERROR(IF(LEN(INDEX(Suppliers!$E$9:$E$508,MATCH(D133,Suppliers!$D$9:$D$508,0))&amp;"")=0,"",INDEX(Suppliers!$E$9:$E$508,MATCH(D133,Suppliers!$D$9:$D$508,0))),""))</f>
        <v/>
      </c>
      <c r="W133" s="14" t="str">
        <f>IF(A133="","",IFERROR(IF(LEN(INDEX(Suppliers!$F$9:$F$508,MATCH(D133,Suppliers!$D$9:$D$508,0))&amp;"")=0,"",INDEX(Suppliers!$F$9:$F$508,MATCH(D133,Suppliers!$D$9:$D$508,0))),""))</f>
        <v/>
      </c>
      <c r="X133" s="14" t="str">
        <f>IF(A133="","",IFERROR(IF(LEN(INDEX(Suppliers!$G$9:$G$508,MATCH(D133,Suppliers!$D$9:$D$508,0))&amp;"")=0,"",INDEX(Suppliers!$G$9:$G$508,MATCH(D133,Suppliers!$D$9:$D$508,0))),""))</f>
        <v/>
      </c>
      <c r="Y133" s="14" t="str">
        <f>IF(A133="","",IFERROR(INDEX(Jobs!$C$9:$C$258,MATCH(B133,Jobs!$A$9:$A$258,0)),""))</f>
        <v/>
      </c>
      <c r="Z133" s="14" t="str">
        <f>IF(A133="","",IFERROR(INDEX(Jobs!$B$9:$B$258,MATCH(B133,Jobs!$A$9:$A$258,0)),""))</f>
        <v/>
      </c>
      <c r="AA133" s="16" t="str">
        <f>IF(A133="","",IFERROR(VLOOKUP(I133,Lists!$E$9:$F$14,2,FALSE),0))</f>
        <v/>
      </c>
      <c r="AB133" s="16" t="str">
        <f t="shared" si="12"/>
        <v/>
      </c>
      <c r="AC133" s="16" t="str">
        <f t="shared" si="13"/>
        <v/>
      </c>
      <c r="AD133" s="16" t="str">
        <f t="shared" si="14"/>
        <v/>
      </c>
      <c r="AE133" s="16" t="str">
        <f t="shared" si="15"/>
        <v/>
      </c>
      <c r="AF133" s="16" t="str">
        <f t="shared" si="16"/>
        <v/>
      </c>
      <c r="AG133" s="26" t="str">
        <f t="shared" si="17"/>
        <v/>
      </c>
      <c r="AH133" s="16" t="str">
        <f t="shared" si="18"/>
        <v/>
      </c>
      <c r="AI133" s="16" t="str">
        <f t="shared" si="19"/>
        <v/>
      </c>
      <c r="AJ133" s="16" t="str">
        <f t="shared" si="20"/>
        <v/>
      </c>
      <c r="AK133" s="14" t="str">
        <f>IF(AND(A133&lt;&gt;"",F133="Selected"),COUNTIF($F$9:F133,"Selected"),"")</f>
        <v/>
      </c>
      <c r="AL133" s="14" t="str">
        <f>IF(A133="","",COUNTIF($B$9:B133,B133))</f>
        <v/>
      </c>
      <c r="AM133" s="14" t="str">
        <f>IF(A133="","",IF(COUNTIF(Jobs!$A$9:$A$258,B133)&lt;&gt;1,"Check JobID",IF(COUNTIF(Suppliers!$D$9:$D$508,D133)&lt;&gt;1,"Check contact",IF(AA133&lt;=0,"Currency / FX missing",IF(NOT(ISNUMBER(G133)),"Original price missing",IF(G133&lt;0,"Invalid original price",IF(AND(H133&lt;&gt;"",NOT(ISNUMBER(H133))),"Invalid final price",IF(AND(ISNUMBER(H133),H133&lt;0),"Invalid final price",IF(AND(F133="Selected",COUNTIFS($B$9:$B$258,B133,$E$9:$E$258,E133,$F$9:$F$258,"Selected")&gt;1),"Selected scope overlap",IF(AND(ISNUMBER(H133),H133&gt;G133),"Price increased",IF(LEN(H133&amp;"")=0,"Final price pending","OK")))))))))))</f>
        <v/>
      </c>
      <c r="AN133" s="16" t="str">
        <f t="shared" si="21"/>
        <v/>
      </c>
      <c r="AO133" s="14" t="str">
        <f>IF(A133="","",IFERROR(IF(INDEX(Suppliers!$A$9:$A$508,MATCH(D133,Suppliers!$D$9:$D$508,0))=C133,"OK","Contact / supplier mismatch"),"Contact missing"))</f>
        <v/>
      </c>
      <c r="AP133" s="14" t="str">
        <f>IF(OR(A133="",IFERROR(INDEX(Jobs!$P$9:$P$258,MATCH(B133,Jobs!$A$9:$A$258,0)),"")=""),"",HYPERLINK("#'"&amp;IFERROR(INDEX(Jobs!$P$9:$P$258,MATCH(B133,Jobs!$A$9:$A$258,0)),"")&amp;"'!A1","OPEN JOB"))</f>
        <v/>
      </c>
      <c r="AQ133" s="14"/>
      <c r="AR133" s="14"/>
      <c r="AS133" t="str">
        <f t="shared" si="22"/>
        <v/>
      </c>
      <c r="AT133" t="str">
        <f t="shared" si="23"/>
        <v/>
      </c>
    </row>
    <row r="134" spans="1:46" ht="40" customHeight="1" x14ac:dyDescent="0.35">
      <c r="A134" s="18"/>
      <c r="B134" s="37"/>
      <c r="C134" s="18"/>
      <c r="D134" s="15"/>
      <c r="E134" s="15"/>
      <c r="F134" s="15"/>
      <c r="G134" s="24"/>
      <c r="H134" s="24"/>
      <c r="I134" s="15"/>
      <c r="J134" s="17"/>
      <c r="K134" s="17"/>
      <c r="L134" s="17"/>
      <c r="M134" s="15"/>
      <c r="N134" s="15"/>
      <c r="O134" s="15"/>
      <c r="P134" s="15"/>
      <c r="Q134" s="15"/>
      <c r="R134" s="15"/>
      <c r="S134" s="18"/>
      <c r="T134" s="18"/>
      <c r="U134" s="18" t="str">
        <f>IF(A134="","",IFERROR(IF(LEN(INDEX(Suppliers!$B$9:$B$508,MATCH(C134,Suppliers!$A$9:$A$508,0))&amp;"")=0,"",INDEX(Suppliers!$B$9:$B$508,MATCH(C134,Suppliers!$A$9:$A$508,0))),""))</f>
        <v/>
      </c>
      <c r="V134" s="18" t="str">
        <f>IF(A134="","",IFERROR(IF(LEN(INDEX(Suppliers!$E$9:$E$508,MATCH(D134,Suppliers!$D$9:$D$508,0))&amp;"")=0,"",INDEX(Suppliers!$E$9:$E$508,MATCH(D134,Suppliers!$D$9:$D$508,0))),""))</f>
        <v/>
      </c>
      <c r="W134" s="18" t="str">
        <f>IF(A134="","",IFERROR(IF(LEN(INDEX(Suppliers!$F$9:$F$508,MATCH(D134,Suppliers!$D$9:$D$508,0))&amp;"")=0,"",INDEX(Suppliers!$F$9:$F$508,MATCH(D134,Suppliers!$D$9:$D$508,0))),""))</f>
        <v/>
      </c>
      <c r="X134" s="18" t="str">
        <f>IF(A134="","",IFERROR(IF(LEN(INDEX(Suppliers!$G$9:$G$508,MATCH(D134,Suppliers!$D$9:$D$508,0))&amp;"")=0,"",INDEX(Suppliers!$G$9:$G$508,MATCH(D134,Suppliers!$D$9:$D$508,0))),""))</f>
        <v/>
      </c>
      <c r="Y134" s="18" t="str">
        <f>IF(A134="","",IFERROR(INDEX(Jobs!$C$9:$C$258,MATCH(B134,Jobs!$A$9:$A$258,0)),""))</f>
        <v/>
      </c>
      <c r="Z134" s="18" t="str">
        <f>IF(A134="","",IFERROR(INDEX(Jobs!$B$9:$B$258,MATCH(B134,Jobs!$A$9:$A$258,0)),""))</f>
        <v/>
      </c>
      <c r="AA134" s="19" t="str">
        <f>IF(A134="","",IFERROR(VLOOKUP(I134,Lists!$E$9:$F$14,2,FALSE),0))</f>
        <v/>
      </c>
      <c r="AB134" s="19" t="str">
        <f t="shared" si="12"/>
        <v/>
      </c>
      <c r="AC134" s="19" t="str">
        <f t="shared" si="13"/>
        <v/>
      </c>
      <c r="AD134" s="19" t="str">
        <f t="shared" si="14"/>
        <v/>
      </c>
      <c r="AE134" s="19" t="str">
        <f t="shared" si="15"/>
        <v/>
      </c>
      <c r="AF134" s="19" t="str">
        <f t="shared" si="16"/>
        <v/>
      </c>
      <c r="AG134" s="27" t="str">
        <f t="shared" si="17"/>
        <v/>
      </c>
      <c r="AH134" s="19" t="str">
        <f t="shared" si="18"/>
        <v/>
      </c>
      <c r="AI134" s="19" t="str">
        <f t="shared" si="19"/>
        <v/>
      </c>
      <c r="AJ134" s="19" t="str">
        <f t="shared" si="20"/>
        <v/>
      </c>
      <c r="AK134" s="18" t="str">
        <f>IF(AND(A134&lt;&gt;"",F134="Selected"),COUNTIF($F$9:F134,"Selected"),"")</f>
        <v/>
      </c>
      <c r="AL134" s="18" t="str">
        <f>IF(A134="","",COUNTIF($B$9:B134,B134))</f>
        <v/>
      </c>
      <c r="AM134" s="18" t="str">
        <f>IF(A134="","",IF(COUNTIF(Jobs!$A$9:$A$258,B134)&lt;&gt;1,"Check JobID",IF(COUNTIF(Suppliers!$D$9:$D$508,D134)&lt;&gt;1,"Check contact",IF(AA134&lt;=0,"Currency / FX missing",IF(NOT(ISNUMBER(G134)),"Original price missing",IF(G134&lt;0,"Invalid original price",IF(AND(H134&lt;&gt;"",NOT(ISNUMBER(H134))),"Invalid final price",IF(AND(ISNUMBER(H134),H134&lt;0),"Invalid final price",IF(AND(F134="Selected",COUNTIFS($B$9:$B$258,B134,$E$9:$E$258,E134,$F$9:$F$258,"Selected")&gt;1),"Selected scope overlap",IF(AND(ISNUMBER(H134),H134&gt;G134),"Price increased",IF(LEN(H134&amp;"")=0,"Final price pending","OK")))))))))))</f>
        <v/>
      </c>
      <c r="AN134" s="19" t="str">
        <f t="shared" si="21"/>
        <v/>
      </c>
      <c r="AO134" s="18" t="str">
        <f>IF(A134="","",IFERROR(IF(INDEX(Suppliers!$A$9:$A$508,MATCH(D134,Suppliers!$D$9:$D$508,0))=C134,"OK","Contact / supplier mismatch"),"Contact missing"))</f>
        <v/>
      </c>
      <c r="AP134" s="18" t="str">
        <f>IF(OR(A134="",IFERROR(INDEX(Jobs!$P$9:$P$258,MATCH(B134,Jobs!$A$9:$A$258,0)),"")=""),"",HYPERLINK("#'"&amp;IFERROR(INDEX(Jobs!$P$9:$P$258,MATCH(B134,Jobs!$A$9:$A$258,0)),"")&amp;"'!A1","OPEN JOB"))</f>
        <v/>
      </c>
      <c r="AQ134" s="18"/>
      <c r="AR134" s="18"/>
      <c r="AS134" t="str">
        <f t="shared" si="22"/>
        <v/>
      </c>
      <c r="AT134" t="str">
        <f t="shared" si="23"/>
        <v/>
      </c>
    </row>
    <row r="135" spans="1:46" ht="40" customHeight="1" x14ac:dyDescent="0.35">
      <c r="A135" s="14"/>
      <c r="B135" s="37"/>
      <c r="C135" s="14"/>
      <c r="D135" s="15"/>
      <c r="E135" s="15"/>
      <c r="F135" s="15"/>
      <c r="G135" s="24"/>
      <c r="H135" s="24"/>
      <c r="I135" s="15"/>
      <c r="J135" s="17"/>
      <c r="K135" s="17"/>
      <c r="L135" s="17"/>
      <c r="M135" s="15"/>
      <c r="N135" s="15"/>
      <c r="O135" s="15"/>
      <c r="P135" s="15"/>
      <c r="Q135" s="15"/>
      <c r="R135" s="15"/>
      <c r="S135" s="14"/>
      <c r="T135" s="14"/>
      <c r="U135" s="14" t="str">
        <f>IF(A135="","",IFERROR(IF(LEN(INDEX(Suppliers!$B$9:$B$508,MATCH(C135,Suppliers!$A$9:$A$508,0))&amp;"")=0,"",INDEX(Suppliers!$B$9:$B$508,MATCH(C135,Suppliers!$A$9:$A$508,0))),""))</f>
        <v/>
      </c>
      <c r="V135" s="14" t="str">
        <f>IF(A135="","",IFERROR(IF(LEN(INDEX(Suppliers!$E$9:$E$508,MATCH(D135,Suppliers!$D$9:$D$508,0))&amp;"")=0,"",INDEX(Suppliers!$E$9:$E$508,MATCH(D135,Suppliers!$D$9:$D$508,0))),""))</f>
        <v/>
      </c>
      <c r="W135" s="14" t="str">
        <f>IF(A135="","",IFERROR(IF(LEN(INDEX(Suppliers!$F$9:$F$508,MATCH(D135,Suppliers!$D$9:$D$508,0))&amp;"")=0,"",INDEX(Suppliers!$F$9:$F$508,MATCH(D135,Suppliers!$D$9:$D$508,0))),""))</f>
        <v/>
      </c>
      <c r="X135" s="14" t="str">
        <f>IF(A135="","",IFERROR(IF(LEN(INDEX(Suppliers!$G$9:$G$508,MATCH(D135,Suppliers!$D$9:$D$508,0))&amp;"")=0,"",INDEX(Suppliers!$G$9:$G$508,MATCH(D135,Suppliers!$D$9:$D$508,0))),""))</f>
        <v/>
      </c>
      <c r="Y135" s="14" t="str">
        <f>IF(A135="","",IFERROR(INDEX(Jobs!$C$9:$C$258,MATCH(B135,Jobs!$A$9:$A$258,0)),""))</f>
        <v/>
      </c>
      <c r="Z135" s="14" t="str">
        <f>IF(A135="","",IFERROR(INDEX(Jobs!$B$9:$B$258,MATCH(B135,Jobs!$A$9:$A$258,0)),""))</f>
        <v/>
      </c>
      <c r="AA135" s="16" t="str">
        <f>IF(A135="","",IFERROR(VLOOKUP(I135,Lists!$E$9:$F$14,2,FALSE),0))</f>
        <v/>
      </c>
      <c r="AB135" s="16" t="str">
        <f t="shared" si="12"/>
        <v/>
      </c>
      <c r="AC135" s="16" t="str">
        <f t="shared" si="13"/>
        <v/>
      </c>
      <c r="AD135" s="16" t="str">
        <f t="shared" si="14"/>
        <v/>
      </c>
      <c r="AE135" s="16" t="str">
        <f t="shared" si="15"/>
        <v/>
      </c>
      <c r="AF135" s="16" t="str">
        <f t="shared" si="16"/>
        <v/>
      </c>
      <c r="AG135" s="26" t="str">
        <f t="shared" si="17"/>
        <v/>
      </c>
      <c r="AH135" s="16" t="str">
        <f t="shared" si="18"/>
        <v/>
      </c>
      <c r="AI135" s="16" t="str">
        <f t="shared" si="19"/>
        <v/>
      </c>
      <c r="AJ135" s="16" t="str">
        <f t="shared" si="20"/>
        <v/>
      </c>
      <c r="AK135" s="14" t="str">
        <f>IF(AND(A135&lt;&gt;"",F135="Selected"),COUNTIF($F$9:F135,"Selected"),"")</f>
        <v/>
      </c>
      <c r="AL135" s="14" t="str">
        <f>IF(A135="","",COUNTIF($B$9:B135,B135))</f>
        <v/>
      </c>
      <c r="AM135" s="14" t="str">
        <f>IF(A135="","",IF(COUNTIF(Jobs!$A$9:$A$258,B135)&lt;&gt;1,"Check JobID",IF(COUNTIF(Suppliers!$D$9:$D$508,D135)&lt;&gt;1,"Check contact",IF(AA135&lt;=0,"Currency / FX missing",IF(NOT(ISNUMBER(G135)),"Original price missing",IF(G135&lt;0,"Invalid original price",IF(AND(H135&lt;&gt;"",NOT(ISNUMBER(H135))),"Invalid final price",IF(AND(ISNUMBER(H135),H135&lt;0),"Invalid final price",IF(AND(F135="Selected",COUNTIFS($B$9:$B$258,B135,$E$9:$E$258,E135,$F$9:$F$258,"Selected")&gt;1),"Selected scope overlap",IF(AND(ISNUMBER(H135),H135&gt;G135),"Price increased",IF(LEN(H135&amp;"")=0,"Final price pending","OK")))))))))))</f>
        <v/>
      </c>
      <c r="AN135" s="16" t="str">
        <f t="shared" si="21"/>
        <v/>
      </c>
      <c r="AO135" s="14" t="str">
        <f>IF(A135="","",IFERROR(IF(INDEX(Suppliers!$A$9:$A$508,MATCH(D135,Suppliers!$D$9:$D$508,0))=C135,"OK","Contact / supplier mismatch"),"Contact missing"))</f>
        <v/>
      </c>
      <c r="AP135" s="14" t="str">
        <f>IF(OR(A135="",IFERROR(INDEX(Jobs!$P$9:$P$258,MATCH(B135,Jobs!$A$9:$A$258,0)),"")=""),"",HYPERLINK("#'"&amp;IFERROR(INDEX(Jobs!$P$9:$P$258,MATCH(B135,Jobs!$A$9:$A$258,0)),"")&amp;"'!A1","OPEN JOB"))</f>
        <v/>
      </c>
      <c r="AQ135" s="14"/>
      <c r="AR135" s="14"/>
      <c r="AS135" t="str">
        <f t="shared" si="22"/>
        <v/>
      </c>
      <c r="AT135" t="str">
        <f t="shared" si="23"/>
        <v/>
      </c>
    </row>
    <row r="136" spans="1:46" ht="40" customHeight="1" x14ac:dyDescent="0.35">
      <c r="A136" s="18"/>
      <c r="B136" s="37"/>
      <c r="C136" s="18"/>
      <c r="D136" s="15"/>
      <c r="E136" s="15"/>
      <c r="F136" s="15"/>
      <c r="G136" s="24"/>
      <c r="H136" s="24"/>
      <c r="I136" s="15"/>
      <c r="J136" s="17"/>
      <c r="K136" s="17"/>
      <c r="L136" s="17"/>
      <c r="M136" s="15"/>
      <c r="N136" s="15"/>
      <c r="O136" s="15"/>
      <c r="P136" s="15"/>
      <c r="Q136" s="15"/>
      <c r="R136" s="15"/>
      <c r="S136" s="18"/>
      <c r="T136" s="18"/>
      <c r="U136" s="18" t="str">
        <f>IF(A136="","",IFERROR(IF(LEN(INDEX(Suppliers!$B$9:$B$508,MATCH(C136,Suppliers!$A$9:$A$508,0))&amp;"")=0,"",INDEX(Suppliers!$B$9:$B$508,MATCH(C136,Suppliers!$A$9:$A$508,0))),""))</f>
        <v/>
      </c>
      <c r="V136" s="18" t="str">
        <f>IF(A136="","",IFERROR(IF(LEN(INDEX(Suppliers!$E$9:$E$508,MATCH(D136,Suppliers!$D$9:$D$508,0))&amp;"")=0,"",INDEX(Suppliers!$E$9:$E$508,MATCH(D136,Suppliers!$D$9:$D$508,0))),""))</f>
        <v/>
      </c>
      <c r="W136" s="18" t="str">
        <f>IF(A136="","",IFERROR(IF(LEN(INDEX(Suppliers!$F$9:$F$508,MATCH(D136,Suppliers!$D$9:$D$508,0))&amp;"")=0,"",INDEX(Suppliers!$F$9:$F$508,MATCH(D136,Suppliers!$D$9:$D$508,0))),""))</f>
        <v/>
      </c>
      <c r="X136" s="18" t="str">
        <f>IF(A136="","",IFERROR(IF(LEN(INDEX(Suppliers!$G$9:$G$508,MATCH(D136,Suppliers!$D$9:$D$508,0))&amp;"")=0,"",INDEX(Suppliers!$G$9:$G$508,MATCH(D136,Suppliers!$D$9:$D$508,0))),""))</f>
        <v/>
      </c>
      <c r="Y136" s="18" t="str">
        <f>IF(A136="","",IFERROR(INDEX(Jobs!$C$9:$C$258,MATCH(B136,Jobs!$A$9:$A$258,0)),""))</f>
        <v/>
      </c>
      <c r="Z136" s="18" t="str">
        <f>IF(A136="","",IFERROR(INDEX(Jobs!$B$9:$B$258,MATCH(B136,Jobs!$A$9:$A$258,0)),""))</f>
        <v/>
      </c>
      <c r="AA136" s="19" t="str">
        <f>IF(A136="","",IFERROR(VLOOKUP(I136,Lists!$E$9:$F$14,2,FALSE),0))</f>
        <v/>
      </c>
      <c r="AB136" s="19" t="str">
        <f t="shared" si="12"/>
        <v/>
      </c>
      <c r="AC136" s="19" t="str">
        <f t="shared" si="13"/>
        <v/>
      </c>
      <c r="AD136" s="19" t="str">
        <f t="shared" si="14"/>
        <v/>
      </c>
      <c r="AE136" s="19" t="str">
        <f t="shared" si="15"/>
        <v/>
      </c>
      <c r="AF136" s="19" t="str">
        <f t="shared" si="16"/>
        <v/>
      </c>
      <c r="AG136" s="27" t="str">
        <f t="shared" si="17"/>
        <v/>
      </c>
      <c r="AH136" s="19" t="str">
        <f t="shared" si="18"/>
        <v/>
      </c>
      <c r="AI136" s="19" t="str">
        <f t="shared" si="19"/>
        <v/>
      </c>
      <c r="AJ136" s="19" t="str">
        <f t="shared" si="20"/>
        <v/>
      </c>
      <c r="AK136" s="18" t="str">
        <f>IF(AND(A136&lt;&gt;"",F136="Selected"),COUNTIF($F$9:F136,"Selected"),"")</f>
        <v/>
      </c>
      <c r="AL136" s="18" t="str">
        <f>IF(A136="","",COUNTIF($B$9:B136,B136))</f>
        <v/>
      </c>
      <c r="AM136" s="18" t="str">
        <f>IF(A136="","",IF(COUNTIF(Jobs!$A$9:$A$258,B136)&lt;&gt;1,"Check JobID",IF(COUNTIF(Suppliers!$D$9:$D$508,D136)&lt;&gt;1,"Check contact",IF(AA136&lt;=0,"Currency / FX missing",IF(NOT(ISNUMBER(G136)),"Original price missing",IF(G136&lt;0,"Invalid original price",IF(AND(H136&lt;&gt;"",NOT(ISNUMBER(H136))),"Invalid final price",IF(AND(ISNUMBER(H136),H136&lt;0),"Invalid final price",IF(AND(F136="Selected",COUNTIFS($B$9:$B$258,B136,$E$9:$E$258,E136,$F$9:$F$258,"Selected")&gt;1),"Selected scope overlap",IF(AND(ISNUMBER(H136),H136&gt;G136),"Price increased",IF(LEN(H136&amp;"")=0,"Final price pending","OK")))))))))))</f>
        <v/>
      </c>
      <c r="AN136" s="19" t="str">
        <f t="shared" si="21"/>
        <v/>
      </c>
      <c r="AO136" s="18" t="str">
        <f>IF(A136="","",IFERROR(IF(INDEX(Suppliers!$A$9:$A$508,MATCH(D136,Suppliers!$D$9:$D$508,0))=C136,"OK","Contact / supplier mismatch"),"Contact missing"))</f>
        <v/>
      </c>
      <c r="AP136" s="18" t="str">
        <f>IF(OR(A136="",IFERROR(INDEX(Jobs!$P$9:$P$258,MATCH(B136,Jobs!$A$9:$A$258,0)),"")=""),"",HYPERLINK("#'"&amp;IFERROR(INDEX(Jobs!$P$9:$P$258,MATCH(B136,Jobs!$A$9:$A$258,0)),"")&amp;"'!A1","OPEN JOB"))</f>
        <v/>
      </c>
      <c r="AQ136" s="18"/>
      <c r="AR136" s="18"/>
      <c r="AS136" t="str">
        <f t="shared" si="22"/>
        <v/>
      </c>
      <c r="AT136" t="str">
        <f t="shared" si="23"/>
        <v/>
      </c>
    </row>
    <row r="137" spans="1:46" ht="40" customHeight="1" x14ac:dyDescent="0.35">
      <c r="A137" s="14"/>
      <c r="B137" s="37"/>
      <c r="C137" s="14"/>
      <c r="D137" s="15"/>
      <c r="E137" s="15"/>
      <c r="F137" s="15"/>
      <c r="G137" s="24"/>
      <c r="H137" s="24"/>
      <c r="I137" s="15"/>
      <c r="J137" s="17"/>
      <c r="K137" s="17"/>
      <c r="L137" s="17"/>
      <c r="M137" s="15"/>
      <c r="N137" s="15"/>
      <c r="O137" s="15"/>
      <c r="P137" s="15"/>
      <c r="Q137" s="15"/>
      <c r="R137" s="15"/>
      <c r="S137" s="14"/>
      <c r="T137" s="14"/>
      <c r="U137" s="14" t="str">
        <f>IF(A137="","",IFERROR(IF(LEN(INDEX(Suppliers!$B$9:$B$508,MATCH(C137,Suppliers!$A$9:$A$508,0))&amp;"")=0,"",INDEX(Suppliers!$B$9:$B$508,MATCH(C137,Suppliers!$A$9:$A$508,0))),""))</f>
        <v/>
      </c>
      <c r="V137" s="14" t="str">
        <f>IF(A137="","",IFERROR(IF(LEN(INDEX(Suppliers!$E$9:$E$508,MATCH(D137,Suppliers!$D$9:$D$508,0))&amp;"")=0,"",INDEX(Suppliers!$E$9:$E$508,MATCH(D137,Suppliers!$D$9:$D$508,0))),""))</f>
        <v/>
      </c>
      <c r="W137" s="14" t="str">
        <f>IF(A137="","",IFERROR(IF(LEN(INDEX(Suppliers!$F$9:$F$508,MATCH(D137,Suppliers!$D$9:$D$508,0))&amp;"")=0,"",INDEX(Suppliers!$F$9:$F$508,MATCH(D137,Suppliers!$D$9:$D$508,0))),""))</f>
        <v/>
      </c>
      <c r="X137" s="14" t="str">
        <f>IF(A137="","",IFERROR(IF(LEN(INDEX(Suppliers!$G$9:$G$508,MATCH(D137,Suppliers!$D$9:$D$508,0))&amp;"")=0,"",INDEX(Suppliers!$G$9:$G$508,MATCH(D137,Suppliers!$D$9:$D$508,0))),""))</f>
        <v/>
      </c>
      <c r="Y137" s="14" t="str">
        <f>IF(A137="","",IFERROR(INDEX(Jobs!$C$9:$C$258,MATCH(B137,Jobs!$A$9:$A$258,0)),""))</f>
        <v/>
      </c>
      <c r="Z137" s="14" t="str">
        <f>IF(A137="","",IFERROR(INDEX(Jobs!$B$9:$B$258,MATCH(B137,Jobs!$A$9:$A$258,0)),""))</f>
        <v/>
      </c>
      <c r="AA137" s="16" t="str">
        <f>IF(A137="","",IFERROR(VLOOKUP(I137,Lists!$E$9:$F$14,2,FALSE),0))</f>
        <v/>
      </c>
      <c r="AB137" s="16" t="str">
        <f t="shared" ref="AB137:AB200" si="24">IF(A137="","",IF(AND(ISNUMBER(G137),G137&gt;=0,AA137&gt;0),G137/AA137,""))</f>
        <v/>
      </c>
      <c r="AC137" s="16" t="str">
        <f t="shared" ref="AC137:AC200" si="25">IF(A137="","",IF(AND(ISNUMBER(H137),H137&gt;=0),H137,IF(AND(ISNUMBER(G137),G137&gt;=0),G137,"")))</f>
        <v/>
      </c>
      <c r="AD137" s="16" t="str">
        <f t="shared" ref="AD137:AD200" si="26">IF(A137="","",IF(AND(ISNUMBER(AC137),AA137&gt;0),AC137/AA137,""))</f>
        <v/>
      </c>
      <c r="AE137" s="16" t="str">
        <f t="shared" ref="AE137:AE200" si="27">IF(A137="","",IF(AND(ISNUMBER(G137),ISNUMBER(H137),G137&gt;=0,H137&gt;=0),G137-H137,""))</f>
        <v/>
      </c>
      <c r="AF137" s="16" t="str">
        <f t="shared" ref="AF137:AF200" si="28">IF(A137="","",IF(AND(ISNUMBER(AE137),AA137&gt;0),AE137/AA137,""))</f>
        <v/>
      </c>
      <c r="AG137" s="26" t="str">
        <f t="shared" ref="AG137:AG200" si="29">IF(A137="","",IF(AND(ISNUMBER(AE137),ISNUMBER(G137),G137&gt;0),AE137/G137,""))</f>
        <v/>
      </c>
      <c r="AH137" s="16" t="str">
        <f t="shared" ref="AH137:AH200" si="30">IF(A137="","",IF(AND(F137="Selected",ISNUMBER(AB137)),AB137,0))</f>
        <v/>
      </c>
      <c r="AI137" s="16" t="str">
        <f t="shared" ref="AI137:AI200" si="31">IF(A137="","",IF(AND(F137="Selected",ISNUMBER(AD137)),AD137,0))</f>
        <v/>
      </c>
      <c r="AJ137" s="16" t="str">
        <f t="shared" ref="AJ137:AJ200" si="32">IF(A137="","",IF(AND(F137="Selected",ISNUMBER(AF137)),AF137,0))</f>
        <v/>
      </c>
      <c r="AK137" s="14" t="str">
        <f>IF(AND(A137&lt;&gt;"",F137="Selected"),COUNTIF($F$9:F137,"Selected"),"")</f>
        <v/>
      </c>
      <c r="AL137" s="14" t="str">
        <f>IF(A137="","",COUNTIF($B$9:B137,B137))</f>
        <v/>
      </c>
      <c r="AM137" s="14" t="str">
        <f>IF(A137="","",IF(COUNTIF(Jobs!$A$9:$A$258,B137)&lt;&gt;1,"Check JobID",IF(COUNTIF(Suppliers!$D$9:$D$508,D137)&lt;&gt;1,"Check contact",IF(AA137&lt;=0,"Currency / FX missing",IF(NOT(ISNUMBER(G137)),"Original price missing",IF(G137&lt;0,"Invalid original price",IF(AND(H137&lt;&gt;"",NOT(ISNUMBER(H137))),"Invalid final price",IF(AND(ISNUMBER(H137),H137&lt;0),"Invalid final price",IF(AND(F137="Selected",COUNTIFS($B$9:$B$258,B137,$E$9:$E$258,E137,$F$9:$F$258,"Selected")&gt;1),"Selected scope overlap",IF(AND(ISNUMBER(H137),H137&gt;G137),"Price increased",IF(LEN(H137&amp;"")=0,"Final price pending","OK")))))))))))</f>
        <v/>
      </c>
      <c r="AN137" s="16" t="str">
        <f t="shared" ref="AN137:AN200" si="33">IF(A137="","",IF(AND(F137="Selected",ISNUMBER(AF137),ISNUMBER(AB137)),AB137,0))</f>
        <v/>
      </c>
      <c r="AO137" s="14" t="str">
        <f>IF(A137="","",IFERROR(IF(INDEX(Suppliers!$A$9:$A$508,MATCH(D137,Suppliers!$D$9:$D$508,0))=C137,"OK","Contact / supplier mismatch"),"Contact missing"))</f>
        <v/>
      </c>
      <c r="AP137" s="14" t="str">
        <f>IF(OR(A137="",IFERROR(INDEX(Jobs!$P$9:$P$258,MATCH(B137,Jobs!$A$9:$A$258,0)),"")=""),"",HYPERLINK("#'"&amp;IFERROR(INDEX(Jobs!$P$9:$P$258,MATCH(B137,Jobs!$A$9:$A$258,0)),"")&amp;"'!A1","OPEN JOB"))</f>
        <v/>
      </c>
      <c r="AQ137" s="14"/>
      <c r="AR137" s="14"/>
      <c r="AS137" t="str">
        <f t="shared" ref="AS137:AS200" si="34">IF(A137="","","J:"&amp;B137&amp;"_N:"&amp;AL137)</f>
        <v/>
      </c>
      <c r="AT137" t="str">
        <f t="shared" ref="AT137:AT200" si="35">IF(A137="","","Q:"&amp;A137)</f>
        <v/>
      </c>
    </row>
    <row r="138" spans="1:46" ht="40" customHeight="1" x14ac:dyDescent="0.35">
      <c r="A138" s="18"/>
      <c r="B138" s="37"/>
      <c r="C138" s="18"/>
      <c r="D138" s="15"/>
      <c r="E138" s="15"/>
      <c r="F138" s="15"/>
      <c r="G138" s="24"/>
      <c r="H138" s="24"/>
      <c r="I138" s="15"/>
      <c r="J138" s="17"/>
      <c r="K138" s="17"/>
      <c r="L138" s="17"/>
      <c r="M138" s="15"/>
      <c r="N138" s="15"/>
      <c r="O138" s="15"/>
      <c r="P138" s="15"/>
      <c r="Q138" s="15"/>
      <c r="R138" s="15"/>
      <c r="S138" s="18"/>
      <c r="T138" s="18"/>
      <c r="U138" s="18" t="str">
        <f>IF(A138="","",IFERROR(IF(LEN(INDEX(Suppliers!$B$9:$B$508,MATCH(C138,Suppliers!$A$9:$A$508,0))&amp;"")=0,"",INDEX(Suppliers!$B$9:$B$508,MATCH(C138,Suppliers!$A$9:$A$508,0))),""))</f>
        <v/>
      </c>
      <c r="V138" s="18" t="str">
        <f>IF(A138="","",IFERROR(IF(LEN(INDEX(Suppliers!$E$9:$E$508,MATCH(D138,Suppliers!$D$9:$D$508,0))&amp;"")=0,"",INDEX(Suppliers!$E$9:$E$508,MATCH(D138,Suppliers!$D$9:$D$508,0))),""))</f>
        <v/>
      </c>
      <c r="W138" s="18" t="str">
        <f>IF(A138="","",IFERROR(IF(LEN(INDEX(Suppliers!$F$9:$F$508,MATCH(D138,Suppliers!$D$9:$D$508,0))&amp;"")=0,"",INDEX(Suppliers!$F$9:$F$508,MATCH(D138,Suppliers!$D$9:$D$508,0))),""))</f>
        <v/>
      </c>
      <c r="X138" s="18" t="str">
        <f>IF(A138="","",IFERROR(IF(LEN(INDEX(Suppliers!$G$9:$G$508,MATCH(D138,Suppliers!$D$9:$D$508,0))&amp;"")=0,"",INDEX(Suppliers!$G$9:$G$508,MATCH(D138,Suppliers!$D$9:$D$508,0))),""))</f>
        <v/>
      </c>
      <c r="Y138" s="18" t="str">
        <f>IF(A138="","",IFERROR(INDEX(Jobs!$C$9:$C$258,MATCH(B138,Jobs!$A$9:$A$258,0)),""))</f>
        <v/>
      </c>
      <c r="Z138" s="18" t="str">
        <f>IF(A138="","",IFERROR(INDEX(Jobs!$B$9:$B$258,MATCH(B138,Jobs!$A$9:$A$258,0)),""))</f>
        <v/>
      </c>
      <c r="AA138" s="19" t="str">
        <f>IF(A138="","",IFERROR(VLOOKUP(I138,Lists!$E$9:$F$14,2,FALSE),0))</f>
        <v/>
      </c>
      <c r="AB138" s="19" t="str">
        <f t="shared" si="24"/>
        <v/>
      </c>
      <c r="AC138" s="19" t="str">
        <f t="shared" si="25"/>
        <v/>
      </c>
      <c r="AD138" s="19" t="str">
        <f t="shared" si="26"/>
        <v/>
      </c>
      <c r="AE138" s="19" t="str">
        <f t="shared" si="27"/>
        <v/>
      </c>
      <c r="AF138" s="19" t="str">
        <f t="shared" si="28"/>
        <v/>
      </c>
      <c r="AG138" s="27" t="str">
        <f t="shared" si="29"/>
        <v/>
      </c>
      <c r="AH138" s="19" t="str">
        <f t="shared" si="30"/>
        <v/>
      </c>
      <c r="AI138" s="19" t="str">
        <f t="shared" si="31"/>
        <v/>
      </c>
      <c r="AJ138" s="19" t="str">
        <f t="shared" si="32"/>
        <v/>
      </c>
      <c r="AK138" s="18" t="str">
        <f>IF(AND(A138&lt;&gt;"",F138="Selected"),COUNTIF($F$9:F138,"Selected"),"")</f>
        <v/>
      </c>
      <c r="AL138" s="18" t="str">
        <f>IF(A138="","",COUNTIF($B$9:B138,B138))</f>
        <v/>
      </c>
      <c r="AM138" s="18" t="str">
        <f>IF(A138="","",IF(COUNTIF(Jobs!$A$9:$A$258,B138)&lt;&gt;1,"Check JobID",IF(COUNTIF(Suppliers!$D$9:$D$508,D138)&lt;&gt;1,"Check contact",IF(AA138&lt;=0,"Currency / FX missing",IF(NOT(ISNUMBER(G138)),"Original price missing",IF(G138&lt;0,"Invalid original price",IF(AND(H138&lt;&gt;"",NOT(ISNUMBER(H138))),"Invalid final price",IF(AND(ISNUMBER(H138),H138&lt;0),"Invalid final price",IF(AND(F138="Selected",COUNTIFS($B$9:$B$258,B138,$E$9:$E$258,E138,$F$9:$F$258,"Selected")&gt;1),"Selected scope overlap",IF(AND(ISNUMBER(H138),H138&gt;G138),"Price increased",IF(LEN(H138&amp;"")=0,"Final price pending","OK")))))))))))</f>
        <v/>
      </c>
      <c r="AN138" s="19" t="str">
        <f t="shared" si="33"/>
        <v/>
      </c>
      <c r="AO138" s="18" t="str">
        <f>IF(A138="","",IFERROR(IF(INDEX(Suppliers!$A$9:$A$508,MATCH(D138,Suppliers!$D$9:$D$508,0))=C138,"OK","Contact / supplier mismatch"),"Contact missing"))</f>
        <v/>
      </c>
      <c r="AP138" s="18" t="str">
        <f>IF(OR(A138="",IFERROR(INDEX(Jobs!$P$9:$P$258,MATCH(B138,Jobs!$A$9:$A$258,0)),"")=""),"",HYPERLINK("#'"&amp;IFERROR(INDEX(Jobs!$P$9:$P$258,MATCH(B138,Jobs!$A$9:$A$258,0)),"")&amp;"'!A1","OPEN JOB"))</f>
        <v/>
      </c>
      <c r="AQ138" s="18"/>
      <c r="AR138" s="18"/>
      <c r="AS138" t="str">
        <f t="shared" si="34"/>
        <v/>
      </c>
      <c r="AT138" t="str">
        <f t="shared" si="35"/>
        <v/>
      </c>
    </row>
    <row r="139" spans="1:46" ht="40" customHeight="1" x14ac:dyDescent="0.35">
      <c r="A139" s="14"/>
      <c r="B139" s="37"/>
      <c r="C139" s="14"/>
      <c r="D139" s="15"/>
      <c r="E139" s="15"/>
      <c r="F139" s="15"/>
      <c r="G139" s="24"/>
      <c r="H139" s="24"/>
      <c r="I139" s="15"/>
      <c r="J139" s="17"/>
      <c r="K139" s="17"/>
      <c r="L139" s="17"/>
      <c r="M139" s="15"/>
      <c r="N139" s="15"/>
      <c r="O139" s="15"/>
      <c r="P139" s="15"/>
      <c r="Q139" s="15"/>
      <c r="R139" s="15"/>
      <c r="S139" s="14"/>
      <c r="T139" s="14"/>
      <c r="U139" s="14" t="str">
        <f>IF(A139="","",IFERROR(IF(LEN(INDEX(Suppliers!$B$9:$B$508,MATCH(C139,Suppliers!$A$9:$A$508,0))&amp;"")=0,"",INDEX(Suppliers!$B$9:$B$508,MATCH(C139,Suppliers!$A$9:$A$508,0))),""))</f>
        <v/>
      </c>
      <c r="V139" s="14" t="str">
        <f>IF(A139="","",IFERROR(IF(LEN(INDEX(Suppliers!$E$9:$E$508,MATCH(D139,Suppliers!$D$9:$D$508,0))&amp;"")=0,"",INDEX(Suppliers!$E$9:$E$508,MATCH(D139,Suppliers!$D$9:$D$508,0))),""))</f>
        <v/>
      </c>
      <c r="W139" s="14" t="str">
        <f>IF(A139="","",IFERROR(IF(LEN(INDEX(Suppliers!$F$9:$F$508,MATCH(D139,Suppliers!$D$9:$D$508,0))&amp;"")=0,"",INDEX(Suppliers!$F$9:$F$508,MATCH(D139,Suppliers!$D$9:$D$508,0))),""))</f>
        <v/>
      </c>
      <c r="X139" s="14" t="str">
        <f>IF(A139="","",IFERROR(IF(LEN(INDEX(Suppliers!$G$9:$G$508,MATCH(D139,Suppliers!$D$9:$D$508,0))&amp;"")=0,"",INDEX(Suppliers!$G$9:$G$508,MATCH(D139,Suppliers!$D$9:$D$508,0))),""))</f>
        <v/>
      </c>
      <c r="Y139" s="14" t="str">
        <f>IF(A139="","",IFERROR(INDEX(Jobs!$C$9:$C$258,MATCH(B139,Jobs!$A$9:$A$258,0)),""))</f>
        <v/>
      </c>
      <c r="Z139" s="14" t="str">
        <f>IF(A139="","",IFERROR(INDEX(Jobs!$B$9:$B$258,MATCH(B139,Jobs!$A$9:$A$258,0)),""))</f>
        <v/>
      </c>
      <c r="AA139" s="16" t="str">
        <f>IF(A139="","",IFERROR(VLOOKUP(I139,Lists!$E$9:$F$14,2,FALSE),0))</f>
        <v/>
      </c>
      <c r="AB139" s="16" t="str">
        <f t="shared" si="24"/>
        <v/>
      </c>
      <c r="AC139" s="16" t="str">
        <f t="shared" si="25"/>
        <v/>
      </c>
      <c r="AD139" s="16" t="str">
        <f t="shared" si="26"/>
        <v/>
      </c>
      <c r="AE139" s="16" t="str">
        <f t="shared" si="27"/>
        <v/>
      </c>
      <c r="AF139" s="16" t="str">
        <f t="shared" si="28"/>
        <v/>
      </c>
      <c r="AG139" s="26" t="str">
        <f t="shared" si="29"/>
        <v/>
      </c>
      <c r="AH139" s="16" t="str">
        <f t="shared" si="30"/>
        <v/>
      </c>
      <c r="AI139" s="16" t="str">
        <f t="shared" si="31"/>
        <v/>
      </c>
      <c r="AJ139" s="16" t="str">
        <f t="shared" si="32"/>
        <v/>
      </c>
      <c r="AK139" s="14" t="str">
        <f>IF(AND(A139&lt;&gt;"",F139="Selected"),COUNTIF($F$9:F139,"Selected"),"")</f>
        <v/>
      </c>
      <c r="AL139" s="14" t="str">
        <f>IF(A139="","",COUNTIF($B$9:B139,B139))</f>
        <v/>
      </c>
      <c r="AM139" s="14" t="str">
        <f>IF(A139="","",IF(COUNTIF(Jobs!$A$9:$A$258,B139)&lt;&gt;1,"Check JobID",IF(COUNTIF(Suppliers!$D$9:$D$508,D139)&lt;&gt;1,"Check contact",IF(AA139&lt;=0,"Currency / FX missing",IF(NOT(ISNUMBER(G139)),"Original price missing",IF(G139&lt;0,"Invalid original price",IF(AND(H139&lt;&gt;"",NOT(ISNUMBER(H139))),"Invalid final price",IF(AND(ISNUMBER(H139),H139&lt;0),"Invalid final price",IF(AND(F139="Selected",COUNTIFS($B$9:$B$258,B139,$E$9:$E$258,E139,$F$9:$F$258,"Selected")&gt;1),"Selected scope overlap",IF(AND(ISNUMBER(H139),H139&gt;G139),"Price increased",IF(LEN(H139&amp;"")=0,"Final price pending","OK")))))))))))</f>
        <v/>
      </c>
      <c r="AN139" s="16" t="str">
        <f t="shared" si="33"/>
        <v/>
      </c>
      <c r="AO139" s="14" t="str">
        <f>IF(A139="","",IFERROR(IF(INDEX(Suppliers!$A$9:$A$508,MATCH(D139,Suppliers!$D$9:$D$508,0))=C139,"OK","Contact / supplier mismatch"),"Contact missing"))</f>
        <v/>
      </c>
      <c r="AP139" s="14" t="str">
        <f>IF(OR(A139="",IFERROR(INDEX(Jobs!$P$9:$P$258,MATCH(B139,Jobs!$A$9:$A$258,0)),"")=""),"",HYPERLINK("#'"&amp;IFERROR(INDEX(Jobs!$P$9:$P$258,MATCH(B139,Jobs!$A$9:$A$258,0)),"")&amp;"'!A1","OPEN JOB"))</f>
        <v/>
      </c>
      <c r="AQ139" s="14"/>
      <c r="AR139" s="14"/>
      <c r="AS139" t="str">
        <f t="shared" si="34"/>
        <v/>
      </c>
      <c r="AT139" t="str">
        <f t="shared" si="35"/>
        <v/>
      </c>
    </row>
    <row r="140" spans="1:46" ht="40" customHeight="1" x14ac:dyDescent="0.35">
      <c r="A140" s="18"/>
      <c r="B140" s="37"/>
      <c r="C140" s="18"/>
      <c r="D140" s="15"/>
      <c r="E140" s="15"/>
      <c r="F140" s="15"/>
      <c r="G140" s="24"/>
      <c r="H140" s="24"/>
      <c r="I140" s="15"/>
      <c r="J140" s="17"/>
      <c r="K140" s="17"/>
      <c r="L140" s="17"/>
      <c r="M140" s="15"/>
      <c r="N140" s="15"/>
      <c r="O140" s="15"/>
      <c r="P140" s="15"/>
      <c r="Q140" s="15"/>
      <c r="R140" s="15"/>
      <c r="S140" s="18"/>
      <c r="T140" s="18"/>
      <c r="U140" s="18" t="str">
        <f>IF(A140="","",IFERROR(IF(LEN(INDEX(Suppliers!$B$9:$B$508,MATCH(C140,Suppliers!$A$9:$A$508,0))&amp;"")=0,"",INDEX(Suppliers!$B$9:$B$508,MATCH(C140,Suppliers!$A$9:$A$508,0))),""))</f>
        <v/>
      </c>
      <c r="V140" s="18" t="str">
        <f>IF(A140="","",IFERROR(IF(LEN(INDEX(Suppliers!$E$9:$E$508,MATCH(D140,Suppliers!$D$9:$D$508,0))&amp;"")=0,"",INDEX(Suppliers!$E$9:$E$508,MATCH(D140,Suppliers!$D$9:$D$508,0))),""))</f>
        <v/>
      </c>
      <c r="W140" s="18" t="str">
        <f>IF(A140="","",IFERROR(IF(LEN(INDEX(Suppliers!$F$9:$F$508,MATCH(D140,Suppliers!$D$9:$D$508,0))&amp;"")=0,"",INDEX(Suppliers!$F$9:$F$508,MATCH(D140,Suppliers!$D$9:$D$508,0))),""))</f>
        <v/>
      </c>
      <c r="X140" s="18" t="str">
        <f>IF(A140="","",IFERROR(IF(LEN(INDEX(Suppliers!$G$9:$G$508,MATCH(D140,Suppliers!$D$9:$D$508,0))&amp;"")=0,"",INDEX(Suppliers!$G$9:$G$508,MATCH(D140,Suppliers!$D$9:$D$508,0))),""))</f>
        <v/>
      </c>
      <c r="Y140" s="18" t="str">
        <f>IF(A140="","",IFERROR(INDEX(Jobs!$C$9:$C$258,MATCH(B140,Jobs!$A$9:$A$258,0)),""))</f>
        <v/>
      </c>
      <c r="Z140" s="18" t="str">
        <f>IF(A140="","",IFERROR(INDEX(Jobs!$B$9:$B$258,MATCH(B140,Jobs!$A$9:$A$258,0)),""))</f>
        <v/>
      </c>
      <c r="AA140" s="19" t="str">
        <f>IF(A140="","",IFERROR(VLOOKUP(I140,Lists!$E$9:$F$14,2,FALSE),0))</f>
        <v/>
      </c>
      <c r="AB140" s="19" t="str">
        <f t="shared" si="24"/>
        <v/>
      </c>
      <c r="AC140" s="19" t="str">
        <f t="shared" si="25"/>
        <v/>
      </c>
      <c r="AD140" s="19" t="str">
        <f t="shared" si="26"/>
        <v/>
      </c>
      <c r="AE140" s="19" t="str">
        <f t="shared" si="27"/>
        <v/>
      </c>
      <c r="AF140" s="19" t="str">
        <f t="shared" si="28"/>
        <v/>
      </c>
      <c r="AG140" s="27" t="str">
        <f t="shared" si="29"/>
        <v/>
      </c>
      <c r="AH140" s="19" t="str">
        <f t="shared" si="30"/>
        <v/>
      </c>
      <c r="AI140" s="19" t="str">
        <f t="shared" si="31"/>
        <v/>
      </c>
      <c r="AJ140" s="19" t="str">
        <f t="shared" si="32"/>
        <v/>
      </c>
      <c r="AK140" s="18" t="str">
        <f>IF(AND(A140&lt;&gt;"",F140="Selected"),COUNTIF($F$9:F140,"Selected"),"")</f>
        <v/>
      </c>
      <c r="AL140" s="18" t="str">
        <f>IF(A140="","",COUNTIF($B$9:B140,B140))</f>
        <v/>
      </c>
      <c r="AM140" s="18" t="str">
        <f>IF(A140="","",IF(COUNTIF(Jobs!$A$9:$A$258,B140)&lt;&gt;1,"Check JobID",IF(COUNTIF(Suppliers!$D$9:$D$508,D140)&lt;&gt;1,"Check contact",IF(AA140&lt;=0,"Currency / FX missing",IF(NOT(ISNUMBER(G140)),"Original price missing",IF(G140&lt;0,"Invalid original price",IF(AND(H140&lt;&gt;"",NOT(ISNUMBER(H140))),"Invalid final price",IF(AND(ISNUMBER(H140),H140&lt;0),"Invalid final price",IF(AND(F140="Selected",COUNTIFS($B$9:$B$258,B140,$E$9:$E$258,E140,$F$9:$F$258,"Selected")&gt;1),"Selected scope overlap",IF(AND(ISNUMBER(H140),H140&gt;G140),"Price increased",IF(LEN(H140&amp;"")=0,"Final price pending","OK")))))))))))</f>
        <v/>
      </c>
      <c r="AN140" s="19" t="str">
        <f t="shared" si="33"/>
        <v/>
      </c>
      <c r="AO140" s="18" t="str">
        <f>IF(A140="","",IFERROR(IF(INDEX(Suppliers!$A$9:$A$508,MATCH(D140,Suppliers!$D$9:$D$508,0))=C140,"OK","Contact / supplier mismatch"),"Contact missing"))</f>
        <v/>
      </c>
      <c r="AP140" s="18" t="str">
        <f>IF(OR(A140="",IFERROR(INDEX(Jobs!$P$9:$P$258,MATCH(B140,Jobs!$A$9:$A$258,0)),"")=""),"",HYPERLINK("#'"&amp;IFERROR(INDEX(Jobs!$P$9:$P$258,MATCH(B140,Jobs!$A$9:$A$258,0)),"")&amp;"'!A1","OPEN JOB"))</f>
        <v/>
      </c>
      <c r="AQ140" s="18"/>
      <c r="AR140" s="18"/>
      <c r="AS140" t="str">
        <f t="shared" si="34"/>
        <v/>
      </c>
      <c r="AT140" t="str">
        <f t="shared" si="35"/>
        <v/>
      </c>
    </row>
    <row r="141" spans="1:46" ht="40" customHeight="1" x14ac:dyDescent="0.35">
      <c r="A141" s="14"/>
      <c r="B141" s="37"/>
      <c r="C141" s="14"/>
      <c r="D141" s="15"/>
      <c r="E141" s="15"/>
      <c r="F141" s="15"/>
      <c r="G141" s="24"/>
      <c r="H141" s="24"/>
      <c r="I141" s="15"/>
      <c r="J141" s="17"/>
      <c r="K141" s="17"/>
      <c r="L141" s="17"/>
      <c r="M141" s="15"/>
      <c r="N141" s="15"/>
      <c r="O141" s="15"/>
      <c r="P141" s="15"/>
      <c r="Q141" s="15"/>
      <c r="R141" s="15"/>
      <c r="S141" s="14"/>
      <c r="T141" s="14"/>
      <c r="U141" s="14" t="str">
        <f>IF(A141="","",IFERROR(IF(LEN(INDEX(Suppliers!$B$9:$B$508,MATCH(C141,Suppliers!$A$9:$A$508,0))&amp;"")=0,"",INDEX(Suppliers!$B$9:$B$508,MATCH(C141,Suppliers!$A$9:$A$508,0))),""))</f>
        <v/>
      </c>
      <c r="V141" s="14" t="str">
        <f>IF(A141="","",IFERROR(IF(LEN(INDEX(Suppliers!$E$9:$E$508,MATCH(D141,Suppliers!$D$9:$D$508,0))&amp;"")=0,"",INDEX(Suppliers!$E$9:$E$508,MATCH(D141,Suppliers!$D$9:$D$508,0))),""))</f>
        <v/>
      </c>
      <c r="W141" s="14" t="str">
        <f>IF(A141="","",IFERROR(IF(LEN(INDEX(Suppliers!$F$9:$F$508,MATCH(D141,Suppliers!$D$9:$D$508,0))&amp;"")=0,"",INDEX(Suppliers!$F$9:$F$508,MATCH(D141,Suppliers!$D$9:$D$508,0))),""))</f>
        <v/>
      </c>
      <c r="X141" s="14" t="str">
        <f>IF(A141="","",IFERROR(IF(LEN(INDEX(Suppliers!$G$9:$G$508,MATCH(D141,Suppliers!$D$9:$D$508,0))&amp;"")=0,"",INDEX(Suppliers!$G$9:$G$508,MATCH(D141,Suppliers!$D$9:$D$508,0))),""))</f>
        <v/>
      </c>
      <c r="Y141" s="14" t="str">
        <f>IF(A141="","",IFERROR(INDEX(Jobs!$C$9:$C$258,MATCH(B141,Jobs!$A$9:$A$258,0)),""))</f>
        <v/>
      </c>
      <c r="Z141" s="14" t="str">
        <f>IF(A141="","",IFERROR(INDEX(Jobs!$B$9:$B$258,MATCH(B141,Jobs!$A$9:$A$258,0)),""))</f>
        <v/>
      </c>
      <c r="AA141" s="16" t="str">
        <f>IF(A141="","",IFERROR(VLOOKUP(I141,Lists!$E$9:$F$14,2,FALSE),0))</f>
        <v/>
      </c>
      <c r="AB141" s="16" t="str">
        <f t="shared" si="24"/>
        <v/>
      </c>
      <c r="AC141" s="16" t="str">
        <f t="shared" si="25"/>
        <v/>
      </c>
      <c r="AD141" s="16" t="str">
        <f t="shared" si="26"/>
        <v/>
      </c>
      <c r="AE141" s="16" t="str">
        <f t="shared" si="27"/>
        <v/>
      </c>
      <c r="AF141" s="16" t="str">
        <f t="shared" si="28"/>
        <v/>
      </c>
      <c r="AG141" s="26" t="str">
        <f t="shared" si="29"/>
        <v/>
      </c>
      <c r="AH141" s="16" t="str">
        <f t="shared" si="30"/>
        <v/>
      </c>
      <c r="AI141" s="16" t="str">
        <f t="shared" si="31"/>
        <v/>
      </c>
      <c r="AJ141" s="16" t="str">
        <f t="shared" si="32"/>
        <v/>
      </c>
      <c r="AK141" s="14" t="str">
        <f>IF(AND(A141&lt;&gt;"",F141="Selected"),COUNTIF($F$9:F141,"Selected"),"")</f>
        <v/>
      </c>
      <c r="AL141" s="14" t="str">
        <f>IF(A141="","",COUNTIF($B$9:B141,B141))</f>
        <v/>
      </c>
      <c r="AM141" s="14" t="str">
        <f>IF(A141="","",IF(COUNTIF(Jobs!$A$9:$A$258,B141)&lt;&gt;1,"Check JobID",IF(COUNTIF(Suppliers!$D$9:$D$508,D141)&lt;&gt;1,"Check contact",IF(AA141&lt;=0,"Currency / FX missing",IF(NOT(ISNUMBER(G141)),"Original price missing",IF(G141&lt;0,"Invalid original price",IF(AND(H141&lt;&gt;"",NOT(ISNUMBER(H141))),"Invalid final price",IF(AND(ISNUMBER(H141),H141&lt;0),"Invalid final price",IF(AND(F141="Selected",COUNTIFS($B$9:$B$258,B141,$E$9:$E$258,E141,$F$9:$F$258,"Selected")&gt;1),"Selected scope overlap",IF(AND(ISNUMBER(H141),H141&gt;G141),"Price increased",IF(LEN(H141&amp;"")=0,"Final price pending","OK")))))))))))</f>
        <v/>
      </c>
      <c r="AN141" s="16" t="str">
        <f t="shared" si="33"/>
        <v/>
      </c>
      <c r="AO141" s="14" t="str">
        <f>IF(A141="","",IFERROR(IF(INDEX(Suppliers!$A$9:$A$508,MATCH(D141,Suppliers!$D$9:$D$508,0))=C141,"OK","Contact / supplier mismatch"),"Contact missing"))</f>
        <v/>
      </c>
      <c r="AP141" s="14" t="str">
        <f>IF(OR(A141="",IFERROR(INDEX(Jobs!$P$9:$P$258,MATCH(B141,Jobs!$A$9:$A$258,0)),"")=""),"",HYPERLINK("#'"&amp;IFERROR(INDEX(Jobs!$P$9:$P$258,MATCH(B141,Jobs!$A$9:$A$258,0)),"")&amp;"'!A1","OPEN JOB"))</f>
        <v/>
      </c>
      <c r="AQ141" s="14"/>
      <c r="AR141" s="14"/>
      <c r="AS141" t="str">
        <f t="shared" si="34"/>
        <v/>
      </c>
      <c r="AT141" t="str">
        <f t="shared" si="35"/>
        <v/>
      </c>
    </row>
    <row r="142" spans="1:46" ht="40" customHeight="1" x14ac:dyDescent="0.35">
      <c r="A142" s="18"/>
      <c r="B142" s="37"/>
      <c r="C142" s="18"/>
      <c r="D142" s="15"/>
      <c r="E142" s="15"/>
      <c r="F142" s="15"/>
      <c r="G142" s="24"/>
      <c r="H142" s="24"/>
      <c r="I142" s="15"/>
      <c r="J142" s="17"/>
      <c r="K142" s="17"/>
      <c r="L142" s="17"/>
      <c r="M142" s="15"/>
      <c r="N142" s="15"/>
      <c r="O142" s="15"/>
      <c r="P142" s="15"/>
      <c r="Q142" s="15"/>
      <c r="R142" s="15"/>
      <c r="S142" s="18"/>
      <c r="T142" s="18"/>
      <c r="U142" s="18" t="str">
        <f>IF(A142="","",IFERROR(IF(LEN(INDEX(Suppliers!$B$9:$B$508,MATCH(C142,Suppliers!$A$9:$A$508,0))&amp;"")=0,"",INDEX(Suppliers!$B$9:$B$508,MATCH(C142,Suppliers!$A$9:$A$508,0))),""))</f>
        <v/>
      </c>
      <c r="V142" s="18" t="str">
        <f>IF(A142="","",IFERROR(IF(LEN(INDEX(Suppliers!$E$9:$E$508,MATCH(D142,Suppliers!$D$9:$D$508,0))&amp;"")=0,"",INDEX(Suppliers!$E$9:$E$508,MATCH(D142,Suppliers!$D$9:$D$508,0))),""))</f>
        <v/>
      </c>
      <c r="W142" s="18" t="str">
        <f>IF(A142="","",IFERROR(IF(LEN(INDEX(Suppliers!$F$9:$F$508,MATCH(D142,Suppliers!$D$9:$D$508,0))&amp;"")=0,"",INDEX(Suppliers!$F$9:$F$508,MATCH(D142,Suppliers!$D$9:$D$508,0))),""))</f>
        <v/>
      </c>
      <c r="X142" s="18" t="str">
        <f>IF(A142="","",IFERROR(IF(LEN(INDEX(Suppliers!$G$9:$G$508,MATCH(D142,Suppliers!$D$9:$D$508,0))&amp;"")=0,"",INDEX(Suppliers!$G$9:$G$508,MATCH(D142,Suppliers!$D$9:$D$508,0))),""))</f>
        <v/>
      </c>
      <c r="Y142" s="18" t="str">
        <f>IF(A142="","",IFERROR(INDEX(Jobs!$C$9:$C$258,MATCH(B142,Jobs!$A$9:$A$258,0)),""))</f>
        <v/>
      </c>
      <c r="Z142" s="18" t="str">
        <f>IF(A142="","",IFERROR(INDEX(Jobs!$B$9:$B$258,MATCH(B142,Jobs!$A$9:$A$258,0)),""))</f>
        <v/>
      </c>
      <c r="AA142" s="19" t="str">
        <f>IF(A142="","",IFERROR(VLOOKUP(I142,Lists!$E$9:$F$14,2,FALSE),0))</f>
        <v/>
      </c>
      <c r="AB142" s="19" t="str">
        <f t="shared" si="24"/>
        <v/>
      </c>
      <c r="AC142" s="19" t="str">
        <f t="shared" si="25"/>
        <v/>
      </c>
      <c r="AD142" s="19" t="str">
        <f t="shared" si="26"/>
        <v/>
      </c>
      <c r="AE142" s="19" t="str">
        <f t="shared" si="27"/>
        <v/>
      </c>
      <c r="AF142" s="19" t="str">
        <f t="shared" si="28"/>
        <v/>
      </c>
      <c r="AG142" s="27" t="str">
        <f t="shared" si="29"/>
        <v/>
      </c>
      <c r="AH142" s="19" t="str">
        <f t="shared" si="30"/>
        <v/>
      </c>
      <c r="AI142" s="19" t="str">
        <f t="shared" si="31"/>
        <v/>
      </c>
      <c r="AJ142" s="19" t="str">
        <f t="shared" si="32"/>
        <v/>
      </c>
      <c r="AK142" s="18" t="str">
        <f>IF(AND(A142&lt;&gt;"",F142="Selected"),COUNTIF($F$9:F142,"Selected"),"")</f>
        <v/>
      </c>
      <c r="AL142" s="18" t="str">
        <f>IF(A142="","",COUNTIF($B$9:B142,B142))</f>
        <v/>
      </c>
      <c r="AM142" s="18" t="str">
        <f>IF(A142="","",IF(COUNTIF(Jobs!$A$9:$A$258,B142)&lt;&gt;1,"Check JobID",IF(COUNTIF(Suppliers!$D$9:$D$508,D142)&lt;&gt;1,"Check contact",IF(AA142&lt;=0,"Currency / FX missing",IF(NOT(ISNUMBER(G142)),"Original price missing",IF(G142&lt;0,"Invalid original price",IF(AND(H142&lt;&gt;"",NOT(ISNUMBER(H142))),"Invalid final price",IF(AND(ISNUMBER(H142),H142&lt;0),"Invalid final price",IF(AND(F142="Selected",COUNTIFS($B$9:$B$258,B142,$E$9:$E$258,E142,$F$9:$F$258,"Selected")&gt;1),"Selected scope overlap",IF(AND(ISNUMBER(H142),H142&gt;G142),"Price increased",IF(LEN(H142&amp;"")=0,"Final price pending","OK")))))))))))</f>
        <v/>
      </c>
      <c r="AN142" s="19" t="str">
        <f t="shared" si="33"/>
        <v/>
      </c>
      <c r="AO142" s="18" t="str">
        <f>IF(A142="","",IFERROR(IF(INDEX(Suppliers!$A$9:$A$508,MATCH(D142,Suppliers!$D$9:$D$508,0))=C142,"OK","Contact / supplier mismatch"),"Contact missing"))</f>
        <v/>
      </c>
      <c r="AP142" s="18" t="str">
        <f>IF(OR(A142="",IFERROR(INDEX(Jobs!$P$9:$P$258,MATCH(B142,Jobs!$A$9:$A$258,0)),"")=""),"",HYPERLINK("#'"&amp;IFERROR(INDEX(Jobs!$P$9:$P$258,MATCH(B142,Jobs!$A$9:$A$258,0)),"")&amp;"'!A1","OPEN JOB"))</f>
        <v/>
      </c>
      <c r="AQ142" s="18"/>
      <c r="AR142" s="18"/>
      <c r="AS142" t="str">
        <f t="shared" si="34"/>
        <v/>
      </c>
      <c r="AT142" t="str">
        <f t="shared" si="35"/>
        <v/>
      </c>
    </row>
    <row r="143" spans="1:46" ht="40" customHeight="1" x14ac:dyDescent="0.35">
      <c r="A143" s="14"/>
      <c r="B143" s="37"/>
      <c r="C143" s="14"/>
      <c r="D143" s="15"/>
      <c r="E143" s="15"/>
      <c r="F143" s="15"/>
      <c r="G143" s="24"/>
      <c r="H143" s="24"/>
      <c r="I143" s="15"/>
      <c r="J143" s="17"/>
      <c r="K143" s="17"/>
      <c r="L143" s="17"/>
      <c r="M143" s="15"/>
      <c r="N143" s="15"/>
      <c r="O143" s="15"/>
      <c r="P143" s="15"/>
      <c r="Q143" s="15"/>
      <c r="R143" s="15"/>
      <c r="S143" s="14"/>
      <c r="T143" s="14"/>
      <c r="U143" s="14" t="str">
        <f>IF(A143="","",IFERROR(IF(LEN(INDEX(Suppliers!$B$9:$B$508,MATCH(C143,Suppliers!$A$9:$A$508,0))&amp;"")=0,"",INDEX(Suppliers!$B$9:$B$508,MATCH(C143,Suppliers!$A$9:$A$508,0))),""))</f>
        <v/>
      </c>
      <c r="V143" s="14" t="str">
        <f>IF(A143="","",IFERROR(IF(LEN(INDEX(Suppliers!$E$9:$E$508,MATCH(D143,Suppliers!$D$9:$D$508,0))&amp;"")=0,"",INDEX(Suppliers!$E$9:$E$508,MATCH(D143,Suppliers!$D$9:$D$508,0))),""))</f>
        <v/>
      </c>
      <c r="W143" s="14" t="str">
        <f>IF(A143="","",IFERROR(IF(LEN(INDEX(Suppliers!$F$9:$F$508,MATCH(D143,Suppliers!$D$9:$D$508,0))&amp;"")=0,"",INDEX(Suppliers!$F$9:$F$508,MATCH(D143,Suppliers!$D$9:$D$508,0))),""))</f>
        <v/>
      </c>
      <c r="X143" s="14" t="str">
        <f>IF(A143="","",IFERROR(IF(LEN(INDEX(Suppliers!$G$9:$G$508,MATCH(D143,Suppliers!$D$9:$D$508,0))&amp;"")=0,"",INDEX(Suppliers!$G$9:$G$508,MATCH(D143,Suppliers!$D$9:$D$508,0))),""))</f>
        <v/>
      </c>
      <c r="Y143" s="14" t="str">
        <f>IF(A143="","",IFERROR(INDEX(Jobs!$C$9:$C$258,MATCH(B143,Jobs!$A$9:$A$258,0)),""))</f>
        <v/>
      </c>
      <c r="Z143" s="14" t="str">
        <f>IF(A143="","",IFERROR(INDEX(Jobs!$B$9:$B$258,MATCH(B143,Jobs!$A$9:$A$258,0)),""))</f>
        <v/>
      </c>
      <c r="AA143" s="16" t="str">
        <f>IF(A143="","",IFERROR(VLOOKUP(I143,Lists!$E$9:$F$14,2,FALSE),0))</f>
        <v/>
      </c>
      <c r="AB143" s="16" t="str">
        <f t="shared" si="24"/>
        <v/>
      </c>
      <c r="AC143" s="16" t="str">
        <f t="shared" si="25"/>
        <v/>
      </c>
      <c r="AD143" s="16" t="str">
        <f t="shared" si="26"/>
        <v/>
      </c>
      <c r="AE143" s="16" t="str">
        <f t="shared" si="27"/>
        <v/>
      </c>
      <c r="AF143" s="16" t="str">
        <f t="shared" si="28"/>
        <v/>
      </c>
      <c r="AG143" s="26" t="str">
        <f t="shared" si="29"/>
        <v/>
      </c>
      <c r="AH143" s="16" t="str">
        <f t="shared" si="30"/>
        <v/>
      </c>
      <c r="AI143" s="16" t="str">
        <f t="shared" si="31"/>
        <v/>
      </c>
      <c r="AJ143" s="16" t="str">
        <f t="shared" si="32"/>
        <v/>
      </c>
      <c r="AK143" s="14" t="str">
        <f>IF(AND(A143&lt;&gt;"",F143="Selected"),COUNTIF($F$9:F143,"Selected"),"")</f>
        <v/>
      </c>
      <c r="AL143" s="14" t="str">
        <f>IF(A143="","",COUNTIF($B$9:B143,B143))</f>
        <v/>
      </c>
      <c r="AM143" s="14" t="str">
        <f>IF(A143="","",IF(COUNTIF(Jobs!$A$9:$A$258,B143)&lt;&gt;1,"Check JobID",IF(COUNTIF(Suppliers!$D$9:$D$508,D143)&lt;&gt;1,"Check contact",IF(AA143&lt;=0,"Currency / FX missing",IF(NOT(ISNUMBER(G143)),"Original price missing",IF(G143&lt;0,"Invalid original price",IF(AND(H143&lt;&gt;"",NOT(ISNUMBER(H143))),"Invalid final price",IF(AND(ISNUMBER(H143),H143&lt;0),"Invalid final price",IF(AND(F143="Selected",COUNTIFS($B$9:$B$258,B143,$E$9:$E$258,E143,$F$9:$F$258,"Selected")&gt;1),"Selected scope overlap",IF(AND(ISNUMBER(H143),H143&gt;G143),"Price increased",IF(LEN(H143&amp;"")=0,"Final price pending","OK")))))))))))</f>
        <v/>
      </c>
      <c r="AN143" s="16" t="str">
        <f t="shared" si="33"/>
        <v/>
      </c>
      <c r="AO143" s="14" t="str">
        <f>IF(A143="","",IFERROR(IF(INDEX(Suppliers!$A$9:$A$508,MATCH(D143,Suppliers!$D$9:$D$508,0))=C143,"OK","Contact / supplier mismatch"),"Contact missing"))</f>
        <v/>
      </c>
      <c r="AP143" s="14" t="str">
        <f>IF(OR(A143="",IFERROR(INDEX(Jobs!$P$9:$P$258,MATCH(B143,Jobs!$A$9:$A$258,0)),"")=""),"",HYPERLINK("#'"&amp;IFERROR(INDEX(Jobs!$P$9:$P$258,MATCH(B143,Jobs!$A$9:$A$258,0)),"")&amp;"'!A1","OPEN JOB"))</f>
        <v/>
      </c>
      <c r="AQ143" s="14"/>
      <c r="AR143" s="14"/>
      <c r="AS143" t="str">
        <f t="shared" si="34"/>
        <v/>
      </c>
      <c r="AT143" t="str">
        <f t="shared" si="35"/>
        <v/>
      </c>
    </row>
    <row r="144" spans="1:46" ht="40" customHeight="1" x14ac:dyDescent="0.35">
      <c r="A144" s="18"/>
      <c r="B144" s="37"/>
      <c r="C144" s="18"/>
      <c r="D144" s="15"/>
      <c r="E144" s="15"/>
      <c r="F144" s="15"/>
      <c r="G144" s="24"/>
      <c r="H144" s="24"/>
      <c r="I144" s="15"/>
      <c r="J144" s="17"/>
      <c r="K144" s="17"/>
      <c r="L144" s="17"/>
      <c r="M144" s="15"/>
      <c r="N144" s="15"/>
      <c r="O144" s="15"/>
      <c r="P144" s="15"/>
      <c r="Q144" s="15"/>
      <c r="R144" s="15"/>
      <c r="S144" s="18"/>
      <c r="T144" s="18"/>
      <c r="U144" s="18" t="str">
        <f>IF(A144="","",IFERROR(IF(LEN(INDEX(Suppliers!$B$9:$B$508,MATCH(C144,Suppliers!$A$9:$A$508,0))&amp;"")=0,"",INDEX(Suppliers!$B$9:$B$508,MATCH(C144,Suppliers!$A$9:$A$508,0))),""))</f>
        <v/>
      </c>
      <c r="V144" s="18" t="str">
        <f>IF(A144="","",IFERROR(IF(LEN(INDEX(Suppliers!$E$9:$E$508,MATCH(D144,Suppliers!$D$9:$D$508,0))&amp;"")=0,"",INDEX(Suppliers!$E$9:$E$508,MATCH(D144,Suppliers!$D$9:$D$508,0))),""))</f>
        <v/>
      </c>
      <c r="W144" s="18" t="str">
        <f>IF(A144="","",IFERROR(IF(LEN(INDEX(Suppliers!$F$9:$F$508,MATCH(D144,Suppliers!$D$9:$D$508,0))&amp;"")=0,"",INDEX(Suppliers!$F$9:$F$508,MATCH(D144,Suppliers!$D$9:$D$508,0))),""))</f>
        <v/>
      </c>
      <c r="X144" s="18" t="str">
        <f>IF(A144="","",IFERROR(IF(LEN(INDEX(Suppliers!$G$9:$G$508,MATCH(D144,Suppliers!$D$9:$D$508,0))&amp;"")=0,"",INDEX(Suppliers!$G$9:$G$508,MATCH(D144,Suppliers!$D$9:$D$508,0))),""))</f>
        <v/>
      </c>
      <c r="Y144" s="18" t="str">
        <f>IF(A144="","",IFERROR(INDEX(Jobs!$C$9:$C$258,MATCH(B144,Jobs!$A$9:$A$258,0)),""))</f>
        <v/>
      </c>
      <c r="Z144" s="18" t="str">
        <f>IF(A144="","",IFERROR(INDEX(Jobs!$B$9:$B$258,MATCH(B144,Jobs!$A$9:$A$258,0)),""))</f>
        <v/>
      </c>
      <c r="AA144" s="19" t="str">
        <f>IF(A144="","",IFERROR(VLOOKUP(I144,Lists!$E$9:$F$14,2,FALSE),0))</f>
        <v/>
      </c>
      <c r="AB144" s="19" t="str">
        <f t="shared" si="24"/>
        <v/>
      </c>
      <c r="AC144" s="19" t="str">
        <f t="shared" si="25"/>
        <v/>
      </c>
      <c r="AD144" s="19" t="str">
        <f t="shared" si="26"/>
        <v/>
      </c>
      <c r="AE144" s="19" t="str">
        <f t="shared" si="27"/>
        <v/>
      </c>
      <c r="AF144" s="19" t="str">
        <f t="shared" si="28"/>
        <v/>
      </c>
      <c r="AG144" s="27" t="str">
        <f t="shared" si="29"/>
        <v/>
      </c>
      <c r="AH144" s="19" t="str">
        <f t="shared" si="30"/>
        <v/>
      </c>
      <c r="AI144" s="19" t="str">
        <f t="shared" si="31"/>
        <v/>
      </c>
      <c r="AJ144" s="19" t="str">
        <f t="shared" si="32"/>
        <v/>
      </c>
      <c r="AK144" s="18" t="str">
        <f>IF(AND(A144&lt;&gt;"",F144="Selected"),COUNTIF($F$9:F144,"Selected"),"")</f>
        <v/>
      </c>
      <c r="AL144" s="18" t="str">
        <f>IF(A144="","",COUNTIF($B$9:B144,B144))</f>
        <v/>
      </c>
      <c r="AM144" s="18" t="str">
        <f>IF(A144="","",IF(COUNTIF(Jobs!$A$9:$A$258,B144)&lt;&gt;1,"Check JobID",IF(COUNTIF(Suppliers!$D$9:$D$508,D144)&lt;&gt;1,"Check contact",IF(AA144&lt;=0,"Currency / FX missing",IF(NOT(ISNUMBER(G144)),"Original price missing",IF(G144&lt;0,"Invalid original price",IF(AND(H144&lt;&gt;"",NOT(ISNUMBER(H144))),"Invalid final price",IF(AND(ISNUMBER(H144),H144&lt;0),"Invalid final price",IF(AND(F144="Selected",COUNTIFS($B$9:$B$258,B144,$E$9:$E$258,E144,$F$9:$F$258,"Selected")&gt;1),"Selected scope overlap",IF(AND(ISNUMBER(H144),H144&gt;G144),"Price increased",IF(LEN(H144&amp;"")=0,"Final price pending","OK")))))))))))</f>
        <v/>
      </c>
      <c r="AN144" s="19" t="str">
        <f t="shared" si="33"/>
        <v/>
      </c>
      <c r="AO144" s="18" t="str">
        <f>IF(A144="","",IFERROR(IF(INDEX(Suppliers!$A$9:$A$508,MATCH(D144,Suppliers!$D$9:$D$508,0))=C144,"OK","Contact / supplier mismatch"),"Contact missing"))</f>
        <v/>
      </c>
      <c r="AP144" s="18" t="str">
        <f>IF(OR(A144="",IFERROR(INDEX(Jobs!$P$9:$P$258,MATCH(B144,Jobs!$A$9:$A$258,0)),"")=""),"",HYPERLINK("#'"&amp;IFERROR(INDEX(Jobs!$P$9:$P$258,MATCH(B144,Jobs!$A$9:$A$258,0)),"")&amp;"'!A1","OPEN JOB"))</f>
        <v/>
      </c>
      <c r="AQ144" s="18"/>
      <c r="AR144" s="18"/>
      <c r="AS144" t="str">
        <f t="shared" si="34"/>
        <v/>
      </c>
      <c r="AT144" t="str">
        <f t="shared" si="35"/>
        <v/>
      </c>
    </row>
    <row r="145" spans="1:46" ht="40" customHeight="1" x14ac:dyDescent="0.35">
      <c r="A145" s="14"/>
      <c r="B145" s="37"/>
      <c r="C145" s="14"/>
      <c r="D145" s="15"/>
      <c r="E145" s="15"/>
      <c r="F145" s="15"/>
      <c r="G145" s="24"/>
      <c r="H145" s="24"/>
      <c r="I145" s="15"/>
      <c r="J145" s="17"/>
      <c r="K145" s="17"/>
      <c r="L145" s="17"/>
      <c r="M145" s="15"/>
      <c r="N145" s="15"/>
      <c r="O145" s="15"/>
      <c r="P145" s="15"/>
      <c r="Q145" s="15"/>
      <c r="R145" s="15"/>
      <c r="S145" s="14"/>
      <c r="T145" s="14"/>
      <c r="U145" s="14" t="str">
        <f>IF(A145="","",IFERROR(IF(LEN(INDEX(Suppliers!$B$9:$B$508,MATCH(C145,Suppliers!$A$9:$A$508,0))&amp;"")=0,"",INDEX(Suppliers!$B$9:$B$508,MATCH(C145,Suppliers!$A$9:$A$508,0))),""))</f>
        <v/>
      </c>
      <c r="V145" s="14" t="str">
        <f>IF(A145="","",IFERROR(IF(LEN(INDEX(Suppliers!$E$9:$E$508,MATCH(D145,Suppliers!$D$9:$D$508,0))&amp;"")=0,"",INDEX(Suppliers!$E$9:$E$508,MATCH(D145,Suppliers!$D$9:$D$508,0))),""))</f>
        <v/>
      </c>
      <c r="W145" s="14" t="str">
        <f>IF(A145="","",IFERROR(IF(LEN(INDEX(Suppliers!$F$9:$F$508,MATCH(D145,Suppliers!$D$9:$D$508,0))&amp;"")=0,"",INDEX(Suppliers!$F$9:$F$508,MATCH(D145,Suppliers!$D$9:$D$508,0))),""))</f>
        <v/>
      </c>
      <c r="X145" s="14" t="str">
        <f>IF(A145="","",IFERROR(IF(LEN(INDEX(Suppliers!$G$9:$G$508,MATCH(D145,Suppliers!$D$9:$D$508,0))&amp;"")=0,"",INDEX(Suppliers!$G$9:$G$508,MATCH(D145,Suppliers!$D$9:$D$508,0))),""))</f>
        <v/>
      </c>
      <c r="Y145" s="14" t="str">
        <f>IF(A145="","",IFERROR(INDEX(Jobs!$C$9:$C$258,MATCH(B145,Jobs!$A$9:$A$258,0)),""))</f>
        <v/>
      </c>
      <c r="Z145" s="14" t="str">
        <f>IF(A145="","",IFERROR(INDEX(Jobs!$B$9:$B$258,MATCH(B145,Jobs!$A$9:$A$258,0)),""))</f>
        <v/>
      </c>
      <c r="AA145" s="16" t="str">
        <f>IF(A145="","",IFERROR(VLOOKUP(I145,Lists!$E$9:$F$14,2,FALSE),0))</f>
        <v/>
      </c>
      <c r="AB145" s="16" t="str">
        <f t="shared" si="24"/>
        <v/>
      </c>
      <c r="AC145" s="16" t="str">
        <f t="shared" si="25"/>
        <v/>
      </c>
      <c r="AD145" s="16" t="str">
        <f t="shared" si="26"/>
        <v/>
      </c>
      <c r="AE145" s="16" t="str">
        <f t="shared" si="27"/>
        <v/>
      </c>
      <c r="AF145" s="16" t="str">
        <f t="shared" si="28"/>
        <v/>
      </c>
      <c r="AG145" s="26" t="str">
        <f t="shared" si="29"/>
        <v/>
      </c>
      <c r="AH145" s="16" t="str">
        <f t="shared" si="30"/>
        <v/>
      </c>
      <c r="AI145" s="16" t="str">
        <f t="shared" si="31"/>
        <v/>
      </c>
      <c r="AJ145" s="16" t="str">
        <f t="shared" si="32"/>
        <v/>
      </c>
      <c r="AK145" s="14" t="str">
        <f>IF(AND(A145&lt;&gt;"",F145="Selected"),COUNTIF($F$9:F145,"Selected"),"")</f>
        <v/>
      </c>
      <c r="AL145" s="14" t="str">
        <f>IF(A145="","",COUNTIF($B$9:B145,B145))</f>
        <v/>
      </c>
      <c r="AM145" s="14" t="str">
        <f>IF(A145="","",IF(COUNTIF(Jobs!$A$9:$A$258,B145)&lt;&gt;1,"Check JobID",IF(COUNTIF(Suppliers!$D$9:$D$508,D145)&lt;&gt;1,"Check contact",IF(AA145&lt;=0,"Currency / FX missing",IF(NOT(ISNUMBER(G145)),"Original price missing",IF(G145&lt;0,"Invalid original price",IF(AND(H145&lt;&gt;"",NOT(ISNUMBER(H145))),"Invalid final price",IF(AND(ISNUMBER(H145),H145&lt;0),"Invalid final price",IF(AND(F145="Selected",COUNTIFS($B$9:$B$258,B145,$E$9:$E$258,E145,$F$9:$F$258,"Selected")&gt;1),"Selected scope overlap",IF(AND(ISNUMBER(H145),H145&gt;G145),"Price increased",IF(LEN(H145&amp;"")=0,"Final price pending","OK")))))))))))</f>
        <v/>
      </c>
      <c r="AN145" s="16" t="str">
        <f t="shared" si="33"/>
        <v/>
      </c>
      <c r="AO145" s="14" t="str">
        <f>IF(A145="","",IFERROR(IF(INDEX(Suppliers!$A$9:$A$508,MATCH(D145,Suppliers!$D$9:$D$508,0))=C145,"OK","Contact / supplier mismatch"),"Contact missing"))</f>
        <v/>
      </c>
      <c r="AP145" s="14" t="str">
        <f>IF(OR(A145="",IFERROR(INDEX(Jobs!$P$9:$P$258,MATCH(B145,Jobs!$A$9:$A$258,0)),"")=""),"",HYPERLINK("#'"&amp;IFERROR(INDEX(Jobs!$P$9:$P$258,MATCH(B145,Jobs!$A$9:$A$258,0)),"")&amp;"'!A1","OPEN JOB"))</f>
        <v/>
      </c>
      <c r="AQ145" s="14"/>
      <c r="AR145" s="14"/>
      <c r="AS145" t="str">
        <f t="shared" si="34"/>
        <v/>
      </c>
      <c r="AT145" t="str">
        <f t="shared" si="35"/>
        <v/>
      </c>
    </row>
    <row r="146" spans="1:46" ht="40" customHeight="1" x14ac:dyDescent="0.35">
      <c r="A146" s="18"/>
      <c r="B146" s="37"/>
      <c r="C146" s="18"/>
      <c r="D146" s="15"/>
      <c r="E146" s="15"/>
      <c r="F146" s="15"/>
      <c r="G146" s="24"/>
      <c r="H146" s="24"/>
      <c r="I146" s="15"/>
      <c r="J146" s="17"/>
      <c r="K146" s="17"/>
      <c r="L146" s="17"/>
      <c r="M146" s="15"/>
      <c r="N146" s="15"/>
      <c r="O146" s="15"/>
      <c r="P146" s="15"/>
      <c r="Q146" s="15"/>
      <c r="R146" s="15"/>
      <c r="S146" s="18"/>
      <c r="T146" s="18"/>
      <c r="U146" s="18" t="str">
        <f>IF(A146="","",IFERROR(IF(LEN(INDEX(Suppliers!$B$9:$B$508,MATCH(C146,Suppliers!$A$9:$A$508,0))&amp;"")=0,"",INDEX(Suppliers!$B$9:$B$508,MATCH(C146,Suppliers!$A$9:$A$508,0))),""))</f>
        <v/>
      </c>
      <c r="V146" s="18" t="str">
        <f>IF(A146="","",IFERROR(IF(LEN(INDEX(Suppliers!$E$9:$E$508,MATCH(D146,Suppliers!$D$9:$D$508,0))&amp;"")=0,"",INDEX(Suppliers!$E$9:$E$508,MATCH(D146,Suppliers!$D$9:$D$508,0))),""))</f>
        <v/>
      </c>
      <c r="W146" s="18" t="str">
        <f>IF(A146="","",IFERROR(IF(LEN(INDEX(Suppliers!$F$9:$F$508,MATCH(D146,Suppliers!$D$9:$D$508,0))&amp;"")=0,"",INDEX(Suppliers!$F$9:$F$508,MATCH(D146,Suppliers!$D$9:$D$508,0))),""))</f>
        <v/>
      </c>
      <c r="X146" s="18" t="str">
        <f>IF(A146="","",IFERROR(IF(LEN(INDEX(Suppliers!$G$9:$G$508,MATCH(D146,Suppliers!$D$9:$D$508,0))&amp;"")=0,"",INDEX(Suppliers!$G$9:$G$508,MATCH(D146,Suppliers!$D$9:$D$508,0))),""))</f>
        <v/>
      </c>
      <c r="Y146" s="18" t="str">
        <f>IF(A146="","",IFERROR(INDEX(Jobs!$C$9:$C$258,MATCH(B146,Jobs!$A$9:$A$258,0)),""))</f>
        <v/>
      </c>
      <c r="Z146" s="18" t="str">
        <f>IF(A146="","",IFERROR(INDEX(Jobs!$B$9:$B$258,MATCH(B146,Jobs!$A$9:$A$258,0)),""))</f>
        <v/>
      </c>
      <c r="AA146" s="19" t="str">
        <f>IF(A146="","",IFERROR(VLOOKUP(I146,Lists!$E$9:$F$14,2,FALSE),0))</f>
        <v/>
      </c>
      <c r="AB146" s="19" t="str">
        <f t="shared" si="24"/>
        <v/>
      </c>
      <c r="AC146" s="19" t="str">
        <f t="shared" si="25"/>
        <v/>
      </c>
      <c r="AD146" s="19" t="str">
        <f t="shared" si="26"/>
        <v/>
      </c>
      <c r="AE146" s="19" t="str">
        <f t="shared" si="27"/>
        <v/>
      </c>
      <c r="AF146" s="19" t="str">
        <f t="shared" si="28"/>
        <v/>
      </c>
      <c r="AG146" s="27" t="str">
        <f t="shared" si="29"/>
        <v/>
      </c>
      <c r="AH146" s="19" t="str">
        <f t="shared" si="30"/>
        <v/>
      </c>
      <c r="AI146" s="19" t="str">
        <f t="shared" si="31"/>
        <v/>
      </c>
      <c r="AJ146" s="19" t="str">
        <f t="shared" si="32"/>
        <v/>
      </c>
      <c r="AK146" s="18" t="str">
        <f>IF(AND(A146&lt;&gt;"",F146="Selected"),COUNTIF($F$9:F146,"Selected"),"")</f>
        <v/>
      </c>
      <c r="AL146" s="18" t="str">
        <f>IF(A146="","",COUNTIF($B$9:B146,B146))</f>
        <v/>
      </c>
      <c r="AM146" s="18" t="str">
        <f>IF(A146="","",IF(COUNTIF(Jobs!$A$9:$A$258,B146)&lt;&gt;1,"Check JobID",IF(COUNTIF(Suppliers!$D$9:$D$508,D146)&lt;&gt;1,"Check contact",IF(AA146&lt;=0,"Currency / FX missing",IF(NOT(ISNUMBER(G146)),"Original price missing",IF(G146&lt;0,"Invalid original price",IF(AND(H146&lt;&gt;"",NOT(ISNUMBER(H146))),"Invalid final price",IF(AND(ISNUMBER(H146),H146&lt;0),"Invalid final price",IF(AND(F146="Selected",COUNTIFS($B$9:$B$258,B146,$E$9:$E$258,E146,$F$9:$F$258,"Selected")&gt;1),"Selected scope overlap",IF(AND(ISNUMBER(H146),H146&gt;G146),"Price increased",IF(LEN(H146&amp;"")=0,"Final price pending","OK")))))))))))</f>
        <v/>
      </c>
      <c r="AN146" s="19" t="str">
        <f t="shared" si="33"/>
        <v/>
      </c>
      <c r="AO146" s="18" t="str">
        <f>IF(A146="","",IFERROR(IF(INDEX(Suppliers!$A$9:$A$508,MATCH(D146,Suppliers!$D$9:$D$508,0))=C146,"OK","Contact / supplier mismatch"),"Contact missing"))</f>
        <v/>
      </c>
      <c r="AP146" s="18" t="str">
        <f>IF(OR(A146="",IFERROR(INDEX(Jobs!$P$9:$P$258,MATCH(B146,Jobs!$A$9:$A$258,0)),"")=""),"",HYPERLINK("#'"&amp;IFERROR(INDEX(Jobs!$P$9:$P$258,MATCH(B146,Jobs!$A$9:$A$258,0)),"")&amp;"'!A1","OPEN JOB"))</f>
        <v/>
      </c>
      <c r="AQ146" s="18"/>
      <c r="AR146" s="18"/>
      <c r="AS146" t="str">
        <f t="shared" si="34"/>
        <v/>
      </c>
      <c r="AT146" t="str">
        <f t="shared" si="35"/>
        <v/>
      </c>
    </row>
    <row r="147" spans="1:46" ht="40" customHeight="1" x14ac:dyDescent="0.35">
      <c r="A147" s="14"/>
      <c r="B147" s="37"/>
      <c r="C147" s="14"/>
      <c r="D147" s="15"/>
      <c r="E147" s="15"/>
      <c r="F147" s="15"/>
      <c r="G147" s="24"/>
      <c r="H147" s="24"/>
      <c r="I147" s="15"/>
      <c r="J147" s="17"/>
      <c r="K147" s="17"/>
      <c r="L147" s="17"/>
      <c r="M147" s="15"/>
      <c r="N147" s="15"/>
      <c r="O147" s="15"/>
      <c r="P147" s="15"/>
      <c r="Q147" s="15"/>
      <c r="R147" s="15"/>
      <c r="S147" s="14"/>
      <c r="T147" s="14"/>
      <c r="U147" s="14" t="str">
        <f>IF(A147="","",IFERROR(IF(LEN(INDEX(Suppliers!$B$9:$B$508,MATCH(C147,Suppliers!$A$9:$A$508,0))&amp;"")=0,"",INDEX(Suppliers!$B$9:$B$508,MATCH(C147,Suppliers!$A$9:$A$508,0))),""))</f>
        <v/>
      </c>
      <c r="V147" s="14" t="str">
        <f>IF(A147="","",IFERROR(IF(LEN(INDEX(Suppliers!$E$9:$E$508,MATCH(D147,Suppliers!$D$9:$D$508,0))&amp;"")=0,"",INDEX(Suppliers!$E$9:$E$508,MATCH(D147,Suppliers!$D$9:$D$508,0))),""))</f>
        <v/>
      </c>
      <c r="W147" s="14" t="str">
        <f>IF(A147="","",IFERROR(IF(LEN(INDEX(Suppliers!$F$9:$F$508,MATCH(D147,Suppliers!$D$9:$D$508,0))&amp;"")=0,"",INDEX(Suppliers!$F$9:$F$508,MATCH(D147,Suppliers!$D$9:$D$508,0))),""))</f>
        <v/>
      </c>
      <c r="X147" s="14" t="str">
        <f>IF(A147="","",IFERROR(IF(LEN(INDEX(Suppliers!$G$9:$G$508,MATCH(D147,Suppliers!$D$9:$D$508,0))&amp;"")=0,"",INDEX(Suppliers!$G$9:$G$508,MATCH(D147,Suppliers!$D$9:$D$508,0))),""))</f>
        <v/>
      </c>
      <c r="Y147" s="14" t="str">
        <f>IF(A147="","",IFERROR(INDEX(Jobs!$C$9:$C$258,MATCH(B147,Jobs!$A$9:$A$258,0)),""))</f>
        <v/>
      </c>
      <c r="Z147" s="14" t="str">
        <f>IF(A147="","",IFERROR(INDEX(Jobs!$B$9:$B$258,MATCH(B147,Jobs!$A$9:$A$258,0)),""))</f>
        <v/>
      </c>
      <c r="AA147" s="16" t="str">
        <f>IF(A147="","",IFERROR(VLOOKUP(I147,Lists!$E$9:$F$14,2,FALSE),0))</f>
        <v/>
      </c>
      <c r="AB147" s="16" t="str">
        <f t="shared" si="24"/>
        <v/>
      </c>
      <c r="AC147" s="16" t="str">
        <f t="shared" si="25"/>
        <v/>
      </c>
      <c r="AD147" s="16" t="str">
        <f t="shared" si="26"/>
        <v/>
      </c>
      <c r="AE147" s="16" t="str">
        <f t="shared" si="27"/>
        <v/>
      </c>
      <c r="AF147" s="16" t="str">
        <f t="shared" si="28"/>
        <v/>
      </c>
      <c r="AG147" s="26" t="str">
        <f t="shared" si="29"/>
        <v/>
      </c>
      <c r="AH147" s="16" t="str">
        <f t="shared" si="30"/>
        <v/>
      </c>
      <c r="AI147" s="16" t="str">
        <f t="shared" si="31"/>
        <v/>
      </c>
      <c r="AJ147" s="16" t="str">
        <f t="shared" si="32"/>
        <v/>
      </c>
      <c r="AK147" s="14" t="str">
        <f>IF(AND(A147&lt;&gt;"",F147="Selected"),COUNTIF($F$9:F147,"Selected"),"")</f>
        <v/>
      </c>
      <c r="AL147" s="14" t="str">
        <f>IF(A147="","",COUNTIF($B$9:B147,B147))</f>
        <v/>
      </c>
      <c r="AM147" s="14" t="str">
        <f>IF(A147="","",IF(COUNTIF(Jobs!$A$9:$A$258,B147)&lt;&gt;1,"Check JobID",IF(COUNTIF(Suppliers!$D$9:$D$508,D147)&lt;&gt;1,"Check contact",IF(AA147&lt;=0,"Currency / FX missing",IF(NOT(ISNUMBER(G147)),"Original price missing",IF(G147&lt;0,"Invalid original price",IF(AND(H147&lt;&gt;"",NOT(ISNUMBER(H147))),"Invalid final price",IF(AND(ISNUMBER(H147),H147&lt;0),"Invalid final price",IF(AND(F147="Selected",COUNTIFS($B$9:$B$258,B147,$E$9:$E$258,E147,$F$9:$F$258,"Selected")&gt;1),"Selected scope overlap",IF(AND(ISNUMBER(H147),H147&gt;G147),"Price increased",IF(LEN(H147&amp;"")=0,"Final price pending","OK")))))))))))</f>
        <v/>
      </c>
      <c r="AN147" s="16" t="str">
        <f t="shared" si="33"/>
        <v/>
      </c>
      <c r="AO147" s="14" t="str">
        <f>IF(A147="","",IFERROR(IF(INDEX(Suppliers!$A$9:$A$508,MATCH(D147,Suppliers!$D$9:$D$508,0))=C147,"OK","Contact / supplier mismatch"),"Contact missing"))</f>
        <v/>
      </c>
      <c r="AP147" s="14" t="str">
        <f>IF(OR(A147="",IFERROR(INDEX(Jobs!$P$9:$P$258,MATCH(B147,Jobs!$A$9:$A$258,0)),"")=""),"",HYPERLINK("#'"&amp;IFERROR(INDEX(Jobs!$P$9:$P$258,MATCH(B147,Jobs!$A$9:$A$258,0)),"")&amp;"'!A1","OPEN JOB"))</f>
        <v/>
      </c>
      <c r="AQ147" s="14"/>
      <c r="AR147" s="14"/>
      <c r="AS147" t="str">
        <f t="shared" si="34"/>
        <v/>
      </c>
      <c r="AT147" t="str">
        <f t="shared" si="35"/>
        <v/>
      </c>
    </row>
    <row r="148" spans="1:46" ht="40" customHeight="1" x14ac:dyDescent="0.35">
      <c r="A148" s="18"/>
      <c r="B148" s="37"/>
      <c r="C148" s="18"/>
      <c r="D148" s="15"/>
      <c r="E148" s="15"/>
      <c r="F148" s="15"/>
      <c r="G148" s="24"/>
      <c r="H148" s="24"/>
      <c r="I148" s="15"/>
      <c r="J148" s="17"/>
      <c r="K148" s="17"/>
      <c r="L148" s="17"/>
      <c r="M148" s="15"/>
      <c r="N148" s="15"/>
      <c r="O148" s="15"/>
      <c r="P148" s="15"/>
      <c r="Q148" s="15"/>
      <c r="R148" s="15"/>
      <c r="S148" s="18"/>
      <c r="T148" s="18"/>
      <c r="U148" s="18" t="str">
        <f>IF(A148="","",IFERROR(IF(LEN(INDEX(Suppliers!$B$9:$B$508,MATCH(C148,Suppliers!$A$9:$A$508,0))&amp;"")=0,"",INDEX(Suppliers!$B$9:$B$508,MATCH(C148,Suppliers!$A$9:$A$508,0))),""))</f>
        <v/>
      </c>
      <c r="V148" s="18" t="str">
        <f>IF(A148="","",IFERROR(IF(LEN(INDEX(Suppliers!$E$9:$E$508,MATCH(D148,Suppliers!$D$9:$D$508,0))&amp;"")=0,"",INDEX(Suppliers!$E$9:$E$508,MATCH(D148,Suppliers!$D$9:$D$508,0))),""))</f>
        <v/>
      </c>
      <c r="W148" s="18" t="str">
        <f>IF(A148="","",IFERROR(IF(LEN(INDEX(Suppliers!$F$9:$F$508,MATCH(D148,Suppliers!$D$9:$D$508,0))&amp;"")=0,"",INDEX(Suppliers!$F$9:$F$508,MATCH(D148,Suppliers!$D$9:$D$508,0))),""))</f>
        <v/>
      </c>
      <c r="X148" s="18" t="str">
        <f>IF(A148="","",IFERROR(IF(LEN(INDEX(Suppliers!$G$9:$G$508,MATCH(D148,Suppliers!$D$9:$D$508,0))&amp;"")=0,"",INDEX(Suppliers!$G$9:$G$508,MATCH(D148,Suppliers!$D$9:$D$508,0))),""))</f>
        <v/>
      </c>
      <c r="Y148" s="18" t="str">
        <f>IF(A148="","",IFERROR(INDEX(Jobs!$C$9:$C$258,MATCH(B148,Jobs!$A$9:$A$258,0)),""))</f>
        <v/>
      </c>
      <c r="Z148" s="18" t="str">
        <f>IF(A148="","",IFERROR(INDEX(Jobs!$B$9:$B$258,MATCH(B148,Jobs!$A$9:$A$258,0)),""))</f>
        <v/>
      </c>
      <c r="AA148" s="19" t="str">
        <f>IF(A148="","",IFERROR(VLOOKUP(I148,Lists!$E$9:$F$14,2,FALSE),0))</f>
        <v/>
      </c>
      <c r="AB148" s="19" t="str">
        <f t="shared" si="24"/>
        <v/>
      </c>
      <c r="AC148" s="19" t="str">
        <f t="shared" si="25"/>
        <v/>
      </c>
      <c r="AD148" s="19" t="str">
        <f t="shared" si="26"/>
        <v/>
      </c>
      <c r="AE148" s="19" t="str">
        <f t="shared" si="27"/>
        <v/>
      </c>
      <c r="AF148" s="19" t="str">
        <f t="shared" si="28"/>
        <v/>
      </c>
      <c r="AG148" s="27" t="str">
        <f t="shared" si="29"/>
        <v/>
      </c>
      <c r="AH148" s="19" t="str">
        <f t="shared" si="30"/>
        <v/>
      </c>
      <c r="AI148" s="19" t="str">
        <f t="shared" si="31"/>
        <v/>
      </c>
      <c r="AJ148" s="19" t="str">
        <f t="shared" si="32"/>
        <v/>
      </c>
      <c r="AK148" s="18" t="str">
        <f>IF(AND(A148&lt;&gt;"",F148="Selected"),COUNTIF($F$9:F148,"Selected"),"")</f>
        <v/>
      </c>
      <c r="AL148" s="18" t="str">
        <f>IF(A148="","",COUNTIF($B$9:B148,B148))</f>
        <v/>
      </c>
      <c r="AM148" s="18" t="str">
        <f>IF(A148="","",IF(COUNTIF(Jobs!$A$9:$A$258,B148)&lt;&gt;1,"Check JobID",IF(COUNTIF(Suppliers!$D$9:$D$508,D148)&lt;&gt;1,"Check contact",IF(AA148&lt;=0,"Currency / FX missing",IF(NOT(ISNUMBER(G148)),"Original price missing",IF(G148&lt;0,"Invalid original price",IF(AND(H148&lt;&gt;"",NOT(ISNUMBER(H148))),"Invalid final price",IF(AND(ISNUMBER(H148),H148&lt;0),"Invalid final price",IF(AND(F148="Selected",COUNTIFS($B$9:$B$258,B148,$E$9:$E$258,E148,$F$9:$F$258,"Selected")&gt;1),"Selected scope overlap",IF(AND(ISNUMBER(H148),H148&gt;G148),"Price increased",IF(LEN(H148&amp;"")=0,"Final price pending","OK")))))))))))</f>
        <v/>
      </c>
      <c r="AN148" s="19" t="str">
        <f t="shared" si="33"/>
        <v/>
      </c>
      <c r="AO148" s="18" t="str">
        <f>IF(A148="","",IFERROR(IF(INDEX(Suppliers!$A$9:$A$508,MATCH(D148,Suppliers!$D$9:$D$508,0))=C148,"OK","Contact / supplier mismatch"),"Contact missing"))</f>
        <v/>
      </c>
      <c r="AP148" s="18" t="str">
        <f>IF(OR(A148="",IFERROR(INDEX(Jobs!$P$9:$P$258,MATCH(B148,Jobs!$A$9:$A$258,0)),"")=""),"",HYPERLINK("#'"&amp;IFERROR(INDEX(Jobs!$P$9:$P$258,MATCH(B148,Jobs!$A$9:$A$258,0)),"")&amp;"'!A1","OPEN JOB"))</f>
        <v/>
      </c>
      <c r="AQ148" s="18"/>
      <c r="AR148" s="18"/>
      <c r="AS148" t="str">
        <f t="shared" si="34"/>
        <v/>
      </c>
      <c r="AT148" t="str">
        <f t="shared" si="35"/>
        <v/>
      </c>
    </row>
    <row r="149" spans="1:46" ht="40" customHeight="1" x14ac:dyDescent="0.35">
      <c r="A149" s="14"/>
      <c r="B149" s="37"/>
      <c r="C149" s="14"/>
      <c r="D149" s="15"/>
      <c r="E149" s="15"/>
      <c r="F149" s="15"/>
      <c r="G149" s="24"/>
      <c r="H149" s="24"/>
      <c r="I149" s="15"/>
      <c r="J149" s="17"/>
      <c r="K149" s="17"/>
      <c r="L149" s="17"/>
      <c r="M149" s="15"/>
      <c r="N149" s="15"/>
      <c r="O149" s="15"/>
      <c r="P149" s="15"/>
      <c r="Q149" s="15"/>
      <c r="R149" s="15"/>
      <c r="S149" s="14"/>
      <c r="T149" s="14"/>
      <c r="U149" s="14" t="str">
        <f>IF(A149="","",IFERROR(IF(LEN(INDEX(Suppliers!$B$9:$B$508,MATCH(C149,Suppliers!$A$9:$A$508,0))&amp;"")=0,"",INDEX(Suppliers!$B$9:$B$508,MATCH(C149,Suppliers!$A$9:$A$508,0))),""))</f>
        <v/>
      </c>
      <c r="V149" s="14" t="str">
        <f>IF(A149="","",IFERROR(IF(LEN(INDEX(Suppliers!$E$9:$E$508,MATCH(D149,Suppliers!$D$9:$D$508,0))&amp;"")=0,"",INDEX(Suppliers!$E$9:$E$508,MATCH(D149,Suppliers!$D$9:$D$508,0))),""))</f>
        <v/>
      </c>
      <c r="W149" s="14" t="str">
        <f>IF(A149="","",IFERROR(IF(LEN(INDEX(Suppliers!$F$9:$F$508,MATCH(D149,Suppliers!$D$9:$D$508,0))&amp;"")=0,"",INDEX(Suppliers!$F$9:$F$508,MATCH(D149,Suppliers!$D$9:$D$508,0))),""))</f>
        <v/>
      </c>
      <c r="X149" s="14" t="str">
        <f>IF(A149="","",IFERROR(IF(LEN(INDEX(Suppliers!$G$9:$G$508,MATCH(D149,Suppliers!$D$9:$D$508,0))&amp;"")=0,"",INDEX(Suppliers!$G$9:$G$508,MATCH(D149,Suppliers!$D$9:$D$508,0))),""))</f>
        <v/>
      </c>
      <c r="Y149" s="14" t="str">
        <f>IF(A149="","",IFERROR(INDEX(Jobs!$C$9:$C$258,MATCH(B149,Jobs!$A$9:$A$258,0)),""))</f>
        <v/>
      </c>
      <c r="Z149" s="14" t="str">
        <f>IF(A149="","",IFERROR(INDEX(Jobs!$B$9:$B$258,MATCH(B149,Jobs!$A$9:$A$258,0)),""))</f>
        <v/>
      </c>
      <c r="AA149" s="16" t="str">
        <f>IF(A149="","",IFERROR(VLOOKUP(I149,Lists!$E$9:$F$14,2,FALSE),0))</f>
        <v/>
      </c>
      <c r="AB149" s="16" t="str">
        <f t="shared" si="24"/>
        <v/>
      </c>
      <c r="AC149" s="16" t="str">
        <f t="shared" si="25"/>
        <v/>
      </c>
      <c r="AD149" s="16" t="str">
        <f t="shared" si="26"/>
        <v/>
      </c>
      <c r="AE149" s="16" t="str">
        <f t="shared" si="27"/>
        <v/>
      </c>
      <c r="AF149" s="16" t="str">
        <f t="shared" si="28"/>
        <v/>
      </c>
      <c r="AG149" s="26" t="str">
        <f t="shared" si="29"/>
        <v/>
      </c>
      <c r="AH149" s="16" t="str">
        <f t="shared" si="30"/>
        <v/>
      </c>
      <c r="AI149" s="16" t="str">
        <f t="shared" si="31"/>
        <v/>
      </c>
      <c r="AJ149" s="16" t="str">
        <f t="shared" si="32"/>
        <v/>
      </c>
      <c r="AK149" s="14" t="str">
        <f>IF(AND(A149&lt;&gt;"",F149="Selected"),COUNTIF($F$9:F149,"Selected"),"")</f>
        <v/>
      </c>
      <c r="AL149" s="14" t="str">
        <f>IF(A149="","",COUNTIF($B$9:B149,B149))</f>
        <v/>
      </c>
      <c r="AM149" s="14" t="str">
        <f>IF(A149="","",IF(COUNTIF(Jobs!$A$9:$A$258,B149)&lt;&gt;1,"Check JobID",IF(COUNTIF(Suppliers!$D$9:$D$508,D149)&lt;&gt;1,"Check contact",IF(AA149&lt;=0,"Currency / FX missing",IF(NOT(ISNUMBER(G149)),"Original price missing",IF(G149&lt;0,"Invalid original price",IF(AND(H149&lt;&gt;"",NOT(ISNUMBER(H149))),"Invalid final price",IF(AND(ISNUMBER(H149),H149&lt;0),"Invalid final price",IF(AND(F149="Selected",COUNTIFS($B$9:$B$258,B149,$E$9:$E$258,E149,$F$9:$F$258,"Selected")&gt;1),"Selected scope overlap",IF(AND(ISNUMBER(H149),H149&gt;G149),"Price increased",IF(LEN(H149&amp;"")=0,"Final price pending","OK")))))))))))</f>
        <v/>
      </c>
      <c r="AN149" s="16" t="str">
        <f t="shared" si="33"/>
        <v/>
      </c>
      <c r="AO149" s="14" t="str">
        <f>IF(A149="","",IFERROR(IF(INDEX(Suppliers!$A$9:$A$508,MATCH(D149,Suppliers!$D$9:$D$508,0))=C149,"OK","Contact / supplier mismatch"),"Contact missing"))</f>
        <v/>
      </c>
      <c r="AP149" s="14" t="str">
        <f>IF(OR(A149="",IFERROR(INDEX(Jobs!$P$9:$P$258,MATCH(B149,Jobs!$A$9:$A$258,0)),"")=""),"",HYPERLINK("#'"&amp;IFERROR(INDEX(Jobs!$P$9:$P$258,MATCH(B149,Jobs!$A$9:$A$258,0)),"")&amp;"'!A1","OPEN JOB"))</f>
        <v/>
      </c>
      <c r="AQ149" s="14"/>
      <c r="AR149" s="14"/>
      <c r="AS149" t="str">
        <f t="shared" si="34"/>
        <v/>
      </c>
      <c r="AT149" t="str">
        <f t="shared" si="35"/>
        <v/>
      </c>
    </row>
    <row r="150" spans="1:46" ht="40" customHeight="1" x14ac:dyDescent="0.35">
      <c r="A150" s="18"/>
      <c r="B150" s="37"/>
      <c r="C150" s="18"/>
      <c r="D150" s="15"/>
      <c r="E150" s="15"/>
      <c r="F150" s="15"/>
      <c r="G150" s="24"/>
      <c r="H150" s="24"/>
      <c r="I150" s="15"/>
      <c r="J150" s="17"/>
      <c r="K150" s="17"/>
      <c r="L150" s="17"/>
      <c r="M150" s="15"/>
      <c r="N150" s="15"/>
      <c r="O150" s="15"/>
      <c r="P150" s="15"/>
      <c r="Q150" s="15"/>
      <c r="R150" s="15"/>
      <c r="S150" s="18"/>
      <c r="T150" s="18"/>
      <c r="U150" s="18" t="str">
        <f>IF(A150="","",IFERROR(IF(LEN(INDEX(Suppliers!$B$9:$B$508,MATCH(C150,Suppliers!$A$9:$A$508,0))&amp;"")=0,"",INDEX(Suppliers!$B$9:$B$508,MATCH(C150,Suppliers!$A$9:$A$508,0))),""))</f>
        <v/>
      </c>
      <c r="V150" s="18" t="str">
        <f>IF(A150="","",IFERROR(IF(LEN(INDEX(Suppliers!$E$9:$E$508,MATCH(D150,Suppliers!$D$9:$D$508,0))&amp;"")=0,"",INDEX(Suppliers!$E$9:$E$508,MATCH(D150,Suppliers!$D$9:$D$508,0))),""))</f>
        <v/>
      </c>
      <c r="W150" s="18" t="str">
        <f>IF(A150="","",IFERROR(IF(LEN(INDEX(Suppliers!$F$9:$F$508,MATCH(D150,Suppliers!$D$9:$D$508,0))&amp;"")=0,"",INDEX(Suppliers!$F$9:$F$508,MATCH(D150,Suppliers!$D$9:$D$508,0))),""))</f>
        <v/>
      </c>
      <c r="X150" s="18" t="str">
        <f>IF(A150="","",IFERROR(IF(LEN(INDEX(Suppliers!$G$9:$G$508,MATCH(D150,Suppliers!$D$9:$D$508,0))&amp;"")=0,"",INDEX(Suppliers!$G$9:$G$508,MATCH(D150,Suppliers!$D$9:$D$508,0))),""))</f>
        <v/>
      </c>
      <c r="Y150" s="18" t="str">
        <f>IF(A150="","",IFERROR(INDEX(Jobs!$C$9:$C$258,MATCH(B150,Jobs!$A$9:$A$258,0)),""))</f>
        <v/>
      </c>
      <c r="Z150" s="18" t="str">
        <f>IF(A150="","",IFERROR(INDEX(Jobs!$B$9:$B$258,MATCH(B150,Jobs!$A$9:$A$258,0)),""))</f>
        <v/>
      </c>
      <c r="AA150" s="19" t="str">
        <f>IF(A150="","",IFERROR(VLOOKUP(I150,Lists!$E$9:$F$14,2,FALSE),0))</f>
        <v/>
      </c>
      <c r="AB150" s="19" t="str">
        <f t="shared" si="24"/>
        <v/>
      </c>
      <c r="AC150" s="19" t="str">
        <f t="shared" si="25"/>
        <v/>
      </c>
      <c r="AD150" s="19" t="str">
        <f t="shared" si="26"/>
        <v/>
      </c>
      <c r="AE150" s="19" t="str">
        <f t="shared" si="27"/>
        <v/>
      </c>
      <c r="AF150" s="19" t="str">
        <f t="shared" si="28"/>
        <v/>
      </c>
      <c r="AG150" s="27" t="str">
        <f t="shared" si="29"/>
        <v/>
      </c>
      <c r="AH150" s="19" t="str">
        <f t="shared" si="30"/>
        <v/>
      </c>
      <c r="AI150" s="19" t="str">
        <f t="shared" si="31"/>
        <v/>
      </c>
      <c r="AJ150" s="19" t="str">
        <f t="shared" si="32"/>
        <v/>
      </c>
      <c r="AK150" s="18" t="str">
        <f>IF(AND(A150&lt;&gt;"",F150="Selected"),COUNTIF($F$9:F150,"Selected"),"")</f>
        <v/>
      </c>
      <c r="AL150" s="18" t="str">
        <f>IF(A150="","",COUNTIF($B$9:B150,B150))</f>
        <v/>
      </c>
      <c r="AM150" s="18" t="str">
        <f>IF(A150="","",IF(COUNTIF(Jobs!$A$9:$A$258,B150)&lt;&gt;1,"Check JobID",IF(COUNTIF(Suppliers!$D$9:$D$508,D150)&lt;&gt;1,"Check contact",IF(AA150&lt;=0,"Currency / FX missing",IF(NOT(ISNUMBER(G150)),"Original price missing",IF(G150&lt;0,"Invalid original price",IF(AND(H150&lt;&gt;"",NOT(ISNUMBER(H150))),"Invalid final price",IF(AND(ISNUMBER(H150),H150&lt;0),"Invalid final price",IF(AND(F150="Selected",COUNTIFS($B$9:$B$258,B150,$E$9:$E$258,E150,$F$9:$F$258,"Selected")&gt;1),"Selected scope overlap",IF(AND(ISNUMBER(H150),H150&gt;G150),"Price increased",IF(LEN(H150&amp;"")=0,"Final price pending","OK")))))))))))</f>
        <v/>
      </c>
      <c r="AN150" s="19" t="str">
        <f t="shared" si="33"/>
        <v/>
      </c>
      <c r="AO150" s="18" t="str">
        <f>IF(A150="","",IFERROR(IF(INDEX(Suppliers!$A$9:$A$508,MATCH(D150,Suppliers!$D$9:$D$508,0))=C150,"OK","Contact / supplier mismatch"),"Contact missing"))</f>
        <v/>
      </c>
      <c r="AP150" s="18" t="str">
        <f>IF(OR(A150="",IFERROR(INDEX(Jobs!$P$9:$P$258,MATCH(B150,Jobs!$A$9:$A$258,0)),"")=""),"",HYPERLINK("#'"&amp;IFERROR(INDEX(Jobs!$P$9:$P$258,MATCH(B150,Jobs!$A$9:$A$258,0)),"")&amp;"'!A1","OPEN JOB"))</f>
        <v/>
      </c>
      <c r="AQ150" s="18"/>
      <c r="AR150" s="18"/>
      <c r="AS150" t="str">
        <f t="shared" si="34"/>
        <v/>
      </c>
      <c r="AT150" t="str">
        <f t="shared" si="35"/>
        <v/>
      </c>
    </row>
    <row r="151" spans="1:46" ht="40" customHeight="1" x14ac:dyDescent="0.35">
      <c r="A151" s="14"/>
      <c r="B151" s="37"/>
      <c r="C151" s="14"/>
      <c r="D151" s="15"/>
      <c r="E151" s="15"/>
      <c r="F151" s="15"/>
      <c r="G151" s="24"/>
      <c r="H151" s="24"/>
      <c r="I151" s="15"/>
      <c r="J151" s="17"/>
      <c r="K151" s="17"/>
      <c r="L151" s="17"/>
      <c r="M151" s="15"/>
      <c r="N151" s="15"/>
      <c r="O151" s="15"/>
      <c r="P151" s="15"/>
      <c r="Q151" s="15"/>
      <c r="R151" s="15"/>
      <c r="S151" s="14"/>
      <c r="T151" s="14"/>
      <c r="U151" s="14" t="str">
        <f>IF(A151="","",IFERROR(IF(LEN(INDEX(Suppliers!$B$9:$B$508,MATCH(C151,Suppliers!$A$9:$A$508,0))&amp;"")=0,"",INDEX(Suppliers!$B$9:$B$508,MATCH(C151,Suppliers!$A$9:$A$508,0))),""))</f>
        <v/>
      </c>
      <c r="V151" s="14" t="str">
        <f>IF(A151="","",IFERROR(IF(LEN(INDEX(Suppliers!$E$9:$E$508,MATCH(D151,Suppliers!$D$9:$D$508,0))&amp;"")=0,"",INDEX(Suppliers!$E$9:$E$508,MATCH(D151,Suppliers!$D$9:$D$508,0))),""))</f>
        <v/>
      </c>
      <c r="W151" s="14" t="str">
        <f>IF(A151="","",IFERROR(IF(LEN(INDEX(Suppliers!$F$9:$F$508,MATCH(D151,Suppliers!$D$9:$D$508,0))&amp;"")=0,"",INDEX(Suppliers!$F$9:$F$508,MATCH(D151,Suppliers!$D$9:$D$508,0))),""))</f>
        <v/>
      </c>
      <c r="X151" s="14" t="str">
        <f>IF(A151="","",IFERROR(IF(LEN(INDEX(Suppliers!$G$9:$G$508,MATCH(D151,Suppliers!$D$9:$D$508,0))&amp;"")=0,"",INDEX(Suppliers!$G$9:$G$508,MATCH(D151,Suppliers!$D$9:$D$508,0))),""))</f>
        <v/>
      </c>
      <c r="Y151" s="14" t="str">
        <f>IF(A151="","",IFERROR(INDEX(Jobs!$C$9:$C$258,MATCH(B151,Jobs!$A$9:$A$258,0)),""))</f>
        <v/>
      </c>
      <c r="Z151" s="14" t="str">
        <f>IF(A151="","",IFERROR(INDEX(Jobs!$B$9:$B$258,MATCH(B151,Jobs!$A$9:$A$258,0)),""))</f>
        <v/>
      </c>
      <c r="AA151" s="16" t="str">
        <f>IF(A151="","",IFERROR(VLOOKUP(I151,Lists!$E$9:$F$14,2,FALSE),0))</f>
        <v/>
      </c>
      <c r="AB151" s="16" t="str">
        <f t="shared" si="24"/>
        <v/>
      </c>
      <c r="AC151" s="16" t="str">
        <f t="shared" si="25"/>
        <v/>
      </c>
      <c r="AD151" s="16" t="str">
        <f t="shared" si="26"/>
        <v/>
      </c>
      <c r="AE151" s="16" t="str">
        <f t="shared" si="27"/>
        <v/>
      </c>
      <c r="AF151" s="16" t="str">
        <f t="shared" si="28"/>
        <v/>
      </c>
      <c r="AG151" s="26" t="str">
        <f t="shared" si="29"/>
        <v/>
      </c>
      <c r="AH151" s="16" t="str">
        <f t="shared" si="30"/>
        <v/>
      </c>
      <c r="AI151" s="16" t="str">
        <f t="shared" si="31"/>
        <v/>
      </c>
      <c r="AJ151" s="16" t="str">
        <f t="shared" si="32"/>
        <v/>
      </c>
      <c r="AK151" s="14" t="str">
        <f>IF(AND(A151&lt;&gt;"",F151="Selected"),COUNTIF($F$9:F151,"Selected"),"")</f>
        <v/>
      </c>
      <c r="AL151" s="14" t="str">
        <f>IF(A151="","",COUNTIF($B$9:B151,B151))</f>
        <v/>
      </c>
      <c r="AM151" s="14" t="str">
        <f>IF(A151="","",IF(COUNTIF(Jobs!$A$9:$A$258,B151)&lt;&gt;1,"Check JobID",IF(COUNTIF(Suppliers!$D$9:$D$508,D151)&lt;&gt;1,"Check contact",IF(AA151&lt;=0,"Currency / FX missing",IF(NOT(ISNUMBER(G151)),"Original price missing",IF(G151&lt;0,"Invalid original price",IF(AND(H151&lt;&gt;"",NOT(ISNUMBER(H151))),"Invalid final price",IF(AND(ISNUMBER(H151),H151&lt;0),"Invalid final price",IF(AND(F151="Selected",COUNTIFS($B$9:$B$258,B151,$E$9:$E$258,E151,$F$9:$F$258,"Selected")&gt;1),"Selected scope overlap",IF(AND(ISNUMBER(H151),H151&gt;G151),"Price increased",IF(LEN(H151&amp;"")=0,"Final price pending","OK")))))))))))</f>
        <v/>
      </c>
      <c r="AN151" s="16" t="str">
        <f t="shared" si="33"/>
        <v/>
      </c>
      <c r="AO151" s="14" t="str">
        <f>IF(A151="","",IFERROR(IF(INDEX(Suppliers!$A$9:$A$508,MATCH(D151,Suppliers!$D$9:$D$508,0))=C151,"OK","Contact / supplier mismatch"),"Contact missing"))</f>
        <v/>
      </c>
      <c r="AP151" s="14" t="str">
        <f>IF(OR(A151="",IFERROR(INDEX(Jobs!$P$9:$P$258,MATCH(B151,Jobs!$A$9:$A$258,0)),"")=""),"",HYPERLINK("#'"&amp;IFERROR(INDEX(Jobs!$P$9:$P$258,MATCH(B151,Jobs!$A$9:$A$258,0)),"")&amp;"'!A1","OPEN JOB"))</f>
        <v/>
      </c>
      <c r="AQ151" s="14"/>
      <c r="AR151" s="14"/>
      <c r="AS151" t="str">
        <f t="shared" si="34"/>
        <v/>
      </c>
      <c r="AT151" t="str">
        <f t="shared" si="35"/>
        <v/>
      </c>
    </row>
    <row r="152" spans="1:46" ht="40" customHeight="1" x14ac:dyDescent="0.35">
      <c r="A152" s="18"/>
      <c r="B152" s="37"/>
      <c r="C152" s="18"/>
      <c r="D152" s="15"/>
      <c r="E152" s="15"/>
      <c r="F152" s="15"/>
      <c r="G152" s="24"/>
      <c r="H152" s="24"/>
      <c r="I152" s="15"/>
      <c r="J152" s="17"/>
      <c r="K152" s="17"/>
      <c r="L152" s="17"/>
      <c r="M152" s="15"/>
      <c r="N152" s="15"/>
      <c r="O152" s="15"/>
      <c r="P152" s="15"/>
      <c r="Q152" s="15"/>
      <c r="R152" s="15"/>
      <c r="S152" s="18"/>
      <c r="T152" s="18"/>
      <c r="U152" s="18" t="str">
        <f>IF(A152="","",IFERROR(IF(LEN(INDEX(Suppliers!$B$9:$B$508,MATCH(C152,Suppliers!$A$9:$A$508,0))&amp;"")=0,"",INDEX(Suppliers!$B$9:$B$508,MATCH(C152,Suppliers!$A$9:$A$508,0))),""))</f>
        <v/>
      </c>
      <c r="V152" s="18" t="str">
        <f>IF(A152="","",IFERROR(IF(LEN(INDEX(Suppliers!$E$9:$E$508,MATCH(D152,Suppliers!$D$9:$D$508,0))&amp;"")=0,"",INDEX(Suppliers!$E$9:$E$508,MATCH(D152,Suppliers!$D$9:$D$508,0))),""))</f>
        <v/>
      </c>
      <c r="W152" s="18" t="str">
        <f>IF(A152="","",IFERROR(IF(LEN(INDEX(Suppliers!$F$9:$F$508,MATCH(D152,Suppliers!$D$9:$D$508,0))&amp;"")=0,"",INDEX(Suppliers!$F$9:$F$508,MATCH(D152,Suppliers!$D$9:$D$508,0))),""))</f>
        <v/>
      </c>
      <c r="X152" s="18" t="str">
        <f>IF(A152="","",IFERROR(IF(LEN(INDEX(Suppliers!$G$9:$G$508,MATCH(D152,Suppliers!$D$9:$D$508,0))&amp;"")=0,"",INDEX(Suppliers!$G$9:$G$508,MATCH(D152,Suppliers!$D$9:$D$508,0))),""))</f>
        <v/>
      </c>
      <c r="Y152" s="18" t="str">
        <f>IF(A152="","",IFERROR(INDEX(Jobs!$C$9:$C$258,MATCH(B152,Jobs!$A$9:$A$258,0)),""))</f>
        <v/>
      </c>
      <c r="Z152" s="18" t="str">
        <f>IF(A152="","",IFERROR(INDEX(Jobs!$B$9:$B$258,MATCH(B152,Jobs!$A$9:$A$258,0)),""))</f>
        <v/>
      </c>
      <c r="AA152" s="19" t="str">
        <f>IF(A152="","",IFERROR(VLOOKUP(I152,Lists!$E$9:$F$14,2,FALSE),0))</f>
        <v/>
      </c>
      <c r="AB152" s="19" t="str">
        <f t="shared" si="24"/>
        <v/>
      </c>
      <c r="AC152" s="19" t="str">
        <f t="shared" si="25"/>
        <v/>
      </c>
      <c r="AD152" s="19" t="str">
        <f t="shared" si="26"/>
        <v/>
      </c>
      <c r="AE152" s="19" t="str">
        <f t="shared" si="27"/>
        <v/>
      </c>
      <c r="AF152" s="19" t="str">
        <f t="shared" si="28"/>
        <v/>
      </c>
      <c r="AG152" s="27" t="str">
        <f t="shared" si="29"/>
        <v/>
      </c>
      <c r="AH152" s="19" t="str">
        <f t="shared" si="30"/>
        <v/>
      </c>
      <c r="AI152" s="19" t="str">
        <f t="shared" si="31"/>
        <v/>
      </c>
      <c r="AJ152" s="19" t="str">
        <f t="shared" si="32"/>
        <v/>
      </c>
      <c r="AK152" s="18" t="str">
        <f>IF(AND(A152&lt;&gt;"",F152="Selected"),COUNTIF($F$9:F152,"Selected"),"")</f>
        <v/>
      </c>
      <c r="AL152" s="18" t="str">
        <f>IF(A152="","",COUNTIF($B$9:B152,B152))</f>
        <v/>
      </c>
      <c r="AM152" s="18" t="str">
        <f>IF(A152="","",IF(COUNTIF(Jobs!$A$9:$A$258,B152)&lt;&gt;1,"Check JobID",IF(COUNTIF(Suppliers!$D$9:$D$508,D152)&lt;&gt;1,"Check contact",IF(AA152&lt;=0,"Currency / FX missing",IF(NOT(ISNUMBER(G152)),"Original price missing",IF(G152&lt;0,"Invalid original price",IF(AND(H152&lt;&gt;"",NOT(ISNUMBER(H152))),"Invalid final price",IF(AND(ISNUMBER(H152),H152&lt;0),"Invalid final price",IF(AND(F152="Selected",COUNTIFS($B$9:$B$258,B152,$E$9:$E$258,E152,$F$9:$F$258,"Selected")&gt;1),"Selected scope overlap",IF(AND(ISNUMBER(H152),H152&gt;G152),"Price increased",IF(LEN(H152&amp;"")=0,"Final price pending","OK")))))))))))</f>
        <v/>
      </c>
      <c r="AN152" s="19" t="str">
        <f t="shared" si="33"/>
        <v/>
      </c>
      <c r="AO152" s="18" t="str">
        <f>IF(A152="","",IFERROR(IF(INDEX(Suppliers!$A$9:$A$508,MATCH(D152,Suppliers!$D$9:$D$508,0))=C152,"OK","Contact / supplier mismatch"),"Contact missing"))</f>
        <v/>
      </c>
      <c r="AP152" s="18" t="str">
        <f>IF(OR(A152="",IFERROR(INDEX(Jobs!$P$9:$P$258,MATCH(B152,Jobs!$A$9:$A$258,0)),"")=""),"",HYPERLINK("#'"&amp;IFERROR(INDEX(Jobs!$P$9:$P$258,MATCH(B152,Jobs!$A$9:$A$258,0)),"")&amp;"'!A1","OPEN JOB"))</f>
        <v/>
      </c>
      <c r="AQ152" s="18"/>
      <c r="AR152" s="18"/>
      <c r="AS152" t="str">
        <f t="shared" si="34"/>
        <v/>
      </c>
      <c r="AT152" t="str">
        <f t="shared" si="35"/>
        <v/>
      </c>
    </row>
    <row r="153" spans="1:46" ht="40" customHeight="1" x14ac:dyDescent="0.35">
      <c r="A153" s="14"/>
      <c r="B153" s="37"/>
      <c r="C153" s="14"/>
      <c r="D153" s="15"/>
      <c r="E153" s="15"/>
      <c r="F153" s="15"/>
      <c r="G153" s="24"/>
      <c r="H153" s="24"/>
      <c r="I153" s="15"/>
      <c r="J153" s="17"/>
      <c r="K153" s="17"/>
      <c r="L153" s="17"/>
      <c r="M153" s="15"/>
      <c r="N153" s="15"/>
      <c r="O153" s="15"/>
      <c r="P153" s="15"/>
      <c r="Q153" s="15"/>
      <c r="R153" s="15"/>
      <c r="S153" s="14"/>
      <c r="T153" s="14"/>
      <c r="U153" s="14" t="str">
        <f>IF(A153="","",IFERROR(IF(LEN(INDEX(Suppliers!$B$9:$B$508,MATCH(C153,Suppliers!$A$9:$A$508,0))&amp;"")=0,"",INDEX(Suppliers!$B$9:$B$508,MATCH(C153,Suppliers!$A$9:$A$508,0))),""))</f>
        <v/>
      </c>
      <c r="V153" s="14" t="str">
        <f>IF(A153="","",IFERROR(IF(LEN(INDEX(Suppliers!$E$9:$E$508,MATCH(D153,Suppliers!$D$9:$D$508,0))&amp;"")=0,"",INDEX(Suppliers!$E$9:$E$508,MATCH(D153,Suppliers!$D$9:$D$508,0))),""))</f>
        <v/>
      </c>
      <c r="W153" s="14" t="str">
        <f>IF(A153="","",IFERROR(IF(LEN(INDEX(Suppliers!$F$9:$F$508,MATCH(D153,Suppliers!$D$9:$D$508,0))&amp;"")=0,"",INDEX(Suppliers!$F$9:$F$508,MATCH(D153,Suppliers!$D$9:$D$508,0))),""))</f>
        <v/>
      </c>
      <c r="X153" s="14" t="str">
        <f>IF(A153="","",IFERROR(IF(LEN(INDEX(Suppliers!$G$9:$G$508,MATCH(D153,Suppliers!$D$9:$D$508,0))&amp;"")=0,"",INDEX(Suppliers!$G$9:$G$508,MATCH(D153,Suppliers!$D$9:$D$508,0))),""))</f>
        <v/>
      </c>
      <c r="Y153" s="14" t="str">
        <f>IF(A153="","",IFERROR(INDEX(Jobs!$C$9:$C$258,MATCH(B153,Jobs!$A$9:$A$258,0)),""))</f>
        <v/>
      </c>
      <c r="Z153" s="14" t="str">
        <f>IF(A153="","",IFERROR(INDEX(Jobs!$B$9:$B$258,MATCH(B153,Jobs!$A$9:$A$258,0)),""))</f>
        <v/>
      </c>
      <c r="AA153" s="16" t="str">
        <f>IF(A153="","",IFERROR(VLOOKUP(I153,Lists!$E$9:$F$14,2,FALSE),0))</f>
        <v/>
      </c>
      <c r="AB153" s="16" t="str">
        <f t="shared" si="24"/>
        <v/>
      </c>
      <c r="AC153" s="16" t="str">
        <f t="shared" si="25"/>
        <v/>
      </c>
      <c r="AD153" s="16" t="str">
        <f t="shared" si="26"/>
        <v/>
      </c>
      <c r="AE153" s="16" t="str">
        <f t="shared" si="27"/>
        <v/>
      </c>
      <c r="AF153" s="16" t="str">
        <f t="shared" si="28"/>
        <v/>
      </c>
      <c r="AG153" s="26" t="str">
        <f t="shared" si="29"/>
        <v/>
      </c>
      <c r="AH153" s="16" t="str">
        <f t="shared" si="30"/>
        <v/>
      </c>
      <c r="AI153" s="16" t="str">
        <f t="shared" si="31"/>
        <v/>
      </c>
      <c r="AJ153" s="16" t="str">
        <f t="shared" si="32"/>
        <v/>
      </c>
      <c r="AK153" s="14" t="str">
        <f>IF(AND(A153&lt;&gt;"",F153="Selected"),COUNTIF($F$9:F153,"Selected"),"")</f>
        <v/>
      </c>
      <c r="AL153" s="14" t="str">
        <f>IF(A153="","",COUNTIF($B$9:B153,B153))</f>
        <v/>
      </c>
      <c r="AM153" s="14" t="str">
        <f>IF(A153="","",IF(COUNTIF(Jobs!$A$9:$A$258,B153)&lt;&gt;1,"Check JobID",IF(COUNTIF(Suppliers!$D$9:$D$508,D153)&lt;&gt;1,"Check contact",IF(AA153&lt;=0,"Currency / FX missing",IF(NOT(ISNUMBER(G153)),"Original price missing",IF(G153&lt;0,"Invalid original price",IF(AND(H153&lt;&gt;"",NOT(ISNUMBER(H153))),"Invalid final price",IF(AND(ISNUMBER(H153),H153&lt;0),"Invalid final price",IF(AND(F153="Selected",COUNTIFS($B$9:$B$258,B153,$E$9:$E$258,E153,$F$9:$F$258,"Selected")&gt;1),"Selected scope overlap",IF(AND(ISNUMBER(H153),H153&gt;G153),"Price increased",IF(LEN(H153&amp;"")=0,"Final price pending","OK")))))))))))</f>
        <v/>
      </c>
      <c r="AN153" s="16" t="str">
        <f t="shared" si="33"/>
        <v/>
      </c>
      <c r="AO153" s="14" t="str">
        <f>IF(A153="","",IFERROR(IF(INDEX(Suppliers!$A$9:$A$508,MATCH(D153,Suppliers!$D$9:$D$508,0))=C153,"OK","Contact / supplier mismatch"),"Contact missing"))</f>
        <v/>
      </c>
      <c r="AP153" s="14" t="str">
        <f>IF(OR(A153="",IFERROR(INDEX(Jobs!$P$9:$P$258,MATCH(B153,Jobs!$A$9:$A$258,0)),"")=""),"",HYPERLINK("#'"&amp;IFERROR(INDEX(Jobs!$P$9:$P$258,MATCH(B153,Jobs!$A$9:$A$258,0)),"")&amp;"'!A1","OPEN JOB"))</f>
        <v/>
      </c>
      <c r="AQ153" s="14"/>
      <c r="AR153" s="14"/>
      <c r="AS153" t="str">
        <f t="shared" si="34"/>
        <v/>
      </c>
      <c r="AT153" t="str">
        <f t="shared" si="35"/>
        <v/>
      </c>
    </row>
    <row r="154" spans="1:46" ht="40" customHeight="1" x14ac:dyDescent="0.35">
      <c r="A154" s="18"/>
      <c r="B154" s="37"/>
      <c r="C154" s="18"/>
      <c r="D154" s="15"/>
      <c r="E154" s="15"/>
      <c r="F154" s="15"/>
      <c r="G154" s="24"/>
      <c r="H154" s="24"/>
      <c r="I154" s="15"/>
      <c r="J154" s="17"/>
      <c r="K154" s="17"/>
      <c r="L154" s="17"/>
      <c r="M154" s="15"/>
      <c r="N154" s="15"/>
      <c r="O154" s="15"/>
      <c r="P154" s="15"/>
      <c r="Q154" s="15"/>
      <c r="R154" s="15"/>
      <c r="S154" s="18"/>
      <c r="T154" s="18"/>
      <c r="U154" s="18" t="str">
        <f>IF(A154="","",IFERROR(IF(LEN(INDEX(Suppliers!$B$9:$B$508,MATCH(C154,Suppliers!$A$9:$A$508,0))&amp;"")=0,"",INDEX(Suppliers!$B$9:$B$508,MATCH(C154,Suppliers!$A$9:$A$508,0))),""))</f>
        <v/>
      </c>
      <c r="V154" s="18" t="str">
        <f>IF(A154="","",IFERROR(IF(LEN(INDEX(Suppliers!$E$9:$E$508,MATCH(D154,Suppliers!$D$9:$D$508,0))&amp;"")=0,"",INDEX(Suppliers!$E$9:$E$508,MATCH(D154,Suppliers!$D$9:$D$508,0))),""))</f>
        <v/>
      </c>
      <c r="W154" s="18" t="str">
        <f>IF(A154="","",IFERROR(IF(LEN(INDEX(Suppliers!$F$9:$F$508,MATCH(D154,Suppliers!$D$9:$D$508,0))&amp;"")=0,"",INDEX(Suppliers!$F$9:$F$508,MATCH(D154,Suppliers!$D$9:$D$508,0))),""))</f>
        <v/>
      </c>
      <c r="X154" s="18" t="str">
        <f>IF(A154="","",IFERROR(IF(LEN(INDEX(Suppliers!$G$9:$G$508,MATCH(D154,Suppliers!$D$9:$D$508,0))&amp;"")=0,"",INDEX(Suppliers!$G$9:$G$508,MATCH(D154,Suppliers!$D$9:$D$508,0))),""))</f>
        <v/>
      </c>
      <c r="Y154" s="18" t="str">
        <f>IF(A154="","",IFERROR(INDEX(Jobs!$C$9:$C$258,MATCH(B154,Jobs!$A$9:$A$258,0)),""))</f>
        <v/>
      </c>
      <c r="Z154" s="18" t="str">
        <f>IF(A154="","",IFERROR(INDEX(Jobs!$B$9:$B$258,MATCH(B154,Jobs!$A$9:$A$258,0)),""))</f>
        <v/>
      </c>
      <c r="AA154" s="19" t="str">
        <f>IF(A154="","",IFERROR(VLOOKUP(I154,Lists!$E$9:$F$14,2,FALSE),0))</f>
        <v/>
      </c>
      <c r="AB154" s="19" t="str">
        <f t="shared" si="24"/>
        <v/>
      </c>
      <c r="AC154" s="19" t="str">
        <f t="shared" si="25"/>
        <v/>
      </c>
      <c r="AD154" s="19" t="str">
        <f t="shared" si="26"/>
        <v/>
      </c>
      <c r="AE154" s="19" t="str">
        <f t="shared" si="27"/>
        <v/>
      </c>
      <c r="AF154" s="19" t="str">
        <f t="shared" si="28"/>
        <v/>
      </c>
      <c r="AG154" s="27" t="str">
        <f t="shared" si="29"/>
        <v/>
      </c>
      <c r="AH154" s="19" t="str">
        <f t="shared" si="30"/>
        <v/>
      </c>
      <c r="AI154" s="19" t="str">
        <f t="shared" si="31"/>
        <v/>
      </c>
      <c r="AJ154" s="19" t="str">
        <f t="shared" si="32"/>
        <v/>
      </c>
      <c r="AK154" s="18" t="str">
        <f>IF(AND(A154&lt;&gt;"",F154="Selected"),COUNTIF($F$9:F154,"Selected"),"")</f>
        <v/>
      </c>
      <c r="AL154" s="18" t="str">
        <f>IF(A154="","",COUNTIF($B$9:B154,B154))</f>
        <v/>
      </c>
      <c r="AM154" s="18" t="str">
        <f>IF(A154="","",IF(COUNTIF(Jobs!$A$9:$A$258,B154)&lt;&gt;1,"Check JobID",IF(COUNTIF(Suppliers!$D$9:$D$508,D154)&lt;&gt;1,"Check contact",IF(AA154&lt;=0,"Currency / FX missing",IF(NOT(ISNUMBER(G154)),"Original price missing",IF(G154&lt;0,"Invalid original price",IF(AND(H154&lt;&gt;"",NOT(ISNUMBER(H154))),"Invalid final price",IF(AND(ISNUMBER(H154),H154&lt;0),"Invalid final price",IF(AND(F154="Selected",COUNTIFS($B$9:$B$258,B154,$E$9:$E$258,E154,$F$9:$F$258,"Selected")&gt;1),"Selected scope overlap",IF(AND(ISNUMBER(H154),H154&gt;G154),"Price increased",IF(LEN(H154&amp;"")=0,"Final price pending","OK")))))))))))</f>
        <v/>
      </c>
      <c r="AN154" s="19" t="str">
        <f t="shared" si="33"/>
        <v/>
      </c>
      <c r="AO154" s="18" t="str">
        <f>IF(A154="","",IFERROR(IF(INDEX(Suppliers!$A$9:$A$508,MATCH(D154,Suppliers!$D$9:$D$508,0))=C154,"OK","Contact / supplier mismatch"),"Contact missing"))</f>
        <v/>
      </c>
      <c r="AP154" s="18" t="str">
        <f>IF(OR(A154="",IFERROR(INDEX(Jobs!$P$9:$P$258,MATCH(B154,Jobs!$A$9:$A$258,0)),"")=""),"",HYPERLINK("#'"&amp;IFERROR(INDEX(Jobs!$P$9:$P$258,MATCH(B154,Jobs!$A$9:$A$258,0)),"")&amp;"'!A1","OPEN JOB"))</f>
        <v/>
      </c>
      <c r="AQ154" s="18"/>
      <c r="AR154" s="18"/>
      <c r="AS154" t="str">
        <f t="shared" si="34"/>
        <v/>
      </c>
      <c r="AT154" t="str">
        <f t="shared" si="35"/>
        <v/>
      </c>
    </row>
    <row r="155" spans="1:46" ht="40" customHeight="1" x14ac:dyDescent="0.35">
      <c r="A155" s="14"/>
      <c r="B155" s="37"/>
      <c r="C155" s="14"/>
      <c r="D155" s="15"/>
      <c r="E155" s="15"/>
      <c r="F155" s="15"/>
      <c r="G155" s="24"/>
      <c r="H155" s="24"/>
      <c r="I155" s="15"/>
      <c r="J155" s="17"/>
      <c r="K155" s="17"/>
      <c r="L155" s="17"/>
      <c r="M155" s="15"/>
      <c r="N155" s="15"/>
      <c r="O155" s="15"/>
      <c r="P155" s="15"/>
      <c r="Q155" s="15"/>
      <c r="R155" s="15"/>
      <c r="S155" s="14"/>
      <c r="T155" s="14"/>
      <c r="U155" s="14" t="str">
        <f>IF(A155="","",IFERROR(IF(LEN(INDEX(Suppliers!$B$9:$B$508,MATCH(C155,Suppliers!$A$9:$A$508,0))&amp;"")=0,"",INDEX(Suppliers!$B$9:$B$508,MATCH(C155,Suppliers!$A$9:$A$508,0))),""))</f>
        <v/>
      </c>
      <c r="V155" s="14" t="str">
        <f>IF(A155="","",IFERROR(IF(LEN(INDEX(Suppliers!$E$9:$E$508,MATCH(D155,Suppliers!$D$9:$D$508,0))&amp;"")=0,"",INDEX(Suppliers!$E$9:$E$508,MATCH(D155,Suppliers!$D$9:$D$508,0))),""))</f>
        <v/>
      </c>
      <c r="W155" s="14" t="str">
        <f>IF(A155="","",IFERROR(IF(LEN(INDEX(Suppliers!$F$9:$F$508,MATCH(D155,Suppliers!$D$9:$D$508,0))&amp;"")=0,"",INDEX(Suppliers!$F$9:$F$508,MATCH(D155,Suppliers!$D$9:$D$508,0))),""))</f>
        <v/>
      </c>
      <c r="X155" s="14" t="str">
        <f>IF(A155="","",IFERROR(IF(LEN(INDEX(Suppliers!$G$9:$G$508,MATCH(D155,Suppliers!$D$9:$D$508,0))&amp;"")=0,"",INDEX(Suppliers!$G$9:$G$508,MATCH(D155,Suppliers!$D$9:$D$508,0))),""))</f>
        <v/>
      </c>
      <c r="Y155" s="14" t="str">
        <f>IF(A155="","",IFERROR(INDEX(Jobs!$C$9:$C$258,MATCH(B155,Jobs!$A$9:$A$258,0)),""))</f>
        <v/>
      </c>
      <c r="Z155" s="14" t="str">
        <f>IF(A155="","",IFERROR(INDEX(Jobs!$B$9:$B$258,MATCH(B155,Jobs!$A$9:$A$258,0)),""))</f>
        <v/>
      </c>
      <c r="AA155" s="16" t="str">
        <f>IF(A155="","",IFERROR(VLOOKUP(I155,Lists!$E$9:$F$14,2,FALSE),0))</f>
        <v/>
      </c>
      <c r="AB155" s="16" t="str">
        <f t="shared" si="24"/>
        <v/>
      </c>
      <c r="AC155" s="16" t="str">
        <f t="shared" si="25"/>
        <v/>
      </c>
      <c r="AD155" s="16" t="str">
        <f t="shared" si="26"/>
        <v/>
      </c>
      <c r="AE155" s="16" t="str">
        <f t="shared" si="27"/>
        <v/>
      </c>
      <c r="AF155" s="16" t="str">
        <f t="shared" si="28"/>
        <v/>
      </c>
      <c r="AG155" s="26" t="str">
        <f t="shared" si="29"/>
        <v/>
      </c>
      <c r="AH155" s="16" t="str">
        <f t="shared" si="30"/>
        <v/>
      </c>
      <c r="AI155" s="16" t="str">
        <f t="shared" si="31"/>
        <v/>
      </c>
      <c r="AJ155" s="16" t="str">
        <f t="shared" si="32"/>
        <v/>
      </c>
      <c r="AK155" s="14" t="str">
        <f>IF(AND(A155&lt;&gt;"",F155="Selected"),COUNTIF($F$9:F155,"Selected"),"")</f>
        <v/>
      </c>
      <c r="AL155" s="14" t="str">
        <f>IF(A155="","",COUNTIF($B$9:B155,B155))</f>
        <v/>
      </c>
      <c r="AM155" s="14" t="str">
        <f>IF(A155="","",IF(COUNTIF(Jobs!$A$9:$A$258,B155)&lt;&gt;1,"Check JobID",IF(COUNTIF(Suppliers!$D$9:$D$508,D155)&lt;&gt;1,"Check contact",IF(AA155&lt;=0,"Currency / FX missing",IF(NOT(ISNUMBER(G155)),"Original price missing",IF(G155&lt;0,"Invalid original price",IF(AND(H155&lt;&gt;"",NOT(ISNUMBER(H155))),"Invalid final price",IF(AND(ISNUMBER(H155),H155&lt;0),"Invalid final price",IF(AND(F155="Selected",COUNTIFS($B$9:$B$258,B155,$E$9:$E$258,E155,$F$9:$F$258,"Selected")&gt;1),"Selected scope overlap",IF(AND(ISNUMBER(H155),H155&gt;G155),"Price increased",IF(LEN(H155&amp;"")=0,"Final price pending","OK")))))))))))</f>
        <v/>
      </c>
      <c r="AN155" s="16" t="str">
        <f t="shared" si="33"/>
        <v/>
      </c>
      <c r="AO155" s="14" t="str">
        <f>IF(A155="","",IFERROR(IF(INDEX(Suppliers!$A$9:$A$508,MATCH(D155,Suppliers!$D$9:$D$508,0))=C155,"OK","Contact / supplier mismatch"),"Contact missing"))</f>
        <v/>
      </c>
      <c r="AP155" s="14" t="str">
        <f>IF(OR(A155="",IFERROR(INDEX(Jobs!$P$9:$P$258,MATCH(B155,Jobs!$A$9:$A$258,0)),"")=""),"",HYPERLINK("#'"&amp;IFERROR(INDEX(Jobs!$P$9:$P$258,MATCH(B155,Jobs!$A$9:$A$258,0)),"")&amp;"'!A1","OPEN JOB"))</f>
        <v/>
      </c>
      <c r="AQ155" s="14"/>
      <c r="AR155" s="14"/>
      <c r="AS155" t="str">
        <f t="shared" si="34"/>
        <v/>
      </c>
      <c r="AT155" t="str">
        <f t="shared" si="35"/>
        <v/>
      </c>
    </row>
    <row r="156" spans="1:46" ht="40" customHeight="1" x14ac:dyDescent="0.35">
      <c r="A156" s="18"/>
      <c r="B156" s="37"/>
      <c r="C156" s="18"/>
      <c r="D156" s="15"/>
      <c r="E156" s="15"/>
      <c r="F156" s="15"/>
      <c r="G156" s="24"/>
      <c r="H156" s="24"/>
      <c r="I156" s="15"/>
      <c r="J156" s="17"/>
      <c r="K156" s="17"/>
      <c r="L156" s="17"/>
      <c r="M156" s="15"/>
      <c r="N156" s="15"/>
      <c r="O156" s="15"/>
      <c r="P156" s="15"/>
      <c r="Q156" s="15"/>
      <c r="R156" s="15"/>
      <c r="S156" s="18"/>
      <c r="T156" s="18"/>
      <c r="U156" s="18" t="str">
        <f>IF(A156="","",IFERROR(IF(LEN(INDEX(Suppliers!$B$9:$B$508,MATCH(C156,Suppliers!$A$9:$A$508,0))&amp;"")=0,"",INDEX(Suppliers!$B$9:$B$508,MATCH(C156,Suppliers!$A$9:$A$508,0))),""))</f>
        <v/>
      </c>
      <c r="V156" s="18" t="str">
        <f>IF(A156="","",IFERROR(IF(LEN(INDEX(Suppliers!$E$9:$E$508,MATCH(D156,Suppliers!$D$9:$D$508,0))&amp;"")=0,"",INDEX(Suppliers!$E$9:$E$508,MATCH(D156,Suppliers!$D$9:$D$508,0))),""))</f>
        <v/>
      </c>
      <c r="W156" s="18" t="str">
        <f>IF(A156="","",IFERROR(IF(LEN(INDEX(Suppliers!$F$9:$F$508,MATCH(D156,Suppliers!$D$9:$D$508,0))&amp;"")=0,"",INDEX(Suppliers!$F$9:$F$508,MATCH(D156,Suppliers!$D$9:$D$508,0))),""))</f>
        <v/>
      </c>
      <c r="X156" s="18" t="str">
        <f>IF(A156="","",IFERROR(IF(LEN(INDEX(Suppliers!$G$9:$G$508,MATCH(D156,Suppliers!$D$9:$D$508,0))&amp;"")=0,"",INDEX(Suppliers!$G$9:$G$508,MATCH(D156,Suppliers!$D$9:$D$508,0))),""))</f>
        <v/>
      </c>
      <c r="Y156" s="18" t="str">
        <f>IF(A156="","",IFERROR(INDEX(Jobs!$C$9:$C$258,MATCH(B156,Jobs!$A$9:$A$258,0)),""))</f>
        <v/>
      </c>
      <c r="Z156" s="18" t="str">
        <f>IF(A156="","",IFERROR(INDEX(Jobs!$B$9:$B$258,MATCH(B156,Jobs!$A$9:$A$258,0)),""))</f>
        <v/>
      </c>
      <c r="AA156" s="19" t="str">
        <f>IF(A156="","",IFERROR(VLOOKUP(I156,Lists!$E$9:$F$14,2,FALSE),0))</f>
        <v/>
      </c>
      <c r="AB156" s="19" t="str">
        <f t="shared" si="24"/>
        <v/>
      </c>
      <c r="AC156" s="19" t="str">
        <f t="shared" si="25"/>
        <v/>
      </c>
      <c r="AD156" s="19" t="str">
        <f t="shared" si="26"/>
        <v/>
      </c>
      <c r="AE156" s="19" t="str">
        <f t="shared" si="27"/>
        <v/>
      </c>
      <c r="AF156" s="19" t="str">
        <f t="shared" si="28"/>
        <v/>
      </c>
      <c r="AG156" s="27" t="str">
        <f t="shared" si="29"/>
        <v/>
      </c>
      <c r="AH156" s="19" t="str">
        <f t="shared" si="30"/>
        <v/>
      </c>
      <c r="AI156" s="19" t="str">
        <f t="shared" si="31"/>
        <v/>
      </c>
      <c r="AJ156" s="19" t="str">
        <f t="shared" si="32"/>
        <v/>
      </c>
      <c r="AK156" s="18" t="str">
        <f>IF(AND(A156&lt;&gt;"",F156="Selected"),COUNTIF($F$9:F156,"Selected"),"")</f>
        <v/>
      </c>
      <c r="AL156" s="18" t="str">
        <f>IF(A156="","",COUNTIF($B$9:B156,B156))</f>
        <v/>
      </c>
      <c r="AM156" s="18" t="str">
        <f>IF(A156="","",IF(COUNTIF(Jobs!$A$9:$A$258,B156)&lt;&gt;1,"Check JobID",IF(COUNTIF(Suppliers!$D$9:$D$508,D156)&lt;&gt;1,"Check contact",IF(AA156&lt;=0,"Currency / FX missing",IF(NOT(ISNUMBER(G156)),"Original price missing",IF(G156&lt;0,"Invalid original price",IF(AND(H156&lt;&gt;"",NOT(ISNUMBER(H156))),"Invalid final price",IF(AND(ISNUMBER(H156),H156&lt;0),"Invalid final price",IF(AND(F156="Selected",COUNTIFS($B$9:$B$258,B156,$E$9:$E$258,E156,$F$9:$F$258,"Selected")&gt;1),"Selected scope overlap",IF(AND(ISNUMBER(H156),H156&gt;G156),"Price increased",IF(LEN(H156&amp;"")=0,"Final price pending","OK")))))))))))</f>
        <v/>
      </c>
      <c r="AN156" s="19" t="str">
        <f t="shared" si="33"/>
        <v/>
      </c>
      <c r="AO156" s="18" t="str">
        <f>IF(A156="","",IFERROR(IF(INDEX(Suppliers!$A$9:$A$508,MATCH(D156,Suppliers!$D$9:$D$508,0))=C156,"OK","Contact / supplier mismatch"),"Contact missing"))</f>
        <v/>
      </c>
      <c r="AP156" s="18" t="str">
        <f>IF(OR(A156="",IFERROR(INDEX(Jobs!$P$9:$P$258,MATCH(B156,Jobs!$A$9:$A$258,0)),"")=""),"",HYPERLINK("#'"&amp;IFERROR(INDEX(Jobs!$P$9:$P$258,MATCH(B156,Jobs!$A$9:$A$258,0)),"")&amp;"'!A1","OPEN JOB"))</f>
        <v/>
      </c>
      <c r="AQ156" s="18"/>
      <c r="AR156" s="18"/>
      <c r="AS156" t="str">
        <f t="shared" si="34"/>
        <v/>
      </c>
      <c r="AT156" t="str">
        <f t="shared" si="35"/>
        <v/>
      </c>
    </row>
    <row r="157" spans="1:46" ht="40" customHeight="1" x14ac:dyDescent="0.35">
      <c r="A157" s="14"/>
      <c r="B157" s="37"/>
      <c r="C157" s="14"/>
      <c r="D157" s="15"/>
      <c r="E157" s="15"/>
      <c r="F157" s="15"/>
      <c r="G157" s="24"/>
      <c r="H157" s="24"/>
      <c r="I157" s="15"/>
      <c r="J157" s="17"/>
      <c r="K157" s="17"/>
      <c r="L157" s="17"/>
      <c r="M157" s="15"/>
      <c r="N157" s="15"/>
      <c r="O157" s="15"/>
      <c r="P157" s="15"/>
      <c r="Q157" s="15"/>
      <c r="R157" s="15"/>
      <c r="S157" s="14"/>
      <c r="T157" s="14"/>
      <c r="U157" s="14" t="str">
        <f>IF(A157="","",IFERROR(IF(LEN(INDEX(Suppliers!$B$9:$B$508,MATCH(C157,Suppliers!$A$9:$A$508,0))&amp;"")=0,"",INDEX(Suppliers!$B$9:$B$508,MATCH(C157,Suppliers!$A$9:$A$508,0))),""))</f>
        <v/>
      </c>
      <c r="V157" s="14" t="str">
        <f>IF(A157="","",IFERROR(IF(LEN(INDEX(Suppliers!$E$9:$E$508,MATCH(D157,Suppliers!$D$9:$D$508,0))&amp;"")=0,"",INDEX(Suppliers!$E$9:$E$508,MATCH(D157,Suppliers!$D$9:$D$508,0))),""))</f>
        <v/>
      </c>
      <c r="W157" s="14" t="str">
        <f>IF(A157="","",IFERROR(IF(LEN(INDEX(Suppliers!$F$9:$F$508,MATCH(D157,Suppliers!$D$9:$D$508,0))&amp;"")=0,"",INDEX(Suppliers!$F$9:$F$508,MATCH(D157,Suppliers!$D$9:$D$508,0))),""))</f>
        <v/>
      </c>
      <c r="X157" s="14" t="str">
        <f>IF(A157="","",IFERROR(IF(LEN(INDEX(Suppliers!$G$9:$G$508,MATCH(D157,Suppliers!$D$9:$D$508,0))&amp;"")=0,"",INDEX(Suppliers!$G$9:$G$508,MATCH(D157,Suppliers!$D$9:$D$508,0))),""))</f>
        <v/>
      </c>
      <c r="Y157" s="14" t="str">
        <f>IF(A157="","",IFERROR(INDEX(Jobs!$C$9:$C$258,MATCH(B157,Jobs!$A$9:$A$258,0)),""))</f>
        <v/>
      </c>
      <c r="Z157" s="14" t="str">
        <f>IF(A157="","",IFERROR(INDEX(Jobs!$B$9:$B$258,MATCH(B157,Jobs!$A$9:$A$258,0)),""))</f>
        <v/>
      </c>
      <c r="AA157" s="16" t="str">
        <f>IF(A157="","",IFERROR(VLOOKUP(I157,Lists!$E$9:$F$14,2,FALSE),0))</f>
        <v/>
      </c>
      <c r="AB157" s="16" t="str">
        <f t="shared" si="24"/>
        <v/>
      </c>
      <c r="AC157" s="16" t="str">
        <f t="shared" si="25"/>
        <v/>
      </c>
      <c r="AD157" s="16" t="str">
        <f t="shared" si="26"/>
        <v/>
      </c>
      <c r="AE157" s="16" t="str">
        <f t="shared" si="27"/>
        <v/>
      </c>
      <c r="AF157" s="16" t="str">
        <f t="shared" si="28"/>
        <v/>
      </c>
      <c r="AG157" s="26" t="str">
        <f t="shared" si="29"/>
        <v/>
      </c>
      <c r="AH157" s="16" t="str">
        <f t="shared" si="30"/>
        <v/>
      </c>
      <c r="AI157" s="16" t="str">
        <f t="shared" si="31"/>
        <v/>
      </c>
      <c r="AJ157" s="16" t="str">
        <f t="shared" si="32"/>
        <v/>
      </c>
      <c r="AK157" s="14" t="str">
        <f>IF(AND(A157&lt;&gt;"",F157="Selected"),COUNTIF($F$9:F157,"Selected"),"")</f>
        <v/>
      </c>
      <c r="AL157" s="14" t="str">
        <f>IF(A157="","",COUNTIF($B$9:B157,B157))</f>
        <v/>
      </c>
      <c r="AM157" s="14" t="str">
        <f>IF(A157="","",IF(COUNTIF(Jobs!$A$9:$A$258,B157)&lt;&gt;1,"Check JobID",IF(COUNTIF(Suppliers!$D$9:$D$508,D157)&lt;&gt;1,"Check contact",IF(AA157&lt;=0,"Currency / FX missing",IF(NOT(ISNUMBER(G157)),"Original price missing",IF(G157&lt;0,"Invalid original price",IF(AND(H157&lt;&gt;"",NOT(ISNUMBER(H157))),"Invalid final price",IF(AND(ISNUMBER(H157),H157&lt;0),"Invalid final price",IF(AND(F157="Selected",COUNTIFS($B$9:$B$258,B157,$E$9:$E$258,E157,$F$9:$F$258,"Selected")&gt;1),"Selected scope overlap",IF(AND(ISNUMBER(H157),H157&gt;G157),"Price increased",IF(LEN(H157&amp;"")=0,"Final price pending","OK")))))))))))</f>
        <v/>
      </c>
      <c r="AN157" s="16" t="str">
        <f t="shared" si="33"/>
        <v/>
      </c>
      <c r="AO157" s="14" t="str">
        <f>IF(A157="","",IFERROR(IF(INDEX(Suppliers!$A$9:$A$508,MATCH(D157,Suppliers!$D$9:$D$508,0))=C157,"OK","Contact / supplier mismatch"),"Contact missing"))</f>
        <v/>
      </c>
      <c r="AP157" s="14" t="str">
        <f>IF(OR(A157="",IFERROR(INDEX(Jobs!$P$9:$P$258,MATCH(B157,Jobs!$A$9:$A$258,0)),"")=""),"",HYPERLINK("#'"&amp;IFERROR(INDEX(Jobs!$P$9:$P$258,MATCH(B157,Jobs!$A$9:$A$258,0)),"")&amp;"'!A1","OPEN JOB"))</f>
        <v/>
      </c>
      <c r="AQ157" s="14"/>
      <c r="AR157" s="14"/>
      <c r="AS157" t="str">
        <f t="shared" si="34"/>
        <v/>
      </c>
      <c r="AT157" t="str">
        <f t="shared" si="35"/>
        <v/>
      </c>
    </row>
    <row r="158" spans="1:46" ht="40" customHeight="1" x14ac:dyDescent="0.35">
      <c r="A158" s="18"/>
      <c r="B158" s="37"/>
      <c r="C158" s="18"/>
      <c r="D158" s="15"/>
      <c r="E158" s="15"/>
      <c r="F158" s="15"/>
      <c r="G158" s="24"/>
      <c r="H158" s="24"/>
      <c r="I158" s="15"/>
      <c r="J158" s="17"/>
      <c r="K158" s="17"/>
      <c r="L158" s="17"/>
      <c r="M158" s="15"/>
      <c r="N158" s="15"/>
      <c r="O158" s="15"/>
      <c r="P158" s="15"/>
      <c r="Q158" s="15"/>
      <c r="R158" s="15"/>
      <c r="S158" s="18"/>
      <c r="T158" s="18"/>
      <c r="U158" s="18" t="str">
        <f>IF(A158="","",IFERROR(IF(LEN(INDEX(Suppliers!$B$9:$B$508,MATCH(C158,Suppliers!$A$9:$A$508,0))&amp;"")=0,"",INDEX(Suppliers!$B$9:$B$508,MATCH(C158,Suppliers!$A$9:$A$508,0))),""))</f>
        <v/>
      </c>
      <c r="V158" s="18" t="str">
        <f>IF(A158="","",IFERROR(IF(LEN(INDEX(Suppliers!$E$9:$E$508,MATCH(D158,Suppliers!$D$9:$D$508,0))&amp;"")=0,"",INDEX(Suppliers!$E$9:$E$508,MATCH(D158,Suppliers!$D$9:$D$508,0))),""))</f>
        <v/>
      </c>
      <c r="W158" s="18" t="str">
        <f>IF(A158="","",IFERROR(IF(LEN(INDEX(Suppliers!$F$9:$F$508,MATCH(D158,Suppliers!$D$9:$D$508,0))&amp;"")=0,"",INDEX(Suppliers!$F$9:$F$508,MATCH(D158,Suppliers!$D$9:$D$508,0))),""))</f>
        <v/>
      </c>
      <c r="X158" s="18" t="str">
        <f>IF(A158="","",IFERROR(IF(LEN(INDEX(Suppliers!$G$9:$G$508,MATCH(D158,Suppliers!$D$9:$D$508,0))&amp;"")=0,"",INDEX(Suppliers!$G$9:$G$508,MATCH(D158,Suppliers!$D$9:$D$508,0))),""))</f>
        <v/>
      </c>
      <c r="Y158" s="18" t="str">
        <f>IF(A158="","",IFERROR(INDEX(Jobs!$C$9:$C$258,MATCH(B158,Jobs!$A$9:$A$258,0)),""))</f>
        <v/>
      </c>
      <c r="Z158" s="18" t="str">
        <f>IF(A158="","",IFERROR(INDEX(Jobs!$B$9:$B$258,MATCH(B158,Jobs!$A$9:$A$258,0)),""))</f>
        <v/>
      </c>
      <c r="AA158" s="19" t="str">
        <f>IF(A158="","",IFERROR(VLOOKUP(I158,Lists!$E$9:$F$14,2,FALSE),0))</f>
        <v/>
      </c>
      <c r="AB158" s="19" t="str">
        <f t="shared" si="24"/>
        <v/>
      </c>
      <c r="AC158" s="19" t="str">
        <f t="shared" si="25"/>
        <v/>
      </c>
      <c r="AD158" s="19" t="str">
        <f t="shared" si="26"/>
        <v/>
      </c>
      <c r="AE158" s="19" t="str">
        <f t="shared" si="27"/>
        <v/>
      </c>
      <c r="AF158" s="19" t="str">
        <f t="shared" si="28"/>
        <v/>
      </c>
      <c r="AG158" s="27" t="str">
        <f t="shared" si="29"/>
        <v/>
      </c>
      <c r="AH158" s="19" t="str">
        <f t="shared" si="30"/>
        <v/>
      </c>
      <c r="AI158" s="19" t="str">
        <f t="shared" si="31"/>
        <v/>
      </c>
      <c r="AJ158" s="19" t="str">
        <f t="shared" si="32"/>
        <v/>
      </c>
      <c r="AK158" s="18" t="str">
        <f>IF(AND(A158&lt;&gt;"",F158="Selected"),COUNTIF($F$9:F158,"Selected"),"")</f>
        <v/>
      </c>
      <c r="AL158" s="18" t="str">
        <f>IF(A158="","",COUNTIF($B$9:B158,B158))</f>
        <v/>
      </c>
      <c r="AM158" s="18" t="str">
        <f>IF(A158="","",IF(COUNTIF(Jobs!$A$9:$A$258,B158)&lt;&gt;1,"Check JobID",IF(COUNTIF(Suppliers!$D$9:$D$508,D158)&lt;&gt;1,"Check contact",IF(AA158&lt;=0,"Currency / FX missing",IF(NOT(ISNUMBER(G158)),"Original price missing",IF(G158&lt;0,"Invalid original price",IF(AND(H158&lt;&gt;"",NOT(ISNUMBER(H158))),"Invalid final price",IF(AND(ISNUMBER(H158),H158&lt;0),"Invalid final price",IF(AND(F158="Selected",COUNTIFS($B$9:$B$258,B158,$E$9:$E$258,E158,$F$9:$F$258,"Selected")&gt;1),"Selected scope overlap",IF(AND(ISNUMBER(H158),H158&gt;G158),"Price increased",IF(LEN(H158&amp;"")=0,"Final price pending","OK")))))))))))</f>
        <v/>
      </c>
      <c r="AN158" s="19" t="str">
        <f t="shared" si="33"/>
        <v/>
      </c>
      <c r="AO158" s="18" t="str">
        <f>IF(A158="","",IFERROR(IF(INDEX(Suppliers!$A$9:$A$508,MATCH(D158,Suppliers!$D$9:$D$508,0))=C158,"OK","Contact / supplier mismatch"),"Contact missing"))</f>
        <v/>
      </c>
      <c r="AP158" s="18" t="str">
        <f>IF(OR(A158="",IFERROR(INDEX(Jobs!$P$9:$P$258,MATCH(B158,Jobs!$A$9:$A$258,0)),"")=""),"",HYPERLINK("#'"&amp;IFERROR(INDEX(Jobs!$P$9:$P$258,MATCH(B158,Jobs!$A$9:$A$258,0)),"")&amp;"'!A1","OPEN JOB"))</f>
        <v/>
      </c>
      <c r="AQ158" s="18"/>
      <c r="AR158" s="18"/>
      <c r="AS158" t="str">
        <f t="shared" si="34"/>
        <v/>
      </c>
      <c r="AT158" t="str">
        <f t="shared" si="35"/>
        <v/>
      </c>
    </row>
    <row r="159" spans="1:46" ht="40" customHeight="1" x14ac:dyDescent="0.35">
      <c r="A159" s="14"/>
      <c r="B159" s="37"/>
      <c r="C159" s="14"/>
      <c r="D159" s="15"/>
      <c r="E159" s="15"/>
      <c r="F159" s="15"/>
      <c r="G159" s="24"/>
      <c r="H159" s="24"/>
      <c r="I159" s="15"/>
      <c r="J159" s="17"/>
      <c r="K159" s="17"/>
      <c r="L159" s="17"/>
      <c r="M159" s="15"/>
      <c r="N159" s="15"/>
      <c r="O159" s="15"/>
      <c r="P159" s="15"/>
      <c r="Q159" s="15"/>
      <c r="R159" s="15"/>
      <c r="S159" s="14"/>
      <c r="T159" s="14"/>
      <c r="U159" s="14" t="str">
        <f>IF(A159="","",IFERROR(IF(LEN(INDEX(Suppliers!$B$9:$B$508,MATCH(C159,Suppliers!$A$9:$A$508,0))&amp;"")=0,"",INDEX(Suppliers!$B$9:$B$508,MATCH(C159,Suppliers!$A$9:$A$508,0))),""))</f>
        <v/>
      </c>
      <c r="V159" s="14" t="str">
        <f>IF(A159="","",IFERROR(IF(LEN(INDEX(Suppliers!$E$9:$E$508,MATCH(D159,Suppliers!$D$9:$D$508,0))&amp;"")=0,"",INDEX(Suppliers!$E$9:$E$508,MATCH(D159,Suppliers!$D$9:$D$508,0))),""))</f>
        <v/>
      </c>
      <c r="W159" s="14" t="str">
        <f>IF(A159="","",IFERROR(IF(LEN(INDEX(Suppliers!$F$9:$F$508,MATCH(D159,Suppliers!$D$9:$D$508,0))&amp;"")=0,"",INDEX(Suppliers!$F$9:$F$508,MATCH(D159,Suppliers!$D$9:$D$508,0))),""))</f>
        <v/>
      </c>
      <c r="X159" s="14" t="str">
        <f>IF(A159="","",IFERROR(IF(LEN(INDEX(Suppliers!$G$9:$G$508,MATCH(D159,Suppliers!$D$9:$D$508,0))&amp;"")=0,"",INDEX(Suppliers!$G$9:$G$508,MATCH(D159,Suppliers!$D$9:$D$508,0))),""))</f>
        <v/>
      </c>
      <c r="Y159" s="14" t="str">
        <f>IF(A159="","",IFERROR(INDEX(Jobs!$C$9:$C$258,MATCH(B159,Jobs!$A$9:$A$258,0)),""))</f>
        <v/>
      </c>
      <c r="Z159" s="14" t="str">
        <f>IF(A159="","",IFERROR(INDEX(Jobs!$B$9:$B$258,MATCH(B159,Jobs!$A$9:$A$258,0)),""))</f>
        <v/>
      </c>
      <c r="AA159" s="16" t="str">
        <f>IF(A159="","",IFERROR(VLOOKUP(I159,Lists!$E$9:$F$14,2,FALSE),0))</f>
        <v/>
      </c>
      <c r="AB159" s="16" t="str">
        <f t="shared" si="24"/>
        <v/>
      </c>
      <c r="AC159" s="16" t="str">
        <f t="shared" si="25"/>
        <v/>
      </c>
      <c r="AD159" s="16" t="str">
        <f t="shared" si="26"/>
        <v/>
      </c>
      <c r="AE159" s="16" t="str">
        <f t="shared" si="27"/>
        <v/>
      </c>
      <c r="AF159" s="16" t="str">
        <f t="shared" si="28"/>
        <v/>
      </c>
      <c r="AG159" s="26" t="str">
        <f t="shared" si="29"/>
        <v/>
      </c>
      <c r="AH159" s="16" t="str">
        <f t="shared" si="30"/>
        <v/>
      </c>
      <c r="AI159" s="16" t="str">
        <f t="shared" si="31"/>
        <v/>
      </c>
      <c r="AJ159" s="16" t="str">
        <f t="shared" si="32"/>
        <v/>
      </c>
      <c r="AK159" s="14" t="str">
        <f>IF(AND(A159&lt;&gt;"",F159="Selected"),COUNTIF($F$9:F159,"Selected"),"")</f>
        <v/>
      </c>
      <c r="AL159" s="14" t="str">
        <f>IF(A159="","",COUNTIF($B$9:B159,B159))</f>
        <v/>
      </c>
      <c r="AM159" s="14" t="str">
        <f>IF(A159="","",IF(COUNTIF(Jobs!$A$9:$A$258,B159)&lt;&gt;1,"Check JobID",IF(COUNTIF(Suppliers!$D$9:$D$508,D159)&lt;&gt;1,"Check contact",IF(AA159&lt;=0,"Currency / FX missing",IF(NOT(ISNUMBER(G159)),"Original price missing",IF(G159&lt;0,"Invalid original price",IF(AND(H159&lt;&gt;"",NOT(ISNUMBER(H159))),"Invalid final price",IF(AND(ISNUMBER(H159),H159&lt;0),"Invalid final price",IF(AND(F159="Selected",COUNTIFS($B$9:$B$258,B159,$E$9:$E$258,E159,$F$9:$F$258,"Selected")&gt;1),"Selected scope overlap",IF(AND(ISNUMBER(H159),H159&gt;G159),"Price increased",IF(LEN(H159&amp;"")=0,"Final price pending","OK")))))))))))</f>
        <v/>
      </c>
      <c r="AN159" s="16" t="str">
        <f t="shared" si="33"/>
        <v/>
      </c>
      <c r="AO159" s="14" t="str">
        <f>IF(A159="","",IFERROR(IF(INDEX(Suppliers!$A$9:$A$508,MATCH(D159,Suppliers!$D$9:$D$508,0))=C159,"OK","Contact / supplier mismatch"),"Contact missing"))</f>
        <v/>
      </c>
      <c r="AP159" s="14" t="str">
        <f>IF(OR(A159="",IFERROR(INDEX(Jobs!$P$9:$P$258,MATCH(B159,Jobs!$A$9:$A$258,0)),"")=""),"",HYPERLINK("#'"&amp;IFERROR(INDEX(Jobs!$P$9:$P$258,MATCH(B159,Jobs!$A$9:$A$258,0)),"")&amp;"'!A1","OPEN JOB"))</f>
        <v/>
      </c>
      <c r="AQ159" s="14"/>
      <c r="AR159" s="14"/>
      <c r="AS159" t="str">
        <f t="shared" si="34"/>
        <v/>
      </c>
      <c r="AT159" t="str">
        <f t="shared" si="35"/>
        <v/>
      </c>
    </row>
    <row r="160" spans="1:46" ht="40" customHeight="1" x14ac:dyDescent="0.35">
      <c r="A160" s="18"/>
      <c r="B160" s="37"/>
      <c r="C160" s="18"/>
      <c r="D160" s="15"/>
      <c r="E160" s="15"/>
      <c r="F160" s="15"/>
      <c r="G160" s="24"/>
      <c r="H160" s="24"/>
      <c r="I160" s="15"/>
      <c r="J160" s="17"/>
      <c r="K160" s="17"/>
      <c r="L160" s="17"/>
      <c r="M160" s="15"/>
      <c r="N160" s="15"/>
      <c r="O160" s="15"/>
      <c r="P160" s="15"/>
      <c r="Q160" s="15"/>
      <c r="R160" s="15"/>
      <c r="S160" s="18"/>
      <c r="T160" s="18"/>
      <c r="U160" s="18" t="str">
        <f>IF(A160="","",IFERROR(IF(LEN(INDEX(Suppliers!$B$9:$B$508,MATCH(C160,Suppliers!$A$9:$A$508,0))&amp;"")=0,"",INDEX(Suppliers!$B$9:$B$508,MATCH(C160,Suppliers!$A$9:$A$508,0))),""))</f>
        <v/>
      </c>
      <c r="V160" s="18" t="str">
        <f>IF(A160="","",IFERROR(IF(LEN(INDEX(Suppliers!$E$9:$E$508,MATCH(D160,Suppliers!$D$9:$D$508,0))&amp;"")=0,"",INDEX(Suppliers!$E$9:$E$508,MATCH(D160,Suppliers!$D$9:$D$508,0))),""))</f>
        <v/>
      </c>
      <c r="W160" s="18" t="str">
        <f>IF(A160="","",IFERROR(IF(LEN(INDEX(Suppliers!$F$9:$F$508,MATCH(D160,Suppliers!$D$9:$D$508,0))&amp;"")=0,"",INDEX(Suppliers!$F$9:$F$508,MATCH(D160,Suppliers!$D$9:$D$508,0))),""))</f>
        <v/>
      </c>
      <c r="X160" s="18" t="str">
        <f>IF(A160="","",IFERROR(IF(LEN(INDEX(Suppliers!$G$9:$G$508,MATCH(D160,Suppliers!$D$9:$D$508,0))&amp;"")=0,"",INDEX(Suppliers!$G$9:$G$508,MATCH(D160,Suppliers!$D$9:$D$508,0))),""))</f>
        <v/>
      </c>
      <c r="Y160" s="18" t="str">
        <f>IF(A160="","",IFERROR(INDEX(Jobs!$C$9:$C$258,MATCH(B160,Jobs!$A$9:$A$258,0)),""))</f>
        <v/>
      </c>
      <c r="Z160" s="18" t="str">
        <f>IF(A160="","",IFERROR(INDEX(Jobs!$B$9:$B$258,MATCH(B160,Jobs!$A$9:$A$258,0)),""))</f>
        <v/>
      </c>
      <c r="AA160" s="19" t="str">
        <f>IF(A160="","",IFERROR(VLOOKUP(I160,Lists!$E$9:$F$14,2,FALSE),0))</f>
        <v/>
      </c>
      <c r="AB160" s="19" t="str">
        <f t="shared" si="24"/>
        <v/>
      </c>
      <c r="AC160" s="19" t="str">
        <f t="shared" si="25"/>
        <v/>
      </c>
      <c r="AD160" s="19" t="str">
        <f t="shared" si="26"/>
        <v/>
      </c>
      <c r="AE160" s="19" t="str">
        <f t="shared" si="27"/>
        <v/>
      </c>
      <c r="AF160" s="19" t="str">
        <f t="shared" si="28"/>
        <v/>
      </c>
      <c r="AG160" s="27" t="str">
        <f t="shared" si="29"/>
        <v/>
      </c>
      <c r="AH160" s="19" t="str">
        <f t="shared" si="30"/>
        <v/>
      </c>
      <c r="AI160" s="19" t="str">
        <f t="shared" si="31"/>
        <v/>
      </c>
      <c r="AJ160" s="19" t="str">
        <f t="shared" si="32"/>
        <v/>
      </c>
      <c r="AK160" s="18" t="str">
        <f>IF(AND(A160&lt;&gt;"",F160="Selected"),COUNTIF($F$9:F160,"Selected"),"")</f>
        <v/>
      </c>
      <c r="AL160" s="18" t="str">
        <f>IF(A160="","",COUNTIF($B$9:B160,B160))</f>
        <v/>
      </c>
      <c r="AM160" s="18" t="str">
        <f>IF(A160="","",IF(COUNTIF(Jobs!$A$9:$A$258,B160)&lt;&gt;1,"Check JobID",IF(COUNTIF(Suppliers!$D$9:$D$508,D160)&lt;&gt;1,"Check contact",IF(AA160&lt;=0,"Currency / FX missing",IF(NOT(ISNUMBER(G160)),"Original price missing",IF(G160&lt;0,"Invalid original price",IF(AND(H160&lt;&gt;"",NOT(ISNUMBER(H160))),"Invalid final price",IF(AND(ISNUMBER(H160),H160&lt;0),"Invalid final price",IF(AND(F160="Selected",COUNTIFS($B$9:$B$258,B160,$E$9:$E$258,E160,$F$9:$F$258,"Selected")&gt;1),"Selected scope overlap",IF(AND(ISNUMBER(H160),H160&gt;G160),"Price increased",IF(LEN(H160&amp;"")=0,"Final price pending","OK")))))))))))</f>
        <v/>
      </c>
      <c r="AN160" s="19" t="str">
        <f t="shared" si="33"/>
        <v/>
      </c>
      <c r="AO160" s="18" t="str">
        <f>IF(A160="","",IFERROR(IF(INDEX(Suppliers!$A$9:$A$508,MATCH(D160,Suppliers!$D$9:$D$508,0))=C160,"OK","Contact / supplier mismatch"),"Contact missing"))</f>
        <v/>
      </c>
      <c r="AP160" s="18" t="str">
        <f>IF(OR(A160="",IFERROR(INDEX(Jobs!$P$9:$P$258,MATCH(B160,Jobs!$A$9:$A$258,0)),"")=""),"",HYPERLINK("#'"&amp;IFERROR(INDEX(Jobs!$P$9:$P$258,MATCH(B160,Jobs!$A$9:$A$258,0)),"")&amp;"'!A1","OPEN JOB"))</f>
        <v/>
      </c>
      <c r="AQ160" s="18"/>
      <c r="AR160" s="18"/>
      <c r="AS160" t="str">
        <f t="shared" si="34"/>
        <v/>
      </c>
      <c r="AT160" t="str">
        <f t="shared" si="35"/>
        <v/>
      </c>
    </row>
    <row r="161" spans="1:46" ht="40" customHeight="1" x14ac:dyDescent="0.35">
      <c r="A161" s="14"/>
      <c r="B161" s="37"/>
      <c r="C161" s="14"/>
      <c r="D161" s="15"/>
      <c r="E161" s="15"/>
      <c r="F161" s="15"/>
      <c r="G161" s="24"/>
      <c r="H161" s="24"/>
      <c r="I161" s="15"/>
      <c r="J161" s="17"/>
      <c r="K161" s="17"/>
      <c r="L161" s="17"/>
      <c r="M161" s="15"/>
      <c r="N161" s="15"/>
      <c r="O161" s="15"/>
      <c r="P161" s="15"/>
      <c r="Q161" s="15"/>
      <c r="R161" s="15"/>
      <c r="S161" s="14"/>
      <c r="T161" s="14"/>
      <c r="U161" s="14" t="str">
        <f>IF(A161="","",IFERROR(IF(LEN(INDEX(Suppliers!$B$9:$B$508,MATCH(C161,Suppliers!$A$9:$A$508,0))&amp;"")=0,"",INDEX(Suppliers!$B$9:$B$508,MATCH(C161,Suppliers!$A$9:$A$508,0))),""))</f>
        <v/>
      </c>
      <c r="V161" s="14" t="str">
        <f>IF(A161="","",IFERROR(IF(LEN(INDEX(Suppliers!$E$9:$E$508,MATCH(D161,Suppliers!$D$9:$D$508,0))&amp;"")=0,"",INDEX(Suppliers!$E$9:$E$508,MATCH(D161,Suppliers!$D$9:$D$508,0))),""))</f>
        <v/>
      </c>
      <c r="W161" s="14" t="str">
        <f>IF(A161="","",IFERROR(IF(LEN(INDEX(Suppliers!$F$9:$F$508,MATCH(D161,Suppliers!$D$9:$D$508,0))&amp;"")=0,"",INDEX(Suppliers!$F$9:$F$508,MATCH(D161,Suppliers!$D$9:$D$508,0))),""))</f>
        <v/>
      </c>
      <c r="X161" s="14" t="str">
        <f>IF(A161="","",IFERROR(IF(LEN(INDEX(Suppliers!$G$9:$G$508,MATCH(D161,Suppliers!$D$9:$D$508,0))&amp;"")=0,"",INDEX(Suppliers!$G$9:$G$508,MATCH(D161,Suppliers!$D$9:$D$508,0))),""))</f>
        <v/>
      </c>
      <c r="Y161" s="14" t="str">
        <f>IF(A161="","",IFERROR(INDEX(Jobs!$C$9:$C$258,MATCH(B161,Jobs!$A$9:$A$258,0)),""))</f>
        <v/>
      </c>
      <c r="Z161" s="14" t="str">
        <f>IF(A161="","",IFERROR(INDEX(Jobs!$B$9:$B$258,MATCH(B161,Jobs!$A$9:$A$258,0)),""))</f>
        <v/>
      </c>
      <c r="AA161" s="16" t="str">
        <f>IF(A161="","",IFERROR(VLOOKUP(I161,Lists!$E$9:$F$14,2,FALSE),0))</f>
        <v/>
      </c>
      <c r="AB161" s="16" t="str">
        <f t="shared" si="24"/>
        <v/>
      </c>
      <c r="AC161" s="16" t="str">
        <f t="shared" si="25"/>
        <v/>
      </c>
      <c r="AD161" s="16" t="str">
        <f t="shared" si="26"/>
        <v/>
      </c>
      <c r="AE161" s="16" t="str">
        <f t="shared" si="27"/>
        <v/>
      </c>
      <c r="AF161" s="16" t="str">
        <f t="shared" si="28"/>
        <v/>
      </c>
      <c r="AG161" s="26" t="str">
        <f t="shared" si="29"/>
        <v/>
      </c>
      <c r="AH161" s="16" t="str">
        <f t="shared" si="30"/>
        <v/>
      </c>
      <c r="AI161" s="16" t="str">
        <f t="shared" si="31"/>
        <v/>
      </c>
      <c r="AJ161" s="16" t="str">
        <f t="shared" si="32"/>
        <v/>
      </c>
      <c r="AK161" s="14" t="str">
        <f>IF(AND(A161&lt;&gt;"",F161="Selected"),COUNTIF($F$9:F161,"Selected"),"")</f>
        <v/>
      </c>
      <c r="AL161" s="14" t="str">
        <f>IF(A161="","",COUNTIF($B$9:B161,B161))</f>
        <v/>
      </c>
      <c r="AM161" s="14" t="str">
        <f>IF(A161="","",IF(COUNTIF(Jobs!$A$9:$A$258,B161)&lt;&gt;1,"Check JobID",IF(COUNTIF(Suppliers!$D$9:$D$508,D161)&lt;&gt;1,"Check contact",IF(AA161&lt;=0,"Currency / FX missing",IF(NOT(ISNUMBER(G161)),"Original price missing",IF(G161&lt;0,"Invalid original price",IF(AND(H161&lt;&gt;"",NOT(ISNUMBER(H161))),"Invalid final price",IF(AND(ISNUMBER(H161),H161&lt;0),"Invalid final price",IF(AND(F161="Selected",COUNTIFS($B$9:$B$258,B161,$E$9:$E$258,E161,$F$9:$F$258,"Selected")&gt;1),"Selected scope overlap",IF(AND(ISNUMBER(H161),H161&gt;G161),"Price increased",IF(LEN(H161&amp;"")=0,"Final price pending","OK")))))))))))</f>
        <v/>
      </c>
      <c r="AN161" s="16" t="str">
        <f t="shared" si="33"/>
        <v/>
      </c>
      <c r="AO161" s="14" t="str">
        <f>IF(A161="","",IFERROR(IF(INDEX(Suppliers!$A$9:$A$508,MATCH(D161,Suppliers!$D$9:$D$508,0))=C161,"OK","Contact / supplier mismatch"),"Contact missing"))</f>
        <v/>
      </c>
      <c r="AP161" s="14" t="str">
        <f>IF(OR(A161="",IFERROR(INDEX(Jobs!$P$9:$P$258,MATCH(B161,Jobs!$A$9:$A$258,0)),"")=""),"",HYPERLINK("#'"&amp;IFERROR(INDEX(Jobs!$P$9:$P$258,MATCH(B161,Jobs!$A$9:$A$258,0)),"")&amp;"'!A1","OPEN JOB"))</f>
        <v/>
      </c>
      <c r="AQ161" s="14"/>
      <c r="AR161" s="14"/>
      <c r="AS161" t="str">
        <f t="shared" si="34"/>
        <v/>
      </c>
      <c r="AT161" t="str">
        <f t="shared" si="35"/>
        <v/>
      </c>
    </row>
    <row r="162" spans="1:46" ht="40" customHeight="1" x14ac:dyDescent="0.35">
      <c r="A162" s="18"/>
      <c r="B162" s="37"/>
      <c r="C162" s="18"/>
      <c r="D162" s="15"/>
      <c r="E162" s="15"/>
      <c r="F162" s="15"/>
      <c r="G162" s="24"/>
      <c r="H162" s="24"/>
      <c r="I162" s="15"/>
      <c r="J162" s="17"/>
      <c r="K162" s="17"/>
      <c r="L162" s="17"/>
      <c r="M162" s="15"/>
      <c r="N162" s="15"/>
      <c r="O162" s="15"/>
      <c r="P162" s="15"/>
      <c r="Q162" s="15"/>
      <c r="R162" s="15"/>
      <c r="S162" s="18"/>
      <c r="T162" s="18"/>
      <c r="U162" s="18" t="str">
        <f>IF(A162="","",IFERROR(IF(LEN(INDEX(Suppliers!$B$9:$B$508,MATCH(C162,Suppliers!$A$9:$A$508,0))&amp;"")=0,"",INDEX(Suppliers!$B$9:$B$508,MATCH(C162,Suppliers!$A$9:$A$508,0))),""))</f>
        <v/>
      </c>
      <c r="V162" s="18" t="str">
        <f>IF(A162="","",IFERROR(IF(LEN(INDEX(Suppliers!$E$9:$E$508,MATCH(D162,Suppliers!$D$9:$D$508,0))&amp;"")=0,"",INDEX(Suppliers!$E$9:$E$508,MATCH(D162,Suppliers!$D$9:$D$508,0))),""))</f>
        <v/>
      </c>
      <c r="W162" s="18" t="str">
        <f>IF(A162="","",IFERROR(IF(LEN(INDEX(Suppliers!$F$9:$F$508,MATCH(D162,Suppliers!$D$9:$D$508,0))&amp;"")=0,"",INDEX(Suppliers!$F$9:$F$508,MATCH(D162,Suppliers!$D$9:$D$508,0))),""))</f>
        <v/>
      </c>
      <c r="X162" s="18" t="str">
        <f>IF(A162="","",IFERROR(IF(LEN(INDEX(Suppliers!$G$9:$G$508,MATCH(D162,Suppliers!$D$9:$D$508,0))&amp;"")=0,"",INDEX(Suppliers!$G$9:$G$508,MATCH(D162,Suppliers!$D$9:$D$508,0))),""))</f>
        <v/>
      </c>
      <c r="Y162" s="18" t="str">
        <f>IF(A162="","",IFERROR(INDEX(Jobs!$C$9:$C$258,MATCH(B162,Jobs!$A$9:$A$258,0)),""))</f>
        <v/>
      </c>
      <c r="Z162" s="18" t="str">
        <f>IF(A162="","",IFERROR(INDEX(Jobs!$B$9:$B$258,MATCH(B162,Jobs!$A$9:$A$258,0)),""))</f>
        <v/>
      </c>
      <c r="AA162" s="19" t="str">
        <f>IF(A162="","",IFERROR(VLOOKUP(I162,Lists!$E$9:$F$14,2,FALSE),0))</f>
        <v/>
      </c>
      <c r="AB162" s="19" t="str">
        <f t="shared" si="24"/>
        <v/>
      </c>
      <c r="AC162" s="19" t="str">
        <f t="shared" si="25"/>
        <v/>
      </c>
      <c r="AD162" s="19" t="str">
        <f t="shared" si="26"/>
        <v/>
      </c>
      <c r="AE162" s="19" t="str">
        <f t="shared" si="27"/>
        <v/>
      </c>
      <c r="AF162" s="19" t="str">
        <f t="shared" si="28"/>
        <v/>
      </c>
      <c r="AG162" s="27" t="str">
        <f t="shared" si="29"/>
        <v/>
      </c>
      <c r="AH162" s="19" t="str">
        <f t="shared" si="30"/>
        <v/>
      </c>
      <c r="AI162" s="19" t="str">
        <f t="shared" si="31"/>
        <v/>
      </c>
      <c r="AJ162" s="19" t="str">
        <f t="shared" si="32"/>
        <v/>
      </c>
      <c r="AK162" s="18" t="str">
        <f>IF(AND(A162&lt;&gt;"",F162="Selected"),COUNTIF($F$9:F162,"Selected"),"")</f>
        <v/>
      </c>
      <c r="AL162" s="18" t="str">
        <f>IF(A162="","",COUNTIF($B$9:B162,B162))</f>
        <v/>
      </c>
      <c r="AM162" s="18" t="str">
        <f>IF(A162="","",IF(COUNTIF(Jobs!$A$9:$A$258,B162)&lt;&gt;1,"Check JobID",IF(COUNTIF(Suppliers!$D$9:$D$508,D162)&lt;&gt;1,"Check contact",IF(AA162&lt;=0,"Currency / FX missing",IF(NOT(ISNUMBER(G162)),"Original price missing",IF(G162&lt;0,"Invalid original price",IF(AND(H162&lt;&gt;"",NOT(ISNUMBER(H162))),"Invalid final price",IF(AND(ISNUMBER(H162),H162&lt;0),"Invalid final price",IF(AND(F162="Selected",COUNTIFS($B$9:$B$258,B162,$E$9:$E$258,E162,$F$9:$F$258,"Selected")&gt;1),"Selected scope overlap",IF(AND(ISNUMBER(H162),H162&gt;G162),"Price increased",IF(LEN(H162&amp;"")=0,"Final price pending","OK")))))))))))</f>
        <v/>
      </c>
      <c r="AN162" s="19" t="str">
        <f t="shared" si="33"/>
        <v/>
      </c>
      <c r="AO162" s="18" t="str">
        <f>IF(A162="","",IFERROR(IF(INDEX(Suppliers!$A$9:$A$508,MATCH(D162,Suppliers!$D$9:$D$508,0))=C162,"OK","Contact / supplier mismatch"),"Contact missing"))</f>
        <v/>
      </c>
      <c r="AP162" s="18" t="str">
        <f>IF(OR(A162="",IFERROR(INDEX(Jobs!$P$9:$P$258,MATCH(B162,Jobs!$A$9:$A$258,0)),"")=""),"",HYPERLINK("#'"&amp;IFERROR(INDEX(Jobs!$P$9:$P$258,MATCH(B162,Jobs!$A$9:$A$258,0)),"")&amp;"'!A1","OPEN JOB"))</f>
        <v/>
      </c>
      <c r="AQ162" s="18"/>
      <c r="AR162" s="18"/>
      <c r="AS162" t="str">
        <f t="shared" si="34"/>
        <v/>
      </c>
      <c r="AT162" t="str">
        <f t="shared" si="35"/>
        <v/>
      </c>
    </row>
    <row r="163" spans="1:46" ht="40" customHeight="1" x14ac:dyDescent="0.35">
      <c r="A163" s="14"/>
      <c r="B163" s="37"/>
      <c r="C163" s="14"/>
      <c r="D163" s="15"/>
      <c r="E163" s="15"/>
      <c r="F163" s="15"/>
      <c r="G163" s="24"/>
      <c r="H163" s="24"/>
      <c r="I163" s="15"/>
      <c r="J163" s="17"/>
      <c r="K163" s="17"/>
      <c r="L163" s="17"/>
      <c r="M163" s="15"/>
      <c r="N163" s="15"/>
      <c r="O163" s="15"/>
      <c r="P163" s="15"/>
      <c r="Q163" s="15"/>
      <c r="R163" s="15"/>
      <c r="S163" s="14"/>
      <c r="T163" s="14"/>
      <c r="U163" s="14" t="str">
        <f>IF(A163="","",IFERROR(IF(LEN(INDEX(Suppliers!$B$9:$B$508,MATCH(C163,Suppliers!$A$9:$A$508,0))&amp;"")=0,"",INDEX(Suppliers!$B$9:$B$508,MATCH(C163,Suppliers!$A$9:$A$508,0))),""))</f>
        <v/>
      </c>
      <c r="V163" s="14" t="str">
        <f>IF(A163="","",IFERROR(IF(LEN(INDEX(Suppliers!$E$9:$E$508,MATCH(D163,Suppliers!$D$9:$D$508,0))&amp;"")=0,"",INDEX(Suppliers!$E$9:$E$508,MATCH(D163,Suppliers!$D$9:$D$508,0))),""))</f>
        <v/>
      </c>
      <c r="W163" s="14" t="str">
        <f>IF(A163="","",IFERROR(IF(LEN(INDEX(Suppliers!$F$9:$F$508,MATCH(D163,Suppliers!$D$9:$D$508,0))&amp;"")=0,"",INDEX(Suppliers!$F$9:$F$508,MATCH(D163,Suppliers!$D$9:$D$508,0))),""))</f>
        <v/>
      </c>
      <c r="X163" s="14" t="str">
        <f>IF(A163="","",IFERROR(IF(LEN(INDEX(Suppliers!$G$9:$G$508,MATCH(D163,Suppliers!$D$9:$D$508,0))&amp;"")=0,"",INDEX(Suppliers!$G$9:$G$508,MATCH(D163,Suppliers!$D$9:$D$508,0))),""))</f>
        <v/>
      </c>
      <c r="Y163" s="14" t="str">
        <f>IF(A163="","",IFERROR(INDEX(Jobs!$C$9:$C$258,MATCH(B163,Jobs!$A$9:$A$258,0)),""))</f>
        <v/>
      </c>
      <c r="Z163" s="14" t="str">
        <f>IF(A163="","",IFERROR(INDEX(Jobs!$B$9:$B$258,MATCH(B163,Jobs!$A$9:$A$258,0)),""))</f>
        <v/>
      </c>
      <c r="AA163" s="16" t="str">
        <f>IF(A163="","",IFERROR(VLOOKUP(I163,Lists!$E$9:$F$14,2,FALSE),0))</f>
        <v/>
      </c>
      <c r="AB163" s="16" t="str">
        <f t="shared" si="24"/>
        <v/>
      </c>
      <c r="AC163" s="16" t="str">
        <f t="shared" si="25"/>
        <v/>
      </c>
      <c r="AD163" s="16" t="str">
        <f t="shared" si="26"/>
        <v/>
      </c>
      <c r="AE163" s="16" t="str">
        <f t="shared" si="27"/>
        <v/>
      </c>
      <c r="AF163" s="16" t="str">
        <f t="shared" si="28"/>
        <v/>
      </c>
      <c r="AG163" s="26" t="str">
        <f t="shared" si="29"/>
        <v/>
      </c>
      <c r="AH163" s="16" t="str">
        <f t="shared" si="30"/>
        <v/>
      </c>
      <c r="AI163" s="16" t="str">
        <f t="shared" si="31"/>
        <v/>
      </c>
      <c r="AJ163" s="16" t="str">
        <f t="shared" si="32"/>
        <v/>
      </c>
      <c r="AK163" s="14" t="str">
        <f>IF(AND(A163&lt;&gt;"",F163="Selected"),COUNTIF($F$9:F163,"Selected"),"")</f>
        <v/>
      </c>
      <c r="AL163" s="14" t="str">
        <f>IF(A163="","",COUNTIF($B$9:B163,B163))</f>
        <v/>
      </c>
      <c r="AM163" s="14" t="str">
        <f>IF(A163="","",IF(COUNTIF(Jobs!$A$9:$A$258,B163)&lt;&gt;1,"Check JobID",IF(COUNTIF(Suppliers!$D$9:$D$508,D163)&lt;&gt;1,"Check contact",IF(AA163&lt;=0,"Currency / FX missing",IF(NOT(ISNUMBER(G163)),"Original price missing",IF(G163&lt;0,"Invalid original price",IF(AND(H163&lt;&gt;"",NOT(ISNUMBER(H163))),"Invalid final price",IF(AND(ISNUMBER(H163),H163&lt;0),"Invalid final price",IF(AND(F163="Selected",COUNTIFS($B$9:$B$258,B163,$E$9:$E$258,E163,$F$9:$F$258,"Selected")&gt;1),"Selected scope overlap",IF(AND(ISNUMBER(H163),H163&gt;G163),"Price increased",IF(LEN(H163&amp;"")=0,"Final price pending","OK")))))))))))</f>
        <v/>
      </c>
      <c r="AN163" s="16" t="str">
        <f t="shared" si="33"/>
        <v/>
      </c>
      <c r="AO163" s="14" t="str">
        <f>IF(A163="","",IFERROR(IF(INDEX(Suppliers!$A$9:$A$508,MATCH(D163,Suppliers!$D$9:$D$508,0))=C163,"OK","Contact / supplier mismatch"),"Contact missing"))</f>
        <v/>
      </c>
      <c r="AP163" s="14" t="str">
        <f>IF(OR(A163="",IFERROR(INDEX(Jobs!$P$9:$P$258,MATCH(B163,Jobs!$A$9:$A$258,0)),"")=""),"",HYPERLINK("#'"&amp;IFERROR(INDEX(Jobs!$P$9:$P$258,MATCH(B163,Jobs!$A$9:$A$258,0)),"")&amp;"'!A1","OPEN JOB"))</f>
        <v/>
      </c>
      <c r="AQ163" s="14"/>
      <c r="AR163" s="14"/>
      <c r="AS163" t="str">
        <f t="shared" si="34"/>
        <v/>
      </c>
      <c r="AT163" t="str">
        <f t="shared" si="35"/>
        <v/>
      </c>
    </row>
    <row r="164" spans="1:46" ht="40" customHeight="1" x14ac:dyDescent="0.35">
      <c r="A164" s="18"/>
      <c r="B164" s="37"/>
      <c r="C164" s="18"/>
      <c r="D164" s="15"/>
      <c r="E164" s="15"/>
      <c r="F164" s="15"/>
      <c r="G164" s="24"/>
      <c r="H164" s="24"/>
      <c r="I164" s="15"/>
      <c r="J164" s="17"/>
      <c r="K164" s="17"/>
      <c r="L164" s="17"/>
      <c r="M164" s="15"/>
      <c r="N164" s="15"/>
      <c r="O164" s="15"/>
      <c r="P164" s="15"/>
      <c r="Q164" s="15"/>
      <c r="R164" s="15"/>
      <c r="S164" s="18"/>
      <c r="T164" s="18"/>
      <c r="U164" s="18" t="str">
        <f>IF(A164="","",IFERROR(IF(LEN(INDEX(Suppliers!$B$9:$B$508,MATCH(C164,Suppliers!$A$9:$A$508,0))&amp;"")=0,"",INDEX(Suppliers!$B$9:$B$508,MATCH(C164,Suppliers!$A$9:$A$508,0))),""))</f>
        <v/>
      </c>
      <c r="V164" s="18" t="str">
        <f>IF(A164="","",IFERROR(IF(LEN(INDEX(Suppliers!$E$9:$E$508,MATCH(D164,Suppliers!$D$9:$D$508,0))&amp;"")=0,"",INDEX(Suppliers!$E$9:$E$508,MATCH(D164,Suppliers!$D$9:$D$508,0))),""))</f>
        <v/>
      </c>
      <c r="W164" s="18" t="str">
        <f>IF(A164="","",IFERROR(IF(LEN(INDEX(Suppliers!$F$9:$F$508,MATCH(D164,Suppliers!$D$9:$D$508,0))&amp;"")=0,"",INDEX(Suppliers!$F$9:$F$508,MATCH(D164,Suppliers!$D$9:$D$508,0))),""))</f>
        <v/>
      </c>
      <c r="X164" s="18" t="str">
        <f>IF(A164="","",IFERROR(IF(LEN(INDEX(Suppliers!$G$9:$G$508,MATCH(D164,Suppliers!$D$9:$D$508,0))&amp;"")=0,"",INDEX(Suppliers!$G$9:$G$508,MATCH(D164,Suppliers!$D$9:$D$508,0))),""))</f>
        <v/>
      </c>
      <c r="Y164" s="18" t="str">
        <f>IF(A164="","",IFERROR(INDEX(Jobs!$C$9:$C$258,MATCH(B164,Jobs!$A$9:$A$258,0)),""))</f>
        <v/>
      </c>
      <c r="Z164" s="18" t="str">
        <f>IF(A164="","",IFERROR(INDEX(Jobs!$B$9:$B$258,MATCH(B164,Jobs!$A$9:$A$258,0)),""))</f>
        <v/>
      </c>
      <c r="AA164" s="19" t="str">
        <f>IF(A164="","",IFERROR(VLOOKUP(I164,Lists!$E$9:$F$14,2,FALSE),0))</f>
        <v/>
      </c>
      <c r="AB164" s="19" t="str">
        <f t="shared" si="24"/>
        <v/>
      </c>
      <c r="AC164" s="19" t="str">
        <f t="shared" si="25"/>
        <v/>
      </c>
      <c r="AD164" s="19" t="str">
        <f t="shared" si="26"/>
        <v/>
      </c>
      <c r="AE164" s="19" t="str">
        <f t="shared" si="27"/>
        <v/>
      </c>
      <c r="AF164" s="19" t="str">
        <f t="shared" si="28"/>
        <v/>
      </c>
      <c r="AG164" s="27" t="str">
        <f t="shared" si="29"/>
        <v/>
      </c>
      <c r="AH164" s="19" t="str">
        <f t="shared" si="30"/>
        <v/>
      </c>
      <c r="AI164" s="19" t="str">
        <f t="shared" si="31"/>
        <v/>
      </c>
      <c r="AJ164" s="19" t="str">
        <f t="shared" si="32"/>
        <v/>
      </c>
      <c r="AK164" s="18" t="str">
        <f>IF(AND(A164&lt;&gt;"",F164="Selected"),COUNTIF($F$9:F164,"Selected"),"")</f>
        <v/>
      </c>
      <c r="AL164" s="18" t="str">
        <f>IF(A164="","",COUNTIF($B$9:B164,B164))</f>
        <v/>
      </c>
      <c r="AM164" s="18" t="str">
        <f>IF(A164="","",IF(COUNTIF(Jobs!$A$9:$A$258,B164)&lt;&gt;1,"Check JobID",IF(COUNTIF(Suppliers!$D$9:$D$508,D164)&lt;&gt;1,"Check contact",IF(AA164&lt;=0,"Currency / FX missing",IF(NOT(ISNUMBER(G164)),"Original price missing",IF(G164&lt;0,"Invalid original price",IF(AND(H164&lt;&gt;"",NOT(ISNUMBER(H164))),"Invalid final price",IF(AND(ISNUMBER(H164),H164&lt;0),"Invalid final price",IF(AND(F164="Selected",COUNTIFS($B$9:$B$258,B164,$E$9:$E$258,E164,$F$9:$F$258,"Selected")&gt;1),"Selected scope overlap",IF(AND(ISNUMBER(H164),H164&gt;G164),"Price increased",IF(LEN(H164&amp;"")=0,"Final price pending","OK")))))))))))</f>
        <v/>
      </c>
      <c r="AN164" s="19" t="str">
        <f t="shared" si="33"/>
        <v/>
      </c>
      <c r="AO164" s="18" t="str">
        <f>IF(A164="","",IFERROR(IF(INDEX(Suppliers!$A$9:$A$508,MATCH(D164,Suppliers!$D$9:$D$508,0))=C164,"OK","Contact / supplier mismatch"),"Contact missing"))</f>
        <v/>
      </c>
      <c r="AP164" s="18" t="str">
        <f>IF(OR(A164="",IFERROR(INDEX(Jobs!$P$9:$P$258,MATCH(B164,Jobs!$A$9:$A$258,0)),"")=""),"",HYPERLINK("#'"&amp;IFERROR(INDEX(Jobs!$P$9:$P$258,MATCH(B164,Jobs!$A$9:$A$258,0)),"")&amp;"'!A1","OPEN JOB"))</f>
        <v/>
      </c>
      <c r="AQ164" s="18"/>
      <c r="AR164" s="18"/>
      <c r="AS164" t="str">
        <f t="shared" si="34"/>
        <v/>
      </c>
      <c r="AT164" t="str">
        <f t="shared" si="35"/>
        <v/>
      </c>
    </row>
    <row r="165" spans="1:46" ht="40" customHeight="1" x14ac:dyDescent="0.35">
      <c r="A165" s="14"/>
      <c r="B165" s="37"/>
      <c r="C165" s="14"/>
      <c r="D165" s="15"/>
      <c r="E165" s="15"/>
      <c r="F165" s="15"/>
      <c r="G165" s="24"/>
      <c r="H165" s="24"/>
      <c r="I165" s="15"/>
      <c r="J165" s="17"/>
      <c r="K165" s="17"/>
      <c r="L165" s="17"/>
      <c r="M165" s="15"/>
      <c r="N165" s="15"/>
      <c r="O165" s="15"/>
      <c r="P165" s="15"/>
      <c r="Q165" s="15"/>
      <c r="R165" s="15"/>
      <c r="S165" s="14"/>
      <c r="T165" s="14"/>
      <c r="U165" s="14" t="str">
        <f>IF(A165="","",IFERROR(IF(LEN(INDEX(Suppliers!$B$9:$B$508,MATCH(C165,Suppliers!$A$9:$A$508,0))&amp;"")=0,"",INDEX(Suppliers!$B$9:$B$508,MATCH(C165,Suppliers!$A$9:$A$508,0))),""))</f>
        <v/>
      </c>
      <c r="V165" s="14" t="str">
        <f>IF(A165="","",IFERROR(IF(LEN(INDEX(Suppliers!$E$9:$E$508,MATCH(D165,Suppliers!$D$9:$D$508,0))&amp;"")=0,"",INDEX(Suppliers!$E$9:$E$508,MATCH(D165,Suppliers!$D$9:$D$508,0))),""))</f>
        <v/>
      </c>
      <c r="W165" s="14" t="str">
        <f>IF(A165="","",IFERROR(IF(LEN(INDEX(Suppliers!$F$9:$F$508,MATCH(D165,Suppliers!$D$9:$D$508,0))&amp;"")=0,"",INDEX(Suppliers!$F$9:$F$508,MATCH(D165,Suppliers!$D$9:$D$508,0))),""))</f>
        <v/>
      </c>
      <c r="X165" s="14" t="str">
        <f>IF(A165="","",IFERROR(IF(LEN(INDEX(Suppliers!$G$9:$G$508,MATCH(D165,Suppliers!$D$9:$D$508,0))&amp;"")=0,"",INDEX(Suppliers!$G$9:$G$508,MATCH(D165,Suppliers!$D$9:$D$508,0))),""))</f>
        <v/>
      </c>
      <c r="Y165" s="14" t="str">
        <f>IF(A165="","",IFERROR(INDEX(Jobs!$C$9:$C$258,MATCH(B165,Jobs!$A$9:$A$258,0)),""))</f>
        <v/>
      </c>
      <c r="Z165" s="14" t="str">
        <f>IF(A165="","",IFERROR(INDEX(Jobs!$B$9:$B$258,MATCH(B165,Jobs!$A$9:$A$258,0)),""))</f>
        <v/>
      </c>
      <c r="AA165" s="16" t="str">
        <f>IF(A165="","",IFERROR(VLOOKUP(I165,Lists!$E$9:$F$14,2,FALSE),0))</f>
        <v/>
      </c>
      <c r="AB165" s="16" t="str">
        <f t="shared" si="24"/>
        <v/>
      </c>
      <c r="AC165" s="16" t="str">
        <f t="shared" si="25"/>
        <v/>
      </c>
      <c r="AD165" s="16" t="str">
        <f t="shared" si="26"/>
        <v/>
      </c>
      <c r="AE165" s="16" t="str">
        <f t="shared" si="27"/>
        <v/>
      </c>
      <c r="AF165" s="16" t="str">
        <f t="shared" si="28"/>
        <v/>
      </c>
      <c r="AG165" s="26" t="str">
        <f t="shared" si="29"/>
        <v/>
      </c>
      <c r="AH165" s="16" t="str">
        <f t="shared" si="30"/>
        <v/>
      </c>
      <c r="AI165" s="16" t="str">
        <f t="shared" si="31"/>
        <v/>
      </c>
      <c r="AJ165" s="16" t="str">
        <f t="shared" si="32"/>
        <v/>
      </c>
      <c r="AK165" s="14" t="str">
        <f>IF(AND(A165&lt;&gt;"",F165="Selected"),COUNTIF($F$9:F165,"Selected"),"")</f>
        <v/>
      </c>
      <c r="AL165" s="14" t="str">
        <f>IF(A165="","",COUNTIF($B$9:B165,B165))</f>
        <v/>
      </c>
      <c r="AM165" s="14" t="str">
        <f>IF(A165="","",IF(COUNTIF(Jobs!$A$9:$A$258,B165)&lt;&gt;1,"Check JobID",IF(COUNTIF(Suppliers!$D$9:$D$508,D165)&lt;&gt;1,"Check contact",IF(AA165&lt;=0,"Currency / FX missing",IF(NOT(ISNUMBER(G165)),"Original price missing",IF(G165&lt;0,"Invalid original price",IF(AND(H165&lt;&gt;"",NOT(ISNUMBER(H165))),"Invalid final price",IF(AND(ISNUMBER(H165),H165&lt;0),"Invalid final price",IF(AND(F165="Selected",COUNTIFS($B$9:$B$258,B165,$E$9:$E$258,E165,$F$9:$F$258,"Selected")&gt;1),"Selected scope overlap",IF(AND(ISNUMBER(H165),H165&gt;G165),"Price increased",IF(LEN(H165&amp;"")=0,"Final price pending","OK")))))))))))</f>
        <v/>
      </c>
      <c r="AN165" s="16" t="str">
        <f t="shared" si="33"/>
        <v/>
      </c>
      <c r="AO165" s="14" t="str">
        <f>IF(A165="","",IFERROR(IF(INDEX(Suppliers!$A$9:$A$508,MATCH(D165,Suppliers!$D$9:$D$508,0))=C165,"OK","Contact / supplier mismatch"),"Contact missing"))</f>
        <v/>
      </c>
      <c r="AP165" s="14" t="str">
        <f>IF(OR(A165="",IFERROR(INDEX(Jobs!$P$9:$P$258,MATCH(B165,Jobs!$A$9:$A$258,0)),"")=""),"",HYPERLINK("#'"&amp;IFERROR(INDEX(Jobs!$P$9:$P$258,MATCH(B165,Jobs!$A$9:$A$258,0)),"")&amp;"'!A1","OPEN JOB"))</f>
        <v/>
      </c>
      <c r="AQ165" s="14"/>
      <c r="AR165" s="14"/>
      <c r="AS165" t="str">
        <f t="shared" si="34"/>
        <v/>
      </c>
      <c r="AT165" t="str">
        <f t="shared" si="35"/>
        <v/>
      </c>
    </row>
    <row r="166" spans="1:46" ht="40" customHeight="1" x14ac:dyDescent="0.35">
      <c r="A166" s="18"/>
      <c r="B166" s="37"/>
      <c r="C166" s="18"/>
      <c r="D166" s="15"/>
      <c r="E166" s="15"/>
      <c r="F166" s="15"/>
      <c r="G166" s="24"/>
      <c r="H166" s="24"/>
      <c r="I166" s="15"/>
      <c r="J166" s="17"/>
      <c r="K166" s="17"/>
      <c r="L166" s="17"/>
      <c r="M166" s="15"/>
      <c r="N166" s="15"/>
      <c r="O166" s="15"/>
      <c r="P166" s="15"/>
      <c r="Q166" s="15"/>
      <c r="R166" s="15"/>
      <c r="S166" s="18"/>
      <c r="T166" s="18"/>
      <c r="U166" s="18" t="str">
        <f>IF(A166="","",IFERROR(IF(LEN(INDEX(Suppliers!$B$9:$B$508,MATCH(C166,Suppliers!$A$9:$A$508,0))&amp;"")=0,"",INDEX(Suppliers!$B$9:$B$508,MATCH(C166,Suppliers!$A$9:$A$508,0))),""))</f>
        <v/>
      </c>
      <c r="V166" s="18" t="str">
        <f>IF(A166="","",IFERROR(IF(LEN(INDEX(Suppliers!$E$9:$E$508,MATCH(D166,Suppliers!$D$9:$D$508,0))&amp;"")=0,"",INDEX(Suppliers!$E$9:$E$508,MATCH(D166,Suppliers!$D$9:$D$508,0))),""))</f>
        <v/>
      </c>
      <c r="W166" s="18" t="str">
        <f>IF(A166="","",IFERROR(IF(LEN(INDEX(Suppliers!$F$9:$F$508,MATCH(D166,Suppliers!$D$9:$D$508,0))&amp;"")=0,"",INDEX(Suppliers!$F$9:$F$508,MATCH(D166,Suppliers!$D$9:$D$508,0))),""))</f>
        <v/>
      </c>
      <c r="X166" s="18" t="str">
        <f>IF(A166="","",IFERROR(IF(LEN(INDEX(Suppliers!$G$9:$G$508,MATCH(D166,Suppliers!$D$9:$D$508,0))&amp;"")=0,"",INDEX(Suppliers!$G$9:$G$508,MATCH(D166,Suppliers!$D$9:$D$508,0))),""))</f>
        <v/>
      </c>
      <c r="Y166" s="18" t="str">
        <f>IF(A166="","",IFERROR(INDEX(Jobs!$C$9:$C$258,MATCH(B166,Jobs!$A$9:$A$258,0)),""))</f>
        <v/>
      </c>
      <c r="Z166" s="18" t="str">
        <f>IF(A166="","",IFERROR(INDEX(Jobs!$B$9:$B$258,MATCH(B166,Jobs!$A$9:$A$258,0)),""))</f>
        <v/>
      </c>
      <c r="AA166" s="19" t="str">
        <f>IF(A166="","",IFERROR(VLOOKUP(I166,Lists!$E$9:$F$14,2,FALSE),0))</f>
        <v/>
      </c>
      <c r="AB166" s="19" t="str">
        <f t="shared" si="24"/>
        <v/>
      </c>
      <c r="AC166" s="19" t="str">
        <f t="shared" si="25"/>
        <v/>
      </c>
      <c r="AD166" s="19" t="str">
        <f t="shared" si="26"/>
        <v/>
      </c>
      <c r="AE166" s="19" t="str">
        <f t="shared" si="27"/>
        <v/>
      </c>
      <c r="AF166" s="19" t="str">
        <f t="shared" si="28"/>
        <v/>
      </c>
      <c r="AG166" s="27" t="str">
        <f t="shared" si="29"/>
        <v/>
      </c>
      <c r="AH166" s="19" t="str">
        <f t="shared" si="30"/>
        <v/>
      </c>
      <c r="AI166" s="19" t="str">
        <f t="shared" si="31"/>
        <v/>
      </c>
      <c r="AJ166" s="19" t="str">
        <f t="shared" si="32"/>
        <v/>
      </c>
      <c r="AK166" s="18" t="str">
        <f>IF(AND(A166&lt;&gt;"",F166="Selected"),COUNTIF($F$9:F166,"Selected"),"")</f>
        <v/>
      </c>
      <c r="AL166" s="18" t="str">
        <f>IF(A166="","",COUNTIF($B$9:B166,B166))</f>
        <v/>
      </c>
      <c r="AM166" s="18" t="str">
        <f>IF(A166="","",IF(COUNTIF(Jobs!$A$9:$A$258,B166)&lt;&gt;1,"Check JobID",IF(COUNTIF(Suppliers!$D$9:$D$508,D166)&lt;&gt;1,"Check contact",IF(AA166&lt;=0,"Currency / FX missing",IF(NOT(ISNUMBER(G166)),"Original price missing",IF(G166&lt;0,"Invalid original price",IF(AND(H166&lt;&gt;"",NOT(ISNUMBER(H166))),"Invalid final price",IF(AND(ISNUMBER(H166),H166&lt;0),"Invalid final price",IF(AND(F166="Selected",COUNTIFS($B$9:$B$258,B166,$E$9:$E$258,E166,$F$9:$F$258,"Selected")&gt;1),"Selected scope overlap",IF(AND(ISNUMBER(H166),H166&gt;G166),"Price increased",IF(LEN(H166&amp;"")=0,"Final price pending","OK")))))))))))</f>
        <v/>
      </c>
      <c r="AN166" s="19" t="str">
        <f t="shared" si="33"/>
        <v/>
      </c>
      <c r="AO166" s="18" t="str">
        <f>IF(A166="","",IFERROR(IF(INDEX(Suppliers!$A$9:$A$508,MATCH(D166,Suppliers!$D$9:$D$508,0))=C166,"OK","Contact / supplier mismatch"),"Contact missing"))</f>
        <v/>
      </c>
      <c r="AP166" s="18" t="str">
        <f>IF(OR(A166="",IFERROR(INDEX(Jobs!$P$9:$P$258,MATCH(B166,Jobs!$A$9:$A$258,0)),"")=""),"",HYPERLINK("#'"&amp;IFERROR(INDEX(Jobs!$P$9:$P$258,MATCH(B166,Jobs!$A$9:$A$258,0)),"")&amp;"'!A1","OPEN JOB"))</f>
        <v/>
      </c>
      <c r="AQ166" s="18"/>
      <c r="AR166" s="18"/>
      <c r="AS166" t="str">
        <f t="shared" si="34"/>
        <v/>
      </c>
      <c r="AT166" t="str">
        <f t="shared" si="35"/>
        <v/>
      </c>
    </row>
    <row r="167" spans="1:46" ht="40" customHeight="1" x14ac:dyDescent="0.35">
      <c r="A167" s="14"/>
      <c r="B167" s="37"/>
      <c r="C167" s="14"/>
      <c r="D167" s="15"/>
      <c r="E167" s="15"/>
      <c r="F167" s="15"/>
      <c r="G167" s="24"/>
      <c r="H167" s="24"/>
      <c r="I167" s="15"/>
      <c r="J167" s="17"/>
      <c r="K167" s="17"/>
      <c r="L167" s="17"/>
      <c r="M167" s="15"/>
      <c r="N167" s="15"/>
      <c r="O167" s="15"/>
      <c r="P167" s="15"/>
      <c r="Q167" s="15"/>
      <c r="R167" s="15"/>
      <c r="S167" s="14"/>
      <c r="T167" s="14"/>
      <c r="U167" s="14" t="str">
        <f>IF(A167="","",IFERROR(IF(LEN(INDEX(Suppliers!$B$9:$B$508,MATCH(C167,Suppliers!$A$9:$A$508,0))&amp;"")=0,"",INDEX(Suppliers!$B$9:$B$508,MATCH(C167,Suppliers!$A$9:$A$508,0))),""))</f>
        <v/>
      </c>
      <c r="V167" s="14" t="str">
        <f>IF(A167="","",IFERROR(IF(LEN(INDEX(Suppliers!$E$9:$E$508,MATCH(D167,Suppliers!$D$9:$D$508,0))&amp;"")=0,"",INDEX(Suppliers!$E$9:$E$508,MATCH(D167,Suppliers!$D$9:$D$508,0))),""))</f>
        <v/>
      </c>
      <c r="W167" s="14" t="str">
        <f>IF(A167="","",IFERROR(IF(LEN(INDEX(Suppliers!$F$9:$F$508,MATCH(D167,Suppliers!$D$9:$D$508,0))&amp;"")=0,"",INDEX(Suppliers!$F$9:$F$508,MATCH(D167,Suppliers!$D$9:$D$508,0))),""))</f>
        <v/>
      </c>
      <c r="X167" s="14" t="str">
        <f>IF(A167="","",IFERROR(IF(LEN(INDEX(Suppliers!$G$9:$G$508,MATCH(D167,Suppliers!$D$9:$D$508,0))&amp;"")=0,"",INDEX(Suppliers!$G$9:$G$508,MATCH(D167,Suppliers!$D$9:$D$508,0))),""))</f>
        <v/>
      </c>
      <c r="Y167" s="14" t="str">
        <f>IF(A167="","",IFERROR(INDEX(Jobs!$C$9:$C$258,MATCH(B167,Jobs!$A$9:$A$258,0)),""))</f>
        <v/>
      </c>
      <c r="Z167" s="14" t="str">
        <f>IF(A167="","",IFERROR(INDEX(Jobs!$B$9:$B$258,MATCH(B167,Jobs!$A$9:$A$258,0)),""))</f>
        <v/>
      </c>
      <c r="AA167" s="16" t="str">
        <f>IF(A167="","",IFERROR(VLOOKUP(I167,Lists!$E$9:$F$14,2,FALSE),0))</f>
        <v/>
      </c>
      <c r="AB167" s="16" t="str">
        <f t="shared" si="24"/>
        <v/>
      </c>
      <c r="AC167" s="16" t="str">
        <f t="shared" si="25"/>
        <v/>
      </c>
      <c r="AD167" s="16" t="str">
        <f t="shared" si="26"/>
        <v/>
      </c>
      <c r="AE167" s="16" t="str">
        <f t="shared" si="27"/>
        <v/>
      </c>
      <c r="AF167" s="16" t="str">
        <f t="shared" si="28"/>
        <v/>
      </c>
      <c r="AG167" s="26" t="str">
        <f t="shared" si="29"/>
        <v/>
      </c>
      <c r="AH167" s="16" t="str">
        <f t="shared" si="30"/>
        <v/>
      </c>
      <c r="AI167" s="16" t="str">
        <f t="shared" si="31"/>
        <v/>
      </c>
      <c r="AJ167" s="16" t="str">
        <f t="shared" si="32"/>
        <v/>
      </c>
      <c r="AK167" s="14" t="str">
        <f>IF(AND(A167&lt;&gt;"",F167="Selected"),COUNTIF($F$9:F167,"Selected"),"")</f>
        <v/>
      </c>
      <c r="AL167" s="14" t="str">
        <f>IF(A167="","",COUNTIF($B$9:B167,B167))</f>
        <v/>
      </c>
      <c r="AM167" s="14" t="str">
        <f>IF(A167="","",IF(COUNTIF(Jobs!$A$9:$A$258,B167)&lt;&gt;1,"Check JobID",IF(COUNTIF(Suppliers!$D$9:$D$508,D167)&lt;&gt;1,"Check contact",IF(AA167&lt;=0,"Currency / FX missing",IF(NOT(ISNUMBER(G167)),"Original price missing",IF(G167&lt;0,"Invalid original price",IF(AND(H167&lt;&gt;"",NOT(ISNUMBER(H167))),"Invalid final price",IF(AND(ISNUMBER(H167),H167&lt;0),"Invalid final price",IF(AND(F167="Selected",COUNTIFS($B$9:$B$258,B167,$E$9:$E$258,E167,$F$9:$F$258,"Selected")&gt;1),"Selected scope overlap",IF(AND(ISNUMBER(H167),H167&gt;G167),"Price increased",IF(LEN(H167&amp;"")=0,"Final price pending","OK")))))))))))</f>
        <v/>
      </c>
      <c r="AN167" s="16" t="str">
        <f t="shared" si="33"/>
        <v/>
      </c>
      <c r="AO167" s="14" t="str">
        <f>IF(A167="","",IFERROR(IF(INDEX(Suppliers!$A$9:$A$508,MATCH(D167,Suppliers!$D$9:$D$508,0))=C167,"OK","Contact / supplier mismatch"),"Contact missing"))</f>
        <v/>
      </c>
      <c r="AP167" s="14" t="str">
        <f>IF(OR(A167="",IFERROR(INDEX(Jobs!$P$9:$P$258,MATCH(B167,Jobs!$A$9:$A$258,0)),"")=""),"",HYPERLINK("#'"&amp;IFERROR(INDEX(Jobs!$P$9:$P$258,MATCH(B167,Jobs!$A$9:$A$258,0)),"")&amp;"'!A1","OPEN JOB"))</f>
        <v/>
      </c>
      <c r="AQ167" s="14"/>
      <c r="AR167" s="14"/>
      <c r="AS167" t="str">
        <f t="shared" si="34"/>
        <v/>
      </c>
      <c r="AT167" t="str">
        <f t="shared" si="35"/>
        <v/>
      </c>
    </row>
    <row r="168" spans="1:46" ht="40" customHeight="1" x14ac:dyDescent="0.35">
      <c r="A168" s="18"/>
      <c r="B168" s="37"/>
      <c r="C168" s="18"/>
      <c r="D168" s="15"/>
      <c r="E168" s="15"/>
      <c r="F168" s="15"/>
      <c r="G168" s="24"/>
      <c r="H168" s="24"/>
      <c r="I168" s="15"/>
      <c r="J168" s="17"/>
      <c r="K168" s="17"/>
      <c r="L168" s="17"/>
      <c r="M168" s="15"/>
      <c r="N168" s="15"/>
      <c r="O168" s="15"/>
      <c r="P168" s="15"/>
      <c r="Q168" s="15"/>
      <c r="R168" s="15"/>
      <c r="S168" s="18"/>
      <c r="T168" s="18"/>
      <c r="U168" s="18" t="str">
        <f>IF(A168="","",IFERROR(IF(LEN(INDEX(Suppliers!$B$9:$B$508,MATCH(C168,Suppliers!$A$9:$A$508,0))&amp;"")=0,"",INDEX(Suppliers!$B$9:$B$508,MATCH(C168,Suppliers!$A$9:$A$508,0))),""))</f>
        <v/>
      </c>
      <c r="V168" s="18" t="str">
        <f>IF(A168="","",IFERROR(IF(LEN(INDEX(Suppliers!$E$9:$E$508,MATCH(D168,Suppliers!$D$9:$D$508,0))&amp;"")=0,"",INDEX(Suppliers!$E$9:$E$508,MATCH(D168,Suppliers!$D$9:$D$508,0))),""))</f>
        <v/>
      </c>
      <c r="W168" s="18" t="str">
        <f>IF(A168="","",IFERROR(IF(LEN(INDEX(Suppliers!$F$9:$F$508,MATCH(D168,Suppliers!$D$9:$D$508,0))&amp;"")=0,"",INDEX(Suppliers!$F$9:$F$508,MATCH(D168,Suppliers!$D$9:$D$508,0))),""))</f>
        <v/>
      </c>
      <c r="X168" s="18" t="str">
        <f>IF(A168="","",IFERROR(IF(LEN(INDEX(Suppliers!$G$9:$G$508,MATCH(D168,Suppliers!$D$9:$D$508,0))&amp;"")=0,"",INDEX(Suppliers!$G$9:$G$508,MATCH(D168,Suppliers!$D$9:$D$508,0))),""))</f>
        <v/>
      </c>
      <c r="Y168" s="18" t="str">
        <f>IF(A168="","",IFERROR(INDEX(Jobs!$C$9:$C$258,MATCH(B168,Jobs!$A$9:$A$258,0)),""))</f>
        <v/>
      </c>
      <c r="Z168" s="18" t="str">
        <f>IF(A168="","",IFERROR(INDEX(Jobs!$B$9:$B$258,MATCH(B168,Jobs!$A$9:$A$258,0)),""))</f>
        <v/>
      </c>
      <c r="AA168" s="19" t="str">
        <f>IF(A168="","",IFERROR(VLOOKUP(I168,Lists!$E$9:$F$14,2,FALSE),0))</f>
        <v/>
      </c>
      <c r="AB168" s="19" t="str">
        <f t="shared" si="24"/>
        <v/>
      </c>
      <c r="AC168" s="19" t="str">
        <f t="shared" si="25"/>
        <v/>
      </c>
      <c r="AD168" s="19" t="str">
        <f t="shared" si="26"/>
        <v/>
      </c>
      <c r="AE168" s="19" t="str">
        <f t="shared" si="27"/>
        <v/>
      </c>
      <c r="AF168" s="19" t="str">
        <f t="shared" si="28"/>
        <v/>
      </c>
      <c r="AG168" s="27" t="str">
        <f t="shared" si="29"/>
        <v/>
      </c>
      <c r="AH168" s="19" t="str">
        <f t="shared" si="30"/>
        <v/>
      </c>
      <c r="AI168" s="19" t="str">
        <f t="shared" si="31"/>
        <v/>
      </c>
      <c r="AJ168" s="19" t="str">
        <f t="shared" si="32"/>
        <v/>
      </c>
      <c r="AK168" s="18" t="str">
        <f>IF(AND(A168&lt;&gt;"",F168="Selected"),COUNTIF($F$9:F168,"Selected"),"")</f>
        <v/>
      </c>
      <c r="AL168" s="18" t="str">
        <f>IF(A168="","",COUNTIF($B$9:B168,B168))</f>
        <v/>
      </c>
      <c r="AM168" s="18" t="str">
        <f>IF(A168="","",IF(COUNTIF(Jobs!$A$9:$A$258,B168)&lt;&gt;1,"Check JobID",IF(COUNTIF(Suppliers!$D$9:$D$508,D168)&lt;&gt;1,"Check contact",IF(AA168&lt;=0,"Currency / FX missing",IF(NOT(ISNUMBER(G168)),"Original price missing",IF(G168&lt;0,"Invalid original price",IF(AND(H168&lt;&gt;"",NOT(ISNUMBER(H168))),"Invalid final price",IF(AND(ISNUMBER(H168),H168&lt;0),"Invalid final price",IF(AND(F168="Selected",COUNTIFS($B$9:$B$258,B168,$E$9:$E$258,E168,$F$9:$F$258,"Selected")&gt;1),"Selected scope overlap",IF(AND(ISNUMBER(H168),H168&gt;G168),"Price increased",IF(LEN(H168&amp;"")=0,"Final price pending","OK")))))))))))</f>
        <v/>
      </c>
      <c r="AN168" s="19" t="str">
        <f t="shared" si="33"/>
        <v/>
      </c>
      <c r="AO168" s="18" t="str">
        <f>IF(A168="","",IFERROR(IF(INDEX(Suppliers!$A$9:$A$508,MATCH(D168,Suppliers!$D$9:$D$508,0))=C168,"OK","Contact / supplier mismatch"),"Contact missing"))</f>
        <v/>
      </c>
      <c r="AP168" s="18" t="str">
        <f>IF(OR(A168="",IFERROR(INDEX(Jobs!$P$9:$P$258,MATCH(B168,Jobs!$A$9:$A$258,0)),"")=""),"",HYPERLINK("#'"&amp;IFERROR(INDEX(Jobs!$P$9:$P$258,MATCH(B168,Jobs!$A$9:$A$258,0)),"")&amp;"'!A1","OPEN JOB"))</f>
        <v/>
      </c>
      <c r="AQ168" s="18"/>
      <c r="AR168" s="18"/>
      <c r="AS168" t="str">
        <f t="shared" si="34"/>
        <v/>
      </c>
      <c r="AT168" t="str">
        <f t="shared" si="35"/>
        <v/>
      </c>
    </row>
    <row r="169" spans="1:46" ht="40" customHeight="1" x14ac:dyDescent="0.35">
      <c r="A169" s="14"/>
      <c r="B169" s="37"/>
      <c r="C169" s="14"/>
      <c r="D169" s="15"/>
      <c r="E169" s="15"/>
      <c r="F169" s="15"/>
      <c r="G169" s="24"/>
      <c r="H169" s="24"/>
      <c r="I169" s="15"/>
      <c r="J169" s="17"/>
      <c r="K169" s="17"/>
      <c r="L169" s="17"/>
      <c r="M169" s="15"/>
      <c r="N169" s="15"/>
      <c r="O169" s="15"/>
      <c r="P169" s="15"/>
      <c r="Q169" s="15"/>
      <c r="R169" s="15"/>
      <c r="S169" s="14"/>
      <c r="T169" s="14"/>
      <c r="U169" s="14" t="str">
        <f>IF(A169="","",IFERROR(IF(LEN(INDEX(Suppliers!$B$9:$B$508,MATCH(C169,Suppliers!$A$9:$A$508,0))&amp;"")=0,"",INDEX(Suppliers!$B$9:$B$508,MATCH(C169,Suppliers!$A$9:$A$508,0))),""))</f>
        <v/>
      </c>
      <c r="V169" s="14" t="str">
        <f>IF(A169="","",IFERROR(IF(LEN(INDEX(Suppliers!$E$9:$E$508,MATCH(D169,Suppliers!$D$9:$D$508,0))&amp;"")=0,"",INDEX(Suppliers!$E$9:$E$508,MATCH(D169,Suppliers!$D$9:$D$508,0))),""))</f>
        <v/>
      </c>
      <c r="W169" s="14" t="str">
        <f>IF(A169="","",IFERROR(IF(LEN(INDEX(Suppliers!$F$9:$F$508,MATCH(D169,Suppliers!$D$9:$D$508,0))&amp;"")=0,"",INDEX(Suppliers!$F$9:$F$508,MATCH(D169,Suppliers!$D$9:$D$508,0))),""))</f>
        <v/>
      </c>
      <c r="X169" s="14" t="str">
        <f>IF(A169="","",IFERROR(IF(LEN(INDEX(Suppliers!$G$9:$G$508,MATCH(D169,Suppliers!$D$9:$D$508,0))&amp;"")=0,"",INDEX(Suppliers!$G$9:$G$508,MATCH(D169,Suppliers!$D$9:$D$508,0))),""))</f>
        <v/>
      </c>
      <c r="Y169" s="14" t="str">
        <f>IF(A169="","",IFERROR(INDEX(Jobs!$C$9:$C$258,MATCH(B169,Jobs!$A$9:$A$258,0)),""))</f>
        <v/>
      </c>
      <c r="Z169" s="14" t="str">
        <f>IF(A169="","",IFERROR(INDEX(Jobs!$B$9:$B$258,MATCH(B169,Jobs!$A$9:$A$258,0)),""))</f>
        <v/>
      </c>
      <c r="AA169" s="16" t="str">
        <f>IF(A169="","",IFERROR(VLOOKUP(I169,Lists!$E$9:$F$14,2,FALSE),0))</f>
        <v/>
      </c>
      <c r="AB169" s="16" t="str">
        <f t="shared" si="24"/>
        <v/>
      </c>
      <c r="AC169" s="16" t="str">
        <f t="shared" si="25"/>
        <v/>
      </c>
      <c r="AD169" s="16" t="str">
        <f t="shared" si="26"/>
        <v/>
      </c>
      <c r="AE169" s="16" t="str">
        <f t="shared" si="27"/>
        <v/>
      </c>
      <c r="AF169" s="16" t="str">
        <f t="shared" si="28"/>
        <v/>
      </c>
      <c r="AG169" s="26" t="str">
        <f t="shared" si="29"/>
        <v/>
      </c>
      <c r="AH169" s="16" t="str">
        <f t="shared" si="30"/>
        <v/>
      </c>
      <c r="AI169" s="16" t="str">
        <f t="shared" si="31"/>
        <v/>
      </c>
      <c r="AJ169" s="16" t="str">
        <f t="shared" si="32"/>
        <v/>
      </c>
      <c r="AK169" s="14" t="str">
        <f>IF(AND(A169&lt;&gt;"",F169="Selected"),COUNTIF($F$9:F169,"Selected"),"")</f>
        <v/>
      </c>
      <c r="AL169" s="14" t="str">
        <f>IF(A169="","",COUNTIF($B$9:B169,B169))</f>
        <v/>
      </c>
      <c r="AM169" s="14" t="str">
        <f>IF(A169="","",IF(COUNTIF(Jobs!$A$9:$A$258,B169)&lt;&gt;1,"Check JobID",IF(COUNTIF(Suppliers!$D$9:$D$508,D169)&lt;&gt;1,"Check contact",IF(AA169&lt;=0,"Currency / FX missing",IF(NOT(ISNUMBER(G169)),"Original price missing",IF(G169&lt;0,"Invalid original price",IF(AND(H169&lt;&gt;"",NOT(ISNUMBER(H169))),"Invalid final price",IF(AND(ISNUMBER(H169),H169&lt;0),"Invalid final price",IF(AND(F169="Selected",COUNTIFS($B$9:$B$258,B169,$E$9:$E$258,E169,$F$9:$F$258,"Selected")&gt;1),"Selected scope overlap",IF(AND(ISNUMBER(H169),H169&gt;G169),"Price increased",IF(LEN(H169&amp;"")=0,"Final price pending","OK")))))))))))</f>
        <v/>
      </c>
      <c r="AN169" s="16" t="str">
        <f t="shared" si="33"/>
        <v/>
      </c>
      <c r="AO169" s="14" t="str">
        <f>IF(A169="","",IFERROR(IF(INDEX(Suppliers!$A$9:$A$508,MATCH(D169,Suppliers!$D$9:$D$508,0))=C169,"OK","Contact / supplier mismatch"),"Contact missing"))</f>
        <v/>
      </c>
      <c r="AP169" s="14" t="str">
        <f>IF(OR(A169="",IFERROR(INDEX(Jobs!$P$9:$P$258,MATCH(B169,Jobs!$A$9:$A$258,0)),"")=""),"",HYPERLINK("#'"&amp;IFERROR(INDEX(Jobs!$P$9:$P$258,MATCH(B169,Jobs!$A$9:$A$258,0)),"")&amp;"'!A1","OPEN JOB"))</f>
        <v/>
      </c>
      <c r="AQ169" s="14"/>
      <c r="AR169" s="14"/>
      <c r="AS169" t="str">
        <f t="shared" si="34"/>
        <v/>
      </c>
      <c r="AT169" t="str">
        <f t="shared" si="35"/>
        <v/>
      </c>
    </row>
    <row r="170" spans="1:46" ht="40" customHeight="1" x14ac:dyDescent="0.35">
      <c r="A170" s="18"/>
      <c r="B170" s="37"/>
      <c r="C170" s="18"/>
      <c r="D170" s="15"/>
      <c r="E170" s="15"/>
      <c r="F170" s="15"/>
      <c r="G170" s="24"/>
      <c r="H170" s="24"/>
      <c r="I170" s="15"/>
      <c r="J170" s="17"/>
      <c r="K170" s="17"/>
      <c r="L170" s="17"/>
      <c r="M170" s="15"/>
      <c r="N170" s="15"/>
      <c r="O170" s="15"/>
      <c r="P170" s="15"/>
      <c r="Q170" s="15"/>
      <c r="R170" s="15"/>
      <c r="S170" s="18"/>
      <c r="T170" s="18"/>
      <c r="U170" s="18" t="str">
        <f>IF(A170="","",IFERROR(IF(LEN(INDEX(Suppliers!$B$9:$B$508,MATCH(C170,Suppliers!$A$9:$A$508,0))&amp;"")=0,"",INDEX(Suppliers!$B$9:$B$508,MATCH(C170,Suppliers!$A$9:$A$508,0))),""))</f>
        <v/>
      </c>
      <c r="V170" s="18" t="str">
        <f>IF(A170="","",IFERROR(IF(LEN(INDEX(Suppliers!$E$9:$E$508,MATCH(D170,Suppliers!$D$9:$D$508,0))&amp;"")=0,"",INDEX(Suppliers!$E$9:$E$508,MATCH(D170,Suppliers!$D$9:$D$508,0))),""))</f>
        <v/>
      </c>
      <c r="W170" s="18" t="str">
        <f>IF(A170="","",IFERROR(IF(LEN(INDEX(Suppliers!$F$9:$F$508,MATCH(D170,Suppliers!$D$9:$D$508,0))&amp;"")=0,"",INDEX(Suppliers!$F$9:$F$508,MATCH(D170,Suppliers!$D$9:$D$508,0))),""))</f>
        <v/>
      </c>
      <c r="X170" s="18" t="str">
        <f>IF(A170="","",IFERROR(IF(LEN(INDEX(Suppliers!$G$9:$G$508,MATCH(D170,Suppliers!$D$9:$D$508,0))&amp;"")=0,"",INDEX(Suppliers!$G$9:$G$508,MATCH(D170,Suppliers!$D$9:$D$508,0))),""))</f>
        <v/>
      </c>
      <c r="Y170" s="18" t="str">
        <f>IF(A170="","",IFERROR(INDEX(Jobs!$C$9:$C$258,MATCH(B170,Jobs!$A$9:$A$258,0)),""))</f>
        <v/>
      </c>
      <c r="Z170" s="18" t="str">
        <f>IF(A170="","",IFERROR(INDEX(Jobs!$B$9:$B$258,MATCH(B170,Jobs!$A$9:$A$258,0)),""))</f>
        <v/>
      </c>
      <c r="AA170" s="19" t="str">
        <f>IF(A170="","",IFERROR(VLOOKUP(I170,Lists!$E$9:$F$14,2,FALSE),0))</f>
        <v/>
      </c>
      <c r="AB170" s="19" t="str">
        <f t="shared" si="24"/>
        <v/>
      </c>
      <c r="AC170" s="19" t="str">
        <f t="shared" si="25"/>
        <v/>
      </c>
      <c r="AD170" s="19" t="str">
        <f t="shared" si="26"/>
        <v/>
      </c>
      <c r="AE170" s="19" t="str">
        <f t="shared" si="27"/>
        <v/>
      </c>
      <c r="AF170" s="19" t="str">
        <f t="shared" si="28"/>
        <v/>
      </c>
      <c r="AG170" s="27" t="str">
        <f t="shared" si="29"/>
        <v/>
      </c>
      <c r="AH170" s="19" t="str">
        <f t="shared" si="30"/>
        <v/>
      </c>
      <c r="AI170" s="19" t="str">
        <f t="shared" si="31"/>
        <v/>
      </c>
      <c r="AJ170" s="19" t="str">
        <f t="shared" si="32"/>
        <v/>
      </c>
      <c r="AK170" s="18" t="str">
        <f>IF(AND(A170&lt;&gt;"",F170="Selected"),COUNTIF($F$9:F170,"Selected"),"")</f>
        <v/>
      </c>
      <c r="AL170" s="18" t="str">
        <f>IF(A170="","",COUNTIF($B$9:B170,B170))</f>
        <v/>
      </c>
      <c r="AM170" s="18" t="str">
        <f>IF(A170="","",IF(COUNTIF(Jobs!$A$9:$A$258,B170)&lt;&gt;1,"Check JobID",IF(COUNTIF(Suppliers!$D$9:$D$508,D170)&lt;&gt;1,"Check contact",IF(AA170&lt;=0,"Currency / FX missing",IF(NOT(ISNUMBER(G170)),"Original price missing",IF(G170&lt;0,"Invalid original price",IF(AND(H170&lt;&gt;"",NOT(ISNUMBER(H170))),"Invalid final price",IF(AND(ISNUMBER(H170),H170&lt;0),"Invalid final price",IF(AND(F170="Selected",COUNTIFS($B$9:$B$258,B170,$E$9:$E$258,E170,$F$9:$F$258,"Selected")&gt;1),"Selected scope overlap",IF(AND(ISNUMBER(H170),H170&gt;G170),"Price increased",IF(LEN(H170&amp;"")=0,"Final price pending","OK")))))))))))</f>
        <v/>
      </c>
      <c r="AN170" s="19" t="str">
        <f t="shared" si="33"/>
        <v/>
      </c>
      <c r="AO170" s="18" t="str">
        <f>IF(A170="","",IFERROR(IF(INDEX(Suppliers!$A$9:$A$508,MATCH(D170,Suppliers!$D$9:$D$508,0))=C170,"OK","Contact / supplier mismatch"),"Contact missing"))</f>
        <v/>
      </c>
      <c r="AP170" s="18" t="str">
        <f>IF(OR(A170="",IFERROR(INDEX(Jobs!$P$9:$P$258,MATCH(B170,Jobs!$A$9:$A$258,0)),"")=""),"",HYPERLINK("#'"&amp;IFERROR(INDEX(Jobs!$P$9:$P$258,MATCH(B170,Jobs!$A$9:$A$258,0)),"")&amp;"'!A1","OPEN JOB"))</f>
        <v/>
      </c>
      <c r="AQ170" s="18"/>
      <c r="AR170" s="18"/>
      <c r="AS170" t="str">
        <f t="shared" si="34"/>
        <v/>
      </c>
      <c r="AT170" t="str">
        <f t="shared" si="35"/>
        <v/>
      </c>
    </row>
    <row r="171" spans="1:46" ht="40" customHeight="1" x14ac:dyDescent="0.35">
      <c r="A171" s="14"/>
      <c r="B171" s="37"/>
      <c r="C171" s="14"/>
      <c r="D171" s="15"/>
      <c r="E171" s="15"/>
      <c r="F171" s="15"/>
      <c r="G171" s="24"/>
      <c r="H171" s="24"/>
      <c r="I171" s="15"/>
      <c r="J171" s="17"/>
      <c r="K171" s="17"/>
      <c r="L171" s="17"/>
      <c r="M171" s="15"/>
      <c r="N171" s="15"/>
      <c r="O171" s="15"/>
      <c r="P171" s="15"/>
      <c r="Q171" s="15"/>
      <c r="R171" s="15"/>
      <c r="S171" s="14"/>
      <c r="T171" s="14"/>
      <c r="U171" s="14" t="str">
        <f>IF(A171="","",IFERROR(IF(LEN(INDEX(Suppliers!$B$9:$B$508,MATCH(C171,Suppliers!$A$9:$A$508,0))&amp;"")=0,"",INDEX(Suppliers!$B$9:$B$508,MATCH(C171,Suppliers!$A$9:$A$508,0))),""))</f>
        <v/>
      </c>
      <c r="V171" s="14" t="str">
        <f>IF(A171="","",IFERROR(IF(LEN(INDEX(Suppliers!$E$9:$E$508,MATCH(D171,Suppliers!$D$9:$D$508,0))&amp;"")=0,"",INDEX(Suppliers!$E$9:$E$508,MATCH(D171,Suppliers!$D$9:$D$508,0))),""))</f>
        <v/>
      </c>
      <c r="W171" s="14" t="str">
        <f>IF(A171="","",IFERROR(IF(LEN(INDEX(Suppliers!$F$9:$F$508,MATCH(D171,Suppliers!$D$9:$D$508,0))&amp;"")=0,"",INDEX(Suppliers!$F$9:$F$508,MATCH(D171,Suppliers!$D$9:$D$508,0))),""))</f>
        <v/>
      </c>
      <c r="X171" s="14" t="str">
        <f>IF(A171="","",IFERROR(IF(LEN(INDEX(Suppliers!$G$9:$G$508,MATCH(D171,Suppliers!$D$9:$D$508,0))&amp;"")=0,"",INDEX(Suppliers!$G$9:$G$508,MATCH(D171,Suppliers!$D$9:$D$508,0))),""))</f>
        <v/>
      </c>
      <c r="Y171" s="14" t="str">
        <f>IF(A171="","",IFERROR(INDEX(Jobs!$C$9:$C$258,MATCH(B171,Jobs!$A$9:$A$258,0)),""))</f>
        <v/>
      </c>
      <c r="Z171" s="14" t="str">
        <f>IF(A171="","",IFERROR(INDEX(Jobs!$B$9:$B$258,MATCH(B171,Jobs!$A$9:$A$258,0)),""))</f>
        <v/>
      </c>
      <c r="AA171" s="16" t="str">
        <f>IF(A171="","",IFERROR(VLOOKUP(I171,Lists!$E$9:$F$14,2,FALSE),0))</f>
        <v/>
      </c>
      <c r="AB171" s="16" t="str">
        <f t="shared" si="24"/>
        <v/>
      </c>
      <c r="AC171" s="16" t="str">
        <f t="shared" si="25"/>
        <v/>
      </c>
      <c r="AD171" s="16" t="str">
        <f t="shared" si="26"/>
        <v/>
      </c>
      <c r="AE171" s="16" t="str">
        <f t="shared" si="27"/>
        <v/>
      </c>
      <c r="AF171" s="16" t="str">
        <f t="shared" si="28"/>
        <v/>
      </c>
      <c r="AG171" s="26" t="str">
        <f t="shared" si="29"/>
        <v/>
      </c>
      <c r="AH171" s="16" t="str">
        <f t="shared" si="30"/>
        <v/>
      </c>
      <c r="AI171" s="16" t="str">
        <f t="shared" si="31"/>
        <v/>
      </c>
      <c r="AJ171" s="16" t="str">
        <f t="shared" si="32"/>
        <v/>
      </c>
      <c r="AK171" s="14" t="str">
        <f>IF(AND(A171&lt;&gt;"",F171="Selected"),COUNTIF($F$9:F171,"Selected"),"")</f>
        <v/>
      </c>
      <c r="AL171" s="14" t="str">
        <f>IF(A171="","",COUNTIF($B$9:B171,B171))</f>
        <v/>
      </c>
      <c r="AM171" s="14" t="str">
        <f>IF(A171="","",IF(COUNTIF(Jobs!$A$9:$A$258,B171)&lt;&gt;1,"Check JobID",IF(COUNTIF(Suppliers!$D$9:$D$508,D171)&lt;&gt;1,"Check contact",IF(AA171&lt;=0,"Currency / FX missing",IF(NOT(ISNUMBER(G171)),"Original price missing",IF(G171&lt;0,"Invalid original price",IF(AND(H171&lt;&gt;"",NOT(ISNUMBER(H171))),"Invalid final price",IF(AND(ISNUMBER(H171),H171&lt;0),"Invalid final price",IF(AND(F171="Selected",COUNTIFS($B$9:$B$258,B171,$E$9:$E$258,E171,$F$9:$F$258,"Selected")&gt;1),"Selected scope overlap",IF(AND(ISNUMBER(H171),H171&gt;G171),"Price increased",IF(LEN(H171&amp;"")=0,"Final price pending","OK")))))))))))</f>
        <v/>
      </c>
      <c r="AN171" s="16" t="str">
        <f t="shared" si="33"/>
        <v/>
      </c>
      <c r="AO171" s="14" t="str">
        <f>IF(A171="","",IFERROR(IF(INDEX(Suppliers!$A$9:$A$508,MATCH(D171,Suppliers!$D$9:$D$508,0))=C171,"OK","Contact / supplier mismatch"),"Contact missing"))</f>
        <v/>
      </c>
      <c r="AP171" s="14" t="str">
        <f>IF(OR(A171="",IFERROR(INDEX(Jobs!$P$9:$P$258,MATCH(B171,Jobs!$A$9:$A$258,0)),"")=""),"",HYPERLINK("#'"&amp;IFERROR(INDEX(Jobs!$P$9:$P$258,MATCH(B171,Jobs!$A$9:$A$258,0)),"")&amp;"'!A1","OPEN JOB"))</f>
        <v/>
      </c>
      <c r="AQ171" s="14"/>
      <c r="AR171" s="14"/>
      <c r="AS171" t="str">
        <f t="shared" si="34"/>
        <v/>
      </c>
      <c r="AT171" t="str">
        <f t="shared" si="35"/>
        <v/>
      </c>
    </row>
    <row r="172" spans="1:46" ht="40" customHeight="1" x14ac:dyDescent="0.35">
      <c r="A172" s="18"/>
      <c r="B172" s="37"/>
      <c r="C172" s="18"/>
      <c r="D172" s="15"/>
      <c r="E172" s="15"/>
      <c r="F172" s="15"/>
      <c r="G172" s="24"/>
      <c r="H172" s="24"/>
      <c r="I172" s="15"/>
      <c r="J172" s="17"/>
      <c r="K172" s="17"/>
      <c r="L172" s="17"/>
      <c r="M172" s="15"/>
      <c r="N172" s="15"/>
      <c r="O172" s="15"/>
      <c r="P172" s="15"/>
      <c r="Q172" s="15"/>
      <c r="R172" s="15"/>
      <c r="S172" s="18"/>
      <c r="T172" s="18"/>
      <c r="U172" s="18" t="str">
        <f>IF(A172="","",IFERROR(IF(LEN(INDEX(Suppliers!$B$9:$B$508,MATCH(C172,Suppliers!$A$9:$A$508,0))&amp;"")=0,"",INDEX(Suppliers!$B$9:$B$508,MATCH(C172,Suppliers!$A$9:$A$508,0))),""))</f>
        <v/>
      </c>
      <c r="V172" s="18" t="str">
        <f>IF(A172="","",IFERROR(IF(LEN(INDEX(Suppliers!$E$9:$E$508,MATCH(D172,Suppliers!$D$9:$D$508,0))&amp;"")=0,"",INDEX(Suppliers!$E$9:$E$508,MATCH(D172,Suppliers!$D$9:$D$508,0))),""))</f>
        <v/>
      </c>
      <c r="W172" s="18" t="str">
        <f>IF(A172="","",IFERROR(IF(LEN(INDEX(Suppliers!$F$9:$F$508,MATCH(D172,Suppliers!$D$9:$D$508,0))&amp;"")=0,"",INDEX(Suppliers!$F$9:$F$508,MATCH(D172,Suppliers!$D$9:$D$508,0))),""))</f>
        <v/>
      </c>
      <c r="X172" s="18" t="str">
        <f>IF(A172="","",IFERROR(IF(LEN(INDEX(Suppliers!$G$9:$G$508,MATCH(D172,Suppliers!$D$9:$D$508,0))&amp;"")=0,"",INDEX(Suppliers!$G$9:$G$508,MATCH(D172,Suppliers!$D$9:$D$508,0))),""))</f>
        <v/>
      </c>
      <c r="Y172" s="18" t="str">
        <f>IF(A172="","",IFERROR(INDEX(Jobs!$C$9:$C$258,MATCH(B172,Jobs!$A$9:$A$258,0)),""))</f>
        <v/>
      </c>
      <c r="Z172" s="18" t="str">
        <f>IF(A172="","",IFERROR(INDEX(Jobs!$B$9:$B$258,MATCH(B172,Jobs!$A$9:$A$258,0)),""))</f>
        <v/>
      </c>
      <c r="AA172" s="19" t="str">
        <f>IF(A172="","",IFERROR(VLOOKUP(I172,Lists!$E$9:$F$14,2,FALSE),0))</f>
        <v/>
      </c>
      <c r="AB172" s="19" t="str">
        <f t="shared" si="24"/>
        <v/>
      </c>
      <c r="AC172" s="19" t="str">
        <f t="shared" si="25"/>
        <v/>
      </c>
      <c r="AD172" s="19" t="str">
        <f t="shared" si="26"/>
        <v/>
      </c>
      <c r="AE172" s="19" t="str">
        <f t="shared" si="27"/>
        <v/>
      </c>
      <c r="AF172" s="19" t="str">
        <f t="shared" si="28"/>
        <v/>
      </c>
      <c r="AG172" s="27" t="str">
        <f t="shared" si="29"/>
        <v/>
      </c>
      <c r="AH172" s="19" t="str">
        <f t="shared" si="30"/>
        <v/>
      </c>
      <c r="AI172" s="19" t="str">
        <f t="shared" si="31"/>
        <v/>
      </c>
      <c r="AJ172" s="19" t="str">
        <f t="shared" si="32"/>
        <v/>
      </c>
      <c r="AK172" s="18" t="str">
        <f>IF(AND(A172&lt;&gt;"",F172="Selected"),COUNTIF($F$9:F172,"Selected"),"")</f>
        <v/>
      </c>
      <c r="AL172" s="18" t="str">
        <f>IF(A172="","",COUNTIF($B$9:B172,B172))</f>
        <v/>
      </c>
      <c r="AM172" s="18" t="str">
        <f>IF(A172="","",IF(COUNTIF(Jobs!$A$9:$A$258,B172)&lt;&gt;1,"Check JobID",IF(COUNTIF(Suppliers!$D$9:$D$508,D172)&lt;&gt;1,"Check contact",IF(AA172&lt;=0,"Currency / FX missing",IF(NOT(ISNUMBER(G172)),"Original price missing",IF(G172&lt;0,"Invalid original price",IF(AND(H172&lt;&gt;"",NOT(ISNUMBER(H172))),"Invalid final price",IF(AND(ISNUMBER(H172),H172&lt;0),"Invalid final price",IF(AND(F172="Selected",COUNTIFS($B$9:$B$258,B172,$E$9:$E$258,E172,$F$9:$F$258,"Selected")&gt;1),"Selected scope overlap",IF(AND(ISNUMBER(H172),H172&gt;G172),"Price increased",IF(LEN(H172&amp;"")=0,"Final price pending","OK")))))))))))</f>
        <v/>
      </c>
      <c r="AN172" s="19" t="str">
        <f t="shared" si="33"/>
        <v/>
      </c>
      <c r="AO172" s="18" t="str">
        <f>IF(A172="","",IFERROR(IF(INDEX(Suppliers!$A$9:$A$508,MATCH(D172,Suppliers!$D$9:$D$508,0))=C172,"OK","Contact / supplier mismatch"),"Contact missing"))</f>
        <v/>
      </c>
      <c r="AP172" s="18" t="str">
        <f>IF(OR(A172="",IFERROR(INDEX(Jobs!$P$9:$P$258,MATCH(B172,Jobs!$A$9:$A$258,0)),"")=""),"",HYPERLINK("#'"&amp;IFERROR(INDEX(Jobs!$P$9:$P$258,MATCH(B172,Jobs!$A$9:$A$258,0)),"")&amp;"'!A1","OPEN JOB"))</f>
        <v/>
      </c>
      <c r="AQ172" s="18"/>
      <c r="AR172" s="18"/>
      <c r="AS172" t="str">
        <f t="shared" si="34"/>
        <v/>
      </c>
      <c r="AT172" t="str">
        <f t="shared" si="35"/>
        <v/>
      </c>
    </row>
    <row r="173" spans="1:46" ht="40" customHeight="1" x14ac:dyDescent="0.35">
      <c r="A173" s="14"/>
      <c r="B173" s="37"/>
      <c r="C173" s="14"/>
      <c r="D173" s="15"/>
      <c r="E173" s="15"/>
      <c r="F173" s="15"/>
      <c r="G173" s="24"/>
      <c r="H173" s="24"/>
      <c r="I173" s="15"/>
      <c r="J173" s="17"/>
      <c r="K173" s="17"/>
      <c r="L173" s="17"/>
      <c r="M173" s="15"/>
      <c r="N173" s="15"/>
      <c r="O173" s="15"/>
      <c r="P173" s="15"/>
      <c r="Q173" s="15"/>
      <c r="R173" s="15"/>
      <c r="S173" s="14"/>
      <c r="T173" s="14"/>
      <c r="U173" s="14" t="str">
        <f>IF(A173="","",IFERROR(IF(LEN(INDEX(Suppliers!$B$9:$B$508,MATCH(C173,Suppliers!$A$9:$A$508,0))&amp;"")=0,"",INDEX(Suppliers!$B$9:$B$508,MATCH(C173,Suppliers!$A$9:$A$508,0))),""))</f>
        <v/>
      </c>
      <c r="V173" s="14" t="str">
        <f>IF(A173="","",IFERROR(IF(LEN(INDEX(Suppliers!$E$9:$E$508,MATCH(D173,Suppliers!$D$9:$D$508,0))&amp;"")=0,"",INDEX(Suppliers!$E$9:$E$508,MATCH(D173,Suppliers!$D$9:$D$508,0))),""))</f>
        <v/>
      </c>
      <c r="W173" s="14" t="str">
        <f>IF(A173="","",IFERROR(IF(LEN(INDEX(Suppliers!$F$9:$F$508,MATCH(D173,Suppliers!$D$9:$D$508,0))&amp;"")=0,"",INDEX(Suppliers!$F$9:$F$508,MATCH(D173,Suppliers!$D$9:$D$508,0))),""))</f>
        <v/>
      </c>
      <c r="X173" s="14" t="str">
        <f>IF(A173="","",IFERROR(IF(LEN(INDEX(Suppliers!$G$9:$G$508,MATCH(D173,Suppliers!$D$9:$D$508,0))&amp;"")=0,"",INDEX(Suppliers!$G$9:$G$508,MATCH(D173,Suppliers!$D$9:$D$508,0))),""))</f>
        <v/>
      </c>
      <c r="Y173" s="14" t="str">
        <f>IF(A173="","",IFERROR(INDEX(Jobs!$C$9:$C$258,MATCH(B173,Jobs!$A$9:$A$258,0)),""))</f>
        <v/>
      </c>
      <c r="Z173" s="14" t="str">
        <f>IF(A173="","",IFERROR(INDEX(Jobs!$B$9:$B$258,MATCH(B173,Jobs!$A$9:$A$258,0)),""))</f>
        <v/>
      </c>
      <c r="AA173" s="16" t="str">
        <f>IF(A173="","",IFERROR(VLOOKUP(I173,Lists!$E$9:$F$14,2,FALSE),0))</f>
        <v/>
      </c>
      <c r="AB173" s="16" t="str">
        <f t="shared" si="24"/>
        <v/>
      </c>
      <c r="AC173" s="16" t="str">
        <f t="shared" si="25"/>
        <v/>
      </c>
      <c r="AD173" s="16" t="str">
        <f t="shared" si="26"/>
        <v/>
      </c>
      <c r="AE173" s="16" t="str">
        <f t="shared" si="27"/>
        <v/>
      </c>
      <c r="AF173" s="16" t="str">
        <f t="shared" si="28"/>
        <v/>
      </c>
      <c r="AG173" s="26" t="str">
        <f t="shared" si="29"/>
        <v/>
      </c>
      <c r="AH173" s="16" t="str">
        <f t="shared" si="30"/>
        <v/>
      </c>
      <c r="AI173" s="16" t="str">
        <f t="shared" si="31"/>
        <v/>
      </c>
      <c r="AJ173" s="16" t="str">
        <f t="shared" si="32"/>
        <v/>
      </c>
      <c r="AK173" s="14" t="str">
        <f>IF(AND(A173&lt;&gt;"",F173="Selected"),COUNTIF($F$9:F173,"Selected"),"")</f>
        <v/>
      </c>
      <c r="AL173" s="14" t="str">
        <f>IF(A173="","",COUNTIF($B$9:B173,B173))</f>
        <v/>
      </c>
      <c r="AM173" s="14" t="str">
        <f>IF(A173="","",IF(COUNTIF(Jobs!$A$9:$A$258,B173)&lt;&gt;1,"Check JobID",IF(COUNTIF(Suppliers!$D$9:$D$508,D173)&lt;&gt;1,"Check contact",IF(AA173&lt;=0,"Currency / FX missing",IF(NOT(ISNUMBER(G173)),"Original price missing",IF(G173&lt;0,"Invalid original price",IF(AND(H173&lt;&gt;"",NOT(ISNUMBER(H173))),"Invalid final price",IF(AND(ISNUMBER(H173),H173&lt;0),"Invalid final price",IF(AND(F173="Selected",COUNTIFS($B$9:$B$258,B173,$E$9:$E$258,E173,$F$9:$F$258,"Selected")&gt;1),"Selected scope overlap",IF(AND(ISNUMBER(H173),H173&gt;G173),"Price increased",IF(LEN(H173&amp;"")=0,"Final price pending","OK")))))))))))</f>
        <v/>
      </c>
      <c r="AN173" s="16" t="str">
        <f t="shared" si="33"/>
        <v/>
      </c>
      <c r="AO173" s="14" t="str">
        <f>IF(A173="","",IFERROR(IF(INDEX(Suppliers!$A$9:$A$508,MATCH(D173,Suppliers!$D$9:$D$508,0))=C173,"OK","Contact / supplier mismatch"),"Contact missing"))</f>
        <v/>
      </c>
      <c r="AP173" s="14" t="str">
        <f>IF(OR(A173="",IFERROR(INDEX(Jobs!$P$9:$P$258,MATCH(B173,Jobs!$A$9:$A$258,0)),"")=""),"",HYPERLINK("#'"&amp;IFERROR(INDEX(Jobs!$P$9:$P$258,MATCH(B173,Jobs!$A$9:$A$258,0)),"")&amp;"'!A1","OPEN JOB"))</f>
        <v/>
      </c>
      <c r="AQ173" s="14"/>
      <c r="AR173" s="14"/>
      <c r="AS173" t="str">
        <f t="shared" si="34"/>
        <v/>
      </c>
      <c r="AT173" t="str">
        <f t="shared" si="35"/>
        <v/>
      </c>
    </row>
    <row r="174" spans="1:46" ht="40" customHeight="1" x14ac:dyDescent="0.35">
      <c r="A174" s="18"/>
      <c r="B174" s="37"/>
      <c r="C174" s="18"/>
      <c r="D174" s="15"/>
      <c r="E174" s="15"/>
      <c r="F174" s="15"/>
      <c r="G174" s="24"/>
      <c r="H174" s="24"/>
      <c r="I174" s="15"/>
      <c r="J174" s="17"/>
      <c r="K174" s="17"/>
      <c r="L174" s="17"/>
      <c r="M174" s="15"/>
      <c r="N174" s="15"/>
      <c r="O174" s="15"/>
      <c r="P174" s="15"/>
      <c r="Q174" s="15"/>
      <c r="R174" s="15"/>
      <c r="S174" s="18"/>
      <c r="T174" s="18"/>
      <c r="U174" s="18" t="str">
        <f>IF(A174="","",IFERROR(IF(LEN(INDEX(Suppliers!$B$9:$B$508,MATCH(C174,Suppliers!$A$9:$A$508,0))&amp;"")=0,"",INDEX(Suppliers!$B$9:$B$508,MATCH(C174,Suppliers!$A$9:$A$508,0))),""))</f>
        <v/>
      </c>
      <c r="V174" s="18" t="str">
        <f>IF(A174="","",IFERROR(IF(LEN(INDEX(Suppliers!$E$9:$E$508,MATCH(D174,Suppliers!$D$9:$D$508,0))&amp;"")=0,"",INDEX(Suppliers!$E$9:$E$508,MATCH(D174,Suppliers!$D$9:$D$508,0))),""))</f>
        <v/>
      </c>
      <c r="W174" s="18" t="str">
        <f>IF(A174="","",IFERROR(IF(LEN(INDEX(Suppliers!$F$9:$F$508,MATCH(D174,Suppliers!$D$9:$D$508,0))&amp;"")=0,"",INDEX(Suppliers!$F$9:$F$508,MATCH(D174,Suppliers!$D$9:$D$508,0))),""))</f>
        <v/>
      </c>
      <c r="X174" s="18" t="str">
        <f>IF(A174="","",IFERROR(IF(LEN(INDEX(Suppliers!$G$9:$G$508,MATCH(D174,Suppliers!$D$9:$D$508,0))&amp;"")=0,"",INDEX(Suppliers!$G$9:$G$508,MATCH(D174,Suppliers!$D$9:$D$508,0))),""))</f>
        <v/>
      </c>
      <c r="Y174" s="18" t="str">
        <f>IF(A174="","",IFERROR(INDEX(Jobs!$C$9:$C$258,MATCH(B174,Jobs!$A$9:$A$258,0)),""))</f>
        <v/>
      </c>
      <c r="Z174" s="18" t="str">
        <f>IF(A174="","",IFERROR(INDEX(Jobs!$B$9:$B$258,MATCH(B174,Jobs!$A$9:$A$258,0)),""))</f>
        <v/>
      </c>
      <c r="AA174" s="19" t="str">
        <f>IF(A174="","",IFERROR(VLOOKUP(I174,Lists!$E$9:$F$14,2,FALSE),0))</f>
        <v/>
      </c>
      <c r="AB174" s="19" t="str">
        <f t="shared" si="24"/>
        <v/>
      </c>
      <c r="AC174" s="19" t="str">
        <f t="shared" si="25"/>
        <v/>
      </c>
      <c r="AD174" s="19" t="str">
        <f t="shared" si="26"/>
        <v/>
      </c>
      <c r="AE174" s="19" t="str">
        <f t="shared" si="27"/>
        <v/>
      </c>
      <c r="AF174" s="19" t="str">
        <f t="shared" si="28"/>
        <v/>
      </c>
      <c r="AG174" s="27" t="str">
        <f t="shared" si="29"/>
        <v/>
      </c>
      <c r="AH174" s="19" t="str">
        <f t="shared" si="30"/>
        <v/>
      </c>
      <c r="AI174" s="19" t="str">
        <f t="shared" si="31"/>
        <v/>
      </c>
      <c r="AJ174" s="19" t="str">
        <f t="shared" si="32"/>
        <v/>
      </c>
      <c r="AK174" s="18" t="str">
        <f>IF(AND(A174&lt;&gt;"",F174="Selected"),COUNTIF($F$9:F174,"Selected"),"")</f>
        <v/>
      </c>
      <c r="AL174" s="18" t="str">
        <f>IF(A174="","",COUNTIF($B$9:B174,B174))</f>
        <v/>
      </c>
      <c r="AM174" s="18" t="str">
        <f>IF(A174="","",IF(COUNTIF(Jobs!$A$9:$A$258,B174)&lt;&gt;1,"Check JobID",IF(COUNTIF(Suppliers!$D$9:$D$508,D174)&lt;&gt;1,"Check contact",IF(AA174&lt;=0,"Currency / FX missing",IF(NOT(ISNUMBER(G174)),"Original price missing",IF(G174&lt;0,"Invalid original price",IF(AND(H174&lt;&gt;"",NOT(ISNUMBER(H174))),"Invalid final price",IF(AND(ISNUMBER(H174),H174&lt;0),"Invalid final price",IF(AND(F174="Selected",COUNTIFS($B$9:$B$258,B174,$E$9:$E$258,E174,$F$9:$F$258,"Selected")&gt;1),"Selected scope overlap",IF(AND(ISNUMBER(H174),H174&gt;G174),"Price increased",IF(LEN(H174&amp;"")=0,"Final price pending","OK")))))))))))</f>
        <v/>
      </c>
      <c r="AN174" s="19" t="str">
        <f t="shared" si="33"/>
        <v/>
      </c>
      <c r="AO174" s="18" t="str">
        <f>IF(A174="","",IFERROR(IF(INDEX(Suppliers!$A$9:$A$508,MATCH(D174,Suppliers!$D$9:$D$508,0))=C174,"OK","Contact / supplier mismatch"),"Contact missing"))</f>
        <v/>
      </c>
      <c r="AP174" s="18" t="str">
        <f>IF(OR(A174="",IFERROR(INDEX(Jobs!$P$9:$P$258,MATCH(B174,Jobs!$A$9:$A$258,0)),"")=""),"",HYPERLINK("#'"&amp;IFERROR(INDEX(Jobs!$P$9:$P$258,MATCH(B174,Jobs!$A$9:$A$258,0)),"")&amp;"'!A1","OPEN JOB"))</f>
        <v/>
      </c>
      <c r="AQ174" s="18"/>
      <c r="AR174" s="18"/>
      <c r="AS174" t="str">
        <f t="shared" si="34"/>
        <v/>
      </c>
      <c r="AT174" t="str">
        <f t="shared" si="35"/>
        <v/>
      </c>
    </row>
    <row r="175" spans="1:46" ht="40" customHeight="1" x14ac:dyDescent="0.35">
      <c r="A175" s="14"/>
      <c r="B175" s="37"/>
      <c r="C175" s="14"/>
      <c r="D175" s="15"/>
      <c r="E175" s="15"/>
      <c r="F175" s="15"/>
      <c r="G175" s="24"/>
      <c r="H175" s="24"/>
      <c r="I175" s="15"/>
      <c r="J175" s="17"/>
      <c r="K175" s="17"/>
      <c r="L175" s="17"/>
      <c r="M175" s="15"/>
      <c r="N175" s="15"/>
      <c r="O175" s="15"/>
      <c r="P175" s="15"/>
      <c r="Q175" s="15"/>
      <c r="R175" s="15"/>
      <c r="S175" s="14"/>
      <c r="T175" s="14"/>
      <c r="U175" s="14" t="str">
        <f>IF(A175="","",IFERROR(IF(LEN(INDEX(Suppliers!$B$9:$B$508,MATCH(C175,Suppliers!$A$9:$A$508,0))&amp;"")=0,"",INDEX(Suppliers!$B$9:$B$508,MATCH(C175,Suppliers!$A$9:$A$508,0))),""))</f>
        <v/>
      </c>
      <c r="V175" s="14" t="str">
        <f>IF(A175="","",IFERROR(IF(LEN(INDEX(Suppliers!$E$9:$E$508,MATCH(D175,Suppliers!$D$9:$D$508,0))&amp;"")=0,"",INDEX(Suppliers!$E$9:$E$508,MATCH(D175,Suppliers!$D$9:$D$508,0))),""))</f>
        <v/>
      </c>
      <c r="W175" s="14" t="str">
        <f>IF(A175="","",IFERROR(IF(LEN(INDEX(Suppliers!$F$9:$F$508,MATCH(D175,Suppliers!$D$9:$D$508,0))&amp;"")=0,"",INDEX(Suppliers!$F$9:$F$508,MATCH(D175,Suppliers!$D$9:$D$508,0))),""))</f>
        <v/>
      </c>
      <c r="X175" s="14" t="str">
        <f>IF(A175="","",IFERROR(IF(LEN(INDEX(Suppliers!$G$9:$G$508,MATCH(D175,Suppliers!$D$9:$D$508,0))&amp;"")=0,"",INDEX(Suppliers!$G$9:$G$508,MATCH(D175,Suppliers!$D$9:$D$508,0))),""))</f>
        <v/>
      </c>
      <c r="Y175" s="14" t="str">
        <f>IF(A175="","",IFERROR(INDEX(Jobs!$C$9:$C$258,MATCH(B175,Jobs!$A$9:$A$258,0)),""))</f>
        <v/>
      </c>
      <c r="Z175" s="14" t="str">
        <f>IF(A175="","",IFERROR(INDEX(Jobs!$B$9:$B$258,MATCH(B175,Jobs!$A$9:$A$258,0)),""))</f>
        <v/>
      </c>
      <c r="AA175" s="16" t="str">
        <f>IF(A175="","",IFERROR(VLOOKUP(I175,Lists!$E$9:$F$14,2,FALSE),0))</f>
        <v/>
      </c>
      <c r="AB175" s="16" t="str">
        <f t="shared" si="24"/>
        <v/>
      </c>
      <c r="AC175" s="16" t="str">
        <f t="shared" si="25"/>
        <v/>
      </c>
      <c r="AD175" s="16" t="str">
        <f t="shared" si="26"/>
        <v/>
      </c>
      <c r="AE175" s="16" t="str">
        <f t="shared" si="27"/>
        <v/>
      </c>
      <c r="AF175" s="16" t="str">
        <f t="shared" si="28"/>
        <v/>
      </c>
      <c r="AG175" s="26" t="str">
        <f t="shared" si="29"/>
        <v/>
      </c>
      <c r="AH175" s="16" t="str">
        <f t="shared" si="30"/>
        <v/>
      </c>
      <c r="AI175" s="16" t="str">
        <f t="shared" si="31"/>
        <v/>
      </c>
      <c r="AJ175" s="16" t="str">
        <f t="shared" si="32"/>
        <v/>
      </c>
      <c r="AK175" s="14" t="str">
        <f>IF(AND(A175&lt;&gt;"",F175="Selected"),COUNTIF($F$9:F175,"Selected"),"")</f>
        <v/>
      </c>
      <c r="AL175" s="14" t="str">
        <f>IF(A175="","",COUNTIF($B$9:B175,B175))</f>
        <v/>
      </c>
      <c r="AM175" s="14" t="str">
        <f>IF(A175="","",IF(COUNTIF(Jobs!$A$9:$A$258,B175)&lt;&gt;1,"Check JobID",IF(COUNTIF(Suppliers!$D$9:$D$508,D175)&lt;&gt;1,"Check contact",IF(AA175&lt;=0,"Currency / FX missing",IF(NOT(ISNUMBER(G175)),"Original price missing",IF(G175&lt;0,"Invalid original price",IF(AND(H175&lt;&gt;"",NOT(ISNUMBER(H175))),"Invalid final price",IF(AND(ISNUMBER(H175),H175&lt;0),"Invalid final price",IF(AND(F175="Selected",COUNTIFS($B$9:$B$258,B175,$E$9:$E$258,E175,$F$9:$F$258,"Selected")&gt;1),"Selected scope overlap",IF(AND(ISNUMBER(H175),H175&gt;G175),"Price increased",IF(LEN(H175&amp;"")=0,"Final price pending","OK")))))))))))</f>
        <v/>
      </c>
      <c r="AN175" s="16" t="str">
        <f t="shared" si="33"/>
        <v/>
      </c>
      <c r="AO175" s="14" t="str">
        <f>IF(A175="","",IFERROR(IF(INDEX(Suppliers!$A$9:$A$508,MATCH(D175,Suppliers!$D$9:$D$508,0))=C175,"OK","Contact / supplier mismatch"),"Contact missing"))</f>
        <v/>
      </c>
      <c r="AP175" s="14" t="str">
        <f>IF(OR(A175="",IFERROR(INDEX(Jobs!$P$9:$P$258,MATCH(B175,Jobs!$A$9:$A$258,0)),"")=""),"",HYPERLINK("#'"&amp;IFERROR(INDEX(Jobs!$P$9:$P$258,MATCH(B175,Jobs!$A$9:$A$258,0)),"")&amp;"'!A1","OPEN JOB"))</f>
        <v/>
      </c>
      <c r="AQ175" s="14"/>
      <c r="AR175" s="14"/>
      <c r="AS175" t="str">
        <f t="shared" si="34"/>
        <v/>
      </c>
      <c r="AT175" t="str">
        <f t="shared" si="35"/>
        <v/>
      </c>
    </row>
    <row r="176" spans="1:46" ht="40" customHeight="1" x14ac:dyDescent="0.35">
      <c r="A176" s="18"/>
      <c r="B176" s="37"/>
      <c r="C176" s="18"/>
      <c r="D176" s="15"/>
      <c r="E176" s="15"/>
      <c r="F176" s="15"/>
      <c r="G176" s="24"/>
      <c r="H176" s="24"/>
      <c r="I176" s="15"/>
      <c r="J176" s="17"/>
      <c r="K176" s="17"/>
      <c r="L176" s="17"/>
      <c r="M176" s="15"/>
      <c r="N176" s="15"/>
      <c r="O176" s="15"/>
      <c r="P176" s="15"/>
      <c r="Q176" s="15"/>
      <c r="R176" s="15"/>
      <c r="S176" s="18"/>
      <c r="T176" s="18"/>
      <c r="U176" s="18" t="str">
        <f>IF(A176="","",IFERROR(IF(LEN(INDEX(Suppliers!$B$9:$B$508,MATCH(C176,Suppliers!$A$9:$A$508,0))&amp;"")=0,"",INDEX(Suppliers!$B$9:$B$508,MATCH(C176,Suppliers!$A$9:$A$508,0))),""))</f>
        <v/>
      </c>
      <c r="V176" s="18" t="str">
        <f>IF(A176="","",IFERROR(IF(LEN(INDEX(Suppliers!$E$9:$E$508,MATCH(D176,Suppliers!$D$9:$D$508,0))&amp;"")=0,"",INDEX(Suppliers!$E$9:$E$508,MATCH(D176,Suppliers!$D$9:$D$508,0))),""))</f>
        <v/>
      </c>
      <c r="W176" s="18" t="str">
        <f>IF(A176="","",IFERROR(IF(LEN(INDEX(Suppliers!$F$9:$F$508,MATCH(D176,Suppliers!$D$9:$D$508,0))&amp;"")=0,"",INDEX(Suppliers!$F$9:$F$508,MATCH(D176,Suppliers!$D$9:$D$508,0))),""))</f>
        <v/>
      </c>
      <c r="X176" s="18" t="str">
        <f>IF(A176="","",IFERROR(IF(LEN(INDEX(Suppliers!$G$9:$G$508,MATCH(D176,Suppliers!$D$9:$D$508,0))&amp;"")=0,"",INDEX(Suppliers!$G$9:$G$508,MATCH(D176,Suppliers!$D$9:$D$508,0))),""))</f>
        <v/>
      </c>
      <c r="Y176" s="18" t="str">
        <f>IF(A176="","",IFERROR(INDEX(Jobs!$C$9:$C$258,MATCH(B176,Jobs!$A$9:$A$258,0)),""))</f>
        <v/>
      </c>
      <c r="Z176" s="18" t="str">
        <f>IF(A176="","",IFERROR(INDEX(Jobs!$B$9:$B$258,MATCH(B176,Jobs!$A$9:$A$258,0)),""))</f>
        <v/>
      </c>
      <c r="AA176" s="19" t="str">
        <f>IF(A176="","",IFERROR(VLOOKUP(I176,Lists!$E$9:$F$14,2,FALSE),0))</f>
        <v/>
      </c>
      <c r="AB176" s="19" t="str">
        <f t="shared" si="24"/>
        <v/>
      </c>
      <c r="AC176" s="19" t="str">
        <f t="shared" si="25"/>
        <v/>
      </c>
      <c r="AD176" s="19" t="str">
        <f t="shared" si="26"/>
        <v/>
      </c>
      <c r="AE176" s="19" t="str">
        <f t="shared" si="27"/>
        <v/>
      </c>
      <c r="AF176" s="19" t="str">
        <f t="shared" si="28"/>
        <v/>
      </c>
      <c r="AG176" s="27" t="str">
        <f t="shared" si="29"/>
        <v/>
      </c>
      <c r="AH176" s="19" t="str">
        <f t="shared" si="30"/>
        <v/>
      </c>
      <c r="AI176" s="19" t="str">
        <f t="shared" si="31"/>
        <v/>
      </c>
      <c r="AJ176" s="19" t="str">
        <f t="shared" si="32"/>
        <v/>
      </c>
      <c r="AK176" s="18" t="str">
        <f>IF(AND(A176&lt;&gt;"",F176="Selected"),COUNTIF($F$9:F176,"Selected"),"")</f>
        <v/>
      </c>
      <c r="AL176" s="18" t="str">
        <f>IF(A176="","",COUNTIF($B$9:B176,B176))</f>
        <v/>
      </c>
      <c r="AM176" s="18" t="str">
        <f>IF(A176="","",IF(COUNTIF(Jobs!$A$9:$A$258,B176)&lt;&gt;1,"Check JobID",IF(COUNTIF(Suppliers!$D$9:$D$508,D176)&lt;&gt;1,"Check contact",IF(AA176&lt;=0,"Currency / FX missing",IF(NOT(ISNUMBER(G176)),"Original price missing",IF(G176&lt;0,"Invalid original price",IF(AND(H176&lt;&gt;"",NOT(ISNUMBER(H176))),"Invalid final price",IF(AND(ISNUMBER(H176),H176&lt;0),"Invalid final price",IF(AND(F176="Selected",COUNTIFS($B$9:$B$258,B176,$E$9:$E$258,E176,$F$9:$F$258,"Selected")&gt;1),"Selected scope overlap",IF(AND(ISNUMBER(H176),H176&gt;G176),"Price increased",IF(LEN(H176&amp;"")=0,"Final price pending","OK")))))))))))</f>
        <v/>
      </c>
      <c r="AN176" s="19" t="str">
        <f t="shared" si="33"/>
        <v/>
      </c>
      <c r="AO176" s="18" t="str">
        <f>IF(A176="","",IFERROR(IF(INDEX(Suppliers!$A$9:$A$508,MATCH(D176,Suppliers!$D$9:$D$508,0))=C176,"OK","Contact / supplier mismatch"),"Contact missing"))</f>
        <v/>
      </c>
      <c r="AP176" s="18" t="str">
        <f>IF(OR(A176="",IFERROR(INDEX(Jobs!$P$9:$P$258,MATCH(B176,Jobs!$A$9:$A$258,0)),"")=""),"",HYPERLINK("#'"&amp;IFERROR(INDEX(Jobs!$P$9:$P$258,MATCH(B176,Jobs!$A$9:$A$258,0)),"")&amp;"'!A1","OPEN JOB"))</f>
        <v/>
      </c>
      <c r="AQ176" s="18"/>
      <c r="AR176" s="18"/>
      <c r="AS176" t="str">
        <f t="shared" si="34"/>
        <v/>
      </c>
      <c r="AT176" t="str">
        <f t="shared" si="35"/>
        <v/>
      </c>
    </row>
    <row r="177" spans="1:46" ht="40" customHeight="1" x14ac:dyDescent="0.35">
      <c r="A177" s="14"/>
      <c r="B177" s="37"/>
      <c r="C177" s="14"/>
      <c r="D177" s="15"/>
      <c r="E177" s="15"/>
      <c r="F177" s="15"/>
      <c r="G177" s="24"/>
      <c r="H177" s="24"/>
      <c r="I177" s="15"/>
      <c r="J177" s="17"/>
      <c r="K177" s="17"/>
      <c r="L177" s="17"/>
      <c r="M177" s="15"/>
      <c r="N177" s="15"/>
      <c r="O177" s="15"/>
      <c r="P177" s="15"/>
      <c r="Q177" s="15"/>
      <c r="R177" s="15"/>
      <c r="S177" s="14"/>
      <c r="T177" s="14"/>
      <c r="U177" s="14" t="str">
        <f>IF(A177="","",IFERROR(IF(LEN(INDEX(Suppliers!$B$9:$B$508,MATCH(C177,Suppliers!$A$9:$A$508,0))&amp;"")=0,"",INDEX(Suppliers!$B$9:$B$508,MATCH(C177,Suppliers!$A$9:$A$508,0))),""))</f>
        <v/>
      </c>
      <c r="V177" s="14" t="str">
        <f>IF(A177="","",IFERROR(IF(LEN(INDEX(Suppliers!$E$9:$E$508,MATCH(D177,Suppliers!$D$9:$D$508,0))&amp;"")=0,"",INDEX(Suppliers!$E$9:$E$508,MATCH(D177,Suppliers!$D$9:$D$508,0))),""))</f>
        <v/>
      </c>
      <c r="W177" s="14" t="str">
        <f>IF(A177="","",IFERROR(IF(LEN(INDEX(Suppliers!$F$9:$F$508,MATCH(D177,Suppliers!$D$9:$D$508,0))&amp;"")=0,"",INDEX(Suppliers!$F$9:$F$508,MATCH(D177,Suppliers!$D$9:$D$508,0))),""))</f>
        <v/>
      </c>
      <c r="X177" s="14" t="str">
        <f>IF(A177="","",IFERROR(IF(LEN(INDEX(Suppliers!$G$9:$G$508,MATCH(D177,Suppliers!$D$9:$D$508,0))&amp;"")=0,"",INDEX(Suppliers!$G$9:$G$508,MATCH(D177,Suppliers!$D$9:$D$508,0))),""))</f>
        <v/>
      </c>
      <c r="Y177" s="14" t="str">
        <f>IF(A177="","",IFERROR(INDEX(Jobs!$C$9:$C$258,MATCH(B177,Jobs!$A$9:$A$258,0)),""))</f>
        <v/>
      </c>
      <c r="Z177" s="14" t="str">
        <f>IF(A177="","",IFERROR(INDEX(Jobs!$B$9:$B$258,MATCH(B177,Jobs!$A$9:$A$258,0)),""))</f>
        <v/>
      </c>
      <c r="AA177" s="16" t="str">
        <f>IF(A177="","",IFERROR(VLOOKUP(I177,Lists!$E$9:$F$14,2,FALSE),0))</f>
        <v/>
      </c>
      <c r="AB177" s="16" t="str">
        <f t="shared" si="24"/>
        <v/>
      </c>
      <c r="AC177" s="16" t="str">
        <f t="shared" si="25"/>
        <v/>
      </c>
      <c r="AD177" s="16" t="str">
        <f t="shared" si="26"/>
        <v/>
      </c>
      <c r="AE177" s="16" t="str">
        <f t="shared" si="27"/>
        <v/>
      </c>
      <c r="AF177" s="16" t="str">
        <f t="shared" si="28"/>
        <v/>
      </c>
      <c r="AG177" s="26" t="str">
        <f t="shared" si="29"/>
        <v/>
      </c>
      <c r="AH177" s="16" t="str">
        <f t="shared" si="30"/>
        <v/>
      </c>
      <c r="AI177" s="16" t="str">
        <f t="shared" si="31"/>
        <v/>
      </c>
      <c r="AJ177" s="16" t="str">
        <f t="shared" si="32"/>
        <v/>
      </c>
      <c r="AK177" s="14" t="str">
        <f>IF(AND(A177&lt;&gt;"",F177="Selected"),COUNTIF($F$9:F177,"Selected"),"")</f>
        <v/>
      </c>
      <c r="AL177" s="14" t="str">
        <f>IF(A177="","",COUNTIF($B$9:B177,B177))</f>
        <v/>
      </c>
      <c r="AM177" s="14" t="str">
        <f>IF(A177="","",IF(COUNTIF(Jobs!$A$9:$A$258,B177)&lt;&gt;1,"Check JobID",IF(COUNTIF(Suppliers!$D$9:$D$508,D177)&lt;&gt;1,"Check contact",IF(AA177&lt;=0,"Currency / FX missing",IF(NOT(ISNUMBER(G177)),"Original price missing",IF(G177&lt;0,"Invalid original price",IF(AND(H177&lt;&gt;"",NOT(ISNUMBER(H177))),"Invalid final price",IF(AND(ISNUMBER(H177),H177&lt;0),"Invalid final price",IF(AND(F177="Selected",COUNTIFS($B$9:$B$258,B177,$E$9:$E$258,E177,$F$9:$F$258,"Selected")&gt;1),"Selected scope overlap",IF(AND(ISNUMBER(H177),H177&gt;G177),"Price increased",IF(LEN(H177&amp;"")=0,"Final price pending","OK")))))))))))</f>
        <v/>
      </c>
      <c r="AN177" s="16" t="str">
        <f t="shared" si="33"/>
        <v/>
      </c>
      <c r="AO177" s="14" t="str">
        <f>IF(A177="","",IFERROR(IF(INDEX(Suppliers!$A$9:$A$508,MATCH(D177,Suppliers!$D$9:$D$508,0))=C177,"OK","Contact / supplier mismatch"),"Contact missing"))</f>
        <v/>
      </c>
      <c r="AP177" s="14" t="str">
        <f>IF(OR(A177="",IFERROR(INDEX(Jobs!$P$9:$P$258,MATCH(B177,Jobs!$A$9:$A$258,0)),"")=""),"",HYPERLINK("#'"&amp;IFERROR(INDEX(Jobs!$P$9:$P$258,MATCH(B177,Jobs!$A$9:$A$258,0)),"")&amp;"'!A1","OPEN JOB"))</f>
        <v/>
      </c>
      <c r="AQ177" s="14"/>
      <c r="AR177" s="14"/>
      <c r="AS177" t="str">
        <f t="shared" si="34"/>
        <v/>
      </c>
      <c r="AT177" t="str">
        <f t="shared" si="35"/>
        <v/>
      </c>
    </row>
    <row r="178" spans="1:46" ht="40" customHeight="1" x14ac:dyDescent="0.35">
      <c r="A178" s="18"/>
      <c r="B178" s="37"/>
      <c r="C178" s="18"/>
      <c r="D178" s="15"/>
      <c r="E178" s="15"/>
      <c r="F178" s="15"/>
      <c r="G178" s="24"/>
      <c r="H178" s="24"/>
      <c r="I178" s="15"/>
      <c r="J178" s="17"/>
      <c r="K178" s="17"/>
      <c r="L178" s="17"/>
      <c r="M178" s="15"/>
      <c r="N178" s="15"/>
      <c r="O178" s="15"/>
      <c r="P178" s="15"/>
      <c r="Q178" s="15"/>
      <c r="R178" s="15"/>
      <c r="S178" s="18"/>
      <c r="T178" s="18"/>
      <c r="U178" s="18" t="str">
        <f>IF(A178="","",IFERROR(IF(LEN(INDEX(Suppliers!$B$9:$B$508,MATCH(C178,Suppliers!$A$9:$A$508,0))&amp;"")=0,"",INDEX(Suppliers!$B$9:$B$508,MATCH(C178,Suppliers!$A$9:$A$508,0))),""))</f>
        <v/>
      </c>
      <c r="V178" s="18" t="str">
        <f>IF(A178="","",IFERROR(IF(LEN(INDEX(Suppliers!$E$9:$E$508,MATCH(D178,Suppliers!$D$9:$D$508,0))&amp;"")=0,"",INDEX(Suppliers!$E$9:$E$508,MATCH(D178,Suppliers!$D$9:$D$508,0))),""))</f>
        <v/>
      </c>
      <c r="W178" s="18" t="str">
        <f>IF(A178="","",IFERROR(IF(LEN(INDEX(Suppliers!$F$9:$F$508,MATCH(D178,Suppliers!$D$9:$D$508,0))&amp;"")=0,"",INDEX(Suppliers!$F$9:$F$508,MATCH(D178,Suppliers!$D$9:$D$508,0))),""))</f>
        <v/>
      </c>
      <c r="X178" s="18" t="str">
        <f>IF(A178="","",IFERROR(IF(LEN(INDEX(Suppliers!$G$9:$G$508,MATCH(D178,Suppliers!$D$9:$D$508,0))&amp;"")=0,"",INDEX(Suppliers!$G$9:$G$508,MATCH(D178,Suppliers!$D$9:$D$508,0))),""))</f>
        <v/>
      </c>
      <c r="Y178" s="18" t="str">
        <f>IF(A178="","",IFERROR(INDEX(Jobs!$C$9:$C$258,MATCH(B178,Jobs!$A$9:$A$258,0)),""))</f>
        <v/>
      </c>
      <c r="Z178" s="18" t="str">
        <f>IF(A178="","",IFERROR(INDEX(Jobs!$B$9:$B$258,MATCH(B178,Jobs!$A$9:$A$258,0)),""))</f>
        <v/>
      </c>
      <c r="AA178" s="19" t="str">
        <f>IF(A178="","",IFERROR(VLOOKUP(I178,Lists!$E$9:$F$14,2,FALSE),0))</f>
        <v/>
      </c>
      <c r="AB178" s="19" t="str">
        <f t="shared" si="24"/>
        <v/>
      </c>
      <c r="AC178" s="19" t="str">
        <f t="shared" si="25"/>
        <v/>
      </c>
      <c r="AD178" s="19" t="str">
        <f t="shared" si="26"/>
        <v/>
      </c>
      <c r="AE178" s="19" t="str">
        <f t="shared" si="27"/>
        <v/>
      </c>
      <c r="AF178" s="19" t="str">
        <f t="shared" si="28"/>
        <v/>
      </c>
      <c r="AG178" s="27" t="str">
        <f t="shared" si="29"/>
        <v/>
      </c>
      <c r="AH178" s="19" t="str">
        <f t="shared" si="30"/>
        <v/>
      </c>
      <c r="AI178" s="19" t="str">
        <f t="shared" si="31"/>
        <v/>
      </c>
      <c r="AJ178" s="19" t="str">
        <f t="shared" si="32"/>
        <v/>
      </c>
      <c r="AK178" s="18" t="str">
        <f>IF(AND(A178&lt;&gt;"",F178="Selected"),COUNTIF($F$9:F178,"Selected"),"")</f>
        <v/>
      </c>
      <c r="AL178" s="18" t="str">
        <f>IF(A178="","",COUNTIF($B$9:B178,B178))</f>
        <v/>
      </c>
      <c r="AM178" s="18" t="str">
        <f>IF(A178="","",IF(COUNTIF(Jobs!$A$9:$A$258,B178)&lt;&gt;1,"Check JobID",IF(COUNTIF(Suppliers!$D$9:$D$508,D178)&lt;&gt;1,"Check contact",IF(AA178&lt;=0,"Currency / FX missing",IF(NOT(ISNUMBER(G178)),"Original price missing",IF(G178&lt;0,"Invalid original price",IF(AND(H178&lt;&gt;"",NOT(ISNUMBER(H178))),"Invalid final price",IF(AND(ISNUMBER(H178),H178&lt;0),"Invalid final price",IF(AND(F178="Selected",COUNTIFS($B$9:$B$258,B178,$E$9:$E$258,E178,$F$9:$F$258,"Selected")&gt;1),"Selected scope overlap",IF(AND(ISNUMBER(H178),H178&gt;G178),"Price increased",IF(LEN(H178&amp;"")=0,"Final price pending","OK")))))))))))</f>
        <v/>
      </c>
      <c r="AN178" s="19" t="str">
        <f t="shared" si="33"/>
        <v/>
      </c>
      <c r="AO178" s="18" t="str">
        <f>IF(A178="","",IFERROR(IF(INDEX(Suppliers!$A$9:$A$508,MATCH(D178,Suppliers!$D$9:$D$508,0))=C178,"OK","Contact / supplier mismatch"),"Contact missing"))</f>
        <v/>
      </c>
      <c r="AP178" s="18" t="str">
        <f>IF(OR(A178="",IFERROR(INDEX(Jobs!$P$9:$P$258,MATCH(B178,Jobs!$A$9:$A$258,0)),"")=""),"",HYPERLINK("#'"&amp;IFERROR(INDEX(Jobs!$P$9:$P$258,MATCH(B178,Jobs!$A$9:$A$258,0)),"")&amp;"'!A1","OPEN JOB"))</f>
        <v/>
      </c>
      <c r="AQ178" s="18"/>
      <c r="AR178" s="18"/>
      <c r="AS178" t="str">
        <f t="shared" si="34"/>
        <v/>
      </c>
      <c r="AT178" t="str">
        <f t="shared" si="35"/>
        <v/>
      </c>
    </row>
    <row r="179" spans="1:46" ht="40" customHeight="1" x14ac:dyDescent="0.35">
      <c r="A179" s="14"/>
      <c r="B179" s="37"/>
      <c r="C179" s="14"/>
      <c r="D179" s="15"/>
      <c r="E179" s="15"/>
      <c r="F179" s="15"/>
      <c r="G179" s="24"/>
      <c r="H179" s="24"/>
      <c r="I179" s="15"/>
      <c r="J179" s="17"/>
      <c r="K179" s="17"/>
      <c r="L179" s="17"/>
      <c r="M179" s="15"/>
      <c r="N179" s="15"/>
      <c r="O179" s="15"/>
      <c r="P179" s="15"/>
      <c r="Q179" s="15"/>
      <c r="R179" s="15"/>
      <c r="S179" s="14"/>
      <c r="T179" s="14"/>
      <c r="U179" s="14" t="str">
        <f>IF(A179="","",IFERROR(IF(LEN(INDEX(Suppliers!$B$9:$B$508,MATCH(C179,Suppliers!$A$9:$A$508,0))&amp;"")=0,"",INDEX(Suppliers!$B$9:$B$508,MATCH(C179,Suppliers!$A$9:$A$508,0))),""))</f>
        <v/>
      </c>
      <c r="V179" s="14" t="str">
        <f>IF(A179="","",IFERROR(IF(LEN(INDEX(Suppliers!$E$9:$E$508,MATCH(D179,Suppliers!$D$9:$D$508,0))&amp;"")=0,"",INDEX(Suppliers!$E$9:$E$508,MATCH(D179,Suppliers!$D$9:$D$508,0))),""))</f>
        <v/>
      </c>
      <c r="W179" s="14" t="str">
        <f>IF(A179="","",IFERROR(IF(LEN(INDEX(Suppliers!$F$9:$F$508,MATCH(D179,Suppliers!$D$9:$D$508,0))&amp;"")=0,"",INDEX(Suppliers!$F$9:$F$508,MATCH(D179,Suppliers!$D$9:$D$508,0))),""))</f>
        <v/>
      </c>
      <c r="X179" s="14" t="str">
        <f>IF(A179="","",IFERROR(IF(LEN(INDEX(Suppliers!$G$9:$G$508,MATCH(D179,Suppliers!$D$9:$D$508,0))&amp;"")=0,"",INDEX(Suppliers!$G$9:$G$508,MATCH(D179,Suppliers!$D$9:$D$508,0))),""))</f>
        <v/>
      </c>
      <c r="Y179" s="14" t="str">
        <f>IF(A179="","",IFERROR(INDEX(Jobs!$C$9:$C$258,MATCH(B179,Jobs!$A$9:$A$258,0)),""))</f>
        <v/>
      </c>
      <c r="Z179" s="14" t="str">
        <f>IF(A179="","",IFERROR(INDEX(Jobs!$B$9:$B$258,MATCH(B179,Jobs!$A$9:$A$258,0)),""))</f>
        <v/>
      </c>
      <c r="AA179" s="16" t="str">
        <f>IF(A179="","",IFERROR(VLOOKUP(I179,Lists!$E$9:$F$14,2,FALSE),0))</f>
        <v/>
      </c>
      <c r="AB179" s="16" t="str">
        <f t="shared" si="24"/>
        <v/>
      </c>
      <c r="AC179" s="16" t="str">
        <f t="shared" si="25"/>
        <v/>
      </c>
      <c r="AD179" s="16" t="str">
        <f t="shared" si="26"/>
        <v/>
      </c>
      <c r="AE179" s="16" t="str">
        <f t="shared" si="27"/>
        <v/>
      </c>
      <c r="AF179" s="16" t="str">
        <f t="shared" si="28"/>
        <v/>
      </c>
      <c r="AG179" s="26" t="str">
        <f t="shared" si="29"/>
        <v/>
      </c>
      <c r="AH179" s="16" t="str">
        <f t="shared" si="30"/>
        <v/>
      </c>
      <c r="AI179" s="16" t="str">
        <f t="shared" si="31"/>
        <v/>
      </c>
      <c r="AJ179" s="16" t="str">
        <f t="shared" si="32"/>
        <v/>
      </c>
      <c r="AK179" s="14" t="str">
        <f>IF(AND(A179&lt;&gt;"",F179="Selected"),COUNTIF($F$9:F179,"Selected"),"")</f>
        <v/>
      </c>
      <c r="AL179" s="14" t="str">
        <f>IF(A179="","",COUNTIF($B$9:B179,B179))</f>
        <v/>
      </c>
      <c r="AM179" s="14" t="str">
        <f>IF(A179="","",IF(COUNTIF(Jobs!$A$9:$A$258,B179)&lt;&gt;1,"Check JobID",IF(COUNTIF(Suppliers!$D$9:$D$508,D179)&lt;&gt;1,"Check contact",IF(AA179&lt;=0,"Currency / FX missing",IF(NOT(ISNUMBER(G179)),"Original price missing",IF(G179&lt;0,"Invalid original price",IF(AND(H179&lt;&gt;"",NOT(ISNUMBER(H179))),"Invalid final price",IF(AND(ISNUMBER(H179),H179&lt;0),"Invalid final price",IF(AND(F179="Selected",COUNTIFS($B$9:$B$258,B179,$E$9:$E$258,E179,$F$9:$F$258,"Selected")&gt;1),"Selected scope overlap",IF(AND(ISNUMBER(H179),H179&gt;G179),"Price increased",IF(LEN(H179&amp;"")=0,"Final price pending","OK")))))))))))</f>
        <v/>
      </c>
      <c r="AN179" s="16" t="str">
        <f t="shared" si="33"/>
        <v/>
      </c>
      <c r="AO179" s="14" t="str">
        <f>IF(A179="","",IFERROR(IF(INDEX(Suppliers!$A$9:$A$508,MATCH(D179,Suppliers!$D$9:$D$508,0))=C179,"OK","Contact / supplier mismatch"),"Contact missing"))</f>
        <v/>
      </c>
      <c r="AP179" s="14" t="str">
        <f>IF(OR(A179="",IFERROR(INDEX(Jobs!$P$9:$P$258,MATCH(B179,Jobs!$A$9:$A$258,0)),"")=""),"",HYPERLINK("#'"&amp;IFERROR(INDEX(Jobs!$P$9:$P$258,MATCH(B179,Jobs!$A$9:$A$258,0)),"")&amp;"'!A1","OPEN JOB"))</f>
        <v/>
      </c>
      <c r="AQ179" s="14"/>
      <c r="AR179" s="14"/>
      <c r="AS179" t="str">
        <f t="shared" si="34"/>
        <v/>
      </c>
      <c r="AT179" t="str">
        <f t="shared" si="35"/>
        <v/>
      </c>
    </row>
    <row r="180" spans="1:46" ht="40" customHeight="1" x14ac:dyDescent="0.35">
      <c r="A180" s="18"/>
      <c r="B180" s="37"/>
      <c r="C180" s="18"/>
      <c r="D180" s="15"/>
      <c r="E180" s="15"/>
      <c r="F180" s="15"/>
      <c r="G180" s="24"/>
      <c r="H180" s="24"/>
      <c r="I180" s="15"/>
      <c r="J180" s="17"/>
      <c r="K180" s="17"/>
      <c r="L180" s="17"/>
      <c r="M180" s="15"/>
      <c r="N180" s="15"/>
      <c r="O180" s="15"/>
      <c r="P180" s="15"/>
      <c r="Q180" s="15"/>
      <c r="R180" s="15"/>
      <c r="S180" s="18"/>
      <c r="T180" s="18"/>
      <c r="U180" s="18" t="str">
        <f>IF(A180="","",IFERROR(IF(LEN(INDEX(Suppliers!$B$9:$B$508,MATCH(C180,Suppliers!$A$9:$A$508,0))&amp;"")=0,"",INDEX(Suppliers!$B$9:$B$508,MATCH(C180,Suppliers!$A$9:$A$508,0))),""))</f>
        <v/>
      </c>
      <c r="V180" s="18" t="str">
        <f>IF(A180="","",IFERROR(IF(LEN(INDEX(Suppliers!$E$9:$E$508,MATCH(D180,Suppliers!$D$9:$D$508,0))&amp;"")=0,"",INDEX(Suppliers!$E$9:$E$508,MATCH(D180,Suppliers!$D$9:$D$508,0))),""))</f>
        <v/>
      </c>
      <c r="W180" s="18" t="str">
        <f>IF(A180="","",IFERROR(IF(LEN(INDEX(Suppliers!$F$9:$F$508,MATCH(D180,Suppliers!$D$9:$D$508,0))&amp;"")=0,"",INDEX(Suppliers!$F$9:$F$508,MATCH(D180,Suppliers!$D$9:$D$508,0))),""))</f>
        <v/>
      </c>
      <c r="X180" s="18" t="str">
        <f>IF(A180="","",IFERROR(IF(LEN(INDEX(Suppliers!$G$9:$G$508,MATCH(D180,Suppliers!$D$9:$D$508,0))&amp;"")=0,"",INDEX(Suppliers!$G$9:$G$508,MATCH(D180,Suppliers!$D$9:$D$508,0))),""))</f>
        <v/>
      </c>
      <c r="Y180" s="18" t="str">
        <f>IF(A180="","",IFERROR(INDEX(Jobs!$C$9:$C$258,MATCH(B180,Jobs!$A$9:$A$258,0)),""))</f>
        <v/>
      </c>
      <c r="Z180" s="18" t="str">
        <f>IF(A180="","",IFERROR(INDEX(Jobs!$B$9:$B$258,MATCH(B180,Jobs!$A$9:$A$258,0)),""))</f>
        <v/>
      </c>
      <c r="AA180" s="19" t="str">
        <f>IF(A180="","",IFERROR(VLOOKUP(I180,Lists!$E$9:$F$14,2,FALSE),0))</f>
        <v/>
      </c>
      <c r="AB180" s="19" t="str">
        <f t="shared" si="24"/>
        <v/>
      </c>
      <c r="AC180" s="19" t="str">
        <f t="shared" si="25"/>
        <v/>
      </c>
      <c r="AD180" s="19" t="str">
        <f t="shared" si="26"/>
        <v/>
      </c>
      <c r="AE180" s="19" t="str">
        <f t="shared" si="27"/>
        <v/>
      </c>
      <c r="AF180" s="19" t="str">
        <f t="shared" si="28"/>
        <v/>
      </c>
      <c r="AG180" s="27" t="str">
        <f t="shared" si="29"/>
        <v/>
      </c>
      <c r="AH180" s="19" t="str">
        <f t="shared" si="30"/>
        <v/>
      </c>
      <c r="AI180" s="19" t="str">
        <f t="shared" si="31"/>
        <v/>
      </c>
      <c r="AJ180" s="19" t="str">
        <f t="shared" si="32"/>
        <v/>
      </c>
      <c r="AK180" s="18" t="str">
        <f>IF(AND(A180&lt;&gt;"",F180="Selected"),COUNTIF($F$9:F180,"Selected"),"")</f>
        <v/>
      </c>
      <c r="AL180" s="18" t="str">
        <f>IF(A180="","",COUNTIF($B$9:B180,B180))</f>
        <v/>
      </c>
      <c r="AM180" s="18" t="str">
        <f>IF(A180="","",IF(COUNTIF(Jobs!$A$9:$A$258,B180)&lt;&gt;1,"Check JobID",IF(COUNTIF(Suppliers!$D$9:$D$508,D180)&lt;&gt;1,"Check contact",IF(AA180&lt;=0,"Currency / FX missing",IF(NOT(ISNUMBER(G180)),"Original price missing",IF(G180&lt;0,"Invalid original price",IF(AND(H180&lt;&gt;"",NOT(ISNUMBER(H180))),"Invalid final price",IF(AND(ISNUMBER(H180),H180&lt;0),"Invalid final price",IF(AND(F180="Selected",COUNTIFS($B$9:$B$258,B180,$E$9:$E$258,E180,$F$9:$F$258,"Selected")&gt;1),"Selected scope overlap",IF(AND(ISNUMBER(H180),H180&gt;G180),"Price increased",IF(LEN(H180&amp;"")=0,"Final price pending","OK")))))))))))</f>
        <v/>
      </c>
      <c r="AN180" s="19" t="str">
        <f t="shared" si="33"/>
        <v/>
      </c>
      <c r="AO180" s="18" t="str">
        <f>IF(A180="","",IFERROR(IF(INDEX(Suppliers!$A$9:$A$508,MATCH(D180,Suppliers!$D$9:$D$508,0))=C180,"OK","Contact / supplier mismatch"),"Contact missing"))</f>
        <v/>
      </c>
      <c r="AP180" s="18" t="str">
        <f>IF(OR(A180="",IFERROR(INDEX(Jobs!$P$9:$P$258,MATCH(B180,Jobs!$A$9:$A$258,0)),"")=""),"",HYPERLINK("#'"&amp;IFERROR(INDEX(Jobs!$P$9:$P$258,MATCH(B180,Jobs!$A$9:$A$258,0)),"")&amp;"'!A1","OPEN JOB"))</f>
        <v/>
      </c>
      <c r="AQ180" s="18"/>
      <c r="AR180" s="18"/>
      <c r="AS180" t="str">
        <f t="shared" si="34"/>
        <v/>
      </c>
      <c r="AT180" t="str">
        <f t="shared" si="35"/>
        <v/>
      </c>
    </row>
    <row r="181" spans="1:46" ht="40" customHeight="1" x14ac:dyDescent="0.35">
      <c r="A181" s="14"/>
      <c r="B181" s="37"/>
      <c r="C181" s="14"/>
      <c r="D181" s="15"/>
      <c r="E181" s="15"/>
      <c r="F181" s="15"/>
      <c r="G181" s="24"/>
      <c r="H181" s="24"/>
      <c r="I181" s="15"/>
      <c r="J181" s="17"/>
      <c r="K181" s="17"/>
      <c r="L181" s="17"/>
      <c r="M181" s="15"/>
      <c r="N181" s="15"/>
      <c r="O181" s="15"/>
      <c r="P181" s="15"/>
      <c r="Q181" s="15"/>
      <c r="R181" s="15"/>
      <c r="S181" s="14"/>
      <c r="T181" s="14"/>
      <c r="U181" s="14" t="str">
        <f>IF(A181="","",IFERROR(IF(LEN(INDEX(Suppliers!$B$9:$B$508,MATCH(C181,Suppliers!$A$9:$A$508,0))&amp;"")=0,"",INDEX(Suppliers!$B$9:$B$508,MATCH(C181,Suppliers!$A$9:$A$508,0))),""))</f>
        <v/>
      </c>
      <c r="V181" s="14" t="str">
        <f>IF(A181="","",IFERROR(IF(LEN(INDEX(Suppliers!$E$9:$E$508,MATCH(D181,Suppliers!$D$9:$D$508,0))&amp;"")=0,"",INDEX(Suppliers!$E$9:$E$508,MATCH(D181,Suppliers!$D$9:$D$508,0))),""))</f>
        <v/>
      </c>
      <c r="W181" s="14" t="str">
        <f>IF(A181="","",IFERROR(IF(LEN(INDEX(Suppliers!$F$9:$F$508,MATCH(D181,Suppliers!$D$9:$D$508,0))&amp;"")=0,"",INDEX(Suppliers!$F$9:$F$508,MATCH(D181,Suppliers!$D$9:$D$508,0))),""))</f>
        <v/>
      </c>
      <c r="X181" s="14" t="str">
        <f>IF(A181="","",IFERROR(IF(LEN(INDEX(Suppliers!$G$9:$G$508,MATCH(D181,Suppliers!$D$9:$D$508,0))&amp;"")=0,"",INDEX(Suppliers!$G$9:$G$508,MATCH(D181,Suppliers!$D$9:$D$508,0))),""))</f>
        <v/>
      </c>
      <c r="Y181" s="14" t="str">
        <f>IF(A181="","",IFERROR(INDEX(Jobs!$C$9:$C$258,MATCH(B181,Jobs!$A$9:$A$258,0)),""))</f>
        <v/>
      </c>
      <c r="Z181" s="14" t="str">
        <f>IF(A181="","",IFERROR(INDEX(Jobs!$B$9:$B$258,MATCH(B181,Jobs!$A$9:$A$258,0)),""))</f>
        <v/>
      </c>
      <c r="AA181" s="16" t="str">
        <f>IF(A181="","",IFERROR(VLOOKUP(I181,Lists!$E$9:$F$14,2,FALSE),0))</f>
        <v/>
      </c>
      <c r="AB181" s="16" t="str">
        <f t="shared" si="24"/>
        <v/>
      </c>
      <c r="AC181" s="16" t="str">
        <f t="shared" si="25"/>
        <v/>
      </c>
      <c r="AD181" s="16" t="str">
        <f t="shared" si="26"/>
        <v/>
      </c>
      <c r="AE181" s="16" t="str">
        <f t="shared" si="27"/>
        <v/>
      </c>
      <c r="AF181" s="16" t="str">
        <f t="shared" si="28"/>
        <v/>
      </c>
      <c r="AG181" s="26" t="str">
        <f t="shared" si="29"/>
        <v/>
      </c>
      <c r="AH181" s="16" t="str">
        <f t="shared" si="30"/>
        <v/>
      </c>
      <c r="AI181" s="16" t="str">
        <f t="shared" si="31"/>
        <v/>
      </c>
      <c r="AJ181" s="16" t="str">
        <f t="shared" si="32"/>
        <v/>
      </c>
      <c r="AK181" s="14" t="str">
        <f>IF(AND(A181&lt;&gt;"",F181="Selected"),COUNTIF($F$9:F181,"Selected"),"")</f>
        <v/>
      </c>
      <c r="AL181" s="14" t="str">
        <f>IF(A181="","",COUNTIF($B$9:B181,B181))</f>
        <v/>
      </c>
      <c r="AM181" s="14" t="str">
        <f>IF(A181="","",IF(COUNTIF(Jobs!$A$9:$A$258,B181)&lt;&gt;1,"Check JobID",IF(COUNTIF(Suppliers!$D$9:$D$508,D181)&lt;&gt;1,"Check contact",IF(AA181&lt;=0,"Currency / FX missing",IF(NOT(ISNUMBER(G181)),"Original price missing",IF(G181&lt;0,"Invalid original price",IF(AND(H181&lt;&gt;"",NOT(ISNUMBER(H181))),"Invalid final price",IF(AND(ISNUMBER(H181),H181&lt;0),"Invalid final price",IF(AND(F181="Selected",COUNTIFS($B$9:$B$258,B181,$E$9:$E$258,E181,$F$9:$F$258,"Selected")&gt;1),"Selected scope overlap",IF(AND(ISNUMBER(H181),H181&gt;G181),"Price increased",IF(LEN(H181&amp;"")=0,"Final price pending","OK")))))))))))</f>
        <v/>
      </c>
      <c r="AN181" s="16" t="str">
        <f t="shared" si="33"/>
        <v/>
      </c>
      <c r="AO181" s="14" t="str">
        <f>IF(A181="","",IFERROR(IF(INDEX(Suppliers!$A$9:$A$508,MATCH(D181,Suppliers!$D$9:$D$508,0))=C181,"OK","Contact / supplier mismatch"),"Contact missing"))</f>
        <v/>
      </c>
      <c r="AP181" s="14" t="str">
        <f>IF(OR(A181="",IFERROR(INDEX(Jobs!$P$9:$P$258,MATCH(B181,Jobs!$A$9:$A$258,0)),"")=""),"",HYPERLINK("#'"&amp;IFERROR(INDEX(Jobs!$P$9:$P$258,MATCH(B181,Jobs!$A$9:$A$258,0)),"")&amp;"'!A1","OPEN JOB"))</f>
        <v/>
      </c>
      <c r="AQ181" s="14"/>
      <c r="AR181" s="14"/>
      <c r="AS181" t="str">
        <f t="shared" si="34"/>
        <v/>
      </c>
      <c r="AT181" t="str">
        <f t="shared" si="35"/>
        <v/>
      </c>
    </row>
    <row r="182" spans="1:46" ht="40" customHeight="1" x14ac:dyDescent="0.35">
      <c r="A182" s="18"/>
      <c r="B182" s="37"/>
      <c r="C182" s="18"/>
      <c r="D182" s="15"/>
      <c r="E182" s="15"/>
      <c r="F182" s="15"/>
      <c r="G182" s="24"/>
      <c r="H182" s="24"/>
      <c r="I182" s="15"/>
      <c r="J182" s="17"/>
      <c r="K182" s="17"/>
      <c r="L182" s="17"/>
      <c r="M182" s="15"/>
      <c r="N182" s="15"/>
      <c r="O182" s="15"/>
      <c r="P182" s="15"/>
      <c r="Q182" s="15"/>
      <c r="R182" s="15"/>
      <c r="S182" s="18"/>
      <c r="T182" s="18"/>
      <c r="U182" s="18" t="str">
        <f>IF(A182="","",IFERROR(IF(LEN(INDEX(Suppliers!$B$9:$B$508,MATCH(C182,Suppliers!$A$9:$A$508,0))&amp;"")=0,"",INDEX(Suppliers!$B$9:$B$508,MATCH(C182,Suppliers!$A$9:$A$508,0))),""))</f>
        <v/>
      </c>
      <c r="V182" s="18" t="str">
        <f>IF(A182="","",IFERROR(IF(LEN(INDEX(Suppliers!$E$9:$E$508,MATCH(D182,Suppliers!$D$9:$D$508,0))&amp;"")=0,"",INDEX(Suppliers!$E$9:$E$508,MATCH(D182,Suppliers!$D$9:$D$508,0))),""))</f>
        <v/>
      </c>
      <c r="W182" s="18" t="str">
        <f>IF(A182="","",IFERROR(IF(LEN(INDEX(Suppliers!$F$9:$F$508,MATCH(D182,Suppliers!$D$9:$D$508,0))&amp;"")=0,"",INDEX(Suppliers!$F$9:$F$508,MATCH(D182,Suppliers!$D$9:$D$508,0))),""))</f>
        <v/>
      </c>
      <c r="X182" s="18" t="str">
        <f>IF(A182="","",IFERROR(IF(LEN(INDEX(Suppliers!$G$9:$G$508,MATCH(D182,Suppliers!$D$9:$D$508,0))&amp;"")=0,"",INDEX(Suppliers!$G$9:$G$508,MATCH(D182,Suppliers!$D$9:$D$508,0))),""))</f>
        <v/>
      </c>
      <c r="Y182" s="18" t="str">
        <f>IF(A182="","",IFERROR(INDEX(Jobs!$C$9:$C$258,MATCH(B182,Jobs!$A$9:$A$258,0)),""))</f>
        <v/>
      </c>
      <c r="Z182" s="18" t="str">
        <f>IF(A182="","",IFERROR(INDEX(Jobs!$B$9:$B$258,MATCH(B182,Jobs!$A$9:$A$258,0)),""))</f>
        <v/>
      </c>
      <c r="AA182" s="19" t="str">
        <f>IF(A182="","",IFERROR(VLOOKUP(I182,Lists!$E$9:$F$14,2,FALSE),0))</f>
        <v/>
      </c>
      <c r="AB182" s="19" t="str">
        <f t="shared" si="24"/>
        <v/>
      </c>
      <c r="AC182" s="19" t="str">
        <f t="shared" si="25"/>
        <v/>
      </c>
      <c r="AD182" s="19" t="str">
        <f t="shared" si="26"/>
        <v/>
      </c>
      <c r="AE182" s="19" t="str">
        <f t="shared" si="27"/>
        <v/>
      </c>
      <c r="AF182" s="19" t="str">
        <f t="shared" si="28"/>
        <v/>
      </c>
      <c r="AG182" s="27" t="str">
        <f t="shared" si="29"/>
        <v/>
      </c>
      <c r="AH182" s="19" t="str">
        <f t="shared" si="30"/>
        <v/>
      </c>
      <c r="AI182" s="19" t="str">
        <f t="shared" si="31"/>
        <v/>
      </c>
      <c r="AJ182" s="19" t="str">
        <f t="shared" si="32"/>
        <v/>
      </c>
      <c r="AK182" s="18" t="str">
        <f>IF(AND(A182&lt;&gt;"",F182="Selected"),COUNTIF($F$9:F182,"Selected"),"")</f>
        <v/>
      </c>
      <c r="AL182" s="18" t="str">
        <f>IF(A182="","",COUNTIF($B$9:B182,B182))</f>
        <v/>
      </c>
      <c r="AM182" s="18" t="str">
        <f>IF(A182="","",IF(COUNTIF(Jobs!$A$9:$A$258,B182)&lt;&gt;1,"Check JobID",IF(COUNTIF(Suppliers!$D$9:$D$508,D182)&lt;&gt;1,"Check contact",IF(AA182&lt;=0,"Currency / FX missing",IF(NOT(ISNUMBER(G182)),"Original price missing",IF(G182&lt;0,"Invalid original price",IF(AND(H182&lt;&gt;"",NOT(ISNUMBER(H182))),"Invalid final price",IF(AND(ISNUMBER(H182),H182&lt;0),"Invalid final price",IF(AND(F182="Selected",COUNTIFS($B$9:$B$258,B182,$E$9:$E$258,E182,$F$9:$F$258,"Selected")&gt;1),"Selected scope overlap",IF(AND(ISNUMBER(H182),H182&gt;G182),"Price increased",IF(LEN(H182&amp;"")=0,"Final price pending","OK")))))))))))</f>
        <v/>
      </c>
      <c r="AN182" s="19" t="str">
        <f t="shared" si="33"/>
        <v/>
      </c>
      <c r="AO182" s="18" t="str">
        <f>IF(A182="","",IFERROR(IF(INDEX(Suppliers!$A$9:$A$508,MATCH(D182,Suppliers!$D$9:$D$508,0))=C182,"OK","Contact / supplier mismatch"),"Contact missing"))</f>
        <v/>
      </c>
      <c r="AP182" s="18" t="str">
        <f>IF(OR(A182="",IFERROR(INDEX(Jobs!$P$9:$P$258,MATCH(B182,Jobs!$A$9:$A$258,0)),"")=""),"",HYPERLINK("#'"&amp;IFERROR(INDEX(Jobs!$P$9:$P$258,MATCH(B182,Jobs!$A$9:$A$258,0)),"")&amp;"'!A1","OPEN JOB"))</f>
        <v/>
      </c>
      <c r="AQ182" s="18"/>
      <c r="AR182" s="18"/>
      <c r="AS182" t="str">
        <f t="shared" si="34"/>
        <v/>
      </c>
      <c r="AT182" t="str">
        <f t="shared" si="35"/>
        <v/>
      </c>
    </row>
    <row r="183" spans="1:46" ht="40" customHeight="1" x14ac:dyDescent="0.35">
      <c r="A183" s="14"/>
      <c r="B183" s="37"/>
      <c r="C183" s="14"/>
      <c r="D183" s="15"/>
      <c r="E183" s="15"/>
      <c r="F183" s="15"/>
      <c r="G183" s="24"/>
      <c r="H183" s="24"/>
      <c r="I183" s="15"/>
      <c r="J183" s="17"/>
      <c r="K183" s="17"/>
      <c r="L183" s="17"/>
      <c r="M183" s="15"/>
      <c r="N183" s="15"/>
      <c r="O183" s="15"/>
      <c r="P183" s="15"/>
      <c r="Q183" s="15"/>
      <c r="R183" s="15"/>
      <c r="S183" s="14"/>
      <c r="T183" s="14"/>
      <c r="U183" s="14" t="str">
        <f>IF(A183="","",IFERROR(IF(LEN(INDEX(Suppliers!$B$9:$B$508,MATCH(C183,Suppliers!$A$9:$A$508,0))&amp;"")=0,"",INDEX(Suppliers!$B$9:$B$508,MATCH(C183,Suppliers!$A$9:$A$508,0))),""))</f>
        <v/>
      </c>
      <c r="V183" s="14" t="str">
        <f>IF(A183="","",IFERROR(IF(LEN(INDEX(Suppliers!$E$9:$E$508,MATCH(D183,Suppliers!$D$9:$D$508,0))&amp;"")=0,"",INDEX(Suppliers!$E$9:$E$508,MATCH(D183,Suppliers!$D$9:$D$508,0))),""))</f>
        <v/>
      </c>
      <c r="W183" s="14" t="str">
        <f>IF(A183="","",IFERROR(IF(LEN(INDEX(Suppliers!$F$9:$F$508,MATCH(D183,Suppliers!$D$9:$D$508,0))&amp;"")=0,"",INDEX(Suppliers!$F$9:$F$508,MATCH(D183,Suppliers!$D$9:$D$508,0))),""))</f>
        <v/>
      </c>
      <c r="X183" s="14" t="str">
        <f>IF(A183="","",IFERROR(IF(LEN(INDEX(Suppliers!$G$9:$G$508,MATCH(D183,Suppliers!$D$9:$D$508,0))&amp;"")=0,"",INDEX(Suppliers!$G$9:$G$508,MATCH(D183,Suppliers!$D$9:$D$508,0))),""))</f>
        <v/>
      </c>
      <c r="Y183" s="14" t="str">
        <f>IF(A183="","",IFERROR(INDEX(Jobs!$C$9:$C$258,MATCH(B183,Jobs!$A$9:$A$258,0)),""))</f>
        <v/>
      </c>
      <c r="Z183" s="14" t="str">
        <f>IF(A183="","",IFERROR(INDEX(Jobs!$B$9:$B$258,MATCH(B183,Jobs!$A$9:$A$258,0)),""))</f>
        <v/>
      </c>
      <c r="AA183" s="16" t="str">
        <f>IF(A183="","",IFERROR(VLOOKUP(I183,Lists!$E$9:$F$14,2,FALSE),0))</f>
        <v/>
      </c>
      <c r="AB183" s="16" t="str">
        <f t="shared" si="24"/>
        <v/>
      </c>
      <c r="AC183" s="16" t="str">
        <f t="shared" si="25"/>
        <v/>
      </c>
      <c r="AD183" s="16" t="str">
        <f t="shared" si="26"/>
        <v/>
      </c>
      <c r="AE183" s="16" t="str">
        <f t="shared" si="27"/>
        <v/>
      </c>
      <c r="AF183" s="16" t="str">
        <f t="shared" si="28"/>
        <v/>
      </c>
      <c r="AG183" s="26" t="str">
        <f t="shared" si="29"/>
        <v/>
      </c>
      <c r="AH183" s="16" t="str">
        <f t="shared" si="30"/>
        <v/>
      </c>
      <c r="AI183" s="16" t="str">
        <f t="shared" si="31"/>
        <v/>
      </c>
      <c r="AJ183" s="16" t="str">
        <f t="shared" si="32"/>
        <v/>
      </c>
      <c r="AK183" s="14" t="str">
        <f>IF(AND(A183&lt;&gt;"",F183="Selected"),COUNTIF($F$9:F183,"Selected"),"")</f>
        <v/>
      </c>
      <c r="AL183" s="14" t="str">
        <f>IF(A183="","",COUNTIF($B$9:B183,B183))</f>
        <v/>
      </c>
      <c r="AM183" s="14" t="str">
        <f>IF(A183="","",IF(COUNTIF(Jobs!$A$9:$A$258,B183)&lt;&gt;1,"Check JobID",IF(COUNTIF(Suppliers!$D$9:$D$508,D183)&lt;&gt;1,"Check contact",IF(AA183&lt;=0,"Currency / FX missing",IF(NOT(ISNUMBER(G183)),"Original price missing",IF(G183&lt;0,"Invalid original price",IF(AND(H183&lt;&gt;"",NOT(ISNUMBER(H183))),"Invalid final price",IF(AND(ISNUMBER(H183),H183&lt;0),"Invalid final price",IF(AND(F183="Selected",COUNTIFS($B$9:$B$258,B183,$E$9:$E$258,E183,$F$9:$F$258,"Selected")&gt;1),"Selected scope overlap",IF(AND(ISNUMBER(H183),H183&gt;G183),"Price increased",IF(LEN(H183&amp;"")=0,"Final price pending","OK")))))))))))</f>
        <v/>
      </c>
      <c r="AN183" s="16" t="str">
        <f t="shared" si="33"/>
        <v/>
      </c>
      <c r="AO183" s="14" t="str">
        <f>IF(A183="","",IFERROR(IF(INDEX(Suppliers!$A$9:$A$508,MATCH(D183,Suppliers!$D$9:$D$508,0))=C183,"OK","Contact / supplier mismatch"),"Contact missing"))</f>
        <v/>
      </c>
      <c r="AP183" s="14" t="str">
        <f>IF(OR(A183="",IFERROR(INDEX(Jobs!$P$9:$P$258,MATCH(B183,Jobs!$A$9:$A$258,0)),"")=""),"",HYPERLINK("#'"&amp;IFERROR(INDEX(Jobs!$P$9:$P$258,MATCH(B183,Jobs!$A$9:$A$258,0)),"")&amp;"'!A1","OPEN JOB"))</f>
        <v/>
      </c>
      <c r="AQ183" s="14"/>
      <c r="AR183" s="14"/>
      <c r="AS183" t="str">
        <f t="shared" si="34"/>
        <v/>
      </c>
      <c r="AT183" t="str">
        <f t="shared" si="35"/>
        <v/>
      </c>
    </row>
    <row r="184" spans="1:46" ht="40" customHeight="1" x14ac:dyDescent="0.35">
      <c r="A184" s="18"/>
      <c r="B184" s="37"/>
      <c r="C184" s="18"/>
      <c r="D184" s="15"/>
      <c r="E184" s="15"/>
      <c r="F184" s="15"/>
      <c r="G184" s="24"/>
      <c r="H184" s="24"/>
      <c r="I184" s="15"/>
      <c r="J184" s="17"/>
      <c r="K184" s="17"/>
      <c r="L184" s="17"/>
      <c r="M184" s="15"/>
      <c r="N184" s="15"/>
      <c r="O184" s="15"/>
      <c r="P184" s="15"/>
      <c r="Q184" s="15"/>
      <c r="R184" s="15"/>
      <c r="S184" s="18"/>
      <c r="T184" s="18"/>
      <c r="U184" s="18" t="str">
        <f>IF(A184="","",IFERROR(IF(LEN(INDEX(Suppliers!$B$9:$B$508,MATCH(C184,Suppliers!$A$9:$A$508,0))&amp;"")=0,"",INDEX(Suppliers!$B$9:$B$508,MATCH(C184,Suppliers!$A$9:$A$508,0))),""))</f>
        <v/>
      </c>
      <c r="V184" s="18" t="str">
        <f>IF(A184="","",IFERROR(IF(LEN(INDEX(Suppliers!$E$9:$E$508,MATCH(D184,Suppliers!$D$9:$D$508,0))&amp;"")=0,"",INDEX(Suppliers!$E$9:$E$508,MATCH(D184,Suppliers!$D$9:$D$508,0))),""))</f>
        <v/>
      </c>
      <c r="W184" s="18" t="str">
        <f>IF(A184="","",IFERROR(IF(LEN(INDEX(Suppliers!$F$9:$F$508,MATCH(D184,Suppliers!$D$9:$D$508,0))&amp;"")=0,"",INDEX(Suppliers!$F$9:$F$508,MATCH(D184,Suppliers!$D$9:$D$508,0))),""))</f>
        <v/>
      </c>
      <c r="X184" s="18" t="str">
        <f>IF(A184="","",IFERROR(IF(LEN(INDEX(Suppliers!$G$9:$G$508,MATCH(D184,Suppliers!$D$9:$D$508,0))&amp;"")=0,"",INDEX(Suppliers!$G$9:$G$508,MATCH(D184,Suppliers!$D$9:$D$508,0))),""))</f>
        <v/>
      </c>
      <c r="Y184" s="18" t="str">
        <f>IF(A184="","",IFERROR(INDEX(Jobs!$C$9:$C$258,MATCH(B184,Jobs!$A$9:$A$258,0)),""))</f>
        <v/>
      </c>
      <c r="Z184" s="18" t="str">
        <f>IF(A184="","",IFERROR(INDEX(Jobs!$B$9:$B$258,MATCH(B184,Jobs!$A$9:$A$258,0)),""))</f>
        <v/>
      </c>
      <c r="AA184" s="19" t="str">
        <f>IF(A184="","",IFERROR(VLOOKUP(I184,Lists!$E$9:$F$14,2,FALSE),0))</f>
        <v/>
      </c>
      <c r="AB184" s="19" t="str">
        <f t="shared" si="24"/>
        <v/>
      </c>
      <c r="AC184" s="19" t="str">
        <f t="shared" si="25"/>
        <v/>
      </c>
      <c r="AD184" s="19" t="str">
        <f t="shared" si="26"/>
        <v/>
      </c>
      <c r="AE184" s="19" t="str">
        <f t="shared" si="27"/>
        <v/>
      </c>
      <c r="AF184" s="19" t="str">
        <f t="shared" si="28"/>
        <v/>
      </c>
      <c r="AG184" s="27" t="str">
        <f t="shared" si="29"/>
        <v/>
      </c>
      <c r="AH184" s="19" t="str">
        <f t="shared" si="30"/>
        <v/>
      </c>
      <c r="AI184" s="19" t="str">
        <f t="shared" si="31"/>
        <v/>
      </c>
      <c r="AJ184" s="19" t="str">
        <f t="shared" si="32"/>
        <v/>
      </c>
      <c r="AK184" s="18" t="str">
        <f>IF(AND(A184&lt;&gt;"",F184="Selected"),COUNTIF($F$9:F184,"Selected"),"")</f>
        <v/>
      </c>
      <c r="AL184" s="18" t="str">
        <f>IF(A184="","",COUNTIF($B$9:B184,B184))</f>
        <v/>
      </c>
      <c r="AM184" s="18" t="str">
        <f>IF(A184="","",IF(COUNTIF(Jobs!$A$9:$A$258,B184)&lt;&gt;1,"Check JobID",IF(COUNTIF(Suppliers!$D$9:$D$508,D184)&lt;&gt;1,"Check contact",IF(AA184&lt;=0,"Currency / FX missing",IF(NOT(ISNUMBER(G184)),"Original price missing",IF(G184&lt;0,"Invalid original price",IF(AND(H184&lt;&gt;"",NOT(ISNUMBER(H184))),"Invalid final price",IF(AND(ISNUMBER(H184),H184&lt;0),"Invalid final price",IF(AND(F184="Selected",COUNTIFS($B$9:$B$258,B184,$E$9:$E$258,E184,$F$9:$F$258,"Selected")&gt;1),"Selected scope overlap",IF(AND(ISNUMBER(H184),H184&gt;G184),"Price increased",IF(LEN(H184&amp;"")=0,"Final price pending","OK")))))))))))</f>
        <v/>
      </c>
      <c r="AN184" s="19" t="str">
        <f t="shared" si="33"/>
        <v/>
      </c>
      <c r="AO184" s="18" t="str">
        <f>IF(A184="","",IFERROR(IF(INDEX(Suppliers!$A$9:$A$508,MATCH(D184,Suppliers!$D$9:$D$508,0))=C184,"OK","Contact / supplier mismatch"),"Contact missing"))</f>
        <v/>
      </c>
      <c r="AP184" s="18" t="str">
        <f>IF(OR(A184="",IFERROR(INDEX(Jobs!$P$9:$P$258,MATCH(B184,Jobs!$A$9:$A$258,0)),"")=""),"",HYPERLINK("#'"&amp;IFERROR(INDEX(Jobs!$P$9:$P$258,MATCH(B184,Jobs!$A$9:$A$258,0)),"")&amp;"'!A1","OPEN JOB"))</f>
        <v/>
      </c>
      <c r="AQ184" s="18"/>
      <c r="AR184" s="18"/>
      <c r="AS184" t="str">
        <f t="shared" si="34"/>
        <v/>
      </c>
      <c r="AT184" t="str">
        <f t="shared" si="35"/>
        <v/>
      </c>
    </row>
    <row r="185" spans="1:46" ht="40" customHeight="1" x14ac:dyDescent="0.35">
      <c r="A185" s="14"/>
      <c r="B185" s="37"/>
      <c r="C185" s="14"/>
      <c r="D185" s="15"/>
      <c r="E185" s="15"/>
      <c r="F185" s="15"/>
      <c r="G185" s="24"/>
      <c r="H185" s="24"/>
      <c r="I185" s="15"/>
      <c r="J185" s="17"/>
      <c r="K185" s="17"/>
      <c r="L185" s="17"/>
      <c r="M185" s="15"/>
      <c r="N185" s="15"/>
      <c r="O185" s="15"/>
      <c r="P185" s="15"/>
      <c r="Q185" s="15"/>
      <c r="R185" s="15"/>
      <c r="S185" s="14"/>
      <c r="T185" s="14"/>
      <c r="U185" s="14" t="str">
        <f>IF(A185="","",IFERROR(IF(LEN(INDEX(Suppliers!$B$9:$B$508,MATCH(C185,Suppliers!$A$9:$A$508,0))&amp;"")=0,"",INDEX(Suppliers!$B$9:$B$508,MATCH(C185,Suppliers!$A$9:$A$508,0))),""))</f>
        <v/>
      </c>
      <c r="V185" s="14" t="str">
        <f>IF(A185="","",IFERROR(IF(LEN(INDEX(Suppliers!$E$9:$E$508,MATCH(D185,Suppliers!$D$9:$D$508,0))&amp;"")=0,"",INDEX(Suppliers!$E$9:$E$508,MATCH(D185,Suppliers!$D$9:$D$508,0))),""))</f>
        <v/>
      </c>
      <c r="W185" s="14" t="str">
        <f>IF(A185="","",IFERROR(IF(LEN(INDEX(Suppliers!$F$9:$F$508,MATCH(D185,Suppliers!$D$9:$D$508,0))&amp;"")=0,"",INDEX(Suppliers!$F$9:$F$508,MATCH(D185,Suppliers!$D$9:$D$508,0))),""))</f>
        <v/>
      </c>
      <c r="X185" s="14" t="str">
        <f>IF(A185="","",IFERROR(IF(LEN(INDEX(Suppliers!$G$9:$G$508,MATCH(D185,Suppliers!$D$9:$D$508,0))&amp;"")=0,"",INDEX(Suppliers!$G$9:$G$508,MATCH(D185,Suppliers!$D$9:$D$508,0))),""))</f>
        <v/>
      </c>
      <c r="Y185" s="14" t="str">
        <f>IF(A185="","",IFERROR(INDEX(Jobs!$C$9:$C$258,MATCH(B185,Jobs!$A$9:$A$258,0)),""))</f>
        <v/>
      </c>
      <c r="Z185" s="14" t="str">
        <f>IF(A185="","",IFERROR(INDEX(Jobs!$B$9:$B$258,MATCH(B185,Jobs!$A$9:$A$258,0)),""))</f>
        <v/>
      </c>
      <c r="AA185" s="16" t="str">
        <f>IF(A185="","",IFERROR(VLOOKUP(I185,Lists!$E$9:$F$14,2,FALSE),0))</f>
        <v/>
      </c>
      <c r="AB185" s="16" t="str">
        <f t="shared" si="24"/>
        <v/>
      </c>
      <c r="AC185" s="16" t="str">
        <f t="shared" si="25"/>
        <v/>
      </c>
      <c r="AD185" s="16" t="str">
        <f t="shared" si="26"/>
        <v/>
      </c>
      <c r="AE185" s="16" t="str">
        <f t="shared" si="27"/>
        <v/>
      </c>
      <c r="AF185" s="16" t="str">
        <f t="shared" si="28"/>
        <v/>
      </c>
      <c r="AG185" s="26" t="str">
        <f t="shared" si="29"/>
        <v/>
      </c>
      <c r="AH185" s="16" t="str">
        <f t="shared" si="30"/>
        <v/>
      </c>
      <c r="AI185" s="16" t="str">
        <f t="shared" si="31"/>
        <v/>
      </c>
      <c r="AJ185" s="16" t="str">
        <f t="shared" si="32"/>
        <v/>
      </c>
      <c r="AK185" s="14" t="str">
        <f>IF(AND(A185&lt;&gt;"",F185="Selected"),COUNTIF($F$9:F185,"Selected"),"")</f>
        <v/>
      </c>
      <c r="AL185" s="14" t="str">
        <f>IF(A185="","",COUNTIF($B$9:B185,B185))</f>
        <v/>
      </c>
      <c r="AM185" s="14" t="str">
        <f>IF(A185="","",IF(COUNTIF(Jobs!$A$9:$A$258,B185)&lt;&gt;1,"Check JobID",IF(COUNTIF(Suppliers!$D$9:$D$508,D185)&lt;&gt;1,"Check contact",IF(AA185&lt;=0,"Currency / FX missing",IF(NOT(ISNUMBER(G185)),"Original price missing",IF(G185&lt;0,"Invalid original price",IF(AND(H185&lt;&gt;"",NOT(ISNUMBER(H185))),"Invalid final price",IF(AND(ISNUMBER(H185),H185&lt;0),"Invalid final price",IF(AND(F185="Selected",COUNTIFS($B$9:$B$258,B185,$E$9:$E$258,E185,$F$9:$F$258,"Selected")&gt;1),"Selected scope overlap",IF(AND(ISNUMBER(H185),H185&gt;G185),"Price increased",IF(LEN(H185&amp;"")=0,"Final price pending","OK")))))))))))</f>
        <v/>
      </c>
      <c r="AN185" s="16" t="str">
        <f t="shared" si="33"/>
        <v/>
      </c>
      <c r="AO185" s="14" t="str">
        <f>IF(A185="","",IFERROR(IF(INDEX(Suppliers!$A$9:$A$508,MATCH(D185,Suppliers!$D$9:$D$508,0))=C185,"OK","Contact / supplier mismatch"),"Contact missing"))</f>
        <v/>
      </c>
      <c r="AP185" s="14" t="str">
        <f>IF(OR(A185="",IFERROR(INDEX(Jobs!$P$9:$P$258,MATCH(B185,Jobs!$A$9:$A$258,0)),"")=""),"",HYPERLINK("#'"&amp;IFERROR(INDEX(Jobs!$P$9:$P$258,MATCH(B185,Jobs!$A$9:$A$258,0)),"")&amp;"'!A1","OPEN JOB"))</f>
        <v/>
      </c>
      <c r="AQ185" s="14"/>
      <c r="AR185" s="14"/>
      <c r="AS185" t="str">
        <f t="shared" si="34"/>
        <v/>
      </c>
      <c r="AT185" t="str">
        <f t="shared" si="35"/>
        <v/>
      </c>
    </row>
    <row r="186" spans="1:46" ht="40" customHeight="1" x14ac:dyDescent="0.35">
      <c r="A186" s="18"/>
      <c r="B186" s="37"/>
      <c r="C186" s="18"/>
      <c r="D186" s="15"/>
      <c r="E186" s="15"/>
      <c r="F186" s="15"/>
      <c r="G186" s="24"/>
      <c r="H186" s="24"/>
      <c r="I186" s="15"/>
      <c r="J186" s="17"/>
      <c r="K186" s="17"/>
      <c r="L186" s="17"/>
      <c r="M186" s="15"/>
      <c r="N186" s="15"/>
      <c r="O186" s="15"/>
      <c r="P186" s="15"/>
      <c r="Q186" s="15"/>
      <c r="R186" s="15"/>
      <c r="S186" s="18"/>
      <c r="T186" s="18"/>
      <c r="U186" s="18" t="str">
        <f>IF(A186="","",IFERROR(IF(LEN(INDEX(Suppliers!$B$9:$B$508,MATCH(C186,Suppliers!$A$9:$A$508,0))&amp;"")=0,"",INDEX(Suppliers!$B$9:$B$508,MATCH(C186,Suppliers!$A$9:$A$508,0))),""))</f>
        <v/>
      </c>
      <c r="V186" s="18" t="str">
        <f>IF(A186="","",IFERROR(IF(LEN(INDEX(Suppliers!$E$9:$E$508,MATCH(D186,Suppliers!$D$9:$D$508,0))&amp;"")=0,"",INDEX(Suppliers!$E$9:$E$508,MATCH(D186,Suppliers!$D$9:$D$508,0))),""))</f>
        <v/>
      </c>
      <c r="W186" s="18" t="str">
        <f>IF(A186="","",IFERROR(IF(LEN(INDEX(Suppliers!$F$9:$F$508,MATCH(D186,Suppliers!$D$9:$D$508,0))&amp;"")=0,"",INDEX(Suppliers!$F$9:$F$508,MATCH(D186,Suppliers!$D$9:$D$508,0))),""))</f>
        <v/>
      </c>
      <c r="X186" s="18" t="str">
        <f>IF(A186="","",IFERROR(IF(LEN(INDEX(Suppliers!$G$9:$G$508,MATCH(D186,Suppliers!$D$9:$D$508,0))&amp;"")=0,"",INDEX(Suppliers!$G$9:$G$508,MATCH(D186,Suppliers!$D$9:$D$508,0))),""))</f>
        <v/>
      </c>
      <c r="Y186" s="18" t="str">
        <f>IF(A186="","",IFERROR(INDEX(Jobs!$C$9:$C$258,MATCH(B186,Jobs!$A$9:$A$258,0)),""))</f>
        <v/>
      </c>
      <c r="Z186" s="18" t="str">
        <f>IF(A186="","",IFERROR(INDEX(Jobs!$B$9:$B$258,MATCH(B186,Jobs!$A$9:$A$258,0)),""))</f>
        <v/>
      </c>
      <c r="AA186" s="19" t="str">
        <f>IF(A186="","",IFERROR(VLOOKUP(I186,Lists!$E$9:$F$14,2,FALSE),0))</f>
        <v/>
      </c>
      <c r="AB186" s="19" t="str">
        <f t="shared" si="24"/>
        <v/>
      </c>
      <c r="AC186" s="19" t="str">
        <f t="shared" si="25"/>
        <v/>
      </c>
      <c r="AD186" s="19" t="str">
        <f t="shared" si="26"/>
        <v/>
      </c>
      <c r="AE186" s="19" t="str">
        <f t="shared" si="27"/>
        <v/>
      </c>
      <c r="AF186" s="19" t="str">
        <f t="shared" si="28"/>
        <v/>
      </c>
      <c r="AG186" s="27" t="str">
        <f t="shared" si="29"/>
        <v/>
      </c>
      <c r="AH186" s="19" t="str">
        <f t="shared" si="30"/>
        <v/>
      </c>
      <c r="AI186" s="19" t="str">
        <f t="shared" si="31"/>
        <v/>
      </c>
      <c r="AJ186" s="19" t="str">
        <f t="shared" si="32"/>
        <v/>
      </c>
      <c r="AK186" s="18" t="str">
        <f>IF(AND(A186&lt;&gt;"",F186="Selected"),COUNTIF($F$9:F186,"Selected"),"")</f>
        <v/>
      </c>
      <c r="AL186" s="18" t="str">
        <f>IF(A186="","",COUNTIF($B$9:B186,B186))</f>
        <v/>
      </c>
      <c r="AM186" s="18" t="str">
        <f>IF(A186="","",IF(COUNTIF(Jobs!$A$9:$A$258,B186)&lt;&gt;1,"Check JobID",IF(COUNTIF(Suppliers!$D$9:$D$508,D186)&lt;&gt;1,"Check contact",IF(AA186&lt;=0,"Currency / FX missing",IF(NOT(ISNUMBER(G186)),"Original price missing",IF(G186&lt;0,"Invalid original price",IF(AND(H186&lt;&gt;"",NOT(ISNUMBER(H186))),"Invalid final price",IF(AND(ISNUMBER(H186),H186&lt;0),"Invalid final price",IF(AND(F186="Selected",COUNTIFS($B$9:$B$258,B186,$E$9:$E$258,E186,$F$9:$F$258,"Selected")&gt;1),"Selected scope overlap",IF(AND(ISNUMBER(H186),H186&gt;G186),"Price increased",IF(LEN(H186&amp;"")=0,"Final price pending","OK")))))))))))</f>
        <v/>
      </c>
      <c r="AN186" s="19" t="str">
        <f t="shared" si="33"/>
        <v/>
      </c>
      <c r="AO186" s="18" t="str">
        <f>IF(A186="","",IFERROR(IF(INDEX(Suppliers!$A$9:$A$508,MATCH(D186,Suppliers!$D$9:$D$508,0))=C186,"OK","Contact / supplier mismatch"),"Contact missing"))</f>
        <v/>
      </c>
      <c r="AP186" s="18" t="str">
        <f>IF(OR(A186="",IFERROR(INDEX(Jobs!$P$9:$P$258,MATCH(B186,Jobs!$A$9:$A$258,0)),"")=""),"",HYPERLINK("#'"&amp;IFERROR(INDEX(Jobs!$P$9:$P$258,MATCH(B186,Jobs!$A$9:$A$258,0)),"")&amp;"'!A1","OPEN JOB"))</f>
        <v/>
      </c>
      <c r="AQ186" s="18"/>
      <c r="AR186" s="18"/>
      <c r="AS186" t="str">
        <f t="shared" si="34"/>
        <v/>
      </c>
      <c r="AT186" t="str">
        <f t="shared" si="35"/>
        <v/>
      </c>
    </row>
    <row r="187" spans="1:46" ht="40" customHeight="1" x14ac:dyDescent="0.35">
      <c r="A187" s="14"/>
      <c r="B187" s="37"/>
      <c r="C187" s="14"/>
      <c r="D187" s="15"/>
      <c r="E187" s="15"/>
      <c r="F187" s="15"/>
      <c r="G187" s="24"/>
      <c r="H187" s="24"/>
      <c r="I187" s="15"/>
      <c r="J187" s="17"/>
      <c r="K187" s="17"/>
      <c r="L187" s="17"/>
      <c r="M187" s="15"/>
      <c r="N187" s="15"/>
      <c r="O187" s="15"/>
      <c r="P187" s="15"/>
      <c r="Q187" s="15"/>
      <c r="R187" s="15"/>
      <c r="S187" s="14"/>
      <c r="T187" s="14"/>
      <c r="U187" s="14" t="str">
        <f>IF(A187="","",IFERROR(IF(LEN(INDEX(Suppliers!$B$9:$B$508,MATCH(C187,Suppliers!$A$9:$A$508,0))&amp;"")=0,"",INDEX(Suppliers!$B$9:$B$508,MATCH(C187,Suppliers!$A$9:$A$508,0))),""))</f>
        <v/>
      </c>
      <c r="V187" s="14" t="str">
        <f>IF(A187="","",IFERROR(IF(LEN(INDEX(Suppliers!$E$9:$E$508,MATCH(D187,Suppliers!$D$9:$D$508,0))&amp;"")=0,"",INDEX(Suppliers!$E$9:$E$508,MATCH(D187,Suppliers!$D$9:$D$508,0))),""))</f>
        <v/>
      </c>
      <c r="W187" s="14" t="str">
        <f>IF(A187="","",IFERROR(IF(LEN(INDEX(Suppliers!$F$9:$F$508,MATCH(D187,Suppliers!$D$9:$D$508,0))&amp;"")=0,"",INDEX(Suppliers!$F$9:$F$508,MATCH(D187,Suppliers!$D$9:$D$508,0))),""))</f>
        <v/>
      </c>
      <c r="X187" s="14" t="str">
        <f>IF(A187="","",IFERROR(IF(LEN(INDEX(Suppliers!$G$9:$G$508,MATCH(D187,Suppliers!$D$9:$D$508,0))&amp;"")=0,"",INDEX(Suppliers!$G$9:$G$508,MATCH(D187,Suppliers!$D$9:$D$508,0))),""))</f>
        <v/>
      </c>
      <c r="Y187" s="14" t="str">
        <f>IF(A187="","",IFERROR(INDEX(Jobs!$C$9:$C$258,MATCH(B187,Jobs!$A$9:$A$258,0)),""))</f>
        <v/>
      </c>
      <c r="Z187" s="14" t="str">
        <f>IF(A187="","",IFERROR(INDEX(Jobs!$B$9:$B$258,MATCH(B187,Jobs!$A$9:$A$258,0)),""))</f>
        <v/>
      </c>
      <c r="AA187" s="16" t="str">
        <f>IF(A187="","",IFERROR(VLOOKUP(I187,Lists!$E$9:$F$14,2,FALSE),0))</f>
        <v/>
      </c>
      <c r="AB187" s="16" t="str">
        <f t="shared" si="24"/>
        <v/>
      </c>
      <c r="AC187" s="16" t="str">
        <f t="shared" si="25"/>
        <v/>
      </c>
      <c r="AD187" s="16" t="str">
        <f t="shared" si="26"/>
        <v/>
      </c>
      <c r="AE187" s="16" t="str">
        <f t="shared" si="27"/>
        <v/>
      </c>
      <c r="AF187" s="16" t="str">
        <f t="shared" si="28"/>
        <v/>
      </c>
      <c r="AG187" s="26" t="str">
        <f t="shared" si="29"/>
        <v/>
      </c>
      <c r="AH187" s="16" t="str">
        <f t="shared" si="30"/>
        <v/>
      </c>
      <c r="AI187" s="16" t="str">
        <f t="shared" si="31"/>
        <v/>
      </c>
      <c r="AJ187" s="16" t="str">
        <f t="shared" si="32"/>
        <v/>
      </c>
      <c r="AK187" s="14" t="str">
        <f>IF(AND(A187&lt;&gt;"",F187="Selected"),COUNTIF($F$9:F187,"Selected"),"")</f>
        <v/>
      </c>
      <c r="AL187" s="14" t="str">
        <f>IF(A187="","",COUNTIF($B$9:B187,B187))</f>
        <v/>
      </c>
      <c r="AM187" s="14" t="str">
        <f>IF(A187="","",IF(COUNTIF(Jobs!$A$9:$A$258,B187)&lt;&gt;1,"Check JobID",IF(COUNTIF(Suppliers!$D$9:$D$508,D187)&lt;&gt;1,"Check contact",IF(AA187&lt;=0,"Currency / FX missing",IF(NOT(ISNUMBER(G187)),"Original price missing",IF(G187&lt;0,"Invalid original price",IF(AND(H187&lt;&gt;"",NOT(ISNUMBER(H187))),"Invalid final price",IF(AND(ISNUMBER(H187),H187&lt;0),"Invalid final price",IF(AND(F187="Selected",COUNTIFS($B$9:$B$258,B187,$E$9:$E$258,E187,$F$9:$F$258,"Selected")&gt;1),"Selected scope overlap",IF(AND(ISNUMBER(H187),H187&gt;G187),"Price increased",IF(LEN(H187&amp;"")=0,"Final price pending","OK")))))))))))</f>
        <v/>
      </c>
      <c r="AN187" s="16" t="str">
        <f t="shared" si="33"/>
        <v/>
      </c>
      <c r="AO187" s="14" t="str">
        <f>IF(A187="","",IFERROR(IF(INDEX(Suppliers!$A$9:$A$508,MATCH(D187,Suppliers!$D$9:$D$508,0))=C187,"OK","Contact / supplier mismatch"),"Contact missing"))</f>
        <v/>
      </c>
      <c r="AP187" s="14" t="str">
        <f>IF(OR(A187="",IFERROR(INDEX(Jobs!$P$9:$P$258,MATCH(B187,Jobs!$A$9:$A$258,0)),"")=""),"",HYPERLINK("#'"&amp;IFERROR(INDEX(Jobs!$P$9:$P$258,MATCH(B187,Jobs!$A$9:$A$258,0)),"")&amp;"'!A1","OPEN JOB"))</f>
        <v/>
      </c>
      <c r="AQ187" s="14"/>
      <c r="AR187" s="14"/>
      <c r="AS187" t="str">
        <f t="shared" si="34"/>
        <v/>
      </c>
      <c r="AT187" t="str">
        <f t="shared" si="35"/>
        <v/>
      </c>
    </row>
    <row r="188" spans="1:46" ht="40" customHeight="1" x14ac:dyDescent="0.35">
      <c r="A188" s="18"/>
      <c r="B188" s="37"/>
      <c r="C188" s="18"/>
      <c r="D188" s="15"/>
      <c r="E188" s="15"/>
      <c r="F188" s="15"/>
      <c r="G188" s="24"/>
      <c r="H188" s="24"/>
      <c r="I188" s="15"/>
      <c r="J188" s="17"/>
      <c r="K188" s="17"/>
      <c r="L188" s="17"/>
      <c r="M188" s="15"/>
      <c r="N188" s="15"/>
      <c r="O188" s="15"/>
      <c r="P188" s="15"/>
      <c r="Q188" s="15"/>
      <c r="R188" s="15"/>
      <c r="S188" s="18"/>
      <c r="T188" s="18"/>
      <c r="U188" s="18" t="str">
        <f>IF(A188="","",IFERROR(IF(LEN(INDEX(Suppliers!$B$9:$B$508,MATCH(C188,Suppliers!$A$9:$A$508,0))&amp;"")=0,"",INDEX(Suppliers!$B$9:$B$508,MATCH(C188,Suppliers!$A$9:$A$508,0))),""))</f>
        <v/>
      </c>
      <c r="V188" s="18" t="str">
        <f>IF(A188="","",IFERROR(IF(LEN(INDEX(Suppliers!$E$9:$E$508,MATCH(D188,Suppliers!$D$9:$D$508,0))&amp;"")=0,"",INDEX(Suppliers!$E$9:$E$508,MATCH(D188,Suppliers!$D$9:$D$508,0))),""))</f>
        <v/>
      </c>
      <c r="W188" s="18" t="str">
        <f>IF(A188="","",IFERROR(IF(LEN(INDEX(Suppliers!$F$9:$F$508,MATCH(D188,Suppliers!$D$9:$D$508,0))&amp;"")=0,"",INDEX(Suppliers!$F$9:$F$508,MATCH(D188,Suppliers!$D$9:$D$508,0))),""))</f>
        <v/>
      </c>
      <c r="X188" s="18" t="str">
        <f>IF(A188="","",IFERROR(IF(LEN(INDEX(Suppliers!$G$9:$G$508,MATCH(D188,Suppliers!$D$9:$D$508,0))&amp;"")=0,"",INDEX(Suppliers!$G$9:$G$508,MATCH(D188,Suppliers!$D$9:$D$508,0))),""))</f>
        <v/>
      </c>
      <c r="Y188" s="18" t="str">
        <f>IF(A188="","",IFERROR(INDEX(Jobs!$C$9:$C$258,MATCH(B188,Jobs!$A$9:$A$258,0)),""))</f>
        <v/>
      </c>
      <c r="Z188" s="18" t="str">
        <f>IF(A188="","",IFERROR(INDEX(Jobs!$B$9:$B$258,MATCH(B188,Jobs!$A$9:$A$258,0)),""))</f>
        <v/>
      </c>
      <c r="AA188" s="19" t="str">
        <f>IF(A188="","",IFERROR(VLOOKUP(I188,Lists!$E$9:$F$14,2,FALSE),0))</f>
        <v/>
      </c>
      <c r="AB188" s="19" t="str">
        <f t="shared" si="24"/>
        <v/>
      </c>
      <c r="AC188" s="19" t="str">
        <f t="shared" si="25"/>
        <v/>
      </c>
      <c r="AD188" s="19" t="str">
        <f t="shared" si="26"/>
        <v/>
      </c>
      <c r="AE188" s="19" t="str">
        <f t="shared" si="27"/>
        <v/>
      </c>
      <c r="AF188" s="19" t="str">
        <f t="shared" si="28"/>
        <v/>
      </c>
      <c r="AG188" s="27" t="str">
        <f t="shared" si="29"/>
        <v/>
      </c>
      <c r="AH188" s="19" t="str">
        <f t="shared" si="30"/>
        <v/>
      </c>
      <c r="AI188" s="19" t="str">
        <f t="shared" si="31"/>
        <v/>
      </c>
      <c r="AJ188" s="19" t="str">
        <f t="shared" si="32"/>
        <v/>
      </c>
      <c r="AK188" s="18" t="str">
        <f>IF(AND(A188&lt;&gt;"",F188="Selected"),COUNTIF($F$9:F188,"Selected"),"")</f>
        <v/>
      </c>
      <c r="AL188" s="18" t="str">
        <f>IF(A188="","",COUNTIF($B$9:B188,B188))</f>
        <v/>
      </c>
      <c r="AM188" s="18" t="str">
        <f>IF(A188="","",IF(COUNTIF(Jobs!$A$9:$A$258,B188)&lt;&gt;1,"Check JobID",IF(COUNTIF(Suppliers!$D$9:$D$508,D188)&lt;&gt;1,"Check contact",IF(AA188&lt;=0,"Currency / FX missing",IF(NOT(ISNUMBER(G188)),"Original price missing",IF(G188&lt;0,"Invalid original price",IF(AND(H188&lt;&gt;"",NOT(ISNUMBER(H188))),"Invalid final price",IF(AND(ISNUMBER(H188),H188&lt;0),"Invalid final price",IF(AND(F188="Selected",COUNTIFS($B$9:$B$258,B188,$E$9:$E$258,E188,$F$9:$F$258,"Selected")&gt;1),"Selected scope overlap",IF(AND(ISNUMBER(H188),H188&gt;G188),"Price increased",IF(LEN(H188&amp;"")=0,"Final price pending","OK")))))))))))</f>
        <v/>
      </c>
      <c r="AN188" s="19" t="str">
        <f t="shared" si="33"/>
        <v/>
      </c>
      <c r="AO188" s="18" t="str">
        <f>IF(A188="","",IFERROR(IF(INDEX(Suppliers!$A$9:$A$508,MATCH(D188,Suppliers!$D$9:$D$508,0))=C188,"OK","Contact / supplier mismatch"),"Contact missing"))</f>
        <v/>
      </c>
      <c r="AP188" s="18" t="str">
        <f>IF(OR(A188="",IFERROR(INDEX(Jobs!$P$9:$P$258,MATCH(B188,Jobs!$A$9:$A$258,0)),"")=""),"",HYPERLINK("#'"&amp;IFERROR(INDEX(Jobs!$P$9:$P$258,MATCH(B188,Jobs!$A$9:$A$258,0)),"")&amp;"'!A1","OPEN JOB"))</f>
        <v/>
      </c>
      <c r="AQ188" s="18"/>
      <c r="AR188" s="18"/>
      <c r="AS188" t="str">
        <f t="shared" si="34"/>
        <v/>
      </c>
      <c r="AT188" t="str">
        <f t="shared" si="35"/>
        <v/>
      </c>
    </row>
    <row r="189" spans="1:46" ht="40" customHeight="1" x14ac:dyDescent="0.35">
      <c r="A189" s="14"/>
      <c r="B189" s="37"/>
      <c r="C189" s="14"/>
      <c r="D189" s="15"/>
      <c r="E189" s="15"/>
      <c r="F189" s="15"/>
      <c r="G189" s="24"/>
      <c r="H189" s="24"/>
      <c r="I189" s="15"/>
      <c r="J189" s="17"/>
      <c r="K189" s="17"/>
      <c r="L189" s="17"/>
      <c r="M189" s="15"/>
      <c r="N189" s="15"/>
      <c r="O189" s="15"/>
      <c r="P189" s="15"/>
      <c r="Q189" s="15"/>
      <c r="R189" s="15"/>
      <c r="S189" s="14"/>
      <c r="T189" s="14"/>
      <c r="U189" s="14" t="str">
        <f>IF(A189="","",IFERROR(IF(LEN(INDEX(Suppliers!$B$9:$B$508,MATCH(C189,Suppliers!$A$9:$A$508,0))&amp;"")=0,"",INDEX(Suppliers!$B$9:$B$508,MATCH(C189,Suppliers!$A$9:$A$508,0))),""))</f>
        <v/>
      </c>
      <c r="V189" s="14" t="str">
        <f>IF(A189="","",IFERROR(IF(LEN(INDEX(Suppliers!$E$9:$E$508,MATCH(D189,Suppliers!$D$9:$D$508,0))&amp;"")=0,"",INDEX(Suppliers!$E$9:$E$508,MATCH(D189,Suppliers!$D$9:$D$508,0))),""))</f>
        <v/>
      </c>
      <c r="W189" s="14" t="str">
        <f>IF(A189="","",IFERROR(IF(LEN(INDEX(Suppliers!$F$9:$F$508,MATCH(D189,Suppliers!$D$9:$D$508,0))&amp;"")=0,"",INDEX(Suppliers!$F$9:$F$508,MATCH(D189,Suppliers!$D$9:$D$508,0))),""))</f>
        <v/>
      </c>
      <c r="X189" s="14" t="str">
        <f>IF(A189="","",IFERROR(IF(LEN(INDEX(Suppliers!$G$9:$G$508,MATCH(D189,Suppliers!$D$9:$D$508,0))&amp;"")=0,"",INDEX(Suppliers!$G$9:$G$508,MATCH(D189,Suppliers!$D$9:$D$508,0))),""))</f>
        <v/>
      </c>
      <c r="Y189" s="14" t="str">
        <f>IF(A189="","",IFERROR(INDEX(Jobs!$C$9:$C$258,MATCH(B189,Jobs!$A$9:$A$258,0)),""))</f>
        <v/>
      </c>
      <c r="Z189" s="14" t="str">
        <f>IF(A189="","",IFERROR(INDEX(Jobs!$B$9:$B$258,MATCH(B189,Jobs!$A$9:$A$258,0)),""))</f>
        <v/>
      </c>
      <c r="AA189" s="16" t="str">
        <f>IF(A189="","",IFERROR(VLOOKUP(I189,Lists!$E$9:$F$14,2,FALSE),0))</f>
        <v/>
      </c>
      <c r="AB189" s="16" t="str">
        <f t="shared" si="24"/>
        <v/>
      </c>
      <c r="AC189" s="16" t="str">
        <f t="shared" si="25"/>
        <v/>
      </c>
      <c r="AD189" s="16" t="str">
        <f t="shared" si="26"/>
        <v/>
      </c>
      <c r="AE189" s="16" t="str">
        <f t="shared" si="27"/>
        <v/>
      </c>
      <c r="AF189" s="16" t="str">
        <f t="shared" si="28"/>
        <v/>
      </c>
      <c r="AG189" s="26" t="str">
        <f t="shared" si="29"/>
        <v/>
      </c>
      <c r="AH189" s="16" t="str">
        <f t="shared" si="30"/>
        <v/>
      </c>
      <c r="AI189" s="16" t="str">
        <f t="shared" si="31"/>
        <v/>
      </c>
      <c r="AJ189" s="16" t="str">
        <f t="shared" si="32"/>
        <v/>
      </c>
      <c r="AK189" s="14" t="str">
        <f>IF(AND(A189&lt;&gt;"",F189="Selected"),COUNTIF($F$9:F189,"Selected"),"")</f>
        <v/>
      </c>
      <c r="AL189" s="14" t="str">
        <f>IF(A189="","",COUNTIF($B$9:B189,B189))</f>
        <v/>
      </c>
      <c r="AM189" s="14" t="str">
        <f>IF(A189="","",IF(COUNTIF(Jobs!$A$9:$A$258,B189)&lt;&gt;1,"Check JobID",IF(COUNTIF(Suppliers!$D$9:$D$508,D189)&lt;&gt;1,"Check contact",IF(AA189&lt;=0,"Currency / FX missing",IF(NOT(ISNUMBER(G189)),"Original price missing",IF(G189&lt;0,"Invalid original price",IF(AND(H189&lt;&gt;"",NOT(ISNUMBER(H189))),"Invalid final price",IF(AND(ISNUMBER(H189),H189&lt;0),"Invalid final price",IF(AND(F189="Selected",COUNTIFS($B$9:$B$258,B189,$E$9:$E$258,E189,$F$9:$F$258,"Selected")&gt;1),"Selected scope overlap",IF(AND(ISNUMBER(H189),H189&gt;G189),"Price increased",IF(LEN(H189&amp;"")=0,"Final price pending","OK")))))))))))</f>
        <v/>
      </c>
      <c r="AN189" s="16" t="str">
        <f t="shared" si="33"/>
        <v/>
      </c>
      <c r="AO189" s="14" t="str">
        <f>IF(A189="","",IFERROR(IF(INDEX(Suppliers!$A$9:$A$508,MATCH(D189,Suppliers!$D$9:$D$508,0))=C189,"OK","Contact / supplier mismatch"),"Contact missing"))</f>
        <v/>
      </c>
      <c r="AP189" s="14" t="str">
        <f>IF(OR(A189="",IFERROR(INDEX(Jobs!$P$9:$P$258,MATCH(B189,Jobs!$A$9:$A$258,0)),"")=""),"",HYPERLINK("#'"&amp;IFERROR(INDEX(Jobs!$P$9:$P$258,MATCH(B189,Jobs!$A$9:$A$258,0)),"")&amp;"'!A1","OPEN JOB"))</f>
        <v/>
      </c>
      <c r="AQ189" s="14"/>
      <c r="AR189" s="14"/>
      <c r="AS189" t="str">
        <f t="shared" si="34"/>
        <v/>
      </c>
      <c r="AT189" t="str">
        <f t="shared" si="35"/>
        <v/>
      </c>
    </row>
    <row r="190" spans="1:46" ht="40" customHeight="1" x14ac:dyDescent="0.35">
      <c r="A190" s="18"/>
      <c r="B190" s="37"/>
      <c r="C190" s="18"/>
      <c r="D190" s="15"/>
      <c r="E190" s="15"/>
      <c r="F190" s="15"/>
      <c r="G190" s="24"/>
      <c r="H190" s="24"/>
      <c r="I190" s="15"/>
      <c r="J190" s="17"/>
      <c r="K190" s="17"/>
      <c r="L190" s="17"/>
      <c r="M190" s="15"/>
      <c r="N190" s="15"/>
      <c r="O190" s="15"/>
      <c r="P190" s="15"/>
      <c r="Q190" s="15"/>
      <c r="R190" s="15"/>
      <c r="S190" s="18"/>
      <c r="T190" s="18"/>
      <c r="U190" s="18" t="str">
        <f>IF(A190="","",IFERROR(IF(LEN(INDEX(Suppliers!$B$9:$B$508,MATCH(C190,Suppliers!$A$9:$A$508,0))&amp;"")=0,"",INDEX(Suppliers!$B$9:$B$508,MATCH(C190,Suppliers!$A$9:$A$508,0))),""))</f>
        <v/>
      </c>
      <c r="V190" s="18" t="str">
        <f>IF(A190="","",IFERROR(IF(LEN(INDEX(Suppliers!$E$9:$E$508,MATCH(D190,Suppliers!$D$9:$D$508,0))&amp;"")=0,"",INDEX(Suppliers!$E$9:$E$508,MATCH(D190,Suppliers!$D$9:$D$508,0))),""))</f>
        <v/>
      </c>
      <c r="W190" s="18" t="str">
        <f>IF(A190="","",IFERROR(IF(LEN(INDEX(Suppliers!$F$9:$F$508,MATCH(D190,Suppliers!$D$9:$D$508,0))&amp;"")=0,"",INDEX(Suppliers!$F$9:$F$508,MATCH(D190,Suppliers!$D$9:$D$508,0))),""))</f>
        <v/>
      </c>
      <c r="X190" s="18" t="str">
        <f>IF(A190="","",IFERROR(IF(LEN(INDEX(Suppliers!$G$9:$G$508,MATCH(D190,Suppliers!$D$9:$D$508,0))&amp;"")=0,"",INDEX(Suppliers!$G$9:$G$508,MATCH(D190,Suppliers!$D$9:$D$508,0))),""))</f>
        <v/>
      </c>
      <c r="Y190" s="18" t="str">
        <f>IF(A190="","",IFERROR(INDEX(Jobs!$C$9:$C$258,MATCH(B190,Jobs!$A$9:$A$258,0)),""))</f>
        <v/>
      </c>
      <c r="Z190" s="18" t="str">
        <f>IF(A190="","",IFERROR(INDEX(Jobs!$B$9:$B$258,MATCH(B190,Jobs!$A$9:$A$258,0)),""))</f>
        <v/>
      </c>
      <c r="AA190" s="19" t="str">
        <f>IF(A190="","",IFERROR(VLOOKUP(I190,Lists!$E$9:$F$14,2,FALSE),0))</f>
        <v/>
      </c>
      <c r="AB190" s="19" t="str">
        <f t="shared" si="24"/>
        <v/>
      </c>
      <c r="AC190" s="19" t="str">
        <f t="shared" si="25"/>
        <v/>
      </c>
      <c r="AD190" s="19" t="str">
        <f t="shared" si="26"/>
        <v/>
      </c>
      <c r="AE190" s="19" t="str">
        <f t="shared" si="27"/>
        <v/>
      </c>
      <c r="AF190" s="19" t="str">
        <f t="shared" si="28"/>
        <v/>
      </c>
      <c r="AG190" s="27" t="str">
        <f t="shared" si="29"/>
        <v/>
      </c>
      <c r="AH190" s="19" t="str">
        <f t="shared" si="30"/>
        <v/>
      </c>
      <c r="AI190" s="19" t="str">
        <f t="shared" si="31"/>
        <v/>
      </c>
      <c r="AJ190" s="19" t="str">
        <f t="shared" si="32"/>
        <v/>
      </c>
      <c r="AK190" s="18" t="str">
        <f>IF(AND(A190&lt;&gt;"",F190="Selected"),COUNTIF($F$9:F190,"Selected"),"")</f>
        <v/>
      </c>
      <c r="AL190" s="18" t="str">
        <f>IF(A190="","",COUNTIF($B$9:B190,B190))</f>
        <v/>
      </c>
      <c r="AM190" s="18" t="str">
        <f>IF(A190="","",IF(COUNTIF(Jobs!$A$9:$A$258,B190)&lt;&gt;1,"Check JobID",IF(COUNTIF(Suppliers!$D$9:$D$508,D190)&lt;&gt;1,"Check contact",IF(AA190&lt;=0,"Currency / FX missing",IF(NOT(ISNUMBER(G190)),"Original price missing",IF(G190&lt;0,"Invalid original price",IF(AND(H190&lt;&gt;"",NOT(ISNUMBER(H190))),"Invalid final price",IF(AND(ISNUMBER(H190),H190&lt;0),"Invalid final price",IF(AND(F190="Selected",COUNTIFS($B$9:$B$258,B190,$E$9:$E$258,E190,$F$9:$F$258,"Selected")&gt;1),"Selected scope overlap",IF(AND(ISNUMBER(H190),H190&gt;G190),"Price increased",IF(LEN(H190&amp;"")=0,"Final price pending","OK")))))))))))</f>
        <v/>
      </c>
      <c r="AN190" s="19" t="str">
        <f t="shared" si="33"/>
        <v/>
      </c>
      <c r="AO190" s="18" t="str">
        <f>IF(A190="","",IFERROR(IF(INDEX(Suppliers!$A$9:$A$508,MATCH(D190,Suppliers!$D$9:$D$508,0))=C190,"OK","Contact / supplier mismatch"),"Contact missing"))</f>
        <v/>
      </c>
      <c r="AP190" s="18" t="str">
        <f>IF(OR(A190="",IFERROR(INDEX(Jobs!$P$9:$P$258,MATCH(B190,Jobs!$A$9:$A$258,0)),"")=""),"",HYPERLINK("#'"&amp;IFERROR(INDEX(Jobs!$P$9:$P$258,MATCH(B190,Jobs!$A$9:$A$258,0)),"")&amp;"'!A1","OPEN JOB"))</f>
        <v/>
      </c>
      <c r="AQ190" s="18"/>
      <c r="AR190" s="18"/>
      <c r="AS190" t="str">
        <f t="shared" si="34"/>
        <v/>
      </c>
      <c r="AT190" t="str">
        <f t="shared" si="35"/>
        <v/>
      </c>
    </row>
    <row r="191" spans="1:46" ht="40" customHeight="1" x14ac:dyDescent="0.35">
      <c r="A191" s="14"/>
      <c r="B191" s="37"/>
      <c r="C191" s="14"/>
      <c r="D191" s="15"/>
      <c r="E191" s="15"/>
      <c r="F191" s="15"/>
      <c r="G191" s="24"/>
      <c r="H191" s="24"/>
      <c r="I191" s="15"/>
      <c r="J191" s="17"/>
      <c r="K191" s="17"/>
      <c r="L191" s="17"/>
      <c r="M191" s="15"/>
      <c r="N191" s="15"/>
      <c r="O191" s="15"/>
      <c r="P191" s="15"/>
      <c r="Q191" s="15"/>
      <c r="R191" s="15"/>
      <c r="S191" s="14"/>
      <c r="T191" s="14"/>
      <c r="U191" s="14" t="str">
        <f>IF(A191="","",IFERROR(IF(LEN(INDEX(Suppliers!$B$9:$B$508,MATCH(C191,Suppliers!$A$9:$A$508,0))&amp;"")=0,"",INDEX(Suppliers!$B$9:$B$508,MATCH(C191,Suppliers!$A$9:$A$508,0))),""))</f>
        <v/>
      </c>
      <c r="V191" s="14" t="str">
        <f>IF(A191="","",IFERROR(IF(LEN(INDEX(Suppliers!$E$9:$E$508,MATCH(D191,Suppliers!$D$9:$D$508,0))&amp;"")=0,"",INDEX(Suppliers!$E$9:$E$508,MATCH(D191,Suppliers!$D$9:$D$508,0))),""))</f>
        <v/>
      </c>
      <c r="W191" s="14" t="str">
        <f>IF(A191="","",IFERROR(IF(LEN(INDEX(Suppliers!$F$9:$F$508,MATCH(D191,Suppliers!$D$9:$D$508,0))&amp;"")=0,"",INDEX(Suppliers!$F$9:$F$508,MATCH(D191,Suppliers!$D$9:$D$508,0))),""))</f>
        <v/>
      </c>
      <c r="X191" s="14" t="str">
        <f>IF(A191="","",IFERROR(IF(LEN(INDEX(Suppliers!$G$9:$G$508,MATCH(D191,Suppliers!$D$9:$D$508,0))&amp;"")=0,"",INDEX(Suppliers!$G$9:$G$508,MATCH(D191,Suppliers!$D$9:$D$508,0))),""))</f>
        <v/>
      </c>
      <c r="Y191" s="14" t="str">
        <f>IF(A191="","",IFERROR(INDEX(Jobs!$C$9:$C$258,MATCH(B191,Jobs!$A$9:$A$258,0)),""))</f>
        <v/>
      </c>
      <c r="Z191" s="14" t="str">
        <f>IF(A191="","",IFERROR(INDEX(Jobs!$B$9:$B$258,MATCH(B191,Jobs!$A$9:$A$258,0)),""))</f>
        <v/>
      </c>
      <c r="AA191" s="16" t="str">
        <f>IF(A191="","",IFERROR(VLOOKUP(I191,Lists!$E$9:$F$14,2,FALSE),0))</f>
        <v/>
      </c>
      <c r="AB191" s="16" t="str">
        <f t="shared" si="24"/>
        <v/>
      </c>
      <c r="AC191" s="16" t="str">
        <f t="shared" si="25"/>
        <v/>
      </c>
      <c r="AD191" s="16" t="str">
        <f t="shared" si="26"/>
        <v/>
      </c>
      <c r="AE191" s="16" t="str">
        <f t="shared" si="27"/>
        <v/>
      </c>
      <c r="AF191" s="16" t="str">
        <f t="shared" si="28"/>
        <v/>
      </c>
      <c r="AG191" s="26" t="str">
        <f t="shared" si="29"/>
        <v/>
      </c>
      <c r="AH191" s="16" t="str">
        <f t="shared" si="30"/>
        <v/>
      </c>
      <c r="AI191" s="16" t="str">
        <f t="shared" si="31"/>
        <v/>
      </c>
      <c r="AJ191" s="16" t="str">
        <f t="shared" si="32"/>
        <v/>
      </c>
      <c r="AK191" s="14" t="str">
        <f>IF(AND(A191&lt;&gt;"",F191="Selected"),COUNTIF($F$9:F191,"Selected"),"")</f>
        <v/>
      </c>
      <c r="AL191" s="14" t="str">
        <f>IF(A191="","",COUNTIF($B$9:B191,B191))</f>
        <v/>
      </c>
      <c r="AM191" s="14" t="str">
        <f>IF(A191="","",IF(COUNTIF(Jobs!$A$9:$A$258,B191)&lt;&gt;1,"Check JobID",IF(COUNTIF(Suppliers!$D$9:$D$508,D191)&lt;&gt;1,"Check contact",IF(AA191&lt;=0,"Currency / FX missing",IF(NOT(ISNUMBER(G191)),"Original price missing",IF(G191&lt;0,"Invalid original price",IF(AND(H191&lt;&gt;"",NOT(ISNUMBER(H191))),"Invalid final price",IF(AND(ISNUMBER(H191),H191&lt;0),"Invalid final price",IF(AND(F191="Selected",COUNTIFS($B$9:$B$258,B191,$E$9:$E$258,E191,$F$9:$F$258,"Selected")&gt;1),"Selected scope overlap",IF(AND(ISNUMBER(H191),H191&gt;G191),"Price increased",IF(LEN(H191&amp;"")=0,"Final price pending","OK")))))))))))</f>
        <v/>
      </c>
      <c r="AN191" s="16" t="str">
        <f t="shared" si="33"/>
        <v/>
      </c>
      <c r="AO191" s="14" t="str">
        <f>IF(A191="","",IFERROR(IF(INDEX(Suppliers!$A$9:$A$508,MATCH(D191,Suppliers!$D$9:$D$508,0))=C191,"OK","Contact / supplier mismatch"),"Contact missing"))</f>
        <v/>
      </c>
      <c r="AP191" s="14" t="str">
        <f>IF(OR(A191="",IFERROR(INDEX(Jobs!$P$9:$P$258,MATCH(B191,Jobs!$A$9:$A$258,0)),"")=""),"",HYPERLINK("#'"&amp;IFERROR(INDEX(Jobs!$P$9:$P$258,MATCH(B191,Jobs!$A$9:$A$258,0)),"")&amp;"'!A1","OPEN JOB"))</f>
        <v/>
      </c>
      <c r="AQ191" s="14"/>
      <c r="AR191" s="14"/>
      <c r="AS191" t="str">
        <f t="shared" si="34"/>
        <v/>
      </c>
      <c r="AT191" t="str">
        <f t="shared" si="35"/>
        <v/>
      </c>
    </row>
    <row r="192" spans="1:46" ht="40" customHeight="1" x14ac:dyDescent="0.35">
      <c r="A192" s="18"/>
      <c r="B192" s="37"/>
      <c r="C192" s="18"/>
      <c r="D192" s="15"/>
      <c r="E192" s="15"/>
      <c r="F192" s="15"/>
      <c r="G192" s="24"/>
      <c r="H192" s="24"/>
      <c r="I192" s="15"/>
      <c r="J192" s="17"/>
      <c r="K192" s="17"/>
      <c r="L192" s="17"/>
      <c r="M192" s="15"/>
      <c r="N192" s="15"/>
      <c r="O192" s="15"/>
      <c r="P192" s="15"/>
      <c r="Q192" s="15"/>
      <c r="R192" s="15"/>
      <c r="S192" s="18"/>
      <c r="T192" s="18"/>
      <c r="U192" s="18" t="str">
        <f>IF(A192="","",IFERROR(IF(LEN(INDEX(Suppliers!$B$9:$B$508,MATCH(C192,Suppliers!$A$9:$A$508,0))&amp;"")=0,"",INDEX(Suppliers!$B$9:$B$508,MATCH(C192,Suppliers!$A$9:$A$508,0))),""))</f>
        <v/>
      </c>
      <c r="V192" s="18" t="str">
        <f>IF(A192="","",IFERROR(IF(LEN(INDEX(Suppliers!$E$9:$E$508,MATCH(D192,Suppliers!$D$9:$D$508,0))&amp;"")=0,"",INDEX(Suppliers!$E$9:$E$508,MATCH(D192,Suppliers!$D$9:$D$508,0))),""))</f>
        <v/>
      </c>
      <c r="W192" s="18" t="str">
        <f>IF(A192="","",IFERROR(IF(LEN(INDEX(Suppliers!$F$9:$F$508,MATCH(D192,Suppliers!$D$9:$D$508,0))&amp;"")=0,"",INDEX(Suppliers!$F$9:$F$508,MATCH(D192,Suppliers!$D$9:$D$508,0))),""))</f>
        <v/>
      </c>
      <c r="X192" s="18" t="str">
        <f>IF(A192="","",IFERROR(IF(LEN(INDEX(Suppliers!$G$9:$G$508,MATCH(D192,Suppliers!$D$9:$D$508,0))&amp;"")=0,"",INDEX(Suppliers!$G$9:$G$508,MATCH(D192,Suppliers!$D$9:$D$508,0))),""))</f>
        <v/>
      </c>
      <c r="Y192" s="18" t="str">
        <f>IF(A192="","",IFERROR(INDEX(Jobs!$C$9:$C$258,MATCH(B192,Jobs!$A$9:$A$258,0)),""))</f>
        <v/>
      </c>
      <c r="Z192" s="18" t="str">
        <f>IF(A192="","",IFERROR(INDEX(Jobs!$B$9:$B$258,MATCH(B192,Jobs!$A$9:$A$258,0)),""))</f>
        <v/>
      </c>
      <c r="AA192" s="19" t="str">
        <f>IF(A192="","",IFERROR(VLOOKUP(I192,Lists!$E$9:$F$14,2,FALSE),0))</f>
        <v/>
      </c>
      <c r="AB192" s="19" t="str">
        <f t="shared" si="24"/>
        <v/>
      </c>
      <c r="AC192" s="19" t="str">
        <f t="shared" si="25"/>
        <v/>
      </c>
      <c r="AD192" s="19" t="str">
        <f t="shared" si="26"/>
        <v/>
      </c>
      <c r="AE192" s="19" t="str">
        <f t="shared" si="27"/>
        <v/>
      </c>
      <c r="AF192" s="19" t="str">
        <f t="shared" si="28"/>
        <v/>
      </c>
      <c r="AG192" s="27" t="str">
        <f t="shared" si="29"/>
        <v/>
      </c>
      <c r="AH192" s="19" t="str">
        <f t="shared" si="30"/>
        <v/>
      </c>
      <c r="AI192" s="19" t="str">
        <f t="shared" si="31"/>
        <v/>
      </c>
      <c r="AJ192" s="19" t="str">
        <f t="shared" si="32"/>
        <v/>
      </c>
      <c r="AK192" s="18" t="str">
        <f>IF(AND(A192&lt;&gt;"",F192="Selected"),COUNTIF($F$9:F192,"Selected"),"")</f>
        <v/>
      </c>
      <c r="AL192" s="18" t="str">
        <f>IF(A192="","",COUNTIF($B$9:B192,B192))</f>
        <v/>
      </c>
      <c r="AM192" s="18" t="str">
        <f>IF(A192="","",IF(COUNTIF(Jobs!$A$9:$A$258,B192)&lt;&gt;1,"Check JobID",IF(COUNTIF(Suppliers!$D$9:$D$508,D192)&lt;&gt;1,"Check contact",IF(AA192&lt;=0,"Currency / FX missing",IF(NOT(ISNUMBER(G192)),"Original price missing",IF(G192&lt;0,"Invalid original price",IF(AND(H192&lt;&gt;"",NOT(ISNUMBER(H192))),"Invalid final price",IF(AND(ISNUMBER(H192),H192&lt;0),"Invalid final price",IF(AND(F192="Selected",COUNTIFS($B$9:$B$258,B192,$E$9:$E$258,E192,$F$9:$F$258,"Selected")&gt;1),"Selected scope overlap",IF(AND(ISNUMBER(H192),H192&gt;G192),"Price increased",IF(LEN(H192&amp;"")=0,"Final price pending","OK")))))))))))</f>
        <v/>
      </c>
      <c r="AN192" s="19" t="str">
        <f t="shared" si="33"/>
        <v/>
      </c>
      <c r="AO192" s="18" t="str">
        <f>IF(A192="","",IFERROR(IF(INDEX(Suppliers!$A$9:$A$508,MATCH(D192,Suppliers!$D$9:$D$508,0))=C192,"OK","Contact / supplier mismatch"),"Contact missing"))</f>
        <v/>
      </c>
      <c r="AP192" s="18" t="str">
        <f>IF(OR(A192="",IFERROR(INDEX(Jobs!$P$9:$P$258,MATCH(B192,Jobs!$A$9:$A$258,0)),"")=""),"",HYPERLINK("#'"&amp;IFERROR(INDEX(Jobs!$P$9:$P$258,MATCH(B192,Jobs!$A$9:$A$258,0)),"")&amp;"'!A1","OPEN JOB"))</f>
        <v/>
      </c>
      <c r="AQ192" s="18"/>
      <c r="AR192" s="18"/>
      <c r="AS192" t="str">
        <f t="shared" si="34"/>
        <v/>
      </c>
      <c r="AT192" t="str">
        <f t="shared" si="35"/>
        <v/>
      </c>
    </row>
    <row r="193" spans="1:46" ht="40" customHeight="1" x14ac:dyDescent="0.35">
      <c r="A193" s="14"/>
      <c r="B193" s="37"/>
      <c r="C193" s="14"/>
      <c r="D193" s="15"/>
      <c r="E193" s="15"/>
      <c r="F193" s="15"/>
      <c r="G193" s="24"/>
      <c r="H193" s="24"/>
      <c r="I193" s="15"/>
      <c r="J193" s="17"/>
      <c r="K193" s="17"/>
      <c r="L193" s="17"/>
      <c r="M193" s="15"/>
      <c r="N193" s="15"/>
      <c r="O193" s="15"/>
      <c r="P193" s="15"/>
      <c r="Q193" s="15"/>
      <c r="R193" s="15"/>
      <c r="S193" s="14"/>
      <c r="T193" s="14"/>
      <c r="U193" s="14" t="str">
        <f>IF(A193="","",IFERROR(IF(LEN(INDEX(Suppliers!$B$9:$B$508,MATCH(C193,Suppliers!$A$9:$A$508,0))&amp;"")=0,"",INDEX(Suppliers!$B$9:$B$508,MATCH(C193,Suppliers!$A$9:$A$508,0))),""))</f>
        <v/>
      </c>
      <c r="V193" s="14" t="str">
        <f>IF(A193="","",IFERROR(IF(LEN(INDEX(Suppliers!$E$9:$E$508,MATCH(D193,Suppliers!$D$9:$D$508,0))&amp;"")=0,"",INDEX(Suppliers!$E$9:$E$508,MATCH(D193,Suppliers!$D$9:$D$508,0))),""))</f>
        <v/>
      </c>
      <c r="W193" s="14" t="str">
        <f>IF(A193="","",IFERROR(IF(LEN(INDEX(Suppliers!$F$9:$F$508,MATCH(D193,Suppliers!$D$9:$D$508,0))&amp;"")=0,"",INDEX(Suppliers!$F$9:$F$508,MATCH(D193,Suppliers!$D$9:$D$508,0))),""))</f>
        <v/>
      </c>
      <c r="X193" s="14" t="str">
        <f>IF(A193="","",IFERROR(IF(LEN(INDEX(Suppliers!$G$9:$G$508,MATCH(D193,Suppliers!$D$9:$D$508,0))&amp;"")=0,"",INDEX(Suppliers!$G$9:$G$508,MATCH(D193,Suppliers!$D$9:$D$508,0))),""))</f>
        <v/>
      </c>
      <c r="Y193" s="14" t="str">
        <f>IF(A193="","",IFERROR(INDEX(Jobs!$C$9:$C$258,MATCH(B193,Jobs!$A$9:$A$258,0)),""))</f>
        <v/>
      </c>
      <c r="Z193" s="14" t="str">
        <f>IF(A193="","",IFERROR(INDEX(Jobs!$B$9:$B$258,MATCH(B193,Jobs!$A$9:$A$258,0)),""))</f>
        <v/>
      </c>
      <c r="AA193" s="16" t="str">
        <f>IF(A193="","",IFERROR(VLOOKUP(I193,Lists!$E$9:$F$14,2,FALSE),0))</f>
        <v/>
      </c>
      <c r="AB193" s="16" t="str">
        <f t="shared" si="24"/>
        <v/>
      </c>
      <c r="AC193" s="16" t="str">
        <f t="shared" si="25"/>
        <v/>
      </c>
      <c r="AD193" s="16" t="str">
        <f t="shared" si="26"/>
        <v/>
      </c>
      <c r="AE193" s="16" t="str">
        <f t="shared" si="27"/>
        <v/>
      </c>
      <c r="AF193" s="16" t="str">
        <f t="shared" si="28"/>
        <v/>
      </c>
      <c r="AG193" s="26" t="str">
        <f t="shared" si="29"/>
        <v/>
      </c>
      <c r="AH193" s="16" t="str">
        <f t="shared" si="30"/>
        <v/>
      </c>
      <c r="AI193" s="16" t="str">
        <f t="shared" si="31"/>
        <v/>
      </c>
      <c r="AJ193" s="16" t="str">
        <f t="shared" si="32"/>
        <v/>
      </c>
      <c r="AK193" s="14" t="str">
        <f>IF(AND(A193&lt;&gt;"",F193="Selected"),COUNTIF($F$9:F193,"Selected"),"")</f>
        <v/>
      </c>
      <c r="AL193" s="14" t="str">
        <f>IF(A193="","",COUNTIF($B$9:B193,B193))</f>
        <v/>
      </c>
      <c r="AM193" s="14" t="str">
        <f>IF(A193="","",IF(COUNTIF(Jobs!$A$9:$A$258,B193)&lt;&gt;1,"Check JobID",IF(COUNTIF(Suppliers!$D$9:$D$508,D193)&lt;&gt;1,"Check contact",IF(AA193&lt;=0,"Currency / FX missing",IF(NOT(ISNUMBER(G193)),"Original price missing",IF(G193&lt;0,"Invalid original price",IF(AND(H193&lt;&gt;"",NOT(ISNUMBER(H193))),"Invalid final price",IF(AND(ISNUMBER(H193),H193&lt;0),"Invalid final price",IF(AND(F193="Selected",COUNTIFS($B$9:$B$258,B193,$E$9:$E$258,E193,$F$9:$F$258,"Selected")&gt;1),"Selected scope overlap",IF(AND(ISNUMBER(H193),H193&gt;G193),"Price increased",IF(LEN(H193&amp;"")=0,"Final price pending","OK")))))))))))</f>
        <v/>
      </c>
      <c r="AN193" s="16" t="str">
        <f t="shared" si="33"/>
        <v/>
      </c>
      <c r="AO193" s="14" t="str">
        <f>IF(A193="","",IFERROR(IF(INDEX(Suppliers!$A$9:$A$508,MATCH(D193,Suppliers!$D$9:$D$508,0))=C193,"OK","Contact / supplier mismatch"),"Contact missing"))</f>
        <v/>
      </c>
      <c r="AP193" s="14" t="str">
        <f>IF(OR(A193="",IFERROR(INDEX(Jobs!$P$9:$P$258,MATCH(B193,Jobs!$A$9:$A$258,0)),"")=""),"",HYPERLINK("#'"&amp;IFERROR(INDEX(Jobs!$P$9:$P$258,MATCH(B193,Jobs!$A$9:$A$258,0)),"")&amp;"'!A1","OPEN JOB"))</f>
        <v/>
      </c>
      <c r="AQ193" s="14"/>
      <c r="AR193" s="14"/>
      <c r="AS193" t="str">
        <f t="shared" si="34"/>
        <v/>
      </c>
      <c r="AT193" t="str">
        <f t="shared" si="35"/>
        <v/>
      </c>
    </row>
    <row r="194" spans="1:46" ht="40" customHeight="1" x14ac:dyDescent="0.35">
      <c r="A194" s="18"/>
      <c r="B194" s="37"/>
      <c r="C194" s="18"/>
      <c r="D194" s="15"/>
      <c r="E194" s="15"/>
      <c r="F194" s="15"/>
      <c r="G194" s="24"/>
      <c r="H194" s="24"/>
      <c r="I194" s="15"/>
      <c r="J194" s="17"/>
      <c r="K194" s="17"/>
      <c r="L194" s="17"/>
      <c r="M194" s="15"/>
      <c r="N194" s="15"/>
      <c r="O194" s="15"/>
      <c r="P194" s="15"/>
      <c r="Q194" s="15"/>
      <c r="R194" s="15"/>
      <c r="S194" s="18"/>
      <c r="T194" s="18"/>
      <c r="U194" s="18" t="str">
        <f>IF(A194="","",IFERROR(IF(LEN(INDEX(Suppliers!$B$9:$B$508,MATCH(C194,Suppliers!$A$9:$A$508,0))&amp;"")=0,"",INDEX(Suppliers!$B$9:$B$508,MATCH(C194,Suppliers!$A$9:$A$508,0))),""))</f>
        <v/>
      </c>
      <c r="V194" s="18" t="str">
        <f>IF(A194="","",IFERROR(IF(LEN(INDEX(Suppliers!$E$9:$E$508,MATCH(D194,Suppliers!$D$9:$D$508,0))&amp;"")=0,"",INDEX(Suppliers!$E$9:$E$508,MATCH(D194,Suppliers!$D$9:$D$508,0))),""))</f>
        <v/>
      </c>
      <c r="W194" s="18" t="str">
        <f>IF(A194="","",IFERROR(IF(LEN(INDEX(Suppliers!$F$9:$F$508,MATCH(D194,Suppliers!$D$9:$D$508,0))&amp;"")=0,"",INDEX(Suppliers!$F$9:$F$508,MATCH(D194,Suppliers!$D$9:$D$508,0))),""))</f>
        <v/>
      </c>
      <c r="X194" s="18" t="str">
        <f>IF(A194="","",IFERROR(IF(LEN(INDEX(Suppliers!$G$9:$G$508,MATCH(D194,Suppliers!$D$9:$D$508,0))&amp;"")=0,"",INDEX(Suppliers!$G$9:$G$508,MATCH(D194,Suppliers!$D$9:$D$508,0))),""))</f>
        <v/>
      </c>
      <c r="Y194" s="18" t="str">
        <f>IF(A194="","",IFERROR(INDEX(Jobs!$C$9:$C$258,MATCH(B194,Jobs!$A$9:$A$258,0)),""))</f>
        <v/>
      </c>
      <c r="Z194" s="18" t="str">
        <f>IF(A194="","",IFERROR(INDEX(Jobs!$B$9:$B$258,MATCH(B194,Jobs!$A$9:$A$258,0)),""))</f>
        <v/>
      </c>
      <c r="AA194" s="19" t="str">
        <f>IF(A194="","",IFERROR(VLOOKUP(I194,Lists!$E$9:$F$14,2,FALSE),0))</f>
        <v/>
      </c>
      <c r="AB194" s="19" t="str">
        <f t="shared" si="24"/>
        <v/>
      </c>
      <c r="AC194" s="19" t="str">
        <f t="shared" si="25"/>
        <v/>
      </c>
      <c r="AD194" s="19" t="str">
        <f t="shared" si="26"/>
        <v/>
      </c>
      <c r="AE194" s="19" t="str">
        <f t="shared" si="27"/>
        <v/>
      </c>
      <c r="AF194" s="19" t="str">
        <f t="shared" si="28"/>
        <v/>
      </c>
      <c r="AG194" s="27" t="str">
        <f t="shared" si="29"/>
        <v/>
      </c>
      <c r="AH194" s="19" t="str">
        <f t="shared" si="30"/>
        <v/>
      </c>
      <c r="AI194" s="19" t="str">
        <f t="shared" si="31"/>
        <v/>
      </c>
      <c r="AJ194" s="19" t="str">
        <f t="shared" si="32"/>
        <v/>
      </c>
      <c r="AK194" s="18" t="str">
        <f>IF(AND(A194&lt;&gt;"",F194="Selected"),COUNTIF($F$9:F194,"Selected"),"")</f>
        <v/>
      </c>
      <c r="AL194" s="18" t="str">
        <f>IF(A194="","",COUNTIF($B$9:B194,B194))</f>
        <v/>
      </c>
      <c r="AM194" s="18" t="str">
        <f>IF(A194="","",IF(COUNTIF(Jobs!$A$9:$A$258,B194)&lt;&gt;1,"Check JobID",IF(COUNTIF(Suppliers!$D$9:$D$508,D194)&lt;&gt;1,"Check contact",IF(AA194&lt;=0,"Currency / FX missing",IF(NOT(ISNUMBER(G194)),"Original price missing",IF(G194&lt;0,"Invalid original price",IF(AND(H194&lt;&gt;"",NOT(ISNUMBER(H194))),"Invalid final price",IF(AND(ISNUMBER(H194),H194&lt;0),"Invalid final price",IF(AND(F194="Selected",COUNTIFS($B$9:$B$258,B194,$E$9:$E$258,E194,$F$9:$F$258,"Selected")&gt;1),"Selected scope overlap",IF(AND(ISNUMBER(H194),H194&gt;G194),"Price increased",IF(LEN(H194&amp;"")=0,"Final price pending","OK")))))))))))</f>
        <v/>
      </c>
      <c r="AN194" s="19" t="str">
        <f t="shared" si="33"/>
        <v/>
      </c>
      <c r="AO194" s="18" t="str">
        <f>IF(A194="","",IFERROR(IF(INDEX(Suppliers!$A$9:$A$508,MATCH(D194,Suppliers!$D$9:$D$508,0))=C194,"OK","Contact / supplier mismatch"),"Contact missing"))</f>
        <v/>
      </c>
      <c r="AP194" s="18" t="str">
        <f>IF(OR(A194="",IFERROR(INDEX(Jobs!$P$9:$P$258,MATCH(B194,Jobs!$A$9:$A$258,0)),"")=""),"",HYPERLINK("#'"&amp;IFERROR(INDEX(Jobs!$P$9:$P$258,MATCH(B194,Jobs!$A$9:$A$258,0)),"")&amp;"'!A1","OPEN JOB"))</f>
        <v/>
      </c>
      <c r="AQ194" s="18"/>
      <c r="AR194" s="18"/>
      <c r="AS194" t="str">
        <f t="shared" si="34"/>
        <v/>
      </c>
      <c r="AT194" t="str">
        <f t="shared" si="35"/>
        <v/>
      </c>
    </row>
    <row r="195" spans="1:46" ht="40" customHeight="1" x14ac:dyDescent="0.35">
      <c r="A195" s="14"/>
      <c r="B195" s="37"/>
      <c r="C195" s="14"/>
      <c r="D195" s="15"/>
      <c r="E195" s="15"/>
      <c r="F195" s="15"/>
      <c r="G195" s="24"/>
      <c r="H195" s="24"/>
      <c r="I195" s="15"/>
      <c r="J195" s="17"/>
      <c r="K195" s="17"/>
      <c r="L195" s="17"/>
      <c r="M195" s="15"/>
      <c r="N195" s="15"/>
      <c r="O195" s="15"/>
      <c r="P195" s="15"/>
      <c r="Q195" s="15"/>
      <c r="R195" s="15"/>
      <c r="S195" s="14"/>
      <c r="T195" s="14"/>
      <c r="U195" s="14" t="str">
        <f>IF(A195="","",IFERROR(IF(LEN(INDEX(Suppliers!$B$9:$B$508,MATCH(C195,Suppliers!$A$9:$A$508,0))&amp;"")=0,"",INDEX(Suppliers!$B$9:$B$508,MATCH(C195,Suppliers!$A$9:$A$508,0))),""))</f>
        <v/>
      </c>
      <c r="V195" s="14" t="str">
        <f>IF(A195="","",IFERROR(IF(LEN(INDEX(Suppliers!$E$9:$E$508,MATCH(D195,Suppliers!$D$9:$D$508,0))&amp;"")=0,"",INDEX(Suppliers!$E$9:$E$508,MATCH(D195,Suppliers!$D$9:$D$508,0))),""))</f>
        <v/>
      </c>
      <c r="W195" s="14" t="str">
        <f>IF(A195="","",IFERROR(IF(LEN(INDEX(Suppliers!$F$9:$F$508,MATCH(D195,Suppliers!$D$9:$D$508,0))&amp;"")=0,"",INDEX(Suppliers!$F$9:$F$508,MATCH(D195,Suppliers!$D$9:$D$508,0))),""))</f>
        <v/>
      </c>
      <c r="X195" s="14" t="str">
        <f>IF(A195="","",IFERROR(IF(LEN(INDEX(Suppliers!$G$9:$G$508,MATCH(D195,Suppliers!$D$9:$D$508,0))&amp;"")=0,"",INDEX(Suppliers!$G$9:$G$508,MATCH(D195,Suppliers!$D$9:$D$508,0))),""))</f>
        <v/>
      </c>
      <c r="Y195" s="14" t="str">
        <f>IF(A195="","",IFERROR(INDEX(Jobs!$C$9:$C$258,MATCH(B195,Jobs!$A$9:$A$258,0)),""))</f>
        <v/>
      </c>
      <c r="Z195" s="14" t="str">
        <f>IF(A195="","",IFERROR(INDEX(Jobs!$B$9:$B$258,MATCH(B195,Jobs!$A$9:$A$258,0)),""))</f>
        <v/>
      </c>
      <c r="AA195" s="16" t="str">
        <f>IF(A195="","",IFERROR(VLOOKUP(I195,Lists!$E$9:$F$14,2,FALSE),0))</f>
        <v/>
      </c>
      <c r="AB195" s="16" t="str">
        <f t="shared" si="24"/>
        <v/>
      </c>
      <c r="AC195" s="16" t="str">
        <f t="shared" si="25"/>
        <v/>
      </c>
      <c r="AD195" s="16" t="str">
        <f t="shared" si="26"/>
        <v/>
      </c>
      <c r="AE195" s="16" t="str">
        <f t="shared" si="27"/>
        <v/>
      </c>
      <c r="AF195" s="16" t="str">
        <f t="shared" si="28"/>
        <v/>
      </c>
      <c r="AG195" s="26" t="str">
        <f t="shared" si="29"/>
        <v/>
      </c>
      <c r="AH195" s="16" t="str">
        <f t="shared" si="30"/>
        <v/>
      </c>
      <c r="AI195" s="16" t="str">
        <f t="shared" si="31"/>
        <v/>
      </c>
      <c r="AJ195" s="16" t="str">
        <f t="shared" si="32"/>
        <v/>
      </c>
      <c r="AK195" s="14" t="str">
        <f>IF(AND(A195&lt;&gt;"",F195="Selected"),COUNTIF($F$9:F195,"Selected"),"")</f>
        <v/>
      </c>
      <c r="AL195" s="14" t="str">
        <f>IF(A195="","",COUNTIF($B$9:B195,B195))</f>
        <v/>
      </c>
      <c r="AM195" s="14" t="str">
        <f>IF(A195="","",IF(COUNTIF(Jobs!$A$9:$A$258,B195)&lt;&gt;1,"Check JobID",IF(COUNTIF(Suppliers!$D$9:$D$508,D195)&lt;&gt;1,"Check contact",IF(AA195&lt;=0,"Currency / FX missing",IF(NOT(ISNUMBER(G195)),"Original price missing",IF(G195&lt;0,"Invalid original price",IF(AND(H195&lt;&gt;"",NOT(ISNUMBER(H195))),"Invalid final price",IF(AND(ISNUMBER(H195),H195&lt;0),"Invalid final price",IF(AND(F195="Selected",COUNTIFS($B$9:$B$258,B195,$E$9:$E$258,E195,$F$9:$F$258,"Selected")&gt;1),"Selected scope overlap",IF(AND(ISNUMBER(H195),H195&gt;G195),"Price increased",IF(LEN(H195&amp;"")=0,"Final price pending","OK")))))))))))</f>
        <v/>
      </c>
      <c r="AN195" s="16" t="str">
        <f t="shared" si="33"/>
        <v/>
      </c>
      <c r="AO195" s="14" t="str">
        <f>IF(A195="","",IFERROR(IF(INDEX(Suppliers!$A$9:$A$508,MATCH(D195,Suppliers!$D$9:$D$508,0))=C195,"OK","Contact / supplier mismatch"),"Contact missing"))</f>
        <v/>
      </c>
      <c r="AP195" s="14" t="str">
        <f>IF(OR(A195="",IFERROR(INDEX(Jobs!$P$9:$P$258,MATCH(B195,Jobs!$A$9:$A$258,0)),"")=""),"",HYPERLINK("#'"&amp;IFERROR(INDEX(Jobs!$P$9:$P$258,MATCH(B195,Jobs!$A$9:$A$258,0)),"")&amp;"'!A1","OPEN JOB"))</f>
        <v/>
      </c>
      <c r="AQ195" s="14"/>
      <c r="AR195" s="14"/>
      <c r="AS195" t="str">
        <f t="shared" si="34"/>
        <v/>
      </c>
      <c r="AT195" t="str">
        <f t="shared" si="35"/>
        <v/>
      </c>
    </row>
    <row r="196" spans="1:46" ht="40" customHeight="1" x14ac:dyDescent="0.35">
      <c r="A196" s="18"/>
      <c r="B196" s="37"/>
      <c r="C196" s="18"/>
      <c r="D196" s="15"/>
      <c r="E196" s="15"/>
      <c r="F196" s="15"/>
      <c r="G196" s="24"/>
      <c r="H196" s="24"/>
      <c r="I196" s="15"/>
      <c r="J196" s="17"/>
      <c r="K196" s="17"/>
      <c r="L196" s="17"/>
      <c r="M196" s="15"/>
      <c r="N196" s="15"/>
      <c r="O196" s="15"/>
      <c r="P196" s="15"/>
      <c r="Q196" s="15"/>
      <c r="R196" s="15"/>
      <c r="S196" s="18"/>
      <c r="T196" s="18"/>
      <c r="U196" s="18" t="str">
        <f>IF(A196="","",IFERROR(IF(LEN(INDEX(Suppliers!$B$9:$B$508,MATCH(C196,Suppliers!$A$9:$A$508,0))&amp;"")=0,"",INDEX(Suppliers!$B$9:$B$508,MATCH(C196,Suppliers!$A$9:$A$508,0))),""))</f>
        <v/>
      </c>
      <c r="V196" s="18" t="str">
        <f>IF(A196="","",IFERROR(IF(LEN(INDEX(Suppliers!$E$9:$E$508,MATCH(D196,Suppliers!$D$9:$D$508,0))&amp;"")=0,"",INDEX(Suppliers!$E$9:$E$508,MATCH(D196,Suppliers!$D$9:$D$508,0))),""))</f>
        <v/>
      </c>
      <c r="W196" s="18" t="str">
        <f>IF(A196="","",IFERROR(IF(LEN(INDEX(Suppliers!$F$9:$F$508,MATCH(D196,Suppliers!$D$9:$D$508,0))&amp;"")=0,"",INDEX(Suppliers!$F$9:$F$508,MATCH(D196,Suppliers!$D$9:$D$508,0))),""))</f>
        <v/>
      </c>
      <c r="X196" s="18" t="str">
        <f>IF(A196="","",IFERROR(IF(LEN(INDEX(Suppliers!$G$9:$G$508,MATCH(D196,Suppliers!$D$9:$D$508,0))&amp;"")=0,"",INDEX(Suppliers!$G$9:$G$508,MATCH(D196,Suppliers!$D$9:$D$508,0))),""))</f>
        <v/>
      </c>
      <c r="Y196" s="18" t="str">
        <f>IF(A196="","",IFERROR(INDEX(Jobs!$C$9:$C$258,MATCH(B196,Jobs!$A$9:$A$258,0)),""))</f>
        <v/>
      </c>
      <c r="Z196" s="18" t="str">
        <f>IF(A196="","",IFERROR(INDEX(Jobs!$B$9:$B$258,MATCH(B196,Jobs!$A$9:$A$258,0)),""))</f>
        <v/>
      </c>
      <c r="AA196" s="19" t="str">
        <f>IF(A196="","",IFERROR(VLOOKUP(I196,Lists!$E$9:$F$14,2,FALSE),0))</f>
        <v/>
      </c>
      <c r="AB196" s="19" t="str">
        <f t="shared" si="24"/>
        <v/>
      </c>
      <c r="AC196" s="19" t="str">
        <f t="shared" si="25"/>
        <v/>
      </c>
      <c r="AD196" s="19" t="str">
        <f t="shared" si="26"/>
        <v/>
      </c>
      <c r="AE196" s="19" t="str">
        <f t="shared" si="27"/>
        <v/>
      </c>
      <c r="AF196" s="19" t="str">
        <f t="shared" si="28"/>
        <v/>
      </c>
      <c r="AG196" s="27" t="str">
        <f t="shared" si="29"/>
        <v/>
      </c>
      <c r="AH196" s="19" t="str">
        <f t="shared" si="30"/>
        <v/>
      </c>
      <c r="AI196" s="19" t="str">
        <f t="shared" si="31"/>
        <v/>
      </c>
      <c r="AJ196" s="19" t="str">
        <f t="shared" si="32"/>
        <v/>
      </c>
      <c r="AK196" s="18" t="str">
        <f>IF(AND(A196&lt;&gt;"",F196="Selected"),COUNTIF($F$9:F196,"Selected"),"")</f>
        <v/>
      </c>
      <c r="AL196" s="18" t="str">
        <f>IF(A196="","",COUNTIF($B$9:B196,B196))</f>
        <v/>
      </c>
      <c r="AM196" s="18" t="str">
        <f>IF(A196="","",IF(COUNTIF(Jobs!$A$9:$A$258,B196)&lt;&gt;1,"Check JobID",IF(COUNTIF(Suppliers!$D$9:$D$508,D196)&lt;&gt;1,"Check contact",IF(AA196&lt;=0,"Currency / FX missing",IF(NOT(ISNUMBER(G196)),"Original price missing",IF(G196&lt;0,"Invalid original price",IF(AND(H196&lt;&gt;"",NOT(ISNUMBER(H196))),"Invalid final price",IF(AND(ISNUMBER(H196),H196&lt;0),"Invalid final price",IF(AND(F196="Selected",COUNTIFS($B$9:$B$258,B196,$E$9:$E$258,E196,$F$9:$F$258,"Selected")&gt;1),"Selected scope overlap",IF(AND(ISNUMBER(H196),H196&gt;G196),"Price increased",IF(LEN(H196&amp;"")=0,"Final price pending","OK")))))))))))</f>
        <v/>
      </c>
      <c r="AN196" s="19" t="str">
        <f t="shared" si="33"/>
        <v/>
      </c>
      <c r="AO196" s="18" t="str">
        <f>IF(A196="","",IFERROR(IF(INDEX(Suppliers!$A$9:$A$508,MATCH(D196,Suppliers!$D$9:$D$508,0))=C196,"OK","Contact / supplier mismatch"),"Contact missing"))</f>
        <v/>
      </c>
      <c r="AP196" s="18" t="str">
        <f>IF(OR(A196="",IFERROR(INDEX(Jobs!$P$9:$P$258,MATCH(B196,Jobs!$A$9:$A$258,0)),"")=""),"",HYPERLINK("#'"&amp;IFERROR(INDEX(Jobs!$P$9:$P$258,MATCH(B196,Jobs!$A$9:$A$258,0)),"")&amp;"'!A1","OPEN JOB"))</f>
        <v/>
      </c>
      <c r="AQ196" s="18"/>
      <c r="AR196" s="18"/>
      <c r="AS196" t="str">
        <f t="shared" si="34"/>
        <v/>
      </c>
      <c r="AT196" t="str">
        <f t="shared" si="35"/>
        <v/>
      </c>
    </row>
    <row r="197" spans="1:46" ht="40" customHeight="1" x14ac:dyDescent="0.35">
      <c r="A197" s="14"/>
      <c r="B197" s="37"/>
      <c r="C197" s="14"/>
      <c r="D197" s="15"/>
      <c r="E197" s="15"/>
      <c r="F197" s="15"/>
      <c r="G197" s="24"/>
      <c r="H197" s="24"/>
      <c r="I197" s="15"/>
      <c r="J197" s="17"/>
      <c r="K197" s="17"/>
      <c r="L197" s="17"/>
      <c r="M197" s="15"/>
      <c r="N197" s="15"/>
      <c r="O197" s="15"/>
      <c r="P197" s="15"/>
      <c r="Q197" s="15"/>
      <c r="R197" s="15"/>
      <c r="S197" s="14"/>
      <c r="T197" s="14"/>
      <c r="U197" s="14" t="str">
        <f>IF(A197="","",IFERROR(IF(LEN(INDEX(Suppliers!$B$9:$B$508,MATCH(C197,Suppliers!$A$9:$A$508,0))&amp;"")=0,"",INDEX(Suppliers!$B$9:$B$508,MATCH(C197,Suppliers!$A$9:$A$508,0))),""))</f>
        <v/>
      </c>
      <c r="V197" s="14" t="str">
        <f>IF(A197="","",IFERROR(IF(LEN(INDEX(Suppliers!$E$9:$E$508,MATCH(D197,Suppliers!$D$9:$D$508,0))&amp;"")=0,"",INDEX(Suppliers!$E$9:$E$508,MATCH(D197,Suppliers!$D$9:$D$508,0))),""))</f>
        <v/>
      </c>
      <c r="W197" s="14" t="str">
        <f>IF(A197="","",IFERROR(IF(LEN(INDEX(Suppliers!$F$9:$F$508,MATCH(D197,Suppliers!$D$9:$D$508,0))&amp;"")=0,"",INDEX(Suppliers!$F$9:$F$508,MATCH(D197,Suppliers!$D$9:$D$508,0))),""))</f>
        <v/>
      </c>
      <c r="X197" s="14" t="str">
        <f>IF(A197="","",IFERROR(IF(LEN(INDEX(Suppliers!$G$9:$G$508,MATCH(D197,Suppliers!$D$9:$D$508,0))&amp;"")=0,"",INDEX(Suppliers!$G$9:$G$508,MATCH(D197,Suppliers!$D$9:$D$508,0))),""))</f>
        <v/>
      </c>
      <c r="Y197" s="14" t="str">
        <f>IF(A197="","",IFERROR(INDEX(Jobs!$C$9:$C$258,MATCH(B197,Jobs!$A$9:$A$258,0)),""))</f>
        <v/>
      </c>
      <c r="Z197" s="14" t="str">
        <f>IF(A197="","",IFERROR(INDEX(Jobs!$B$9:$B$258,MATCH(B197,Jobs!$A$9:$A$258,0)),""))</f>
        <v/>
      </c>
      <c r="AA197" s="16" t="str">
        <f>IF(A197="","",IFERROR(VLOOKUP(I197,Lists!$E$9:$F$14,2,FALSE),0))</f>
        <v/>
      </c>
      <c r="AB197" s="16" t="str">
        <f t="shared" si="24"/>
        <v/>
      </c>
      <c r="AC197" s="16" t="str">
        <f t="shared" si="25"/>
        <v/>
      </c>
      <c r="AD197" s="16" t="str">
        <f t="shared" si="26"/>
        <v/>
      </c>
      <c r="AE197" s="16" t="str">
        <f t="shared" si="27"/>
        <v/>
      </c>
      <c r="AF197" s="16" t="str">
        <f t="shared" si="28"/>
        <v/>
      </c>
      <c r="AG197" s="26" t="str">
        <f t="shared" si="29"/>
        <v/>
      </c>
      <c r="AH197" s="16" t="str">
        <f t="shared" si="30"/>
        <v/>
      </c>
      <c r="AI197" s="16" t="str">
        <f t="shared" si="31"/>
        <v/>
      </c>
      <c r="AJ197" s="16" t="str">
        <f t="shared" si="32"/>
        <v/>
      </c>
      <c r="AK197" s="14" t="str">
        <f>IF(AND(A197&lt;&gt;"",F197="Selected"),COUNTIF($F$9:F197,"Selected"),"")</f>
        <v/>
      </c>
      <c r="AL197" s="14" t="str">
        <f>IF(A197="","",COUNTIF($B$9:B197,B197))</f>
        <v/>
      </c>
      <c r="AM197" s="14" t="str">
        <f>IF(A197="","",IF(COUNTIF(Jobs!$A$9:$A$258,B197)&lt;&gt;1,"Check JobID",IF(COUNTIF(Suppliers!$D$9:$D$508,D197)&lt;&gt;1,"Check contact",IF(AA197&lt;=0,"Currency / FX missing",IF(NOT(ISNUMBER(G197)),"Original price missing",IF(G197&lt;0,"Invalid original price",IF(AND(H197&lt;&gt;"",NOT(ISNUMBER(H197))),"Invalid final price",IF(AND(ISNUMBER(H197),H197&lt;0),"Invalid final price",IF(AND(F197="Selected",COUNTIFS($B$9:$B$258,B197,$E$9:$E$258,E197,$F$9:$F$258,"Selected")&gt;1),"Selected scope overlap",IF(AND(ISNUMBER(H197),H197&gt;G197),"Price increased",IF(LEN(H197&amp;"")=0,"Final price pending","OK")))))))))))</f>
        <v/>
      </c>
      <c r="AN197" s="16" t="str">
        <f t="shared" si="33"/>
        <v/>
      </c>
      <c r="AO197" s="14" t="str">
        <f>IF(A197="","",IFERROR(IF(INDEX(Suppliers!$A$9:$A$508,MATCH(D197,Suppliers!$D$9:$D$508,0))=C197,"OK","Contact / supplier mismatch"),"Contact missing"))</f>
        <v/>
      </c>
      <c r="AP197" s="14" t="str">
        <f>IF(OR(A197="",IFERROR(INDEX(Jobs!$P$9:$P$258,MATCH(B197,Jobs!$A$9:$A$258,0)),"")=""),"",HYPERLINK("#'"&amp;IFERROR(INDEX(Jobs!$P$9:$P$258,MATCH(B197,Jobs!$A$9:$A$258,0)),"")&amp;"'!A1","OPEN JOB"))</f>
        <v/>
      </c>
      <c r="AQ197" s="14"/>
      <c r="AR197" s="14"/>
      <c r="AS197" t="str">
        <f t="shared" si="34"/>
        <v/>
      </c>
      <c r="AT197" t="str">
        <f t="shared" si="35"/>
        <v/>
      </c>
    </row>
    <row r="198" spans="1:46" ht="40" customHeight="1" x14ac:dyDescent="0.35">
      <c r="A198" s="18"/>
      <c r="B198" s="37"/>
      <c r="C198" s="18"/>
      <c r="D198" s="15"/>
      <c r="E198" s="15"/>
      <c r="F198" s="15"/>
      <c r="G198" s="24"/>
      <c r="H198" s="24"/>
      <c r="I198" s="15"/>
      <c r="J198" s="17"/>
      <c r="K198" s="17"/>
      <c r="L198" s="17"/>
      <c r="M198" s="15"/>
      <c r="N198" s="15"/>
      <c r="O198" s="15"/>
      <c r="P198" s="15"/>
      <c r="Q198" s="15"/>
      <c r="R198" s="15"/>
      <c r="S198" s="18"/>
      <c r="T198" s="18"/>
      <c r="U198" s="18" t="str">
        <f>IF(A198="","",IFERROR(IF(LEN(INDEX(Suppliers!$B$9:$B$508,MATCH(C198,Suppliers!$A$9:$A$508,0))&amp;"")=0,"",INDEX(Suppliers!$B$9:$B$508,MATCH(C198,Suppliers!$A$9:$A$508,0))),""))</f>
        <v/>
      </c>
      <c r="V198" s="18" t="str">
        <f>IF(A198="","",IFERROR(IF(LEN(INDEX(Suppliers!$E$9:$E$508,MATCH(D198,Suppliers!$D$9:$D$508,0))&amp;"")=0,"",INDEX(Suppliers!$E$9:$E$508,MATCH(D198,Suppliers!$D$9:$D$508,0))),""))</f>
        <v/>
      </c>
      <c r="W198" s="18" t="str">
        <f>IF(A198="","",IFERROR(IF(LEN(INDEX(Suppliers!$F$9:$F$508,MATCH(D198,Suppliers!$D$9:$D$508,0))&amp;"")=0,"",INDEX(Suppliers!$F$9:$F$508,MATCH(D198,Suppliers!$D$9:$D$508,0))),""))</f>
        <v/>
      </c>
      <c r="X198" s="18" t="str">
        <f>IF(A198="","",IFERROR(IF(LEN(INDEX(Suppliers!$G$9:$G$508,MATCH(D198,Suppliers!$D$9:$D$508,0))&amp;"")=0,"",INDEX(Suppliers!$G$9:$G$508,MATCH(D198,Suppliers!$D$9:$D$508,0))),""))</f>
        <v/>
      </c>
      <c r="Y198" s="18" t="str">
        <f>IF(A198="","",IFERROR(INDEX(Jobs!$C$9:$C$258,MATCH(B198,Jobs!$A$9:$A$258,0)),""))</f>
        <v/>
      </c>
      <c r="Z198" s="18" t="str">
        <f>IF(A198="","",IFERROR(INDEX(Jobs!$B$9:$B$258,MATCH(B198,Jobs!$A$9:$A$258,0)),""))</f>
        <v/>
      </c>
      <c r="AA198" s="19" t="str">
        <f>IF(A198="","",IFERROR(VLOOKUP(I198,Lists!$E$9:$F$14,2,FALSE),0))</f>
        <v/>
      </c>
      <c r="AB198" s="19" t="str">
        <f t="shared" si="24"/>
        <v/>
      </c>
      <c r="AC198" s="19" t="str">
        <f t="shared" si="25"/>
        <v/>
      </c>
      <c r="AD198" s="19" t="str">
        <f t="shared" si="26"/>
        <v/>
      </c>
      <c r="AE198" s="19" t="str">
        <f t="shared" si="27"/>
        <v/>
      </c>
      <c r="AF198" s="19" t="str">
        <f t="shared" si="28"/>
        <v/>
      </c>
      <c r="AG198" s="27" t="str">
        <f t="shared" si="29"/>
        <v/>
      </c>
      <c r="AH198" s="19" t="str">
        <f t="shared" si="30"/>
        <v/>
      </c>
      <c r="AI198" s="19" t="str">
        <f t="shared" si="31"/>
        <v/>
      </c>
      <c r="AJ198" s="19" t="str">
        <f t="shared" si="32"/>
        <v/>
      </c>
      <c r="AK198" s="18" t="str">
        <f>IF(AND(A198&lt;&gt;"",F198="Selected"),COUNTIF($F$9:F198,"Selected"),"")</f>
        <v/>
      </c>
      <c r="AL198" s="18" t="str">
        <f>IF(A198="","",COUNTIF($B$9:B198,B198))</f>
        <v/>
      </c>
      <c r="AM198" s="18" t="str">
        <f>IF(A198="","",IF(COUNTIF(Jobs!$A$9:$A$258,B198)&lt;&gt;1,"Check JobID",IF(COUNTIF(Suppliers!$D$9:$D$508,D198)&lt;&gt;1,"Check contact",IF(AA198&lt;=0,"Currency / FX missing",IF(NOT(ISNUMBER(G198)),"Original price missing",IF(G198&lt;0,"Invalid original price",IF(AND(H198&lt;&gt;"",NOT(ISNUMBER(H198))),"Invalid final price",IF(AND(ISNUMBER(H198),H198&lt;0),"Invalid final price",IF(AND(F198="Selected",COUNTIFS($B$9:$B$258,B198,$E$9:$E$258,E198,$F$9:$F$258,"Selected")&gt;1),"Selected scope overlap",IF(AND(ISNUMBER(H198),H198&gt;G198),"Price increased",IF(LEN(H198&amp;"")=0,"Final price pending","OK")))))))))))</f>
        <v/>
      </c>
      <c r="AN198" s="19" t="str">
        <f t="shared" si="33"/>
        <v/>
      </c>
      <c r="AO198" s="18" t="str">
        <f>IF(A198="","",IFERROR(IF(INDEX(Suppliers!$A$9:$A$508,MATCH(D198,Suppliers!$D$9:$D$508,0))=C198,"OK","Contact / supplier mismatch"),"Contact missing"))</f>
        <v/>
      </c>
      <c r="AP198" s="18" t="str">
        <f>IF(OR(A198="",IFERROR(INDEX(Jobs!$P$9:$P$258,MATCH(B198,Jobs!$A$9:$A$258,0)),"")=""),"",HYPERLINK("#'"&amp;IFERROR(INDEX(Jobs!$P$9:$P$258,MATCH(B198,Jobs!$A$9:$A$258,0)),"")&amp;"'!A1","OPEN JOB"))</f>
        <v/>
      </c>
      <c r="AQ198" s="18"/>
      <c r="AR198" s="18"/>
      <c r="AS198" t="str">
        <f t="shared" si="34"/>
        <v/>
      </c>
      <c r="AT198" t="str">
        <f t="shared" si="35"/>
        <v/>
      </c>
    </row>
    <row r="199" spans="1:46" ht="40" customHeight="1" x14ac:dyDescent="0.35">
      <c r="A199" s="14"/>
      <c r="B199" s="37"/>
      <c r="C199" s="14"/>
      <c r="D199" s="15"/>
      <c r="E199" s="15"/>
      <c r="F199" s="15"/>
      <c r="G199" s="24"/>
      <c r="H199" s="24"/>
      <c r="I199" s="15"/>
      <c r="J199" s="17"/>
      <c r="K199" s="17"/>
      <c r="L199" s="17"/>
      <c r="M199" s="15"/>
      <c r="N199" s="15"/>
      <c r="O199" s="15"/>
      <c r="P199" s="15"/>
      <c r="Q199" s="15"/>
      <c r="R199" s="15"/>
      <c r="S199" s="14"/>
      <c r="T199" s="14"/>
      <c r="U199" s="14" t="str">
        <f>IF(A199="","",IFERROR(IF(LEN(INDEX(Suppliers!$B$9:$B$508,MATCH(C199,Suppliers!$A$9:$A$508,0))&amp;"")=0,"",INDEX(Suppliers!$B$9:$B$508,MATCH(C199,Suppliers!$A$9:$A$508,0))),""))</f>
        <v/>
      </c>
      <c r="V199" s="14" t="str">
        <f>IF(A199="","",IFERROR(IF(LEN(INDEX(Suppliers!$E$9:$E$508,MATCH(D199,Suppliers!$D$9:$D$508,0))&amp;"")=0,"",INDEX(Suppliers!$E$9:$E$508,MATCH(D199,Suppliers!$D$9:$D$508,0))),""))</f>
        <v/>
      </c>
      <c r="W199" s="14" t="str">
        <f>IF(A199="","",IFERROR(IF(LEN(INDEX(Suppliers!$F$9:$F$508,MATCH(D199,Suppliers!$D$9:$D$508,0))&amp;"")=0,"",INDEX(Suppliers!$F$9:$F$508,MATCH(D199,Suppliers!$D$9:$D$508,0))),""))</f>
        <v/>
      </c>
      <c r="X199" s="14" t="str">
        <f>IF(A199="","",IFERROR(IF(LEN(INDEX(Suppliers!$G$9:$G$508,MATCH(D199,Suppliers!$D$9:$D$508,0))&amp;"")=0,"",INDEX(Suppliers!$G$9:$G$508,MATCH(D199,Suppliers!$D$9:$D$508,0))),""))</f>
        <v/>
      </c>
      <c r="Y199" s="14" t="str">
        <f>IF(A199="","",IFERROR(INDEX(Jobs!$C$9:$C$258,MATCH(B199,Jobs!$A$9:$A$258,0)),""))</f>
        <v/>
      </c>
      <c r="Z199" s="14" t="str">
        <f>IF(A199="","",IFERROR(INDEX(Jobs!$B$9:$B$258,MATCH(B199,Jobs!$A$9:$A$258,0)),""))</f>
        <v/>
      </c>
      <c r="AA199" s="16" t="str">
        <f>IF(A199="","",IFERROR(VLOOKUP(I199,Lists!$E$9:$F$14,2,FALSE),0))</f>
        <v/>
      </c>
      <c r="AB199" s="16" t="str">
        <f t="shared" si="24"/>
        <v/>
      </c>
      <c r="AC199" s="16" t="str">
        <f t="shared" si="25"/>
        <v/>
      </c>
      <c r="AD199" s="16" t="str">
        <f t="shared" si="26"/>
        <v/>
      </c>
      <c r="AE199" s="16" t="str">
        <f t="shared" si="27"/>
        <v/>
      </c>
      <c r="AF199" s="16" t="str">
        <f t="shared" si="28"/>
        <v/>
      </c>
      <c r="AG199" s="26" t="str">
        <f t="shared" si="29"/>
        <v/>
      </c>
      <c r="AH199" s="16" t="str">
        <f t="shared" si="30"/>
        <v/>
      </c>
      <c r="AI199" s="16" t="str">
        <f t="shared" si="31"/>
        <v/>
      </c>
      <c r="AJ199" s="16" t="str">
        <f t="shared" si="32"/>
        <v/>
      </c>
      <c r="AK199" s="14" t="str">
        <f>IF(AND(A199&lt;&gt;"",F199="Selected"),COUNTIF($F$9:F199,"Selected"),"")</f>
        <v/>
      </c>
      <c r="AL199" s="14" t="str">
        <f>IF(A199="","",COUNTIF($B$9:B199,B199))</f>
        <v/>
      </c>
      <c r="AM199" s="14" t="str">
        <f>IF(A199="","",IF(COUNTIF(Jobs!$A$9:$A$258,B199)&lt;&gt;1,"Check JobID",IF(COUNTIF(Suppliers!$D$9:$D$508,D199)&lt;&gt;1,"Check contact",IF(AA199&lt;=0,"Currency / FX missing",IF(NOT(ISNUMBER(G199)),"Original price missing",IF(G199&lt;0,"Invalid original price",IF(AND(H199&lt;&gt;"",NOT(ISNUMBER(H199))),"Invalid final price",IF(AND(ISNUMBER(H199),H199&lt;0),"Invalid final price",IF(AND(F199="Selected",COUNTIFS($B$9:$B$258,B199,$E$9:$E$258,E199,$F$9:$F$258,"Selected")&gt;1),"Selected scope overlap",IF(AND(ISNUMBER(H199),H199&gt;G199),"Price increased",IF(LEN(H199&amp;"")=0,"Final price pending","OK")))))))))))</f>
        <v/>
      </c>
      <c r="AN199" s="16" t="str">
        <f t="shared" si="33"/>
        <v/>
      </c>
      <c r="AO199" s="14" t="str">
        <f>IF(A199="","",IFERROR(IF(INDEX(Suppliers!$A$9:$A$508,MATCH(D199,Suppliers!$D$9:$D$508,0))=C199,"OK","Contact / supplier mismatch"),"Contact missing"))</f>
        <v/>
      </c>
      <c r="AP199" s="14" t="str">
        <f>IF(OR(A199="",IFERROR(INDEX(Jobs!$P$9:$P$258,MATCH(B199,Jobs!$A$9:$A$258,0)),"")=""),"",HYPERLINK("#'"&amp;IFERROR(INDEX(Jobs!$P$9:$P$258,MATCH(B199,Jobs!$A$9:$A$258,0)),"")&amp;"'!A1","OPEN JOB"))</f>
        <v/>
      </c>
      <c r="AQ199" s="14"/>
      <c r="AR199" s="14"/>
      <c r="AS199" t="str">
        <f t="shared" si="34"/>
        <v/>
      </c>
      <c r="AT199" t="str">
        <f t="shared" si="35"/>
        <v/>
      </c>
    </row>
    <row r="200" spans="1:46" ht="40" customHeight="1" x14ac:dyDescent="0.35">
      <c r="A200" s="18"/>
      <c r="B200" s="37"/>
      <c r="C200" s="18"/>
      <c r="D200" s="15"/>
      <c r="E200" s="15"/>
      <c r="F200" s="15"/>
      <c r="G200" s="24"/>
      <c r="H200" s="24"/>
      <c r="I200" s="15"/>
      <c r="J200" s="17"/>
      <c r="K200" s="17"/>
      <c r="L200" s="17"/>
      <c r="M200" s="15"/>
      <c r="N200" s="15"/>
      <c r="O200" s="15"/>
      <c r="P200" s="15"/>
      <c r="Q200" s="15"/>
      <c r="R200" s="15"/>
      <c r="S200" s="18"/>
      <c r="T200" s="18"/>
      <c r="U200" s="18" t="str">
        <f>IF(A200="","",IFERROR(IF(LEN(INDEX(Suppliers!$B$9:$B$508,MATCH(C200,Suppliers!$A$9:$A$508,0))&amp;"")=0,"",INDEX(Suppliers!$B$9:$B$508,MATCH(C200,Suppliers!$A$9:$A$508,0))),""))</f>
        <v/>
      </c>
      <c r="V200" s="18" t="str">
        <f>IF(A200="","",IFERROR(IF(LEN(INDEX(Suppliers!$E$9:$E$508,MATCH(D200,Suppliers!$D$9:$D$508,0))&amp;"")=0,"",INDEX(Suppliers!$E$9:$E$508,MATCH(D200,Suppliers!$D$9:$D$508,0))),""))</f>
        <v/>
      </c>
      <c r="W200" s="18" t="str">
        <f>IF(A200="","",IFERROR(IF(LEN(INDEX(Suppliers!$F$9:$F$508,MATCH(D200,Suppliers!$D$9:$D$508,0))&amp;"")=0,"",INDEX(Suppliers!$F$9:$F$508,MATCH(D200,Suppliers!$D$9:$D$508,0))),""))</f>
        <v/>
      </c>
      <c r="X200" s="18" t="str">
        <f>IF(A200="","",IFERROR(IF(LEN(INDEX(Suppliers!$G$9:$G$508,MATCH(D200,Suppliers!$D$9:$D$508,0))&amp;"")=0,"",INDEX(Suppliers!$G$9:$G$508,MATCH(D200,Suppliers!$D$9:$D$508,0))),""))</f>
        <v/>
      </c>
      <c r="Y200" s="18" t="str">
        <f>IF(A200="","",IFERROR(INDEX(Jobs!$C$9:$C$258,MATCH(B200,Jobs!$A$9:$A$258,0)),""))</f>
        <v/>
      </c>
      <c r="Z200" s="18" t="str">
        <f>IF(A200="","",IFERROR(INDEX(Jobs!$B$9:$B$258,MATCH(B200,Jobs!$A$9:$A$258,0)),""))</f>
        <v/>
      </c>
      <c r="AA200" s="19" t="str">
        <f>IF(A200="","",IFERROR(VLOOKUP(I200,Lists!$E$9:$F$14,2,FALSE),0))</f>
        <v/>
      </c>
      <c r="AB200" s="19" t="str">
        <f t="shared" si="24"/>
        <v/>
      </c>
      <c r="AC200" s="19" t="str">
        <f t="shared" si="25"/>
        <v/>
      </c>
      <c r="AD200" s="19" t="str">
        <f t="shared" si="26"/>
        <v/>
      </c>
      <c r="AE200" s="19" t="str">
        <f t="shared" si="27"/>
        <v/>
      </c>
      <c r="AF200" s="19" t="str">
        <f t="shared" si="28"/>
        <v/>
      </c>
      <c r="AG200" s="27" t="str">
        <f t="shared" si="29"/>
        <v/>
      </c>
      <c r="AH200" s="19" t="str">
        <f t="shared" si="30"/>
        <v/>
      </c>
      <c r="AI200" s="19" t="str">
        <f t="shared" si="31"/>
        <v/>
      </c>
      <c r="AJ200" s="19" t="str">
        <f t="shared" si="32"/>
        <v/>
      </c>
      <c r="AK200" s="18" t="str">
        <f>IF(AND(A200&lt;&gt;"",F200="Selected"),COUNTIF($F$9:F200,"Selected"),"")</f>
        <v/>
      </c>
      <c r="AL200" s="18" t="str">
        <f>IF(A200="","",COUNTIF($B$9:B200,B200))</f>
        <v/>
      </c>
      <c r="AM200" s="18" t="str">
        <f>IF(A200="","",IF(COUNTIF(Jobs!$A$9:$A$258,B200)&lt;&gt;1,"Check JobID",IF(COUNTIF(Suppliers!$D$9:$D$508,D200)&lt;&gt;1,"Check contact",IF(AA200&lt;=0,"Currency / FX missing",IF(NOT(ISNUMBER(G200)),"Original price missing",IF(G200&lt;0,"Invalid original price",IF(AND(H200&lt;&gt;"",NOT(ISNUMBER(H200))),"Invalid final price",IF(AND(ISNUMBER(H200),H200&lt;0),"Invalid final price",IF(AND(F200="Selected",COUNTIFS($B$9:$B$258,B200,$E$9:$E$258,E200,$F$9:$F$258,"Selected")&gt;1),"Selected scope overlap",IF(AND(ISNUMBER(H200),H200&gt;G200),"Price increased",IF(LEN(H200&amp;"")=0,"Final price pending","OK")))))))))))</f>
        <v/>
      </c>
      <c r="AN200" s="19" t="str">
        <f t="shared" si="33"/>
        <v/>
      </c>
      <c r="AO200" s="18" t="str">
        <f>IF(A200="","",IFERROR(IF(INDEX(Suppliers!$A$9:$A$508,MATCH(D200,Suppliers!$D$9:$D$508,0))=C200,"OK","Contact / supplier mismatch"),"Contact missing"))</f>
        <v/>
      </c>
      <c r="AP200" s="18" t="str">
        <f>IF(OR(A200="",IFERROR(INDEX(Jobs!$P$9:$P$258,MATCH(B200,Jobs!$A$9:$A$258,0)),"")=""),"",HYPERLINK("#'"&amp;IFERROR(INDEX(Jobs!$P$9:$P$258,MATCH(B200,Jobs!$A$9:$A$258,0)),"")&amp;"'!A1","OPEN JOB"))</f>
        <v/>
      </c>
      <c r="AQ200" s="18"/>
      <c r="AR200" s="18"/>
      <c r="AS200" t="str">
        <f t="shared" si="34"/>
        <v/>
      </c>
      <c r="AT200" t="str">
        <f t="shared" si="35"/>
        <v/>
      </c>
    </row>
    <row r="201" spans="1:46" ht="40" customHeight="1" x14ac:dyDescent="0.35">
      <c r="A201" s="14"/>
      <c r="B201" s="37"/>
      <c r="C201" s="14"/>
      <c r="D201" s="15"/>
      <c r="E201" s="15"/>
      <c r="F201" s="15"/>
      <c r="G201" s="24"/>
      <c r="H201" s="24"/>
      <c r="I201" s="15"/>
      <c r="J201" s="17"/>
      <c r="K201" s="17"/>
      <c r="L201" s="17"/>
      <c r="M201" s="15"/>
      <c r="N201" s="15"/>
      <c r="O201" s="15"/>
      <c r="P201" s="15"/>
      <c r="Q201" s="15"/>
      <c r="R201" s="15"/>
      <c r="S201" s="14"/>
      <c r="T201" s="14"/>
      <c r="U201" s="14" t="str">
        <f>IF(A201="","",IFERROR(IF(LEN(INDEX(Suppliers!$B$9:$B$508,MATCH(C201,Suppliers!$A$9:$A$508,0))&amp;"")=0,"",INDEX(Suppliers!$B$9:$B$508,MATCH(C201,Suppliers!$A$9:$A$508,0))),""))</f>
        <v/>
      </c>
      <c r="V201" s="14" t="str">
        <f>IF(A201="","",IFERROR(IF(LEN(INDEX(Suppliers!$E$9:$E$508,MATCH(D201,Suppliers!$D$9:$D$508,0))&amp;"")=0,"",INDEX(Suppliers!$E$9:$E$508,MATCH(D201,Suppliers!$D$9:$D$508,0))),""))</f>
        <v/>
      </c>
      <c r="W201" s="14" t="str">
        <f>IF(A201="","",IFERROR(IF(LEN(INDEX(Suppliers!$F$9:$F$508,MATCH(D201,Suppliers!$D$9:$D$508,0))&amp;"")=0,"",INDEX(Suppliers!$F$9:$F$508,MATCH(D201,Suppliers!$D$9:$D$508,0))),""))</f>
        <v/>
      </c>
      <c r="X201" s="14" t="str">
        <f>IF(A201="","",IFERROR(IF(LEN(INDEX(Suppliers!$G$9:$G$508,MATCH(D201,Suppliers!$D$9:$D$508,0))&amp;"")=0,"",INDEX(Suppliers!$G$9:$G$508,MATCH(D201,Suppliers!$D$9:$D$508,0))),""))</f>
        <v/>
      </c>
      <c r="Y201" s="14" t="str">
        <f>IF(A201="","",IFERROR(INDEX(Jobs!$C$9:$C$258,MATCH(B201,Jobs!$A$9:$A$258,0)),""))</f>
        <v/>
      </c>
      <c r="Z201" s="14" t="str">
        <f>IF(A201="","",IFERROR(INDEX(Jobs!$B$9:$B$258,MATCH(B201,Jobs!$A$9:$A$258,0)),""))</f>
        <v/>
      </c>
      <c r="AA201" s="16" t="str">
        <f>IF(A201="","",IFERROR(VLOOKUP(I201,Lists!$E$9:$F$14,2,FALSE),0))</f>
        <v/>
      </c>
      <c r="AB201" s="16" t="str">
        <f t="shared" ref="AB201:AB258" si="36">IF(A201="","",IF(AND(ISNUMBER(G201),G201&gt;=0,AA201&gt;0),G201/AA201,""))</f>
        <v/>
      </c>
      <c r="AC201" s="16" t="str">
        <f t="shared" ref="AC201:AC258" si="37">IF(A201="","",IF(AND(ISNUMBER(H201),H201&gt;=0),H201,IF(AND(ISNUMBER(G201),G201&gt;=0),G201,"")))</f>
        <v/>
      </c>
      <c r="AD201" s="16" t="str">
        <f t="shared" ref="AD201:AD258" si="38">IF(A201="","",IF(AND(ISNUMBER(AC201),AA201&gt;0),AC201/AA201,""))</f>
        <v/>
      </c>
      <c r="AE201" s="16" t="str">
        <f t="shared" ref="AE201:AE258" si="39">IF(A201="","",IF(AND(ISNUMBER(G201),ISNUMBER(H201),G201&gt;=0,H201&gt;=0),G201-H201,""))</f>
        <v/>
      </c>
      <c r="AF201" s="16" t="str">
        <f t="shared" ref="AF201:AF258" si="40">IF(A201="","",IF(AND(ISNUMBER(AE201),AA201&gt;0),AE201/AA201,""))</f>
        <v/>
      </c>
      <c r="AG201" s="26" t="str">
        <f t="shared" ref="AG201:AG258" si="41">IF(A201="","",IF(AND(ISNUMBER(AE201),ISNUMBER(G201),G201&gt;0),AE201/G201,""))</f>
        <v/>
      </c>
      <c r="AH201" s="16" t="str">
        <f t="shared" ref="AH201:AH258" si="42">IF(A201="","",IF(AND(F201="Selected",ISNUMBER(AB201)),AB201,0))</f>
        <v/>
      </c>
      <c r="AI201" s="16" t="str">
        <f t="shared" ref="AI201:AI258" si="43">IF(A201="","",IF(AND(F201="Selected",ISNUMBER(AD201)),AD201,0))</f>
        <v/>
      </c>
      <c r="AJ201" s="16" t="str">
        <f t="shared" ref="AJ201:AJ258" si="44">IF(A201="","",IF(AND(F201="Selected",ISNUMBER(AF201)),AF201,0))</f>
        <v/>
      </c>
      <c r="AK201" s="14" t="str">
        <f>IF(AND(A201&lt;&gt;"",F201="Selected"),COUNTIF($F$9:F201,"Selected"),"")</f>
        <v/>
      </c>
      <c r="AL201" s="14" t="str">
        <f>IF(A201="","",COUNTIF($B$9:B201,B201))</f>
        <v/>
      </c>
      <c r="AM201" s="14" t="str">
        <f>IF(A201="","",IF(COUNTIF(Jobs!$A$9:$A$258,B201)&lt;&gt;1,"Check JobID",IF(COUNTIF(Suppliers!$D$9:$D$508,D201)&lt;&gt;1,"Check contact",IF(AA201&lt;=0,"Currency / FX missing",IF(NOT(ISNUMBER(G201)),"Original price missing",IF(G201&lt;0,"Invalid original price",IF(AND(H201&lt;&gt;"",NOT(ISNUMBER(H201))),"Invalid final price",IF(AND(ISNUMBER(H201),H201&lt;0),"Invalid final price",IF(AND(F201="Selected",COUNTIFS($B$9:$B$258,B201,$E$9:$E$258,E201,$F$9:$F$258,"Selected")&gt;1),"Selected scope overlap",IF(AND(ISNUMBER(H201),H201&gt;G201),"Price increased",IF(LEN(H201&amp;"")=0,"Final price pending","OK")))))))))))</f>
        <v/>
      </c>
      <c r="AN201" s="16" t="str">
        <f t="shared" ref="AN201:AN258" si="45">IF(A201="","",IF(AND(F201="Selected",ISNUMBER(AF201),ISNUMBER(AB201)),AB201,0))</f>
        <v/>
      </c>
      <c r="AO201" s="14" t="str">
        <f>IF(A201="","",IFERROR(IF(INDEX(Suppliers!$A$9:$A$508,MATCH(D201,Suppliers!$D$9:$D$508,0))=C201,"OK","Contact / supplier mismatch"),"Contact missing"))</f>
        <v/>
      </c>
      <c r="AP201" s="14" t="str">
        <f>IF(OR(A201="",IFERROR(INDEX(Jobs!$P$9:$P$258,MATCH(B201,Jobs!$A$9:$A$258,0)),"")=""),"",HYPERLINK("#'"&amp;IFERROR(INDEX(Jobs!$P$9:$P$258,MATCH(B201,Jobs!$A$9:$A$258,0)),"")&amp;"'!A1","OPEN JOB"))</f>
        <v/>
      </c>
      <c r="AQ201" s="14"/>
      <c r="AR201" s="14"/>
      <c r="AS201" t="str">
        <f t="shared" ref="AS201:AS258" si="46">IF(A201="","","J:"&amp;B201&amp;"_N:"&amp;AL201)</f>
        <v/>
      </c>
      <c r="AT201" t="str">
        <f t="shared" ref="AT201:AT258" si="47">IF(A201="","","Q:"&amp;A201)</f>
        <v/>
      </c>
    </row>
    <row r="202" spans="1:46" ht="40" customHeight="1" x14ac:dyDescent="0.35">
      <c r="A202" s="18"/>
      <c r="B202" s="37"/>
      <c r="C202" s="18"/>
      <c r="D202" s="15"/>
      <c r="E202" s="15"/>
      <c r="F202" s="15"/>
      <c r="G202" s="24"/>
      <c r="H202" s="24"/>
      <c r="I202" s="15"/>
      <c r="J202" s="17"/>
      <c r="K202" s="17"/>
      <c r="L202" s="17"/>
      <c r="M202" s="15"/>
      <c r="N202" s="15"/>
      <c r="O202" s="15"/>
      <c r="P202" s="15"/>
      <c r="Q202" s="15"/>
      <c r="R202" s="15"/>
      <c r="S202" s="18"/>
      <c r="T202" s="18"/>
      <c r="U202" s="18" t="str">
        <f>IF(A202="","",IFERROR(IF(LEN(INDEX(Suppliers!$B$9:$B$508,MATCH(C202,Suppliers!$A$9:$A$508,0))&amp;"")=0,"",INDEX(Suppliers!$B$9:$B$508,MATCH(C202,Suppliers!$A$9:$A$508,0))),""))</f>
        <v/>
      </c>
      <c r="V202" s="18" t="str">
        <f>IF(A202="","",IFERROR(IF(LEN(INDEX(Suppliers!$E$9:$E$508,MATCH(D202,Suppliers!$D$9:$D$508,0))&amp;"")=0,"",INDEX(Suppliers!$E$9:$E$508,MATCH(D202,Suppliers!$D$9:$D$508,0))),""))</f>
        <v/>
      </c>
      <c r="W202" s="18" t="str">
        <f>IF(A202="","",IFERROR(IF(LEN(INDEX(Suppliers!$F$9:$F$508,MATCH(D202,Suppliers!$D$9:$D$508,0))&amp;"")=0,"",INDEX(Suppliers!$F$9:$F$508,MATCH(D202,Suppliers!$D$9:$D$508,0))),""))</f>
        <v/>
      </c>
      <c r="X202" s="18" t="str">
        <f>IF(A202="","",IFERROR(IF(LEN(INDEX(Suppliers!$G$9:$G$508,MATCH(D202,Suppliers!$D$9:$D$508,0))&amp;"")=0,"",INDEX(Suppliers!$G$9:$G$508,MATCH(D202,Suppliers!$D$9:$D$508,0))),""))</f>
        <v/>
      </c>
      <c r="Y202" s="18" t="str">
        <f>IF(A202="","",IFERROR(INDEX(Jobs!$C$9:$C$258,MATCH(B202,Jobs!$A$9:$A$258,0)),""))</f>
        <v/>
      </c>
      <c r="Z202" s="18" t="str">
        <f>IF(A202="","",IFERROR(INDEX(Jobs!$B$9:$B$258,MATCH(B202,Jobs!$A$9:$A$258,0)),""))</f>
        <v/>
      </c>
      <c r="AA202" s="19" t="str">
        <f>IF(A202="","",IFERROR(VLOOKUP(I202,Lists!$E$9:$F$14,2,FALSE),0))</f>
        <v/>
      </c>
      <c r="AB202" s="19" t="str">
        <f t="shared" si="36"/>
        <v/>
      </c>
      <c r="AC202" s="19" t="str">
        <f t="shared" si="37"/>
        <v/>
      </c>
      <c r="AD202" s="19" t="str">
        <f t="shared" si="38"/>
        <v/>
      </c>
      <c r="AE202" s="19" t="str">
        <f t="shared" si="39"/>
        <v/>
      </c>
      <c r="AF202" s="19" t="str">
        <f t="shared" si="40"/>
        <v/>
      </c>
      <c r="AG202" s="27" t="str">
        <f t="shared" si="41"/>
        <v/>
      </c>
      <c r="AH202" s="19" t="str">
        <f t="shared" si="42"/>
        <v/>
      </c>
      <c r="AI202" s="19" t="str">
        <f t="shared" si="43"/>
        <v/>
      </c>
      <c r="AJ202" s="19" t="str">
        <f t="shared" si="44"/>
        <v/>
      </c>
      <c r="AK202" s="18" t="str">
        <f>IF(AND(A202&lt;&gt;"",F202="Selected"),COUNTIF($F$9:F202,"Selected"),"")</f>
        <v/>
      </c>
      <c r="AL202" s="18" t="str">
        <f>IF(A202="","",COUNTIF($B$9:B202,B202))</f>
        <v/>
      </c>
      <c r="AM202" s="18" t="str">
        <f>IF(A202="","",IF(COUNTIF(Jobs!$A$9:$A$258,B202)&lt;&gt;1,"Check JobID",IF(COUNTIF(Suppliers!$D$9:$D$508,D202)&lt;&gt;1,"Check contact",IF(AA202&lt;=0,"Currency / FX missing",IF(NOT(ISNUMBER(G202)),"Original price missing",IF(G202&lt;0,"Invalid original price",IF(AND(H202&lt;&gt;"",NOT(ISNUMBER(H202))),"Invalid final price",IF(AND(ISNUMBER(H202),H202&lt;0),"Invalid final price",IF(AND(F202="Selected",COUNTIFS($B$9:$B$258,B202,$E$9:$E$258,E202,$F$9:$F$258,"Selected")&gt;1),"Selected scope overlap",IF(AND(ISNUMBER(H202),H202&gt;G202),"Price increased",IF(LEN(H202&amp;"")=0,"Final price pending","OK")))))))))))</f>
        <v/>
      </c>
      <c r="AN202" s="19" t="str">
        <f t="shared" si="45"/>
        <v/>
      </c>
      <c r="AO202" s="18" t="str">
        <f>IF(A202="","",IFERROR(IF(INDEX(Suppliers!$A$9:$A$508,MATCH(D202,Suppliers!$D$9:$D$508,0))=C202,"OK","Contact / supplier mismatch"),"Contact missing"))</f>
        <v/>
      </c>
      <c r="AP202" s="18" t="str">
        <f>IF(OR(A202="",IFERROR(INDEX(Jobs!$P$9:$P$258,MATCH(B202,Jobs!$A$9:$A$258,0)),"")=""),"",HYPERLINK("#'"&amp;IFERROR(INDEX(Jobs!$P$9:$P$258,MATCH(B202,Jobs!$A$9:$A$258,0)),"")&amp;"'!A1","OPEN JOB"))</f>
        <v/>
      </c>
      <c r="AQ202" s="18"/>
      <c r="AR202" s="18"/>
      <c r="AS202" t="str">
        <f t="shared" si="46"/>
        <v/>
      </c>
      <c r="AT202" t="str">
        <f t="shared" si="47"/>
        <v/>
      </c>
    </row>
    <row r="203" spans="1:46" ht="40" customHeight="1" x14ac:dyDescent="0.35">
      <c r="A203" s="14"/>
      <c r="B203" s="37"/>
      <c r="C203" s="14"/>
      <c r="D203" s="15"/>
      <c r="E203" s="15"/>
      <c r="F203" s="15"/>
      <c r="G203" s="24"/>
      <c r="H203" s="24"/>
      <c r="I203" s="15"/>
      <c r="J203" s="17"/>
      <c r="K203" s="17"/>
      <c r="L203" s="17"/>
      <c r="M203" s="15"/>
      <c r="N203" s="15"/>
      <c r="O203" s="15"/>
      <c r="P203" s="15"/>
      <c r="Q203" s="15"/>
      <c r="R203" s="15"/>
      <c r="S203" s="14"/>
      <c r="T203" s="14"/>
      <c r="U203" s="14" t="str">
        <f>IF(A203="","",IFERROR(IF(LEN(INDEX(Suppliers!$B$9:$B$508,MATCH(C203,Suppliers!$A$9:$A$508,0))&amp;"")=0,"",INDEX(Suppliers!$B$9:$B$508,MATCH(C203,Suppliers!$A$9:$A$508,0))),""))</f>
        <v/>
      </c>
      <c r="V203" s="14" t="str">
        <f>IF(A203="","",IFERROR(IF(LEN(INDEX(Suppliers!$E$9:$E$508,MATCH(D203,Suppliers!$D$9:$D$508,0))&amp;"")=0,"",INDEX(Suppliers!$E$9:$E$508,MATCH(D203,Suppliers!$D$9:$D$508,0))),""))</f>
        <v/>
      </c>
      <c r="W203" s="14" t="str">
        <f>IF(A203="","",IFERROR(IF(LEN(INDEX(Suppliers!$F$9:$F$508,MATCH(D203,Suppliers!$D$9:$D$508,0))&amp;"")=0,"",INDEX(Suppliers!$F$9:$F$508,MATCH(D203,Suppliers!$D$9:$D$508,0))),""))</f>
        <v/>
      </c>
      <c r="X203" s="14" t="str">
        <f>IF(A203="","",IFERROR(IF(LEN(INDEX(Suppliers!$G$9:$G$508,MATCH(D203,Suppliers!$D$9:$D$508,0))&amp;"")=0,"",INDEX(Suppliers!$G$9:$G$508,MATCH(D203,Suppliers!$D$9:$D$508,0))),""))</f>
        <v/>
      </c>
      <c r="Y203" s="14" t="str">
        <f>IF(A203="","",IFERROR(INDEX(Jobs!$C$9:$C$258,MATCH(B203,Jobs!$A$9:$A$258,0)),""))</f>
        <v/>
      </c>
      <c r="Z203" s="14" t="str">
        <f>IF(A203="","",IFERROR(INDEX(Jobs!$B$9:$B$258,MATCH(B203,Jobs!$A$9:$A$258,0)),""))</f>
        <v/>
      </c>
      <c r="AA203" s="16" t="str">
        <f>IF(A203="","",IFERROR(VLOOKUP(I203,Lists!$E$9:$F$14,2,FALSE),0))</f>
        <v/>
      </c>
      <c r="AB203" s="16" t="str">
        <f t="shared" si="36"/>
        <v/>
      </c>
      <c r="AC203" s="16" t="str">
        <f t="shared" si="37"/>
        <v/>
      </c>
      <c r="AD203" s="16" t="str">
        <f t="shared" si="38"/>
        <v/>
      </c>
      <c r="AE203" s="16" t="str">
        <f t="shared" si="39"/>
        <v/>
      </c>
      <c r="AF203" s="16" t="str">
        <f t="shared" si="40"/>
        <v/>
      </c>
      <c r="AG203" s="26" t="str">
        <f t="shared" si="41"/>
        <v/>
      </c>
      <c r="AH203" s="16" t="str">
        <f t="shared" si="42"/>
        <v/>
      </c>
      <c r="AI203" s="16" t="str">
        <f t="shared" si="43"/>
        <v/>
      </c>
      <c r="AJ203" s="16" t="str">
        <f t="shared" si="44"/>
        <v/>
      </c>
      <c r="AK203" s="14" t="str">
        <f>IF(AND(A203&lt;&gt;"",F203="Selected"),COUNTIF($F$9:F203,"Selected"),"")</f>
        <v/>
      </c>
      <c r="AL203" s="14" t="str">
        <f>IF(A203="","",COUNTIF($B$9:B203,B203))</f>
        <v/>
      </c>
      <c r="AM203" s="14" t="str">
        <f>IF(A203="","",IF(COUNTIF(Jobs!$A$9:$A$258,B203)&lt;&gt;1,"Check JobID",IF(COUNTIF(Suppliers!$D$9:$D$508,D203)&lt;&gt;1,"Check contact",IF(AA203&lt;=0,"Currency / FX missing",IF(NOT(ISNUMBER(G203)),"Original price missing",IF(G203&lt;0,"Invalid original price",IF(AND(H203&lt;&gt;"",NOT(ISNUMBER(H203))),"Invalid final price",IF(AND(ISNUMBER(H203),H203&lt;0),"Invalid final price",IF(AND(F203="Selected",COUNTIFS($B$9:$B$258,B203,$E$9:$E$258,E203,$F$9:$F$258,"Selected")&gt;1),"Selected scope overlap",IF(AND(ISNUMBER(H203),H203&gt;G203),"Price increased",IF(LEN(H203&amp;"")=0,"Final price pending","OK")))))))))))</f>
        <v/>
      </c>
      <c r="AN203" s="16" t="str">
        <f t="shared" si="45"/>
        <v/>
      </c>
      <c r="AO203" s="14" t="str">
        <f>IF(A203="","",IFERROR(IF(INDEX(Suppliers!$A$9:$A$508,MATCH(D203,Suppliers!$D$9:$D$508,0))=C203,"OK","Contact / supplier mismatch"),"Contact missing"))</f>
        <v/>
      </c>
      <c r="AP203" s="14" t="str">
        <f>IF(OR(A203="",IFERROR(INDEX(Jobs!$P$9:$P$258,MATCH(B203,Jobs!$A$9:$A$258,0)),"")=""),"",HYPERLINK("#'"&amp;IFERROR(INDEX(Jobs!$P$9:$P$258,MATCH(B203,Jobs!$A$9:$A$258,0)),"")&amp;"'!A1","OPEN JOB"))</f>
        <v/>
      </c>
      <c r="AQ203" s="14"/>
      <c r="AR203" s="14"/>
      <c r="AS203" t="str">
        <f t="shared" si="46"/>
        <v/>
      </c>
      <c r="AT203" t="str">
        <f t="shared" si="47"/>
        <v/>
      </c>
    </row>
    <row r="204" spans="1:46" ht="40" customHeight="1" x14ac:dyDescent="0.35">
      <c r="A204" s="18"/>
      <c r="B204" s="37"/>
      <c r="C204" s="18"/>
      <c r="D204" s="15"/>
      <c r="E204" s="15"/>
      <c r="F204" s="15"/>
      <c r="G204" s="24"/>
      <c r="H204" s="24"/>
      <c r="I204" s="15"/>
      <c r="J204" s="17"/>
      <c r="K204" s="17"/>
      <c r="L204" s="17"/>
      <c r="M204" s="15"/>
      <c r="N204" s="15"/>
      <c r="O204" s="15"/>
      <c r="P204" s="15"/>
      <c r="Q204" s="15"/>
      <c r="R204" s="15"/>
      <c r="S204" s="18"/>
      <c r="T204" s="18"/>
      <c r="U204" s="18" t="str">
        <f>IF(A204="","",IFERROR(IF(LEN(INDEX(Suppliers!$B$9:$B$508,MATCH(C204,Suppliers!$A$9:$A$508,0))&amp;"")=0,"",INDEX(Suppliers!$B$9:$B$508,MATCH(C204,Suppliers!$A$9:$A$508,0))),""))</f>
        <v/>
      </c>
      <c r="V204" s="18" t="str">
        <f>IF(A204="","",IFERROR(IF(LEN(INDEX(Suppliers!$E$9:$E$508,MATCH(D204,Suppliers!$D$9:$D$508,0))&amp;"")=0,"",INDEX(Suppliers!$E$9:$E$508,MATCH(D204,Suppliers!$D$9:$D$508,0))),""))</f>
        <v/>
      </c>
      <c r="W204" s="18" t="str">
        <f>IF(A204="","",IFERROR(IF(LEN(INDEX(Suppliers!$F$9:$F$508,MATCH(D204,Suppliers!$D$9:$D$508,0))&amp;"")=0,"",INDEX(Suppliers!$F$9:$F$508,MATCH(D204,Suppliers!$D$9:$D$508,0))),""))</f>
        <v/>
      </c>
      <c r="X204" s="18" t="str">
        <f>IF(A204="","",IFERROR(IF(LEN(INDEX(Suppliers!$G$9:$G$508,MATCH(D204,Suppliers!$D$9:$D$508,0))&amp;"")=0,"",INDEX(Suppliers!$G$9:$G$508,MATCH(D204,Suppliers!$D$9:$D$508,0))),""))</f>
        <v/>
      </c>
      <c r="Y204" s="18" t="str">
        <f>IF(A204="","",IFERROR(INDEX(Jobs!$C$9:$C$258,MATCH(B204,Jobs!$A$9:$A$258,0)),""))</f>
        <v/>
      </c>
      <c r="Z204" s="18" t="str">
        <f>IF(A204="","",IFERROR(INDEX(Jobs!$B$9:$B$258,MATCH(B204,Jobs!$A$9:$A$258,0)),""))</f>
        <v/>
      </c>
      <c r="AA204" s="19" t="str">
        <f>IF(A204="","",IFERROR(VLOOKUP(I204,Lists!$E$9:$F$14,2,FALSE),0))</f>
        <v/>
      </c>
      <c r="AB204" s="19" t="str">
        <f t="shared" si="36"/>
        <v/>
      </c>
      <c r="AC204" s="19" t="str">
        <f t="shared" si="37"/>
        <v/>
      </c>
      <c r="AD204" s="19" t="str">
        <f t="shared" si="38"/>
        <v/>
      </c>
      <c r="AE204" s="19" t="str">
        <f t="shared" si="39"/>
        <v/>
      </c>
      <c r="AF204" s="19" t="str">
        <f t="shared" si="40"/>
        <v/>
      </c>
      <c r="AG204" s="27" t="str">
        <f t="shared" si="41"/>
        <v/>
      </c>
      <c r="AH204" s="19" t="str">
        <f t="shared" si="42"/>
        <v/>
      </c>
      <c r="AI204" s="19" t="str">
        <f t="shared" si="43"/>
        <v/>
      </c>
      <c r="AJ204" s="19" t="str">
        <f t="shared" si="44"/>
        <v/>
      </c>
      <c r="AK204" s="18" t="str">
        <f>IF(AND(A204&lt;&gt;"",F204="Selected"),COUNTIF($F$9:F204,"Selected"),"")</f>
        <v/>
      </c>
      <c r="AL204" s="18" t="str">
        <f>IF(A204="","",COUNTIF($B$9:B204,B204))</f>
        <v/>
      </c>
      <c r="AM204" s="18" t="str">
        <f>IF(A204="","",IF(COUNTIF(Jobs!$A$9:$A$258,B204)&lt;&gt;1,"Check JobID",IF(COUNTIF(Suppliers!$D$9:$D$508,D204)&lt;&gt;1,"Check contact",IF(AA204&lt;=0,"Currency / FX missing",IF(NOT(ISNUMBER(G204)),"Original price missing",IF(G204&lt;0,"Invalid original price",IF(AND(H204&lt;&gt;"",NOT(ISNUMBER(H204))),"Invalid final price",IF(AND(ISNUMBER(H204),H204&lt;0),"Invalid final price",IF(AND(F204="Selected",COUNTIFS($B$9:$B$258,B204,$E$9:$E$258,E204,$F$9:$F$258,"Selected")&gt;1),"Selected scope overlap",IF(AND(ISNUMBER(H204),H204&gt;G204),"Price increased",IF(LEN(H204&amp;"")=0,"Final price pending","OK")))))))))))</f>
        <v/>
      </c>
      <c r="AN204" s="19" t="str">
        <f t="shared" si="45"/>
        <v/>
      </c>
      <c r="AO204" s="18" t="str">
        <f>IF(A204="","",IFERROR(IF(INDEX(Suppliers!$A$9:$A$508,MATCH(D204,Suppliers!$D$9:$D$508,0))=C204,"OK","Contact / supplier mismatch"),"Contact missing"))</f>
        <v/>
      </c>
      <c r="AP204" s="18" t="str">
        <f>IF(OR(A204="",IFERROR(INDEX(Jobs!$P$9:$P$258,MATCH(B204,Jobs!$A$9:$A$258,0)),"")=""),"",HYPERLINK("#'"&amp;IFERROR(INDEX(Jobs!$P$9:$P$258,MATCH(B204,Jobs!$A$9:$A$258,0)),"")&amp;"'!A1","OPEN JOB"))</f>
        <v/>
      </c>
      <c r="AQ204" s="18"/>
      <c r="AR204" s="18"/>
      <c r="AS204" t="str">
        <f t="shared" si="46"/>
        <v/>
      </c>
      <c r="AT204" t="str">
        <f t="shared" si="47"/>
        <v/>
      </c>
    </row>
    <row r="205" spans="1:46" ht="40" customHeight="1" x14ac:dyDescent="0.35">
      <c r="A205" s="14"/>
      <c r="B205" s="37"/>
      <c r="C205" s="14"/>
      <c r="D205" s="15"/>
      <c r="E205" s="15"/>
      <c r="F205" s="15"/>
      <c r="G205" s="24"/>
      <c r="H205" s="24"/>
      <c r="I205" s="15"/>
      <c r="J205" s="17"/>
      <c r="K205" s="17"/>
      <c r="L205" s="17"/>
      <c r="M205" s="15"/>
      <c r="N205" s="15"/>
      <c r="O205" s="15"/>
      <c r="P205" s="15"/>
      <c r="Q205" s="15"/>
      <c r="R205" s="15"/>
      <c r="S205" s="14"/>
      <c r="T205" s="14"/>
      <c r="U205" s="14" t="str">
        <f>IF(A205="","",IFERROR(IF(LEN(INDEX(Suppliers!$B$9:$B$508,MATCH(C205,Suppliers!$A$9:$A$508,0))&amp;"")=0,"",INDEX(Suppliers!$B$9:$B$508,MATCH(C205,Suppliers!$A$9:$A$508,0))),""))</f>
        <v/>
      </c>
      <c r="V205" s="14" t="str">
        <f>IF(A205="","",IFERROR(IF(LEN(INDEX(Suppliers!$E$9:$E$508,MATCH(D205,Suppliers!$D$9:$D$508,0))&amp;"")=0,"",INDEX(Suppliers!$E$9:$E$508,MATCH(D205,Suppliers!$D$9:$D$508,0))),""))</f>
        <v/>
      </c>
      <c r="W205" s="14" t="str">
        <f>IF(A205="","",IFERROR(IF(LEN(INDEX(Suppliers!$F$9:$F$508,MATCH(D205,Suppliers!$D$9:$D$508,0))&amp;"")=0,"",INDEX(Suppliers!$F$9:$F$508,MATCH(D205,Suppliers!$D$9:$D$508,0))),""))</f>
        <v/>
      </c>
      <c r="X205" s="14" t="str">
        <f>IF(A205="","",IFERROR(IF(LEN(INDEX(Suppliers!$G$9:$G$508,MATCH(D205,Suppliers!$D$9:$D$508,0))&amp;"")=0,"",INDEX(Suppliers!$G$9:$G$508,MATCH(D205,Suppliers!$D$9:$D$508,0))),""))</f>
        <v/>
      </c>
      <c r="Y205" s="14" t="str">
        <f>IF(A205="","",IFERROR(INDEX(Jobs!$C$9:$C$258,MATCH(B205,Jobs!$A$9:$A$258,0)),""))</f>
        <v/>
      </c>
      <c r="Z205" s="14" t="str">
        <f>IF(A205="","",IFERROR(INDEX(Jobs!$B$9:$B$258,MATCH(B205,Jobs!$A$9:$A$258,0)),""))</f>
        <v/>
      </c>
      <c r="AA205" s="16" t="str">
        <f>IF(A205="","",IFERROR(VLOOKUP(I205,Lists!$E$9:$F$14,2,FALSE),0))</f>
        <v/>
      </c>
      <c r="AB205" s="16" t="str">
        <f t="shared" si="36"/>
        <v/>
      </c>
      <c r="AC205" s="16" t="str">
        <f t="shared" si="37"/>
        <v/>
      </c>
      <c r="AD205" s="16" t="str">
        <f t="shared" si="38"/>
        <v/>
      </c>
      <c r="AE205" s="16" t="str">
        <f t="shared" si="39"/>
        <v/>
      </c>
      <c r="AF205" s="16" t="str">
        <f t="shared" si="40"/>
        <v/>
      </c>
      <c r="AG205" s="26" t="str">
        <f t="shared" si="41"/>
        <v/>
      </c>
      <c r="AH205" s="16" t="str">
        <f t="shared" si="42"/>
        <v/>
      </c>
      <c r="AI205" s="16" t="str">
        <f t="shared" si="43"/>
        <v/>
      </c>
      <c r="AJ205" s="16" t="str">
        <f t="shared" si="44"/>
        <v/>
      </c>
      <c r="AK205" s="14" t="str">
        <f>IF(AND(A205&lt;&gt;"",F205="Selected"),COUNTIF($F$9:F205,"Selected"),"")</f>
        <v/>
      </c>
      <c r="AL205" s="14" t="str">
        <f>IF(A205="","",COUNTIF($B$9:B205,B205))</f>
        <v/>
      </c>
      <c r="AM205" s="14" t="str">
        <f>IF(A205="","",IF(COUNTIF(Jobs!$A$9:$A$258,B205)&lt;&gt;1,"Check JobID",IF(COUNTIF(Suppliers!$D$9:$D$508,D205)&lt;&gt;1,"Check contact",IF(AA205&lt;=0,"Currency / FX missing",IF(NOT(ISNUMBER(G205)),"Original price missing",IF(G205&lt;0,"Invalid original price",IF(AND(H205&lt;&gt;"",NOT(ISNUMBER(H205))),"Invalid final price",IF(AND(ISNUMBER(H205),H205&lt;0),"Invalid final price",IF(AND(F205="Selected",COUNTIFS($B$9:$B$258,B205,$E$9:$E$258,E205,$F$9:$F$258,"Selected")&gt;1),"Selected scope overlap",IF(AND(ISNUMBER(H205),H205&gt;G205),"Price increased",IF(LEN(H205&amp;"")=0,"Final price pending","OK")))))))))))</f>
        <v/>
      </c>
      <c r="AN205" s="16" t="str">
        <f t="shared" si="45"/>
        <v/>
      </c>
      <c r="AO205" s="14" t="str">
        <f>IF(A205="","",IFERROR(IF(INDEX(Suppliers!$A$9:$A$508,MATCH(D205,Suppliers!$D$9:$D$508,0))=C205,"OK","Contact / supplier mismatch"),"Contact missing"))</f>
        <v/>
      </c>
      <c r="AP205" s="14" t="str">
        <f>IF(OR(A205="",IFERROR(INDEX(Jobs!$P$9:$P$258,MATCH(B205,Jobs!$A$9:$A$258,0)),"")=""),"",HYPERLINK("#'"&amp;IFERROR(INDEX(Jobs!$P$9:$P$258,MATCH(B205,Jobs!$A$9:$A$258,0)),"")&amp;"'!A1","OPEN JOB"))</f>
        <v/>
      </c>
      <c r="AQ205" s="14"/>
      <c r="AR205" s="14"/>
      <c r="AS205" t="str">
        <f t="shared" si="46"/>
        <v/>
      </c>
      <c r="AT205" t="str">
        <f t="shared" si="47"/>
        <v/>
      </c>
    </row>
    <row r="206" spans="1:46" ht="40" customHeight="1" x14ac:dyDescent="0.35">
      <c r="A206" s="18"/>
      <c r="B206" s="37"/>
      <c r="C206" s="18"/>
      <c r="D206" s="15"/>
      <c r="E206" s="15"/>
      <c r="F206" s="15"/>
      <c r="G206" s="24"/>
      <c r="H206" s="24"/>
      <c r="I206" s="15"/>
      <c r="J206" s="17"/>
      <c r="K206" s="17"/>
      <c r="L206" s="17"/>
      <c r="M206" s="15"/>
      <c r="N206" s="15"/>
      <c r="O206" s="15"/>
      <c r="P206" s="15"/>
      <c r="Q206" s="15"/>
      <c r="R206" s="15"/>
      <c r="S206" s="18"/>
      <c r="T206" s="18"/>
      <c r="U206" s="18" t="str">
        <f>IF(A206="","",IFERROR(IF(LEN(INDEX(Suppliers!$B$9:$B$508,MATCH(C206,Suppliers!$A$9:$A$508,0))&amp;"")=0,"",INDEX(Suppliers!$B$9:$B$508,MATCH(C206,Suppliers!$A$9:$A$508,0))),""))</f>
        <v/>
      </c>
      <c r="V206" s="18" t="str">
        <f>IF(A206="","",IFERROR(IF(LEN(INDEX(Suppliers!$E$9:$E$508,MATCH(D206,Suppliers!$D$9:$D$508,0))&amp;"")=0,"",INDEX(Suppliers!$E$9:$E$508,MATCH(D206,Suppliers!$D$9:$D$508,0))),""))</f>
        <v/>
      </c>
      <c r="W206" s="18" t="str">
        <f>IF(A206="","",IFERROR(IF(LEN(INDEX(Suppliers!$F$9:$F$508,MATCH(D206,Suppliers!$D$9:$D$508,0))&amp;"")=0,"",INDEX(Suppliers!$F$9:$F$508,MATCH(D206,Suppliers!$D$9:$D$508,0))),""))</f>
        <v/>
      </c>
      <c r="X206" s="18" t="str">
        <f>IF(A206="","",IFERROR(IF(LEN(INDEX(Suppliers!$G$9:$G$508,MATCH(D206,Suppliers!$D$9:$D$508,0))&amp;"")=0,"",INDEX(Suppliers!$G$9:$G$508,MATCH(D206,Suppliers!$D$9:$D$508,0))),""))</f>
        <v/>
      </c>
      <c r="Y206" s="18" t="str">
        <f>IF(A206="","",IFERROR(INDEX(Jobs!$C$9:$C$258,MATCH(B206,Jobs!$A$9:$A$258,0)),""))</f>
        <v/>
      </c>
      <c r="Z206" s="18" t="str">
        <f>IF(A206="","",IFERROR(INDEX(Jobs!$B$9:$B$258,MATCH(B206,Jobs!$A$9:$A$258,0)),""))</f>
        <v/>
      </c>
      <c r="AA206" s="19" t="str">
        <f>IF(A206="","",IFERROR(VLOOKUP(I206,Lists!$E$9:$F$14,2,FALSE),0))</f>
        <v/>
      </c>
      <c r="AB206" s="19" t="str">
        <f t="shared" si="36"/>
        <v/>
      </c>
      <c r="AC206" s="19" t="str">
        <f t="shared" si="37"/>
        <v/>
      </c>
      <c r="AD206" s="19" t="str">
        <f t="shared" si="38"/>
        <v/>
      </c>
      <c r="AE206" s="19" t="str">
        <f t="shared" si="39"/>
        <v/>
      </c>
      <c r="AF206" s="19" t="str">
        <f t="shared" si="40"/>
        <v/>
      </c>
      <c r="AG206" s="27" t="str">
        <f t="shared" si="41"/>
        <v/>
      </c>
      <c r="AH206" s="19" t="str">
        <f t="shared" si="42"/>
        <v/>
      </c>
      <c r="AI206" s="19" t="str">
        <f t="shared" si="43"/>
        <v/>
      </c>
      <c r="AJ206" s="19" t="str">
        <f t="shared" si="44"/>
        <v/>
      </c>
      <c r="AK206" s="18" t="str">
        <f>IF(AND(A206&lt;&gt;"",F206="Selected"),COUNTIF($F$9:F206,"Selected"),"")</f>
        <v/>
      </c>
      <c r="AL206" s="18" t="str">
        <f>IF(A206="","",COUNTIF($B$9:B206,B206))</f>
        <v/>
      </c>
      <c r="AM206" s="18" t="str">
        <f>IF(A206="","",IF(COUNTIF(Jobs!$A$9:$A$258,B206)&lt;&gt;1,"Check JobID",IF(COUNTIF(Suppliers!$D$9:$D$508,D206)&lt;&gt;1,"Check contact",IF(AA206&lt;=0,"Currency / FX missing",IF(NOT(ISNUMBER(G206)),"Original price missing",IF(G206&lt;0,"Invalid original price",IF(AND(H206&lt;&gt;"",NOT(ISNUMBER(H206))),"Invalid final price",IF(AND(ISNUMBER(H206),H206&lt;0),"Invalid final price",IF(AND(F206="Selected",COUNTIFS($B$9:$B$258,B206,$E$9:$E$258,E206,$F$9:$F$258,"Selected")&gt;1),"Selected scope overlap",IF(AND(ISNUMBER(H206),H206&gt;G206),"Price increased",IF(LEN(H206&amp;"")=0,"Final price pending","OK")))))))))))</f>
        <v/>
      </c>
      <c r="AN206" s="19" t="str">
        <f t="shared" si="45"/>
        <v/>
      </c>
      <c r="AO206" s="18" t="str">
        <f>IF(A206="","",IFERROR(IF(INDEX(Suppliers!$A$9:$A$508,MATCH(D206,Suppliers!$D$9:$D$508,0))=C206,"OK","Contact / supplier mismatch"),"Contact missing"))</f>
        <v/>
      </c>
      <c r="AP206" s="18" t="str">
        <f>IF(OR(A206="",IFERROR(INDEX(Jobs!$P$9:$P$258,MATCH(B206,Jobs!$A$9:$A$258,0)),"")=""),"",HYPERLINK("#'"&amp;IFERROR(INDEX(Jobs!$P$9:$P$258,MATCH(B206,Jobs!$A$9:$A$258,0)),"")&amp;"'!A1","OPEN JOB"))</f>
        <v/>
      </c>
      <c r="AQ206" s="18"/>
      <c r="AR206" s="18"/>
      <c r="AS206" t="str">
        <f t="shared" si="46"/>
        <v/>
      </c>
      <c r="AT206" t="str">
        <f t="shared" si="47"/>
        <v/>
      </c>
    </row>
    <row r="207" spans="1:46" ht="40" customHeight="1" x14ac:dyDescent="0.35">
      <c r="A207" s="14"/>
      <c r="B207" s="37"/>
      <c r="C207" s="14"/>
      <c r="D207" s="15"/>
      <c r="E207" s="15"/>
      <c r="F207" s="15"/>
      <c r="G207" s="24"/>
      <c r="H207" s="24"/>
      <c r="I207" s="15"/>
      <c r="J207" s="17"/>
      <c r="K207" s="17"/>
      <c r="L207" s="17"/>
      <c r="M207" s="15"/>
      <c r="N207" s="15"/>
      <c r="O207" s="15"/>
      <c r="P207" s="15"/>
      <c r="Q207" s="15"/>
      <c r="R207" s="15"/>
      <c r="S207" s="14"/>
      <c r="T207" s="14"/>
      <c r="U207" s="14" t="str">
        <f>IF(A207="","",IFERROR(IF(LEN(INDEX(Suppliers!$B$9:$B$508,MATCH(C207,Suppliers!$A$9:$A$508,0))&amp;"")=0,"",INDEX(Suppliers!$B$9:$B$508,MATCH(C207,Suppliers!$A$9:$A$508,0))),""))</f>
        <v/>
      </c>
      <c r="V207" s="14" t="str">
        <f>IF(A207="","",IFERROR(IF(LEN(INDEX(Suppliers!$E$9:$E$508,MATCH(D207,Suppliers!$D$9:$D$508,0))&amp;"")=0,"",INDEX(Suppliers!$E$9:$E$508,MATCH(D207,Suppliers!$D$9:$D$508,0))),""))</f>
        <v/>
      </c>
      <c r="W207" s="14" t="str">
        <f>IF(A207="","",IFERROR(IF(LEN(INDEX(Suppliers!$F$9:$F$508,MATCH(D207,Suppliers!$D$9:$D$508,0))&amp;"")=0,"",INDEX(Suppliers!$F$9:$F$508,MATCH(D207,Suppliers!$D$9:$D$508,0))),""))</f>
        <v/>
      </c>
      <c r="X207" s="14" t="str">
        <f>IF(A207="","",IFERROR(IF(LEN(INDEX(Suppliers!$G$9:$G$508,MATCH(D207,Suppliers!$D$9:$D$508,0))&amp;"")=0,"",INDEX(Suppliers!$G$9:$G$508,MATCH(D207,Suppliers!$D$9:$D$508,0))),""))</f>
        <v/>
      </c>
      <c r="Y207" s="14" t="str">
        <f>IF(A207="","",IFERROR(INDEX(Jobs!$C$9:$C$258,MATCH(B207,Jobs!$A$9:$A$258,0)),""))</f>
        <v/>
      </c>
      <c r="Z207" s="14" t="str">
        <f>IF(A207="","",IFERROR(INDEX(Jobs!$B$9:$B$258,MATCH(B207,Jobs!$A$9:$A$258,0)),""))</f>
        <v/>
      </c>
      <c r="AA207" s="16" t="str">
        <f>IF(A207="","",IFERROR(VLOOKUP(I207,Lists!$E$9:$F$14,2,FALSE),0))</f>
        <v/>
      </c>
      <c r="AB207" s="16" t="str">
        <f t="shared" si="36"/>
        <v/>
      </c>
      <c r="AC207" s="16" t="str">
        <f t="shared" si="37"/>
        <v/>
      </c>
      <c r="AD207" s="16" t="str">
        <f t="shared" si="38"/>
        <v/>
      </c>
      <c r="AE207" s="16" t="str">
        <f t="shared" si="39"/>
        <v/>
      </c>
      <c r="AF207" s="16" t="str">
        <f t="shared" si="40"/>
        <v/>
      </c>
      <c r="AG207" s="26" t="str">
        <f t="shared" si="41"/>
        <v/>
      </c>
      <c r="AH207" s="16" t="str">
        <f t="shared" si="42"/>
        <v/>
      </c>
      <c r="AI207" s="16" t="str">
        <f t="shared" si="43"/>
        <v/>
      </c>
      <c r="AJ207" s="16" t="str">
        <f t="shared" si="44"/>
        <v/>
      </c>
      <c r="AK207" s="14" t="str">
        <f>IF(AND(A207&lt;&gt;"",F207="Selected"),COUNTIF($F$9:F207,"Selected"),"")</f>
        <v/>
      </c>
      <c r="AL207" s="14" t="str">
        <f>IF(A207="","",COUNTIF($B$9:B207,B207))</f>
        <v/>
      </c>
      <c r="AM207" s="14" t="str">
        <f>IF(A207="","",IF(COUNTIF(Jobs!$A$9:$A$258,B207)&lt;&gt;1,"Check JobID",IF(COUNTIF(Suppliers!$D$9:$D$508,D207)&lt;&gt;1,"Check contact",IF(AA207&lt;=0,"Currency / FX missing",IF(NOT(ISNUMBER(G207)),"Original price missing",IF(G207&lt;0,"Invalid original price",IF(AND(H207&lt;&gt;"",NOT(ISNUMBER(H207))),"Invalid final price",IF(AND(ISNUMBER(H207),H207&lt;0),"Invalid final price",IF(AND(F207="Selected",COUNTIFS($B$9:$B$258,B207,$E$9:$E$258,E207,$F$9:$F$258,"Selected")&gt;1),"Selected scope overlap",IF(AND(ISNUMBER(H207),H207&gt;G207),"Price increased",IF(LEN(H207&amp;"")=0,"Final price pending","OK")))))))))))</f>
        <v/>
      </c>
      <c r="AN207" s="16" t="str">
        <f t="shared" si="45"/>
        <v/>
      </c>
      <c r="AO207" s="14" t="str">
        <f>IF(A207="","",IFERROR(IF(INDEX(Suppliers!$A$9:$A$508,MATCH(D207,Suppliers!$D$9:$D$508,0))=C207,"OK","Contact / supplier mismatch"),"Contact missing"))</f>
        <v/>
      </c>
      <c r="AP207" s="14" t="str">
        <f>IF(OR(A207="",IFERROR(INDEX(Jobs!$P$9:$P$258,MATCH(B207,Jobs!$A$9:$A$258,0)),"")=""),"",HYPERLINK("#'"&amp;IFERROR(INDEX(Jobs!$P$9:$P$258,MATCH(B207,Jobs!$A$9:$A$258,0)),"")&amp;"'!A1","OPEN JOB"))</f>
        <v/>
      </c>
      <c r="AQ207" s="14"/>
      <c r="AR207" s="14"/>
      <c r="AS207" t="str">
        <f t="shared" si="46"/>
        <v/>
      </c>
      <c r="AT207" t="str">
        <f t="shared" si="47"/>
        <v/>
      </c>
    </row>
    <row r="208" spans="1:46" ht="40" customHeight="1" x14ac:dyDescent="0.35">
      <c r="A208" s="18"/>
      <c r="B208" s="37"/>
      <c r="C208" s="18"/>
      <c r="D208" s="15"/>
      <c r="E208" s="15"/>
      <c r="F208" s="15"/>
      <c r="G208" s="24"/>
      <c r="H208" s="24"/>
      <c r="I208" s="15"/>
      <c r="J208" s="17"/>
      <c r="K208" s="17"/>
      <c r="L208" s="17"/>
      <c r="M208" s="15"/>
      <c r="N208" s="15"/>
      <c r="O208" s="15"/>
      <c r="P208" s="15"/>
      <c r="Q208" s="15"/>
      <c r="R208" s="15"/>
      <c r="S208" s="18"/>
      <c r="T208" s="18"/>
      <c r="U208" s="18" t="str">
        <f>IF(A208="","",IFERROR(IF(LEN(INDEX(Suppliers!$B$9:$B$508,MATCH(C208,Suppliers!$A$9:$A$508,0))&amp;"")=0,"",INDEX(Suppliers!$B$9:$B$508,MATCH(C208,Suppliers!$A$9:$A$508,0))),""))</f>
        <v/>
      </c>
      <c r="V208" s="18" t="str">
        <f>IF(A208="","",IFERROR(IF(LEN(INDEX(Suppliers!$E$9:$E$508,MATCH(D208,Suppliers!$D$9:$D$508,0))&amp;"")=0,"",INDEX(Suppliers!$E$9:$E$508,MATCH(D208,Suppliers!$D$9:$D$508,0))),""))</f>
        <v/>
      </c>
      <c r="W208" s="18" t="str">
        <f>IF(A208="","",IFERROR(IF(LEN(INDEX(Suppliers!$F$9:$F$508,MATCH(D208,Suppliers!$D$9:$D$508,0))&amp;"")=0,"",INDEX(Suppliers!$F$9:$F$508,MATCH(D208,Suppliers!$D$9:$D$508,0))),""))</f>
        <v/>
      </c>
      <c r="X208" s="18" t="str">
        <f>IF(A208="","",IFERROR(IF(LEN(INDEX(Suppliers!$G$9:$G$508,MATCH(D208,Suppliers!$D$9:$D$508,0))&amp;"")=0,"",INDEX(Suppliers!$G$9:$G$508,MATCH(D208,Suppliers!$D$9:$D$508,0))),""))</f>
        <v/>
      </c>
      <c r="Y208" s="18" t="str">
        <f>IF(A208="","",IFERROR(INDEX(Jobs!$C$9:$C$258,MATCH(B208,Jobs!$A$9:$A$258,0)),""))</f>
        <v/>
      </c>
      <c r="Z208" s="18" t="str">
        <f>IF(A208="","",IFERROR(INDEX(Jobs!$B$9:$B$258,MATCH(B208,Jobs!$A$9:$A$258,0)),""))</f>
        <v/>
      </c>
      <c r="AA208" s="19" t="str">
        <f>IF(A208="","",IFERROR(VLOOKUP(I208,Lists!$E$9:$F$14,2,FALSE),0))</f>
        <v/>
      </c>
      <c r="AB208" s="19" t="str">
        <f t="shared" si="36"/>
        <v/>
      </c>
      <c r="AC208" s="19" t="str">
        <f t="shared" si="37"/>
        <v/>
      </c>
      <c r="AD208" s="19" t="str">
        <f t="shared" si="38"/>
        <v/>
      </c>
      <c r="AE208" s="19" t="str">
        <f t="shared" si="39"/>
        <v/>
      </c>
      <c r="AF208" s="19" t="str">
        <f t="shared" si="40"/>
        <v/>
      </c>
      <c r="AG208" s="27" t="str">
        <f t="shared" si="41"/>
        <v/>
      </c>
      <c r="AH208" s="19" t="str">
        <f t="shared" si="42"/>
        <v/>
      </c>
      <c r="AI208" s="19" t="str">
        <f t="shared" si="43"/>
        <v/>
      </c>
      <c r="AJ208" s="19" t="str">
        <f t="shared" si="44"/>
        <v/>
      </c>
      <c r="AK208" s="18" t="str">
        <f>IF(AND(A208&lt;&gt;"",F208="Selected"),COUNTIF($F$9:F208,"Selected"),"")</f>
        <v/>
      </c>
      <c r="AL208" s="18" t="str">
        <f>IF(A208="","",COUNTIF($B$9:B208,B208))</f>
        <v/>
      </c>
      <c r="AM208" s="18" t="str">
        <f>IF(A208="","",IF(COUNTIF(Jobs!$A$9:$A$258,B208)&lt;&gt;1,"Check JobID",IF(COUNTIF(Suppliers!$D$9:$D$508,D208)&lt;&gt;1,"Check contact",IF(AA208&lt;=0,"Currency / FX missing",IF(NOT(ISNUMBER(G208)),"Original price missing",IF(G208&lt;0,"Invalid original price",IF(AND(H208&lt;&gt;"",NOT(ISNUMBER(H208))),"Invalid final price",IF(AND(ISNUMBER(H208),H208&lt;0),"Invalid final price",IF(AND(F208="Selected",COUNTIFS($B$9:$B$258,B208,$E$9:$E$258,E208,$F$9:$F$258,"Selected")&gt;1),"Selected scope overlap",IF(AND(ISNUMBER(H208),H208&gt;G208),"Price increased",IF(LEN(H208&amp;"")=0,"Final price pending","OK")))))))))))</f>
        <v/>
      </c>
      <c r="AN208" s="19" t="str">
        <f t="shared" si="45"/>
        <v/>
      </c>
      <c r="AO208" s="18" t="str">
        <f>IF(A208="","",IFERROR(IF(INDEX(Suppliers!$A$9:$A$508,MATCH(D208,Suppliers!$D$9:$D$508,0))=C208,"OK","Contact / supplier mismatch"),"Contact missing"))</f>
        <v/>
      </c>
      <c r="AP208" s="18" t="str">
        <f>IF(OR(A208="",IFERROR(INDEX(Jobs!$P$9:$P$258,MATCH(B208,Jobs!$A$9:$A$258,0)),"")=""),"",HYPERLINK("#'"&amp;IFERROR(INDEX(Jobs!$P$9:$P$258,MATCH(B208,Jobs!$A$9:$A$258,0)),"")&amp;"'!A1","OPEN JOB"))</f>
        <v/>
      </c>
      <c r="AQ208" s="18"/>
      <c r="AR208" s="18"/>
      <c r="AS208" t="str">
        <f t="shared" si="46"/>
        <v/>
      </c>
      <c r="AT208" t="str">
        <f t="shared" si="47"/>
        <v/>
      </c>
    </row>
    <row r="209" spans="1:46" ht="40" customHeight="1" x14ac:dyDescent="0.35">
      <c r="A209" s="14"/>
      <c r="B209" s="37"/>
      <c r="C209" s="14"/>
      <c r="D209" s="15"/>
      <c r="E209" s="15"/>
      <c r="F209" s="15"/>
      <c r="G209" s="24"/>
      <c r="H209" s="24"/>
      <c r="I209" s="15"/>
      <c r="J209" s="17"/>
      <c r="K209" s="17"/>
      <c r="L209" s="17"/>
      <c r="M209" s="15"/>
      <c r="N209" s="15"/>
      <c r="O209" s="15"/>
      <c r="P209" s="15"/>
      <c r="Q209" s="15"/>
      <c r="R209" s="15"/>
      <c r="S209" s="14"/>
      <c r="T209" s="14"/>
      <c r="U209" s="14" t="str">
        <f>IF(A209="","",IFERROR(IF(LEN(INDEX(Suppliers!$B$9:$B$508,MATCH(C209,Suppliers!$A$9:$A$508,0))&amp;"")=0,"",INDEX(Suppliers!$B$9:$B$508,MATCH(C209,Suppliers!$A$9:$A$508,0))),""))</f>
        <v/>
      </c>
      <c r="V209" s="14" t="str">
        <f>IF(A209="","",IFERROR(IF(LEN(INDEX(Suppliers!$E$9:$E$508,MATCH(D209,Suppliers!$D$9:$D$508,0))&amp;"")=0,"",INDEX(Suppliers!$E$9:$E$508,MATCH(D209,Suppliers!$D$9:$D$508,0))),""))</f>
        <v/>
      </c>
      <c r="W209" s="14" t="str">
        <f>IF(A209="","",IFERROR(IF(LEN(INDEX(Suppliers!$F$9:$F$508,MATCH(D209,Suppliers!$D$9:$D$508,0))&amp;"")=0,"",INDEX(Suppliers!$F$9:$F$508,MATCH(D209,Suppliers!$D$9:$D$508,0))),""))</f>
        <v/>
      </c>
      <c r="X209" s="14" t="str">
        <f>IF(A209="","",IFERROR(IF(LEN(INDEX(Suppliers!$G$9:$G$508,MATCH(D209,Suppliers!$D$9:$D$508,0))&amp;"")=0,"",INDEX(Suppliers!$G$9:$G$508,MATCH(D209,Suppliers!$D$9:$D$508,0))),""))</f>
        <v/>
      </c>
      <c r="Y209" s="14" t="str">
        <f>IF(A209="","",IFERROR(INDEX(Jobs!$C$9:$C$258,MATCH(B209,Jobs!$A$9:$A$258,0)),""))</f>
        <v/>
      </c>
      <c r="Z209" s="14" t="str">
        <f>IF(A209="","",IFERROR(INDEX(Jobs!$B$9:$B$258,MATCH(B209,Jobs!$A$9:$A$258,0)),""))</f>
        <v/>
      </c>
      <c r="AA209" s="16" t="str">
        <f>IF(A209="","",IFERROR(VLOOKUP(I209,Lists!$E$9:$F$14,2,FALSE),0))</f>
        <v/>
      </c>
      <c r="AB209" s="16" t="str">
        <f t="shared" si="36"/>
        <v/>
      </c>
      <c r="AC209" s="16" t="str">
        <f t="shared" si="37"/>
        <v/>
      </c>
      <c r="AD209" s="16" t="str">
        <f t="shared" si="38"/>
        <v/>
      </c>
      <c r="AE209" s="16" t="str">
        <f t="shared" si="39"/>
        <v/>
      </c>
      <c r="AF209" s="16" t="str">
        <f t="shared" si="40"/>
        <v/>
      </c>
      <c r="AG209" s="26" t="str">
        <f t="shared" si="41"/>
        <v/>
      </c>
      <c r="AH209" s="16" t="str">
        <f t="shared" si="42"/>
        <v/>
      </c>
      <c r="AI209" s="16" t="str">
        <f t="shared" si="43"/>
        <v/>
      </c>
      <c r="AJ209" s="16" t="str">
        <f t="shared" si="44"/>
        <v/>
      </c>
      <c r="AK209" s="14" t="str">
        <f>IF(AND(A209&lt;&gt;"",F209="Selected"),COUNTIF($F$9:F209,"Selected"),"")</f>
        <v/>
      </c>
      <c r="AL209" s="14" t="str">
        <f>IF(A209="","",COUNTIF($B$9:B209,B209))</f>
        <v/>
      </c>
      <c r="AM209" s="14" t="str">
        <f>IF(A209="","",IF(COUNTIF(Jobs!$A$9:$A$258,B209)&lt;&gt;1,"Check JobID",IF(COUNTIF(Suppliers!$D$9:$D$508,D209)&lt;&gt;1,"Check contact",IF(AA209&lt;=0,"Currency / FX missing",IF(NOT(ISNUMBER(G209)),"Original price missing",IF(G209&lt;0,"Invalid original price",IF(AND(H209&lt;&gt;"",NOT(ISNUMBER(H209))),"Invalid final price",IF(AND(ISNUMBER(H209),H209&lt;0),"Invalid final price",IF(AND(F209="Selected",COUNTIFS($B$9:$B$258,B209,$E$9:$E$258,E209,$F$9:$F$258,"Selected")&gt;1),"Selected scope overlap",IF(AND(ISNUMBER(H209),H209&gt;G209),"Price increased",IF(LEN(H209&amp;"")=0,"Final price pending","OK")))))))))))</f>
        <v/>
      </c>
      <c r="AN209" s="16" t="str">
        <f t="shared" si="45"/>
        <v/>
      </c>
      <c r="AO209" s="14" t="str">
        <f>IF(A209="","",IFERROR(IF(INDEX(Suppliers!$A$9:$A$508,MATCH(D209,Suppliers!$D$9:$D$508,0))=C209,"OK","Contact / supplier mismatch"),"Contact missing"))</f>
        <v/>
      </c>
      <c r="AP209" s="14" t="str">
        <f>IF(OR(A209="",IFERROR(INDEX(Jobs!$P$9:$P$258,MATCH(B209,Jobs!$A$9:$A$258,0)),"")=""),"",HYPERLINK("#'"&amp;IFERROR(INDEX(Jobs!$P$9:$P$258,MATCH(B209,Jobs!$A$9:$A$258,0)),"")&amp;"'!A1","OPEN JOB"))</f>
        <v/>
      </c>
      <c r="AQ209" s="14"/>
      <c r="AR209" s="14"/>
      <c r="AS209" t="str">
        <f t="shared" si="46"/>
        <v/>
      </c>
      <c r="AT209" t="str">
        <f t="shared" si="47"/>
        <v/>
      </c>
    </row>
    <row r="210" spans="1:46" ht="40" customHeight="1" x14ac:dyDescent="0.35">
      <c r="A210" s="18"/>
      <c r="B210" s="37"/>
      <c r="C210" s="18"/>
      <c r="D210" s="15"/>
      <c r="E210" s="15"/>
      <c r="F210" s="15"/>
      <c r="G210" s="24"/>
      <c r="H210" s="24"/>
      <c r="I210" s="15"/>
      <c r="J210" s="17"/>
      <c r="K210" s="17"/>
      <c r="L210" s="17"/>
      <c r="M210" s="15"/>
      <c r="N210" s="15"/>
      <c r="O210" s="15"/>
      <c r="P210" s="15"/>
      <c r="Q210" s="15"/>
      <c r="R210" s="15"/>
      <c r="S210" s="18"/>
      <c r="T210" s="18"/>
      <c r="U210" s="18" t="str">
        <f>IF(A210="","",IFERROR(IF(LEN(INDEX(Suppliers!$B$9:$B$508,MATCH(C210,Suppliers!$A$9:$A$508,0))&amp;"")=0,"",INDEX(Suppliers!$B$9:$B$508,MATCH(C210,Suppliers!$A$9:$A$508,0))),""))</f>
        <v/>
      </c>
      <c r="V210" s="18" t="str">
        <f>IF(A210="","",IFERROR(IF(LEN(INDEX(Suppliers!$E$9:$E$508,MATCH(D210,Suppliers!$D$9:$D$508,0))&amp;"")=0,"",INDEX(Suppliers!$E$9:$E$508,MATCH(D210,Suppliers!$D$9:$D$508,0))),""))</f>
        <v/>
      </c>
      <c r="W210" s="18" t="str">
        <f>IF(A210="","",IFERROR(IF(LEN(INDEX(Suppliers!$F$9:$F$508,MATCH(D210,Suppliers!$D$9:$D$508,0))&amp;"")=0,"",INDEX(Suppliers!$F$9:$F$508,MATCH(D210,Suppliers!$D$9:$D$508,0))),""))</f>
        <v/>
      </c>
      <c r="X210" s="18" t="str">
        <f>IF(A210="","",IFERROR(IF(LEN(INDEX(Suppliers!$G$9:$G$508,MATCH(D210,Suppliers!$D$9:$D$508,0))&amp;"")=0,"",INDEX(Suppliers!$G$9:$G$508,MATCH(D210,Suppliers!$D$9:$D$508,0))),""))</f>
        <v/>
      </c>
      <c r="Y210" s="18" t="str">
        <f>IF(A210="","",IFERROR(INDEX(Jobs!$C$9:$C$258,MATCH(B210,Jobs!$A$9:$A$258,0)),""))</f>
        <v/>
      </c>
      <c r="Z210" s="18" t="str">
        <f>IF(A210="","",IFERROR(INDEX(Jobs!$B$9:$B$258,MATCH(B210,Jobs!$A$9:$A$258,0)),""))</f>
        <v/>
      </c>
      <c r="AA210" s="19" t="str">
        <f>IF(A210="","",IFERROR(VLOOKUP(I210,Lists!$E$9:$F$14,2,FALSE),0))</f>
        <v/>
      </c>
      <c r="AB210" s="19" t="str">
        <f t="shared" si="36"/>
        <v/>
      </c>
      <c r="AC210" s="19" t="str">
        <f t="shared" si="37"/>
        <v/>
      </c>
      <c r="AD210" s="19" t="str">
        <f t="shared" si="38"/>
        <v/>
      </c>
      <c r="AE210" s="19" t="str">
        <f t="shared" si="39"/>
        <v/>
      </c>
      <c r="AF210" s="19" t="str">
        <f t="shared" si="40"/>
        <v/>
      </c>
      <c r="AG210" s="27" t="str">
        <f t="shared" si="41"/>
        <v/>
      </c>
      <c r="AH210" s="19" t="str">
        <f t="shared" si="42"/>
        <v/>
      </c>
      <c r="AI210" s="19" t="str">
        <f t="shared" si="43"/>
        <v/>
      </c>
      <c r="AJ210" s="19" t="str">
        <f t="shared" si="44"/>
        <v/>
      </c>
      <c r="AK210" s="18" t="str">
        <f>IF(AND(A210&lt;&gt;"",F210="Selected"),COUNTIF($F$9:F210,"Selected"),"")</f>
        <v/>
      </c>
      <c r="AL210" s="18" t="str">
        <f>IF(A210="","",COUNTIF($B$9:B210,B210))</f>
        <v/>
      </c>
      <c r="AM210" s="18" t="str">
        <f>IF(A210="","",IF(COUNTIF(Jobs!$A$9:$A$258,B210)&lt;&gt;1,"Check JobID",IF(COUNTIF(Suppliers!$D$9:$D$508,D210)&lt;&gt;1,"Check contact",IF(AA210&lt;=0,"Currency / FX missing",IF(NOT(ISNUMBER(G210)),"Original price missing",IF(G210&lt;0,"Invalid original price",IF(AND(H210&lt;&gt;"",NOT(ISNUMBER(H210))),"Invalid final price",IF(AND(ISNUMBER(H210),H210&lt;0),"Invalid final price",IF(AND(F210="Selected",COUNTIFS($B$9:$B$258,B210,$E$9:$E$258,E210,$F$9:$F$258,"Selected")&gt;1),"Selected scope overlap",IF(AND(ISNUMBER(H210),H210&gt;G210),"Price increased",IF(LEN(H210&amp;"")=0,"Final price pending","OK")))))))))))</f>
        <v/>
      </c>
      <c r="AN210" s="19" t="str">
        <f t="shared" si="45"/>
        <v/>
      </c>
      <c r="AO210" s="18" t="str">
        <f>IF(A210="","",IFERROR(IF(INDEX(Suppliers!$A$9:$A$508,MATCH(D210,Suppliers!$D$9:$D$508,0))=C210,"OK","Contact / supplier mismatch"),"Contact missing"))</f>
        <v/>
      </c>
      <c r="AP210" s="18" t="str">
        <f>IF(OR(A210="",IFERROR(INDEX(Jobs!$P$9:$P$258,MATCH(B210,Jobs!$A$9:$A$258,0)),"")=""),"",HYPERLINK("#'"&amp;IFERROR(INDEX(Jobs!$P$9:$P$258,MATCH(B210,Jobs!$A$9:$A$258,0)),"")&amp;"'!A1","OPEN JOB"))</f>
        <v/>
      </c>
      <c r="AQ210" s="18"/>
      <c r="AR210" s="18"/>
      <c r="AS210" t="str">
        <f t="shared" si="46"/>
        <v/>
      </c>
      <c r="AT210" t="str">
        <f t="shared" si="47"/>
        <v/>
      </c>
    </row>
    <row r="211" spans="1:46" ht="40" customHeight="1" x14ac:dyDescent="0.35">
      <c r="A211" s="14"/>
      <c r="B211" s="37"/>
      <c r="C211" s="14"/>
      <c r="D211" s="15"/>
      <c r="E211" s="15"/>
      <c r="F211" s="15"/>
      <c r="G211" s="24"/>
      <c r="H211" s="24"/>
      <c r="I211" s="15"/>
      <c r="J211" s="17"/>
      <c r="K211" s="17"/>
      <c r="L211" s="17"/>
      <c r="M211" s="15"/>
      <c r="N211" s="15"/>
      <c r="O211" s="15"/>
      <c r="P211" s="15"/>
      <c r="Q211" s="15"/>
      <c r="R211" s="15"/>
      <c r="S211" s="14"/>
      <c r="T211" s="14"/>
      <c r="U211" s="14" t="str">
        <f>IF(A211="","",IFERROR(IF(LEN(INDEX(Suppliers!$B$9:$B$508,MATCH(C211,Suppliers!$A$9:$A$508,0))&amp;"")=0,"",INDEX(Suppliers!$B$9:$B$508,MATCH(C211,Suppliers!$A$9:$A$508,0))),""))</f>
        <v/>
      </c>
      <c r="V211" s="14" t="str">
        <f>IF(A211="","",IFERROR(IF(LEN(INDEX(Suppliers!$E$9:$E$508,MATCH(D211,Suppliers!$D$9:$D$508,0))&amp;"")=0,"",INDEX(Suppliers!$E$9:$E$508,MATCH(D211,Suppliers!$D$9:$D$508,0))),""))</f>
        <v/>
      </c>
      <c r="W211" s="14" t="str">
        <f>IF(A211="","",IFERROR(IF(LEN(INDEX(Suppliers!$F$9:$F$508,MATCH(D211,Suppliers!$D$9:$D$508,0))&amp;"")=0,"",INDEX(Suppliers!$F$9:$F$508,MATCH(D211,Suppliers!$D$9:$D$508,0))),""))</f>
        <v/>
      </c>
      <c r="X211" s="14" t="str">
        <f>IF(A211="","",IFERROR(IF(LEN(INDEX(Suppliers!$G$9:$G$508,MATCH(D211,Suppliers!$D$9:$D$508,0))&amp;"")=0,"",INDEX(Suppliers!$G$9:$G$508,MATCH(D211,Suppliers!$D$9:$D$508,0))),""))</f>
        <v/>
      </c>
      <c r="Y211" s="14" t="str">
        <f>IF(A211="","",IFERROR(INDEX(Jobs!$C$9:$C$258,MATCH(B211,Jobs!$A$9:$A$258,0)),""))</f>
        <v/>
      </c>
      <c r="Z211" s="14" t="str">
        <f>IF(A211="","",IFERROR(INDEX(Jobs!$B$9:$B$258,MATCH(B211,Jobs!$A$9:$A$258,0)),""))</f>
        <v/>
      </c>
      <c r="AA211" s="16" t="str">
        <f>IF(A211="","",IFERROR(VLOOKUP(I211,Lists!$E$9:$F$14,2,FALSE),0))</f>
        <v/>
      </c>
      <c r="AB211" s="16" t="str">
        <f t="shared" si="36"/>
        <v/>
      </c>
      <c r="AC211" s="16" t="str">
        <f t="shared" si="37"/>
        <v/>
      </c>
      <c r="AD211" s="16" t="str">
        <f t="shared" si="38"/>
        <v/>
      </c>
      <c r="AE211" s="16" t="str">
        <f t="shared" si="39"/>
        <v/>
      </c>
      <c r="AF211" s="16" t="str">
        <f t="shared" si="40"/>
        <v/>
      </c>
      <c r="AG211" s="26" t="str">
        <f t="shared" si="41"/>
        <v/>
      </c>
      <c r="AH211" s="16" t="str">
        <f t="shared" si="42"/>
        <v/>
      </c>
      <c r="AI211" s="16" t="str">
        <f t="shared" si="43"/>
        <v/>
      </c>
      <c r="AJ211" s="16" t="str">
        <f t="shared" si="44"/>
        <v/>
      </c>
      <c r="AK211" s="14" t="str">
        <f>IF(AND(A211&lt;&gt;"",F211="Selected"),COUNTIF($F$9:F211,"Selected"),"")</f>
        <v/>
      </c>
      <c r="AL211" s="14" t="str">
        <f>IF(A211="","",COUNTIF($B$9:B211,B211))</f>
        <v/>
      </c>
      <c r="AM211" s="14" t="str">
        <f>IF(A211="","",IF(COUNTIF(Jobs!$A$9:$A$258,B211)&lt;&gt;1,"Check JobID",IF(COUNTIF(Suppliers!$D$9:$D$508,D211)&lt;&gt;1,"Check contact",IF(AA211&lt;=0,"Currency / FX missing",IF(NOT(ISNUMBER(G211)),"Original price missing",IF(G211&lt;0,"Invalid original price",IF(AND(H211&lt;&gt;"",NOT(ISNUMBER(H211))),"Invalid final price",IF(AND(ISNUMBER(H211),H211&lt;0),"Invalid final price",IF(AND(F211="Selected",COUNTIFS($B$9:$B$258,B211,$E$9:$E$258,E211,$F$9:$F$258,"Selected")&gt;1),"Selected scope overlap",IF(AND(ISNUMBER(H211),H211&gt;G211),"Price increased",IF(LEN(H211&amp;"")=0,"Final price pending","OK")))))))))))</f>
        <v/>
      </c>
      <c r="AN211" s="16" t="str">
        <f t="shared" si="45"/>
        <v/>
      </c>
      <c r="AO211" s="14" t="str">
        <f>IF(A211="","",IFERROR(IF(INDEX(Suppliers!$A$9:$A$508,MATCH(D211,Suppliers!$D$9:$D$508,0))=C211,"OK","Contact / supplier mismatch"),"Contact missing"))</f>
        <v/>
      </c>
      <c r="AP211" s="14" t="str">
        <f>IF(OR(A211="",IFERROR(INDEX(Jobs!$P$9:$P$258,MATCH(B211,Jobs!$A$9:$A$258,0)),"")=""),"",HYPERLINK("#'"&amp;IFERROR(INDEX(Jobs!$P$9:$P$258,MATCH(B211,Jobs!$A$9:$A$258,0)),"")&amp;"'!A1","OPEN JOB"))</f>
        <v/>
      </c>
      <c r="AQ211" s="14"/>
      <c r="AR211" s="14"/>
      <c r="AS211" t="str">
        <f t="shared" si="46"/>
        <v/>
      </c>
      <c r="AT211" t="str">
        <f t="shared" si="47"/>
        <v/>
      </c>
    </row>
    <row r="212" spans="1:46" ht="40" customHeight="1" x14ac:dyDescent="0.35">
      <c r="A212" s="18"/>
      <c r="B212" s="37"/>
      <c r="C212" s="18"/>
      <c r="D212" s="15"/>
      <c r="E212" s="15"/>
      <c r="F212" s="15"/>
      <c r="G212" s="24"/>
      <c r="H212" s="24"/>
      <c r="I212" s="15"/>
      <c r="J212" s="17"/>
      <c r="K212" s="17"/>
      <c r="L212" s="17"/>
      <c r="M212" s="15"/>
      <c r="N212" s="15"/>
      <c r="O212" s="15"/>
      <c r="P212" s="15"/>
      <c r="Q212" s="15"/>
      <c r="R212" s="15"/>
      <c r="S212" s="18"/>
      <c r="T212" s="18"/>
      <c r="U212" s="18" t="str">
        <f>IF(A212="","",IFERROR(IF(LEN(INDEX(Suppliers!$B$9:$B$508,MATCH(C212,Suppliers!$A$9:$A$508,0))&amp;"")=0,"",INDEX(Suppliers!$B$9:$B$508,MATCH(C212,Suppliers!$A$9:$A$508,0))),""))</f>
        <v/>
      </c>
      <c r="V212" s="18" t="str">
        <f>IF(A212="","",IFERROR(IF(LEN(INDEX(Suppliers!$E$9:$E$508,MATCH(D212,Suppliers!$D$9:$D$508,0))&amp;"")=0,"",INDEX(Suppliers!$E$9:$E$508,MATCH(D212,Suppliers!$D$9:$D$508,0))),""))</f>
        <v/>
      </c>
      <c r="W212" s="18" t="str">
        <f>IF(A212="","",IFERROR(IF(LEN(INDEX(Suppliers!$F$9:$F$508,MATCH(D212,Suppliers!$D$9:$D$508,0))&amp;"")=0,"",INDEX(Suppliers!$F$9:$F$508,MATCH(D212,Suppliers!$D$9:$D$508,0))),""))</f>
        <v/>
      </c>
      <c r="X212" s="18" t="str">
        <f>IF(A212="","",IFERROR(IF(LEN(INDEX(Suppliers!$G$9:$G$508,MATCH(D212,Suppliers!$D$9:$D$508,0))&amp;"")=0,"",INDEX(Suppliers!$G$9:$G$508,MATCH(D212,Suppliers!$D$9:$D$508,0))),""))</f>
        <v/>
      </c>
      <c r="Y212" s="18" t="str">
        <f>IF(A212="","",IFERROR(INDEX(Jobs!$C$9:$C$258,MATCH(B212,Jobs!$A$9:$A$258,0)),""))</f>
        <v/>
      </c>
      <c r="Z212" s="18" t="str">
        <f>IF(A212="","",IFERROR(INDEX(Jobs!$B$9:$B$258,MATCH(B212,Jobs!$A$9:$A$258,0)),""))</f>
        <v/>
      </c>
      <c r="AA212" s="19" t="str">
        <f>IF(A212="","",IFERROR(VLOOKUP(I212,Lists!$E$9:$F$14,2,FALSE),0))</f>
        <v/>
      </c>
      <c r="AB212" s="19" t="str">
        <f t="shared" si="36"/>
        <v/>
      </c>
      <c r="AC212" s="19" t="str">
        <f t="shared" si="37"/>
        <v/>
      </c>
      <c r="AD212" s="19" t="str">
        <f t="shared" si="38"/>
        <v/>
      </c>
      <c r="AE212" s="19" t="str">
        <f t="shared" si="39"/>
        <v/>
      </c>
      <c r="AF212" s="19" t="str">
        <f t="shared" si="40"/>
        <v/>
      </c>
      <c r="AG212" s="27" t="str">
        <f t="shared" si="41"/>
        <v/>
      </c>
      <c r="AH212" s="19" t="str">
        <f t="shared" si="42"/>
        <v/>
      </c>
      <c r="AI212" s="19" t="str">
        <f t="shared" si="43"/>
        <v/>
      </c>
      <c r="AJ212" s="19" t="str">
        <f t="shared" si="44"/>
        <v/>
      </c>
      <c r="AK212" s="18" t="str">
        <f>IF(AND(A212&lt;&gt;"",F212="Selected"),COUNTIF($F$9:F212,"Selected"),"")</f>
        <v/>
      </c>
      <c r="AL212" s="18" t="str">
        <f>IF(A212="","",COUNTIF($B$9:B212,B212))</f>
        <v/>
      </c>
      <c r="AM212" s="18" t="str">
        <f>IF(A212="","",IF(COUNTIF(Jobs!$A$9:$A$258,B212)&lt;&gt;1,"Check JobID",IF(COUNTIF(Suppliers!$D$9:$D$508,D212)&lt;&gt;1,"Check contact",IF(AA212&lt;=0,"Currency / FX missing",IF(NOT(ISNUMBER(G212)),"Original price missing",IF(G212&lt;0,"Invalid original price",IF(AND(H212&lt;&gt;"",NOT(ISNUMBER(H212))),"Invalid final price",IF(AND(ISNUMBER(H212),H212&lt;0),"Invalid final price",IF(AND(F212="Selected",COUNTIFS($B$9:$B$258,B212,$E$9:$E$258,E212,$F$9:$F$258,"Selected")&gt;1),"Selected scope overlap",IF(AND(ISNUMBER(H212),H212&gt;G212),"Price increased",IF(LEN(H212&amp;"")=0,"Final price pending","OK")))))))))))</f>
        <v/>
      </c>
      <c r="AN212" s="19" t="str">
        <f t="shared" si="45"/>
        <v/>
      </c>
      <c r="AO212" s="18" t="str">
        <f>IF(A212="","",IFERROR(IF(INDEX(Suppliers!$A$9:$A$508,MATCH(D212,Suppliers!$D$9:$D$508,0))=C212,"OK","Contact / supplier mismatch"),"Contact missing"))</f>
        <v/>
      </c>
      <c r="AP212" s="18" t="str">
        <f>IF(OR(A212="",IFERROR(INDEX(Jobs!$P$9:$P$258,MATCH(B212,Jobs!$A$9:$A$258,0)),"")=""),"",HYPERLINK("#'"&amp;IFERROR(INDEX(Jobs!$P$9:$P$258,MATCH(B212,Jobs!$A$9:$A$258,0)),"")&amp;"'!A1","OPEN JOB"))</f>
        <v/>
      </c>
      <c r="AQ212" s="18"/>
      <c r="AR212" s="18"/>
      <c r="AS212" t="str">
        <f t="shared" si="46"/>
        <v/>
      </c>
      <c r="AT212" t="str">
        <f t="shared" si="47"/>
        <v/>
      </c>
    </row>
    <row r="213" spans="1:46" ht="40" customHeight="1" x14ac:dyDescent="0.35">
      <c r="A213" s="14"/>
      <c r="B213" s="37"/>
      <c r="C213" s="14"/>
      <c r="D213" s="15"/>
      <c r="E213" s="15"/>
      <c r="F213" s="15"/>
      <c r="G213" s="24"/>
      <c r="H213" s="24"/>
      <c r="I213" s="15"/>
      <c r="J213" s="17"/>
      <c r="K213" s="17"/>
      <c r="L213" s="17"/>
      <c r="M213" s="15"/>
      <c r="N213" s="15"/>
      <c r="O213" s="15"/>
      <c r="P213" s="15"/>
      <c r="Q213" s="15"/>
      <c r="R213" s="15"/>
      <c r="S213" s="14"/>
      <c r="T213" s="14"/>
      <c r="U213" s="14" t="str">
        <f>IF(A213="","",IFERROR(IF(LEN(INDEX(Suppliers!$B$9:$B$508,MATCH(C213,Suppliers!$A$9:$A$508,0))&amp;"")=0,"",INDEX(Suppliers!$B$9:$B$508,MATCH(C213,Suppliers!$A$9:$A$508,0))),""))</f>
        <v/>
      </c>
      <c r="V213" s="14" t="str">
        <f>IF(A213="","",IFERROR(IF(LEN(INDEX(Suppliers!$E$9:$E$508,MATCH(D213,Suppliers!$D$9:$D$508,0))&amp;"")=0,"",INDEX(Suppliers!$E$9:$E$508,MATCH(D213,Suppliers!$D$9:$D$508,0))),""))</f>
        <v/>
      </c>
      <c r="W213" s="14" t="str">
        <f>IF(A213="","",IFERROR(IF(LEN(INDEX(Suppliers!$F$9:$F$508,MATCH(D213,Suppliers!$D$9:$D$508,0))&amp;"")=0,"",INDEX(Suppliers!$F$9:$F$508,MATCH(D213,Suppliers!$D$9:$D$508,0))),""))</f>
        <v/>
      </c>
      <c r="X213" s="14" t="str">
        <f>IF(A213="","",IFERROR(IF(LEN(INDEX(Suppliers!$G$9:$G$508,MATCH(D213,Suppliers!$D$9:$D$508,0))&amp;"")=0,"",INDEX(Suppliers!$G$9:$G$508,MATCH(D213,Suppliers!$D$9:$D$508,0))),""))</f>
        <v/>
      </c>
      <c r="Y213" s="14" t="str">
        <f>IF(A213="","",IFERROR(INDEX(Jobs!$C$9:$C$258,MATCH(B213,Jobs!$A$9:$A$258,0)),""))</f>
        <v/>
      </c>
      <c r="Z213" s="14" t="str">
        <f>IF(A213="","",IFERROR(INDEX(Jobs!$B$9:$B$258,MATCH(B213,Jobs!$A$9:$A$258,0)),""))</f>
        <v/>
      </c>
      <c r="AA213" s="16" t="str">
        <f>IF(A213="","",IFERROR(VLOOKUP(I213,Lists!$E$9:$F$14,2,FALSE),0))</f>
        <v/>
      </c>
      <c r="AB213" s="16" t="str">
        <f t="shared" si="36"/>
        <v/>
      </c>
      <c r="AC213" s="16" t="str">
        <f t="shared" si="37"/>
        <v/>
      </c>
      <c r="AD213" s="16" t="str">
        <f t="shared" si="38"/>
        <v/>
      </c>
      <c r="AE213" s="16" t="str">
        <f t="shared" si="39"/>
        <v/>
      </c>
      <c r="AF213" s="16" t="str">
        <f t="shared" si="40"/>
        <v/>
      </c>
      <c r="AG213" s="26" t="str">
        <f t="shared" si="41"/>
        <v/>
      </c>
      <c r="AH213" s="16" t="str">
        <f t="shared" si="42"/>
        <v/>
      </c>
      <c r="AI213" s="16" t="str">
        <f t="shared" si="43"/>
        <v/>
      </c>
      <c r="AJ213" s="16" t="str">
        <f t="shared" si="44"/>
        <v/>
      </c>
      <c r="AK213" s="14" t="str">
        <f>IF(AND(A213&lt;&gt;"",F213="Selected"),COUNTIF($F$9:F213,"Selected"),"")</f>
        <v/>
      </c>
      <c r="AL213" s="14" t="str">
        <f>IF(A213="","",COUNTIF($B$9:B213,B213))</f>
        <v/>
      </c>
      <c r="AM213" s="14" t="str">
        <f>IF(A213="","",IF(COUNTIF(Jobs!$A$9:$A$258,B213)&lt;&gt;1,"Check JobID",IF(COUNTIF(Suppliers!$D$9:$D$508,D213)&lt;&gt;1,"Check contact",IF(AA213&lt;=0,"Currency / FX missing",IF(NOT(ISNUMBER(G213)),"Original price missing",IF(G213&lt;0,"Invalid original price",IF(AND(H213&lt;&gt;"",NOT(ISNUMBER(H213))),"Invalid final price",IF(AND(ISNUMBER(H213),H213&lt;0),"Invalid final price",IF(AND(F213="Selected",COUNTIFS($B$9:$B$258,B213,$E$9:$E$258,E213,$F$9:$F$258,"Selected")&gt;1),"Selected scope overlap",IF(AND(ISNUMBER(H213),H213&gt;G213),"Price increased",IF(LEN(H213&amp;"")=0,"Final price pending","OK")))))))))))</f>
        <v/>
      </c>
      <c r="AN213" s="16" t="str">
        <f t="shared" si="45"/>
        <v/>
      </c>
      <c r="AO213" s="14" t="str">
        <f>IF(A213="","",IFERROR(IF(INDEX(Suppliers!$A$9:$A$508,MATCH(D213,Suppliers!$D$9:$D$508,0))=C213,"OK","Contact / supplier mismatch"),"Contact missing"))</f>
        <v/>
      </c>
      <c r="AP213" s="14" t="str">
        <f>IF(OR(A213="",IFERROR(INDEX(Jobs!$P$9:$P$258,MATCH(B213,Jobs!$A$9:$A$258,0)),"")=""),"",HYPERLINK("#'"&amp;IFERROR(INDEX(Jobs!$P$9:$P$258,MATCH(B213,Jobs!$A$9:$A$258,0)),"")&amp;"'!A1","OPEN JOB"))</f>
        <v/>
      </c>
      <c r="AQ213" s="14"/>
      <c r="AR213" s="14"/>
      <c r="AS213" t="str">
        <f t="shared" si="46"/>
        <v/>
      </c>
      <c r="AT213" t="str">
        <f t="shared" si="47"/>
        <v/>
      </c>
    </row>
    <row r="214" spans="1:46" ht="40" customHeight="1" x14ac:dyDescent="0.35">
      <c r="A214" s="18"/>
      <c r="B214" s="37"/>
      <c r="C214" s="18"/>
      <c r="D214" s="15"/>
      <c r="E214" s="15"/>
      <c r="F214" s="15"/>
      <c r="G214" s="24"/>
      <c r="H214" s="24"/>
      <c r="I214" s="15"/>
      <c r="J214" s="17"/>
      <c r="K214" s="17"/>
      <c r="L214" s="17"/>
      <c r="M214" s="15"/>
      <c r="N214" s="15"/>
      <c r="O214" s="15"/>
      <c r="P214" s="15"/>
      <c r="Q214" s="15"/>
      <c r="R214" s="15"/>
      <c r="S214" s="18"/>
      <c r="T214" s="18"/>
      <c r="U214" s="18" t="str">
        <f>IF(A214="","",IFERROR(IF(LEN(INDEX(Suppliers!$B$9:$B$508,MATCH(C214,Suppliers!$A$9:$A$508,0))&amp;"")=0,"",INDEX(Suppliers!$B$9:$B$508,MATCH(C214,Suppliers!$A$9:$A$508,0))),""))</f>
        <v/>
      </c>
      <c r="V214" s="18" t="str">
        <f>IF(A214="","",IFERROR(IF(LEN(INDEX(Suppliers!$E$9:$E$508,MATCH(D214,Suppliers!$D$9:$D$508,0))&amp;"")=0,"",INDEX(Suppliers!$E$9:$E$508,MATCH(D214,Suppliers!$D$9:$D$508,0))),""))</f>
        <v/>
      </c>
      <c r="W214" s="18" t="str">
        <f>IF(A214="","",IFERROR(IF(LEN(INDEX(Suppliers!$F$9:$F$508,MATCH(D214,Suppliers!$D$9:$D$508,0))&amp;"")=0,"",INDEX(Suppliers!$F$9:$F$508,MATCH(D214,Suppliers!$D$9:$D$508,0))),""))</f>
        <v/>
      </c>
      <c r="X214" s="18" t="str">
        <f>IF(A214="","",IFERROR(IF(LEN(INDEX(Suppliers!$G$9:$G$508,MATCH(D214,Suppliers!$D$9:$D$508,0))&amp;"")=0,"",INDEX(Suppliers!$G$9:$G$508,MATCH(D214,Suppliers!$D$9:$D$508,0))),""))</f>
        <v/>
      </c>
      <c r="Y214" s="18" t="str">
        <f>IF(A214="","",IFERROR(INDEX(Jobs!$C$9:$C$258,MATCH(B214,Jobs!$A$9:$A$258,0)),""))</f>
        <v/>
      </c>
      <c r="Z214" s="18" t="str">
        <f>IF(A214="","",IFERROR(INDEX(Jobs!$B$9:$B$258,MATCH(B214,Jobs!$A$9:$A$258,0)),""))</f>
        <v/>
      </c>
      <c r="AA214" s="19" t="str">
        <f>IF(A214="","",IFERROR(VLOOKUP(I214,Lists!$E$9:$F$14,2,FALSE),0))</f>
        <v/>
      </c>
      <c r="AB214" s="19" t="str">
        <f t="shared" si="36"/>
        <v/>
      </c>
      <c r="AC214" s="19" t="str">
        <f t="shared" si="37"/>
        <v/>
      </c>
      <c r="AD214" s="19" t="str">
        <f t="shared" si="38"/>
        <v/>
      </c>
      <c r="AE214" s="19" t="str">
        <f t="shared" si="39"/>
        <v/>
      </c>
      <c r="AF214" s="19" t="str">
        <f t="shared" si="40"/>
        <v/>
      </c>
      <c r="AG214" s="27" t="str">
        <f t="shared" si="41"/>
        <v/>
      </c>
      <c r="AH214" s="19" t="str">
        <f t="shared" si="42"/>
        <v/>
      </c>
      <c r="AI214" s="19" t="str">
        <f t="shared" si="43"/>
        <v/>
      </c>
      <c r="AJ214" s="19" t="str">
        <f t="shared" si="44"/>
        <v/>
      </c>
      <c r="AK214" s="18" t="str">
        <f>IF(AND(A214&lt;&gt;"",F214="Selected"),COUNTIF($F$9:F214,"Selected"),"")</f>
        <v/>
      </c>
      <c r="AL214" s="18" t="str">
        <f>IF(A214="","",COUNTIF($B$9:B214,B214))</f>
        <v/>
      </c>
      <c r="AM214" s="18" t="str">
        <f>IF(A214="","",IF(COUNTIF(Jobs!$A$9:$A$258,B214)&lt;&gt;1,"Check JobID",IF(COUNTIF(Suppliers!$D$9:$D$508,D214)&lt;&gt;1,"Check contact",IF(AA214&lt;=0,"Currency / FX missing",IF(NOT(ISNUMBER(G214)),"Original price missing",IF(G214&lt;0,"Invalid original price",IF(AND(H214&lt;&gt;"",NOT(ISNUMBER(H214))),"Invalid final price",IF(AND(ISNUMBER(H214),H214&lt;0),"Invalid final price",IF(AND(F214="Selected",COUNTIFS($B$9:$B$258,B214,$E$9:$E$258,E214,$F$9:$F$258,"Selected")&gt;1),"Selected scope overlap",IF(AND(ISNUMBER(H214),H214&gt;G214),"Price increased",IF(LEN(H214&amp;"")=0,"Final price pending","OK")))))))))))</f>
        <v/>
      </c>
      <c r="AN214" s="19" t="str">
        <f t="shared" si="45"/>
        <v/>
      </c>
      <c r="AO214" s="18" t="str">
        <f>IF(A214="","",IFERROR(IF(INDEX(Suppliers!$A$9:$A$508,MATCH(D214,Suppliers!$D$9:$D$508,0))=C214,"OK","Contact / supplier mismatch"),"Contact missing"))</f>
        <v/>
      </c>
      <c r="AP214" s="18" t="str">
        <f>IF(OR(A214="",IFERROR(INDEX(Jobs!$P$9:$P$258,MATCH(B214,Jobs!$A$9:$A$258,0)),"")=""),"",HYPERLINK("#'"&amp;IFERROR(INDEX(Jobs!$P$9:$P$258,MATCH(B214,Jobs!$A$9:$A$258,0)),"")&amp;"'!A1","OPEN JOB"))</f>
        <v/>
      </c>
      <c r="AQ214" s="18"/>
      <c r="AR214" s="18"/>
      <c r="AS214" t="str">
        <f t="shared" si="46"/>
        <v/>
      </c>
      <c r="AT214" t="str">
        <f t="shared" si="47"/>
        <v/>
      </c>
    </row>
    <row r="215" spans="1:46" ht="40" customHeight="1" x14ac:dyDescent="0.35">
      <c r="A215" s="14"/>
      <c r="B215" s="37"/>
      <c r="C215" s="14"/>
      <c r="D215" s="15"/>
      <c r="E215" s="15"/>
      <c r="F215" s="15"/>
      <c r="G215" s="24"/>
      <c r="H215" s="24"/>
      <c r="I215" s="15"/>
      <c r="J215" s="17"/>
      <c r="K215" s="17"/>
      <c r="L215" s="17"/>
      <c r="M215" s="15"/>
      <c r="N215" s="15"/>
      <c r="O215" s="15"/>
      <c r="P215" s="15"/>
      <c r="Q215" s="15"/>
      <c r="R215" s="15"/>
      <c r="S215" s="14"/>
      <c r="T215" s="14"/>
      <c r="U215" s="14" t="str">
        <f>IF(A215="","",IFERROR(IF(LEN(INDEX(Suppliers!$B$9:$B$508,MATCH(C215,Suppliers!$A$9:$A$508,0))&amp;"")=0,"",INDEX(Suppliers!$B$9:$B$508,MATCH(C215,Suppliers!$A$9:$A$508,0))),""))</f>
        <v/>
      </c>
      <c r="V215" s="14" t="str">
        <f>IF(A215="","",IFERROR(IF(LEN(INDEX(Suppliers!$E$9:$E$508,MATCH(D215,Suppliers!$D$9:$D$508,0))&amp;"")=0,"",INDEX(Suppliers!$E$9:$E$508,MATCH(D215,Suppliers!$D$9:$D$508,0))),""))</f>
        <v/>
      </c>
      <c r="W215" s="14" t="str">
        <f>IF(A215="","",IFERROR(IF(LEN(INDEX(Suppliers!$F$9:$F$508,MATCH(D215,Suppliers!$D$9:$D$508,0))&amp;"")=0,"",INDEX(Suppliers!$F$9:$F$508,MATCH(D215,Suppliers!$D$9:$D$508,0))),""))</f>
        <v/>
      </c>
      <c r="X215" s="14" t="str">
        <f>IF(A215="","",IFERROR(IF(LEN(INDEX(Suppliers!$G$9:$G$508,MATCH(D215,Suppliers!$D$9:$D$508,0))&amp;"")=0,"",INDEX(Suppliers!$G$9:$G$508,MATCH(D215,Suppliers!$D$9:$D$508,0))),""))</f>
        <v/>
      </c>
      <c r="Y215" s="14" t="str">
        <f>IF(A215="","",IFERROR(INDEX(Jobs!$C$9:$C$258,MATCH(B215,Jobs!$A$9:$A$258,0)),""))</f>
        <v/>
      </c>
      <c r="Z215" s="14" t="str">
        <f>IF(A215="","",IFERROR(INDEX(Jobs!$B$9:$B$258,MATCH(B215,Jobs!$A$9:$A$258,0)),""))</f>
        <v/>
      </c>
      <c r="AA215" s="16" t="str">
        <f>IF(A215="","",IFERROR(VLOOKUP(I215,Lists!$E$9:$F$14,2,FALSE),0))</f>
        <v/>
      </c>
      <c r="AB215" s="16" t="str">
        <f t="shared" si="36"/>
        <v/>
      </c>
      <c r="AC215" s="16" t="str">
        <f t="shared" si="37"/>
        <v/>
      </c>
      <c r="AD215" s="16" t="str">
        <f t="shared" si="38"/>
        <v/>
      </c>
      <c r="AE215" s="16" t="str">
        <f t="shared" si="39"/>
        <v/>
      </c>
      <c r="AF215" s="16" t="str">
        <f t="shared" si="40"/>
        <v/>
      </c>
      <c r="AG215" s="26" t="str">
        <f t="shared" si="41"/>
        <v/>
      </c>
      <c r="AH215" s="16" t="str">
        <f t="shared" si="42"/>
        <v/>
      </c>
      <c r="AI215" s="16" t="str">
        <f t="shared" si="43"/>
        <v/>
      </c>
      <c r="AJ215" s="16" t="str">
        <f t="shared" si="44"/>
        <v/>
      </c>
      <c r="AK215" s="14" t="str">
        <f>IF(AND(A215&lt;&gt;"",F215="Selected"),COUNTIF($F$9:F215,"Selected"),"")</f>
        <v/>
      </c>
      <c r="AL215" s="14" t="str">
        <f>IF(A215="","",COUNTIF($B$9:B215,B215))</f>
        <v/>
      </c>
      <c r="AM215" s="14" t="str">
        <f>IF(A215="","",IF(COUNTIF(Jobs!$A$9:$A$258,B215)&lt;&gt;1,"Check JobID",IF(COUNTIF(Suppliers!$D$9:$D$508,D215)&lt;&gt;1,"Check contact",IF(AA215&lt;=0,"Currency / FX missing",IF(NOT(ISNUMBER(G215)),"Original price missing",IF(G215&lt;0,"Invalid original price",IF(AND(H215&lt;&gt;"",NOT(ISNUMBER(H215))),"Invalid final price",IF(AND(ISNUMBER(H215),H215&lt;0),"Invalid final price",IF(AND(F215="Selected",COUNTIFS($B$9:$B$258,B215,$E$9:$E$258,E215,$F$9:$F$258,"Selected")&gt;1),"Selected scope overlap",IF(AND(ISNUMBER(H215),H215&gt;G215),"Price increased",IF(LEN(H215&amp;"")=0,"Final price pending","OK")))))))))))</f>
        <v/>
      </c>
      <c r="AN215" s="16" t="str">
        <f t="shared" si="45"/>
        <v/>
      </c>
      <c r="AO215" s="14" t="str">
        <f>IF(A215="","",IFERROR(IF(INDEX(Suppliers!$A$9:$A$508,MATCH(D215,Suppliers!$D$9:$D$508,0))=C215,"OK","Contact / supplier mismatch"),"Contact missing"))</f>
        <v/>
      </c>
      <c r="AP215" s="14" t="str">
        <f>IF(OR(A215="",IFERROR(INDEX(Jobs!$P$9:$P$258,MATCH(B215,Jobs!$A$9:$A$258,0)),"")=""),"",HYPERLINK("#'"&amp;IFERROR(INDEX(Jobs!$P$9:$P$258,MATCH(B215,Jobs!$A$9:$A$258,0)),"")&amp;"'!A1","OPEN JOB"))</f>
        <v/>
      </c>
      <c r="AQ215" s="14"/>
      <c r="AR215" s="14"/>
      <c r="AS215" t="str">
        <f t="shared" si="46"/>
        <v/>
      </c>
      <c r="AT215" t="str">
        <f t="shared" si="47"/>
        <v/>
      </c>
    </row>
    <row r="216" spans="1:46" ht="40" customHeight="1" x14ac:dyDescent="0.35">
      <c r="A216" s="18"/>
      <c r="B216" s="37"/>
      <c r="C216" s="18"/>
      <c r="D216" s="15"/>
      <c r="E216" s="15"/>
      <c r="F216" s="15"/>
      <c r="G216" s="24"/>
      <c r="H216" s="24"/>
      <c r="I216" s="15"/>
      <c r="J216" s="17"/>
      <c r="K216" s="17"/>
      <c r="L216" s="17"/>
      <c r="M216" s="15"/>
      <c r="N216" s="15"/>
      <c r="O216" s="15"/>
      <c r="P216" s="15"/>
      <c r="Q216" s="15"/>
      <c r="R216" s="15"/>
      <c r="S216" s="18"/>
      <c r="T216" s="18"/>
      <c r="U216" s="18" t="str">
        <f>IF(A216="","",IFERROR(IF(LEN(INDEX(Suppliers!$B$9:$B$508,MATCH(C216,Suppliers!$A$9:$A$508,0))&amp;"")=0,"",INDEX(Suppliers!$B$9:$B$508,MATCH(C216,Suppliers!$A$9:$A$508,0))),""))</f>
        <v/>
      </c>
      <c r="V216" s="18" t="str">
        <f>IF(A216="","",IFERROR(IF(LEN(INDEX(Suppliers!$E$9:$E$508,MATCH(D216,Suppliers!$D$9:$D$508,0))&amp;"")=0,"",INDEX(Suppliers!$E$9:$E$508,MATCH(D216,Suppliers!$D$9:$D$508,0))),""))</f>
        <v/>
      </c>
      <c r="W216" s="18" t="str">
        <f>IF(A216="","",IFERROR(IF(LEN(INDEX(Suppliers!$F$9:$F$508,MATCH(D216,Suppliers!$D$9:$D$508,0))&amp;"")=0,"",INDEX(Suppliers!$F$9:$F$508,MATCH(D216,Suppliers!$D$9:$D$508,0))),""))</f>
        <v/>
      </c>
      <c r="X216" s="18" t="str">
        <f>IF(A216="","",IFERROR(IF(LEN(INDEX(Suppliers!$G$9:$G$508,MATCH(D216,Suppliers!$D$9:$D$508,0))&amp;"")=0,"",INDEX(Suppliers!$G$9:$G$508,MATCH(D216,Suppliers!$D$9:$D$508,0))),""))</f>
        <v/>
      </c>
      <c r="Y216" s="18" t="str">
        <f>IF(A216="","",IFERROR(INDEX(Jobs!$C$9:$C$258,MATCH(B216,Jobs!$A$9:$A$258,0)),""))</f>
        <v/>
      </c>
      <c r="Z216" s="18" t="str">
        <f>IF(A216="","",IFERROR(INDEX(Jobs!$B$9:$B$258,MATCH(B216,Jobs!$A$9:$A$258,0)),""))</f>
        <v/>
      </c>
      <c r="AA216" s="19" t="str">
        <f>IF(A216="","",IFERROR(VLOOKUP(I216,Lists!$E$9:$F$14,2,FALSE),0))</f>
        <v/>
      </c>
      <c r="AB216" s="19" t="str">
        <f t="shared" si="36"/>
        <v/>
      </c>
      <c r="AC216" s="19" t="str">
        <f t="shared" si="37"/>
        <v/>
      </c>
      <c r="AD216" s="19" t="str">
        <f t="shared" si="38"/>
        <v/>
      </c>
      <c r="AE216" s="19" t="str">
        <f t="shared" si="39"/>
        <v/>
      </c>
      <c r="AF216" s="19" t="str">
        <f t="shared" si="40"/>
        <v/>
      </c>
      <c r="AG216" s="27" t="str">
        <f t="shared" si="41"/>
        <v/>
      </c>
      <c r="AH216" s="19" t="str">
        <f t="shared" si="42"/>
        <v/>
      </c>
      <c r="AI216" s="19" t="str">
        <f t="shared" si="43"/>
        <v/>
      </c>
      <c r="AJ216" s="19" t="str">
        <f t="shared" si="44"/>
        <v/>
      </c>
      <c r="AK216" s="18" t="str">
        <f>IF(AND(A216&lt;&gt;"",F216="Selected"),COUNTIF($F$9:F216,"Selected"),"")</f>
        <v/>
      </c>
      <c r="AL216" s="18" t="str">
        <f>IF(A216="","",COUNTIF($B$9:B216,B216))</f>
        <v/>
      </c>
      <c r="AM216" s="18" t="str">
        <f>IF(A216="","",IF(COUNTIF(Jobs!$A$9:$A$258,B216)&lt;&gt;1,"Check JobID",IF(COUNTIF(Suppliers!$D$9:$D$508,D216)&lt;&gt;1,"Check contact",IF(AA216&lt;=0,"Currency / FX missing",IF(NOT(ISNUMBER(G216)),"Original price missing",IF(G216&lt;0,"Invalid original price",IF(AND(H216&lt;&gt;"",NOT(ISNUMBER(H216))),"Invalid final price",IF(AND(ISNUMBER(H216),H216&lt;0),"Invalid final price",IF(AND(F216="Selected",COUNTIFS($B$9:$B$258,B216,$E$9:$E$258,E216,$F$9:$F$258,"Selected")&gt;1),"Selected scope overlap",IF(AND(ISNUMBER(H216),H216&gt;G216),"Price increased",IF(LEN(H216&amp;"")=0,"Final price pending","OK")))))))))))</f>
        <v/>
      </c>
      <c r="AN216" s="19" t="str">
        <f t="shared" si="45"/>
        <v/>
      </c>
      <c r="AO216" s="18" t="str">
        <f>IF(A216="","",IFERROR(IF(INDEX(Suppliers!$A$9:$A$508,MATCH(D216,Suppliers!$D$9:$D$508,0))=C216,"OK","Contact / supplier mismatch"),"Contact missing"))</f>
        <v/>
      </c>
      <c r="AP216" s="18" t="str">
        <f>IF(OR(A216="",IFERROR(INDEX(Jobs!$P$9:$P$258,MATCH(B216,Jobs!$A$9:$A$258,0)),"")=""),"",HYPERLINK("#'"&amp;IFERROR(INDEX(Jobs!$P$9:$P$258,MATCH(B216,Jobs!$A$9:$A$258,0)),"")&amp;"'!A1","OPEN JOB"))</f>
        <v/>
      </c>
      <c r="AQ216" s="18"/>
      <c r="AR216" s="18"/>
      <c r="AS216" t="str">
        <f t="shared" si="46"/>
        <v/>
      </c>
      <c r="AT216" t="str">
        <f t="shared" si="47"/>
        <v/>
      </c>
    </row>
    <row r="217" spans="1:46" ht="40" customHeight="1" x14ac:dyDescent="0.35">
      <c r="A217" s="14"/>
      <c r="B217" s="37"/>
      <c r="C217" s="14"/>
      <c r="D217" s="15"/>
      <c r="E217" s="15"/>
      <c r="F217" s="15"/>
      <c r="G217" s="24"/>
      <c r="H217" s="24"/>
      <c r="I217" s="15"/>
      <c r="J217" s="17"/>
      <c r="K217" s="17"/>
      <c r="L217" s="17"/>
      <c r="M217" s="15"/>
      <c r="N217" s="15"/>
      <c r="O217" s="15"/>
      <c r="P217" s="15"/>
      <c r="Q217" s="15"/>
      <c r="R217" s="15"/>
      <c r="S217" s="14"/>
      <c r="T217" s="14"/>
      <c r="U217" s="14" t="str">
        <f>IF(A217="","",IFERROR(IF(LEN(INDEX(Suppliers!$B$9:$B$508,MATCH(C217,Suppliers!$A$9:$A$508,0))&amp;"")=0,"",INDEX(Suppliers!$B$9:$B$508,MATCH(C217,Suppliers!$A$9:$A$508,0))),""))</f>
        <v/>
      </c>
      <c r="V217" s="14" t="str">
        <f>IF(A217="","",IFERROR(IF(LEN(INDEX(Suppliers!$E$9:$E$508,MATCH(D217,Suppliers!$D$9:$D$508,0))&amp;"")=0,"",INDEX(Suppliers!$E$9:$E$508,MATCH(D217,Suppliers!$D$9:$D$508,0))),""))</f>
        <v/>
      </c>
      <c r="W217" s="14" t="str">
        <f>IF(A217="","",IFERROR(IF(LEN(INDEX(Suppliers!$F$9:$F$508,MATCH(D217,Suppliers!$D$9:$D$508,0))&amp;"")=0,"",INDEX(Suppliers!$F$9:$F$508,MATCH(D217,Suppliers!$D$9:$D$508,0))),""))</f>
        <v/>
      </c>
      <c r="X217" s="14" t="str">
        <f>IF(A217="","",IFERROR(IF(LEN(INDEX(Suppliers!$G$9:$G$508,MATCH(D217,Suppliers!$D$9:$D$508,0))&amp;"")=0,"",INDEX(Suppliers!$G$9:$G$508,MATCH(D217,Suppliers!$D$9:$D$508,0))),""))</f>
        <v/>
      </c>
      <c r="Y217" s="14" t="str">
        <f>IF(A217="","",IFERROR(INDEX(Jobs!$C$9:$C$258,MATCH(B217,Jobs!$A$9:$A$258,0)),""))</f>
        <v/>
      </c>
      <c r="Z217" s="14" t="str">
        <f>IF(A217="","",IFERROR(INDEX(Jobs!$B$9:$B$258,MATCH(B217,Jobs!$A$9:$A$258,0)),""))</f>
        <v/>
      </c>
      <c r="AA217" s="16" t="str">
        <f>IF(A217="","",IFERROR(VLOOKUP(I217,Lists!$E$9:$F$14,2,FALSE),0))</f>
        <v/>
      </c>
      <c r="AB217" s="16" t="str">
        <f t="shared" si="36"/>
        <v/>
      </c>
      <c r="AC217" s="16" t="str">
        <f t="shared" si="37"/>
        <v/>
      </c>
      <c r="AD217" s="16" t="str">
        <f t="shared" si="38"/>
        <v/>
      </c>
      <c r="AE217" s="16" t="str">
        <f t="shared" si="39"/>
        <v/>
      </c>
      <c r="AF217" s="16" t="str">
        <f t="shared" si="40"/>
        <v/>
      </c>
      <c r="AG217" s="26" t="str">
        <f t="shared" si="41"/>
        <v/>
      </c>
      <c r="AH217" s="16" t="str">
        <f t="shared" si="42"/>
        <v/>
      </c>
      <c r="AI217" s="16" t="str">
        <f t="shared" si="43"/>
        <v/>
      </c>
      <c r="AJ217" s="16" t="str">
        <f t="shared" si="44"/>
        <v/>
      </c>
      <c r="AK217" s="14" t="str">
        <f>IF(AND(A217&lt;&gt;"",F217="Selected"),COUNTIF($F$9:F217,"Selected"),"")</f>
        <v/>
      </c>
      <c r="AL217" s="14" t="str">
        <f>IF(A217="","",COUNTIF($B$9:B217,B217))</f>
        <v/>
      </c>
      <c r="AM217" s="14" t="str">
        <f>IF(A217="","",IF(COUNTIF(Jobs!$A$9:$A$258,B217)&lt;&gt;1,"Check JobID",IF(COUNTIF(Suppliers!$D$9:$D$508,D217)&lt;&gt;1,"Check contact",IF(AA217&lt;=0,"Currency / FX missing",IF(NOT(ISNUMBER(G217)),"Original price missing",IF(G217&lt;0,"Invalid original price",IF(AND(H217&lt;&gt;"",NOT(ISNUMBER(H217))),"Invalid final price",IF(AND(ISNUMBER(H217),H217&lt;0),"Invalid final price",IF(AND(F217="Selected",COUNTIFS($B$9:$B$258,B217,$E$9:$E$258,E217,$F$9:$F$258,"Selected")&gt;1),"Selected scope overlap",IF(AND(ISNUMBER(H217),H217&gt;G217),"Price increased",IF(LEN(H217&amp;"")=0,"Final price pending","OK")))))))))))</f>
        <v/>
      </c>
      <c r="AN217" s="16" t="str">
        <f t="shared" si="45"/>
        <v/>
      </c>
      <c r="AO217" s="14" t="str">
        <f>IF(A217="","",IFERROR(IF(INDEX(Suppliers!$A$9:$A$508,MATCH(D217,Suppliers!$D$9:$D$508,0))=C217,"OK","Contact / supplier mismatch"),"Contact missing"))</f>
        <v/>
      </c>
      <c r="AP217" s="14" t="str">
        <f>IF(OR(A217="",IFERROR(INDEX(Jobs!$P$9:$P$258,MATCH(B217,Jobs!$A$9:$A$258,0)),"")=""),"",HYPERLINK("#'"&amp;IFERROR(INDEX(Jobs!$P$9:$P$258,MATCH(B217,Jobs!$A$9:$A$258,0)),"")&amp;"'!A1","OPEN JOB"))</f>
        <v/>
      </c>
      <c r="AQ217" s="14"/>
      <c r="AR217" s="14"/>
      <c r="AS217" t="str">
        <f t="shared" si="46"/>
        <v/>
      </c>
      <c r="AT217" t="str">
        <f t="shared" si="47"/>
        <v/>
      </c>
    </row>
    <row r="218" spans="1:46" ht="40" customHeight="1" x14ac:dyDescent="0.35">
      <c r="A218" s="18"/>
      <c r="B218" s="37"/>
      <c r="C218" s="18"/>
      <c r="D218" s="15"/>
      <c r="E218" s="15"/>
      <c r="F218" s="15"/>
      <c r="G218" s="24"/>
      <c r="H218" s="24"/>
      <c r="I218" s="15"/>
      <c r="J218" s="17"/>
      <c r="K218" s="17"/>
      <c r="L218" s="17"/>
      <c r="M218" s="15"/>
      <c r="N218" s="15"/>
      <c r="O218" s="15"/>
      <c r="P218" s="15"/>
      <c r="Q218" s="15"/>
      <c r="R218" s="15"/>
      <c r="S218" s="18"/>
      <c r="T218" s="18"/>
      <c r="U218" s="18" t="str">
        <f>IF(A218="","",IFERROR(IF(LEN(INDEX(Suppliers!$B$9:$B$508,MATCH(C218,Suppliers!$A$9:$A$508,0))&amp;"")=0,"",INDEX(Suppliers!$B$9:$B$508,MATCH(C218,Suppliers!$A$9:$A$508,0))),""))</f>
        <v/>
      </c>
      <c r="V218" s="18" t="str">
        <f>IF(A218="","",IFERROR(IF(LEN(INDEX(Suppliers!$E$9:$E$508,MATCH(D218,Suppliers!$D$9:$D$508,0))&amp;"")=0,"",INDEX(Suppliers!$E$9:$E$508,MATCH(D218,Suppliers!$D$9:$D$508,0))),""))</f>
        <v/>
      </c>
      <c r="W218" s="18" t="str">
        <f>IF(A218="","",IFERROR(IF(LEN(INDEX(Suppliers!$F$9:$F$508,MATCH(D218,Suppliers!$D$9:$D$508,0))&amp;"")=0,"",INDEX(Suppliers!$F$9:$F$508,MATCH(D218,Suppliers!$D$9:$D$508,0))),""))</f>
        <v/>
      </c>
      <c r="X218" s="18" t="str">
        <f>IF(A218="","",IFERROR(IF(LEN(INDEX(Suppliers!$G$9:$G$508,MATCH(D218,Suppliers!$D$9:$D$508,0))&amp;"")=0,"",INDEX(Suppliers!$G$9:$G$508,MATCH(D218,Suppliers!$D$9:$D$508,0))),""))</f>
        <v/>
      </c>
      <c r="Y218" s="18" t="str">
        <f>IF(A218="","",IFERROR(INDEX(Jobs!$C$9:$C$258,MATCH(B218,Jobs!$A$9:$A$258,0)),""))</f>
        <v/>
      </c>
      <c r="Z218" s="18" t="str">
        <f>IF(A218="","",IFERROR(INDEX(Jobs!$B$9:$B$258,MATCH(B218,Jobs!$A$9:$A$258,0)),""))</f>
        <v/>
      </c>
      <c r="AA218" s="19" t="str">
        <f>IF(A218="","",IFERROR(VLOOKUP(I218,Lists!$E$9:$F$14,2,FALSE),0))</f>
        <v/>
      </c>
      <c r="AB218" s="19" t="str">
        <f t="shared" si="36"/>
        <v/>
      </c>
      <c r="AC218" s="19" t="str">
        <f t="shared" si="37"/>
        <v/>
      </c>
      <c r="AD218" s="19" t="str">
        <f t="shared" si="38"/>
        <v/>
      </c>
      <c r="AE218" s="19" t="str">
        <f t="shared" si="39"/>
        <v/>
      </c>
      <c r="AF218" s="19" t="str">
        <f t="shared" si="40"/>
        <v/>
      </c>
      <c r="AG218" s="27" t="str">
        <f t="shared" si="41"/>
        <v/>
      </c>
      <c r="AH218" s="19" t="str">
        <f t="shared" si="42"/>
        <v/>
      </c>
      <c r="AI218" s="19" t="str">
        <f t="shared" si="43"/>
        <v/>
      </c>
      <c r="AJ218" s="19" t="str">
        <f t="shared" si="44"/>
        <v/>
      </c>
      <c r="AK218" s="18" t="str">
        <f>IF(AND(A218&lt;&gt;"",F218="Selected"),COUNTIF($F$9:F218,"Selected"),"")</f>
        <v/>
      </c>
      <c r="AL218" s="18" t="str">
        <f>IF(A218="","",COUNTIF($B$9:B218,B218))</f>
        <v/>
      </c>
      <c r="AM218" s="18" t="str">
        <f>IF(A218="","",IF(COUNTIF(Jobs!$A$9:$A$258,B218)&lt;&gt;1,"Check JobID",IF(COUNTIF(Suppliers!$D$9:$D$508,D218)&lt;&gt;1,"Check contact",IF(AA218&lt;=0,"Currency / FX missing",IF(NOT(ISNUMBER(G218)),"Original price missing",IF(G218&lt;0,"Invalid original price",IF(AND(H218&lt;&gt;"",NOT(ISNUMBER(H218))),"Invalid final price",IF(AND(ISNUMBER(H218),H218&lt;0),"Invalid final price",IF(AND(F218="Selected",COUNTIFS($B$9:$B$258,B218,$E$9:$E$258,E218,$F$9:$F$258,"Selected")&gt;1),"Selected scope overlap",IF(AND(ISNUMBER(H218),H218&gt;G218),"Price increased",IF(LEN(H218&amp;"")=0,"Final price pending","OK")))))))))))</f>
        <v/>
      </c>
      <c r="AN218" s="19" t="str">
        <f t="shared" si="45"/>
        <v/>
      </c>
      <c r="AO218" s="18" t="str">
        <f>IF(A218="","",IFERROR(IF(INDEX(Suppliers!$A$9:$A$508,MATCH(D218,Suppliers!$D$9:$D$508,0))=C218,"OK","Contact / supplier mismatch"),"Contact missing"))</f>
        <v/>
      </c>
      <c r="AP218" s="18" t="str">
        <f>IF(OR(A218="",IFERROR(INDEX(Jobs!$P$9:$P$258,MATCH(B218,Jobs!$A$9:$A$258,0)),"")=""),"",HYPERLINK("#'"&amp;IFERROR(INDEX(Jobs!$P$9:$P$258,MATCH(B218,Jobs!$A$9:$A$258,0)),"")&amp;"'!A1","OPEN JOB"))</f>
        <v/>
      </c>
      <c r="AQ218" s="18"/>
      <c r="AR218" s="18"/>
      <c r="AS218" t="str">
        <f t="shared" si="46"/>
        <v/>
      </c>
      <c r="AT218" t="str">
        <f t="shared" si="47"/>
        <v/>
      </c>
    </row>
    <row r="219" spans="1:46" ht="40" customHeight="1" x14ac:dyDescent="0.35">
      <c r="A219" s="14"/>
      <c r="B219" s="37"/>
      <c r="C219" s="14"/>
      <c r="D219" s="15"/>
      <c r="E219" s="15"/>
      <c r="F219" s="15"/>
      <c r="G219" s="24"/>
      <c r="H219" s="24"/>
      <c r="I219" s="15"/>
      <c r="J219" s="17"/>
      <c r="K219" s="17"/>
      <c r="L219" s="17"/>
      <c r="M219" s="15"/>
      <c r="N219" s="15"/>
      <c r="O219" s="15"/>
      <c r="P219" s="15"/>
      <c r="Q219" s="15"/>
      <c r="R219" s="15"/>
      <c r="S219" s="14"/>
      <c r="T219" s="14"/>
      <c r="U219" s="14" t="str">
        <f>IF(A219="","",IFERROR(IF(LEN(INDEX(Suppliers!$B$9:$B$508,MATCH(C219,Suppliers!$A$9:$A$508,0))&amp;"")=0,"",INDEX(Suppliers!$B$9:$B$508,MATCH(C219,Suppliers!$A$9:$A$508,0))),""))</f>
        <v/>
      </c>
      <c r="V219" s="14" t="str">
        <f>IF(A219="","",IFERROR(IF(LEN(INDEX(Suppliers!$E$9:$E$508,MATCH(D219,Suppliers!$D$9:$D$508,0))&amp;"")=0,"",INDEX(Suppliers!$E$9:$E$508,MATCH(D219,Suppliers!$D$9:$D$508,0))),""))</f>
        <v/>
      </c>
      <c r="W219" s="14" t="str">
        <f>IF(A219="","",IFERROR(IF(LEN(INDEX(Suppliers!$F$9:$F$508,MATCH(D219,Suppliers!$D$9:$D$508,0))&amp;"")=0,"",INDEX(Suppliers!$F$9:$F$508,MATCH(D219,Suppliers!$D$9:$D$508,0))),""))</f>
        <v/>
      </c>
      <c r="X219" s="14" t="str">
        <f>IF(A219="","",IFERROR(IF(LEN(INDEX(Suppliers!$G$9:$G$508,MATCH(D219,Suppliers!$D$9:$D$508,0))&amp;"")=0,"",INDEX(Suppliers!$G$9:$G$508,MATCH(D219,Suppliers!$D$9:$D$508,0))),""))</f>
        <v/>
      </c>
      <c r="Y219" s="14" t="str">
        <f>IF(A219="","",IFERROR(INDEX(Jobs!$C$9:$C$258,MATCH(B219,Jobs!$A$9:$A$258,0)),""))</f>
        <v/>
      </c>
      <c r="Z219" s="14" t="str">
        <f>IF(A219="","",IFERROR(INDEX(Jobs!$B$9:$B$258,MATCH(B219,Jobs!$A$9:$A$258,0)),""))</f>
        <v/>
      </c>
      <c r="AA219" s="16" t="str">
        <f>IF(A219="","",IFERROR(VLOOKUP(I219,Lists!$E$9:$F$14,2,FALSE),0))</f>
        <v/>
      </c>
      <c r="AB219" s="16" t="str">
        <f t="shared" si="36"/>
        <v/>
      </c>
      <c r="AC219" s="16" t="str">
        <f t="shared" si="37"/>
        <v/>
      </c>
      <c r="AD219" s="16" t="str">
        <f t="shared" si="38"/>
        <v/>
      </c>
      <c r="AE219" s="16" t="str">
        <f t="shared" si="39"/>
        <v/>
      </c>
      <c r="AF219" s="16" t="str">
        <f t="shared" si="40"/>
        <v/>
      </c>
      <c r="AG219" s="26" t="str">
        <f t="shared" si="41"/>
        <v/>
      </c>
      <c r="AH219" s="16" t="str">
        <f t="shared" si="42"/>
        <v/>
      </c>
      <c r="AI219" s="16" t="str">
        <f t="shared" si="43"/>
        <v/>
      </c>
      <c r="AJ219" s="16" t="str">
        <f t="shared" si="44"/>
        <v/>
      </c>
      <c r="AK219" s="14" t="str">
        <f>IF(AND(A219&lt;&gt;"",F219="Selected"),COUNTIF($F$9:F219,"Selected"),"")</f>
        <v/>
      </c>
      <c r="AL219" s="14" t="str">
        <f>IF(A219="","",COUNTIF($B$9:B219,B219))</f>
        <v/>
      </c>
      <c r="AM219" s="14" t="str">
        <f>IF(A219="","",IF(COUNTIF(Jobs!$A$9:$A$258,B219)&lt;&gt;1,"Check JobID",IF(COUNTIF(Suppliers!$D$9:$D$508,D219)&lt;&gt;1,"Check contact",IF(AA219&lt;=0,"Currency / FX missing",IF(NOT(ISNUMBER(G219)),"Original price missing",IF(G219&lt;0,"Invalid original price",IF(AND(H219&lt;&gt;"",NOT(ISNUMBER(H219))),"Invalid final price",IF(AND(ISNUMBER(H219),H219&lt;0),"Invalid final price",IF(AND(F219="Selected",COUNTIFS($B$9:$B$258,B219,$E$9:$E$258,E219,$F$9:$F$258,"Selected")&gt;1),"Selected scope overlap",IF(AND(ISNUMBER(H219),H219&gt;G219),"Price increased",IF(LEN(H219&amp;"")=0,"Final price pending","OK")))))))))))</f>
        <v/>
      </c>
      <c r="AN219" s="16" t="str">
        <f t="shared" si="45"/>
        <v/>
      </c>
      <c r="AO219" s="14" t="str">
        <f>IF(A219="","",IFERROR(IF(INDEX(Suppliers!$A$9:$A$508,MATCH(D219,Suppliers!$D$9:$D$508,0))=C219,"OK","Contact / supplier mismatch"),"Contact missing"))</f>
        <v/>
      </c>
      <c r="AP219" s="14" t="str">
        <f>IF(OR(A219="",IFERROR(INDEX(Jobs!$P$9:$P$258,MATCH(B219,Jobs!$A$9:$A$258,0)),"")=""),"",HYPERLINK("#'"&amp;IFERROR(INDEX(Jobs!$P$9:$P$258,MATCH(B219,Jobs!$A$9:$A$258,0)),"")&amp;"'!A1","OPEN JOB"))</f>
        <v/>
      </c>
      <c r="AQ219" s="14"/>
      <c r="AR219" s="14"/>
      <c r="AS219" t="str">
        <f t="shared" si="46"/>
        <v/>
      </c>
      <c r="AT219" t="str">
        <f t="shared" si="47"/>
        <v/>
      </c>
    </row>
    <row r="220" spans="1:46" ht="40" customHeight="1" x14ac:dyDescent="0.35">
      <c r="A220" s="18"/>
      <c r="B220" s="37"/>
      <c r="C220" s="18"/>
      <c r="D220" s="15"/>
      <c r="E220" s="15"/>
      <c r="F220" s="15"/>
      <c r="G220" s="24"/>
      <c r="H220" s="24"/>
      <c r="I220" s="15"/>
      <c r="J220" s="17"/>
      <c r="K220" s="17"/>
      <c r="L220" s="17"/>
      <c r="M220" s="15"/>
      <c r="N220" s="15"/>
      <c r="O220" s="15"/>
      <c r="P220" s="15"/>
      <c r="Q220" s="15"/>
      <c r="R220" s="15"/>
      <c r="S220" s="18"/>
      <c r="T220" s="18"/>
      <c r="U220" s="18" t="str">
        <f>IF(A220="","",IFERROR(IF(LEN(INDEX(Suppliers!$B$9:$B$508,MATCH(C220,Suppliers!$A$9:$A$508,0))&amp;"")=0,"",INDEX(Suppliers!$B$9:$B$508,MATCH(C220,Suppliers!$A$9:$A$508,0))),""))</f>
        <v/>
      </c>
      <c r="V220" s="18" t="str">
        <f>IF(A220="","",IFERROR(IF(LEN(INDEX(Suppliers!$E$9:$E$508,MATCH(D220,Suppliers!$D$9:$D$508,0))&amp;"")=0,"",INDEX(Suppliers!$E$9:$E$508,MATCH(D220,Suppliers!$D$9:$D$508,0))),""))</f>
        <v/>
      </c>
      <c r="W220" s="18" t="str">
        <f>IF(A220="","",IFERROR(IF(LEN(INDEX(Suppliers!$F$9:$F$508,MATCH(D220,Suppliers!$D$9:$D$508,0))&amp;"")=0,"",INDEX(Suppliers!$F$9:$F$508,MATCH(D220,Suppliers!$D$9:$D$508,0))),""))</f>
        <v/>
      </c>
      <c r="X220" s="18" t="str">
        <f>IF(A220="","",IFERROR(IF(LEN(INDEX(Suppliers!$G$9:$G$508,MATCH(D220,Suppliers!$D$9:$D$508,0))&amp;"")=0,"",INDEX(Suppliers!$G$9:$G$508,MATCH(D220,Suppliers!$D$9:$D$508,0))),""))</f>
        <v/>
      </c>
      <c r="Y220" s="18" t="str">
        <f>IF(A220="","",IFERROR(INDEX(Jobs!$C$9:$C$258,MATCH(B220,Jobs!$A$9:$A$258,0)),""))</f>
        <v/>
      </c>
      <c r="Z220" s="18" t="str">
        <f>IF(A220="","",IFERROR(INDEX(Jobs!$B$9:$B$258,MATCH(B220,Jobs!$A$9:$A$258,0)),""))</f>
        <v/>
      </c>
      <c r="AA220" s="19" t="str">
        <f>IF(A220="","",IFERROR(VLOOKUP(I220,Lists!$E$9:$F$14,2,FALSE),0))</f>
        <v/>
      </c>
      <c r="AB220" s="19" t="str">
        <f t="shared" si="36"/>
        <v/>
      </c>
      <c r="AC220" s="19" t="str">
        <f t="shared" si="37"/>
        <v/>
      </c>
      <c r="AD220" s="19" t="str">
        <f t="shared" si="38"/>
        <v/>
      </c>
      <c r="AE220" s="19" t="str">
        <f t="shared" si="39"/>
        <v/>
      </c>
      <c r="AF220" s="19" t="str">
        <f t="shared" si="40"/>
        <v/>
      </c>
      <c r="AG220" s="27" t="str">
        <f t="shared" si="41"/>
        <v/>
      </c>
      <c r="AH220" s="19" t="str">
        <f t="shared" si="42"/>
        <v/>
      </c>
      <c r="AI220" s="19" t="str">
        <f t="shared" si="43"/>
        <v/>
      </c>
      <c r="AJ220" s="19" t="str">
        <f t="shared" si="44"/>
        <v/>
      </c>
      <c r="AK220" s="18" t="str">
        <f>IF(AND(A220&lt;&gt;"",F220="Selected"),COUNTIF($F$9:F220,"Selected"),"")</f>
        <v/>
      </c>
      <c r="AL220" s="18" t="str">
        <f>IF(A220="","",COUNTIF($B$9:B220,B220))</f>
        <v/>
      </c>
      <c r="AM220" s="18" t="str">
        <f>IF(A220="","",IF(COUNTIF(Jobs!$A$9:$A$258,B220)&lt;&gt;1,"Check JobID",IF(COUNTIF(Suppliers!$D$9:$D$508,D220)&lt;&gt;1,"Check contact",IF(AA220&lt;=0,"Currency / FX missing",IF(NOT(ISNUMBER(G220)),"Original price missing",IF(G220&lt;0,"Invalid original price",IF(AND(H220&lt;&gt;"",NOT(ISNUMBER(H220))),"Invalid final price",IF(AND(ISNUMBER(H220),H220&lt;0),"Invalid final price",IF(AND(F220="Selected",COUNTIFS($B$9:$B$258,B220,$E$9:$E$258,E220,$F$9:$F$258,"Selected")&gt;1),"Selected scope overlap",IF(AND(ISNUMBER(H220),H220&gt;G220),"Price increased",IF(LEN(H220&amp;"")=0,"Final price pending","OK")))))))))))</f>
        <v/>
      </c>
      <c r="AN220" s="19" t="str">
        <f t="shared" si="45"/>
        <v/>
      </c>
      <c r="AO220" s="18" t="str">
        <f>IF(A220="","",IFERROR(IF(INDEX(Suppliers!$A$9:$A$508,MATCH(D220,Suppliers!$D$9:$D$508,0))=C220,"OK","Contact / supplier mismatch"),"Contact missing"))</f>
        <v/>
      </c>
      <c r="AP220" s="18" t="str">
        <f>IF(OR(A220="",IFERROR(INDEX(Jobs!$P$9:$P$258,MATCH(B220,Jobs!$A$9:$A$258,0)),"")=""),"",HYPERLINK("#'"&amp;IFERROR(INDEX(Jobs!$P$9:$P$258,MATCH(B220,Jobs!$A$9:$A$258,0)),"")&amp;"'!A1","OPEN JOB"))</f>
        <v/>
      </c>
      <c r="AQ220" s="18"/>
      <c r="AR220" s="18"/>
      <c r="AS220" t="str">
        <f t="shared" si="46"/>
        <v/>
      </c>
      <c r="AT220" t="str">
        <f t="shared" si="47"/>
        <v/>
      </c>
    </row>
    <row r="221" spans="1:46" ht="40" customHeight="1" x14ac:dyDescent="0.35">
      <c r="A221" s="14"/>
      <c r="B221" s="37"/>
      <c r="C221" s="14"/>
      <c r="D221" s="15"/>
      <c r="E221" s="15"/>
      <c r="F221" s="15"/>
      <c r="G221" s="24"/>
      <c r="H221" s="24"/>
      <c r="I221" s="15"/>
      <c r="J221" s="17"/>
      <c r="K221" s="17"/>
      <c r="L221" s="17"/>
      <c r="M221" s="15"/>
      <c r="N221" s="15"/>
      <c r="O221" s="15"/>
      <c r="P221" s="15"/>
      <c r="Q221" s="15"/>
      <c r="R221" s="15"/>
      <c r="S221" s="14"/>
      <c r="T221" s="14"/>
      <c r="U221" s="14" t="str">
        <f>IF(A221="","",IFERROR(IF(LEN(INDEX(Suppliers!$B$9:$B$508,MATCH(C221,Suppliers!$A$9:$A$508,0))&amp;"")=0,"",INDEX(Suppliers!$B$9:$B$508,MATCH(C221,Suppliers!$A$9:$A$508,0))),""))</f>
        <v/>
      </c>
      <c r="V221" s="14" t="str">
        <f>IF(A221="","",IFERROR(IF(LEN(INDEX(Suppliers!$E$9:$E$508,MATCH(D221,Suppliers!$D$9:$D$508,0))&amp;"")=0,"",INDEX(Suppliers!$E$9:$E$508,MATCH(D221,Suppliers!$D$9:$D$508,0))),""))</f>
        <v/>
      </c>
      <c r="W221" s="14" t="str">
        <f>IF(A221="","",IFERROR(IF(LEN(INDEX(Suppliers!$F$9:$F$508,MATCH(D221,Suppliers!$D$9:$D$508,0))&amp;"")=0,"",INDEX(Suppliers!$F$9:$F$508,MATCH(D221,Suppliers!$D$9:$D$508,0))),""))</f>
        <v/>
      </c>
      <c r="X221" s="14" t="str">
        <f>IF(A221="","",IFERROR(IF(LEN(INDEX(Suppliers!$G$9:$G$508,MATCH(D221,Suppliers!$D$9:$D$508,0))&amp;"")=0,"",INDEX(Suppliers!$G$9:$G$508,MATCH(D221,Suppliers!$D$9:$D$508,0))),""))</f>
        <v/>
      </c>
      <c r="Y221" s="14" t="str">
        <f>IF(A221="","",IFERROR(INDEX(Jobs!$C$9:$C$258,MATCH(B221,Jobs!$A$9:$A$258,0)),""))</f>
        <v/>
      </c>
      <c r="Z221" s="14" t="str">
        <f>IF(A221="","",IFERROR(INDEX(Jobs!$B$9:$B$258,MATCH(B221,Jobs!$A$9:$A$258,0)),""))</f>
        <v/>
      </c>
      <c r="AA221" s="16" t="str">
        <f>IF(A221="","",IFERROR(VLOOKUP(I221,Lists!$E$9:$F$14,2,FALSE),0))</f>
        <v/>
      </c>
      <c r="AB221" s="16" t="str">
        <f t="shared" si="36"/>
        <v/>
      </c>
      <c r="AC221" s="16" t="str">
        <f t="shared" si="37"/>
        <v/>
      </c>
      <c r="AD221" s="16" t="str">
        <f t="shared" si="38"/>
        <v/>
      </c>
      <c r="AE221" s="16" t="str">
        <f t="shared" si="39"/>
        <v/>
      </c>
      <c r="AF221" s="16" t="str">
        <f t="shared" si="40"/>
        <v/>
      </c>
      <c r="AG221" s="26" t="str">
        <f t="shared" si="41"/>
        <v/>
      </c>
      <c r="AH221" s="16" t="str">
        <f t="shared" si="42"/>
        <v/>
      </c>
      <c r="AI221" s="16" t="str">
        <f t="shared" si="43"/>
        <v/>
      </c>
      <c r="AJ221" s="16" t="str">
        <f t="shared" si="44"/>
        <v/>
      </c>
      <c r="AK221" s="14" t="str">
        <f>IF(AND(A221&lt;&gt;"",F221="Selected"),COUNTIF($F$9:F221,"Selected"),"")</f>
        <v/>
      </c>
      <c r="AL221" s="14" t="str">
        <f>IF(A221="","",COUNTIF($B$9:B221,B221))</f>
        <v/>
      </c>
      <c r="AM221" s="14" t="str">
        <f>IF(A221="","",IF(COUNTIF(Jobs!$A$9:$A$258,B221)&lt;&gt;1,"Check JobID",IF(COUNTIF(Suppliers!$D$9:$D$508,D221)&lt;&gt;1,"Check contact",IF(AA221&lt;=0,"Currency / FX missing",IF(NOT(ISNUMBER(G221)),"Original price missing",IF(G221&lt;0,"Invalid original price",IF(AND(H221&lt;&gt;"",NOT(ISNUMBER(H221))),"Invalid final price",IF(AND(ISNUMBER(H221),H221&lt;0),"Invalid final price",IF(AND(F221="Selected",COUNTIFS($B$9:$B$258,B221,$E$9:$E$258,E221,$F$9:$F$258,"Selected")&gt;1),"Selected scope overlap",IF(AND(ISNUMBER(H221),H221&gt;G221),"Price increased",IF(LEN(H221&amp;"")=0,"Final price pending","OK")))))))))))</f>
        <v/>
      </c>
      <c r="AN221" s="16" t="str">
        <f t="shared" si="45"/>
        <v/>
      </c>
      <c r="AO221" s="14" t="str">
        <f>IF(A221="","",IFERROR(IF(INDEX(Suppliers!$A$9:$A$508,MATCH(D221,Suppliers!$D$9:$D$508,0))=C221,"OK","Contact / supplier mismatch"),"Contact missing"))</f>
        <v/>
      </c>
      <c r="AP221" s="14" t="str">
        <f>IF(OR(A221="",IFERROR(INDEX(Jobs!$P$9:$P$258,MATCH(B221,Jobs!$A$9:$A$258,0)),"")=""),"",HYPERLINK("#'"&amp;IFERROR(INDEX(Jobs!$P$9:$P$258,MATCH(B221,Jobs!$A$9:$A$258,0)),"")&amp;"'!A1","OPEN JOB"))</f>
        <v/>
      </c>
      <c r="AQ221" s="14"/>
      <c r="AR221" s="14"/>
      <c r="AS221" t="str">
        <f t="shared" si="46"/>
        <v/>
      </c>
      <c r="AT221" t="str">
        <f t="shared" si="47"/>
        <v/>
      </c>
    </row>
    <row r="222" spans="1:46" ht="40" customHeight="1" x14ac:dyDescent="0.35">
      <c r="A222" s="18"/>
      <c r="B222" s="37"/>
      <c r="C222" s="18"/>
      <c r="D222" s="15"/>
      <c r="E222" s="15"/>
      <c r="F222" s="15"/>
      <c r="G222" s="24"/>
      <c r="H222" s="24"/>
      <c r="I222" s="15"/>
      <c r="J222" s="17"/>
      <c r="K222" s="17"/>
      <c r="L222" s="17"/>
      <c r="M222" s="15"/>
      <c r="N222" s="15"/>
      <c r="O222" s="15"/>
      <c r="P222" s="15"/>
      <c r="Q222" s="15"/>
      <c r="R222" s="15"/>
      <c r="S222" s="18"/>
      <c r="T222" s="18"/>
      <c r="U222" s="18" t="str">
        <f>IF(A222="","",IFERROR(IF(LEN(INDEX(Suppliers!$B$9:$B$508,MATCH(C222,Suppliers!$A$9:$A$508,0))&amp;"")=0,"",INDEX(Suppliers!$B$9:$B$508,MATCH(C222,Suppliers!$A$9:$A$508,0))),""))</f>
        <v/>
      </c>
      <c r="V222" s="18" t="str">
        <f>IF(A222="","",IFERROR(IF(LEN(INDEX(Suppliers!$E$9:$E$508,MATCH(D222,Suppliers!$D$9:$D$508,0))&amp;"")=0,"",INDEX(Suppliers!$E$9:$E$508,MATCH(D222,Suppliers!$D$9:$D$508,0))),""))</f>
        <v/>
      </c>
      <c r="W222" s="18" t="str">
        <f>IF(A222="","",IFERROR(IF(LEN(INDEX(Suppliers!$F$9:$F$508,MATCH(D222,Suppliers!$D$9:$D$508,0))&amp;"")=0,"",INDEX(Suppliers!$F$9:$F$508,MATCH(D222,Suppliers!$D$9:$D$508,0))),""))</f>
        <v/>
      </c>
      <c r="X222" s="18" t="str">
        <f>IF(A222="","",IFERROR(IF(LEN(INDEX(Suppliers!$G$9:$G$508,MATCH(D222,Suppliers!$D$9:$D$508,0))&amp;"")=0,"",INDEX(Suppliers!$G$9:$G$508,MATCH(D222,Suppliers!$D$9:$D$508,0))),""))</f>
        <v/>
      </c>
      <c r="Y222" s="18" t="str">
        <f>IF(A222="","",IFERROR(INDEX(Jobs!$C$9:$C$258,MATCH(B222,Jobs!$A$9:$A$258,0)),""))</f>
        <v/>
      </c>
      <c r="Z222" s="18" t="str">
        <f>IF(A222="","",IFERROR(INDEX(Jobs!$B$9:$B$258,MATCH(B222,Jobs!$A$9:$A$258,0)),""))</f>
        <v/>
      </c>
      <c r="AA222" s="19" t="str">
        <f>IF(A222="","",IFERROR(VLOOKUP(I222,Lists!$E$9:$F$14,2,FALSE),0))</f>
        <v/>
      </c>
      <c r="AB222" s="19" t="str">
        <f t="shared" si="36"/>
        <v/>
      </c>
      <c r="AC222" s="19" t="str">
        <f t="shared" si="37"/>
        <v/>
      </c>
      <c r="AD222" s="19" t="str">
        <f t="shared" si="38"/>
        <v/>
      </c>
      <c r="AE222" s="19" t="str">
        <f t="shared" si="39"/>
        <v/>
      </c>
      <c r="AF222" s="19" t="str">
        <f t="shared" si="40"/>
        <v/>
      </c>
      <c r="AG222" s="27" t="str">
        <f t="shared" si="41"/>
        <v/>
      </c>
      <c r="AH222" s="19" t="str">
        <f t="shared" si="42"/>
        <v/>
      </c>
      <c r="AI222" s="19" t="str">
        <f t="shared" si="43"/>
        <v/>
      </c>
      <c r="AJ222" s="19" t="str">
        <f t="shared" si="44"/>
        <v/>
      </c>
      <c r="AK222" s="18" t="str">
        <f>IF(AND(A222&lt;&gt;"",F222="Selected"),COUNTIF($F$9:F222,"Selected"),"")</f>
        <v/>
      </c>
      <c r="AL222" s="18" t="str">
        <f>IF(A222="","",COUNTIF($B$9:B222,B222))</f>
        <v/>
      </c>
      <c r="AM222" s="18" t="str">
        <f>IF(A222="","",IF(COUNTIF(Jobs!$A$9:$A$258,B222)&lt;&gt;1,"Check JobID",IF(COUNTIF(Suppliers!$D$9:$D$508,D222)&lt;&gt;1,"Check contact",IF(AA222&lt;=0,"Currency / FX missing",IF(NOT(ISNUMBER(G222)),"Original price missing",IF(G222&lt;0,"Invalid original price",IF(AND(H222&lt;&gt;"",NOT(ISNUMBER(H222))),"Invalid final price",IF(AND(ISNUMBER(H222),H222&lt;0),"Invalid final price",IF(AND(F222="Selected",COUNTIFS($B$9:$B$258,B222,$E$9:$E$258,E222,$F$9:$F$258,"Selected")&gt;1),"Selected scope overlap",IF(AND(ISNUMBER(H222),H222&gt;G222),"Price increased",IF(LEN(H222&amp;"")=0,"Final price pending","OK")))))))))))</f>
        <v/>
      </c>
      <c r="AN222" s="19" t="str">
        <f t="shared" si="45"/>
        <v/>
      </c>
      <c r="AO222" s="18" t="str">
        <f>IF(A222="","",IFERROR(IF(INDEX(Suppliers!$A$9:$A$508,MATCH(D222,Suppliers!$D$9:$D$508,0))=C222,"OK","Contact / supplier mismatch"),"Contact missing"))</f>
        <v/>
      </c>
      <c r="AP222" s="18" t="str">
        <f>IF(OR(A222="",IFERROR(INDEX(Jobs!$P$9:$P$258,MATCH(B222,Jobs!$A$9:$A$258,0)),"")=""),"",HYPERLINK("#'"&amp;IFERROR(INDEX(Jobs!$P$9:$P$258,MATCH(B222,Jobs!$A$9:$A$258,0)),"")&amp;"'!A1","OPEN JOB"))</f>
        <v/>
      </c>
      <c r="AQ222" s="18"/>
      <c r="AR222" s="18"/>
      <c r="AS222" t="str">
        <f t="shared" si="46"/>
        <v/>
      </c>
      <c r="AT222" t="str">
        <f t="shared" si="47"/>
        <v/>
      </c>
    </row>
    <row r="223" spans="1:46" ht="40" customHeight="1" x14ac:dyDescent="0.35">
      <c r="A223" s="14"/>
      <c r="B223" s="37"/>
      <c r="C223" s="14"/>
      <c r="D223" s="15"/>
      <c r="E223" s="15"/>
      <c r="F223" s="15"/>
      <c r="G223" s="24"/>
      <c r="H223" s="24"/>
      <c r="I223" s="15"/>
      <c r="J223" s="17"/>
      <c r="K223" s="17"/>
      <c r="L223" s="17"/>
      <c r="M223" s="15"/>
      <c r="N223" s="15"/>
      <c r="O223" s="15"/>
      <c r="P223" s="15"/>
      <c r="Q223" s="15"/>
      <c r="R223" s="15"/>
      <c r="S223" s="14"/>
      <c r="T223" s="14"/>
      <c r="U223" s="14" t="str">
        <f>IF(A223="","",IFERROR(IF(LEN(INDEX(Suppliers!$B$9:$B$508,MATCH(C223,Suppliers!$A$9:$A$508,0))&amp;"")=0,"",INDEX(Suppliers!$B$9:$B$508,MATCH(C223,Suppliers!$A$9:$A$508,0))),""))</f>
        <v/>
      </c>
      <c r="V223" s="14" t="str">
        <f>IF(A223="","",IFERROR(IF(LEN(INDEX(Suppliers!$E$9:$E$508,MATCH(D223,Suppliers!$D$9:$D$508,0))&amp;"")=0,"",INDEX(Suppliers!$E$9:$E$508,MATCH(D223,Suppliers!$D$9:$D$508,0))),""))</f>
        <v/>
      </c>
      <c r="W223" s="14" t="str">
        <f>IF(A223="","",IFERROR(IF(LEN(INDEX(Suppliers!$F$9:$F$508,MATCH(D223,Suppliers!$D$9:$D$508,0))&amp;"")=0,"",INDEX(Suppliers!$F$9:$F$508,MATCH(D223,Suppliers!$D$9:$D$508,0))),""))</f>
        <v/>
      </c>
      <c r="X223" s="14" t="str">
        <f>IF(A223="","",IFERROR(IF(LEN(INDEX(Suppliers!$G$9:$G$508,MATCH(D223,Suppliers!$D$9:$D$508,0))&amp;"")=0,"",INDEX(Suppliers!$G$9:$G$508,MATCH(D223,Suppliers!$D$9:$D$508,0))),""))</f>
        <v/>
      </c>
      <c r="Y223" s="14" t="str">
        <f>IF(A223="","",IFERROR(INDEX(Jobs!$C$9:$C$258,MATCH(B223,Jobs!$A$9:$A$258,0)),""))</f>
        <v/>
      </c>
      <c r="Z223" s="14" t="str">
        <f>IF(A223="","",IFERROR(INDEX(Jobs!$B$9:$B$258,MATCH(B223,Jobs!$A$9:$A$258,0)),""))</f>
        <v/>
      </c>
      <c r="AA223" s="16" t="str">
        <f>IF(A223="","",IFERROR(VLOOKUP(I223,Lists!$E$9:$F$14,2,FALSE),0))</f>
        <v/>
      </c>
      <c r="AB223" s="16" t="str">
        <f t="shared" si="36"/>
        <v/>
      </c>
      <c r="AC223" s="16" t="str">
        <f t="shared" si="37"/>
        <v/>
      </c>
      <c r="AD223" s="16" t="str">
        <f t="shared" si="38"/>
        <v/>
      </c>
      <c r="AE223" s="16" t="str">
        <f t="shared" si="39"/>
        <v/>
      </c>
      <c r="AF223" s="16" t="str">
        <f t="shared" si="40"/>
        <v/>
      </c>
      <c r="AG223" s="26" t="str">
        <f t="shared" si="41"/>
        <v/>
      </c>
      <c r="AH223" s="16" t="str">
        <f t="shared" si="42"/>
        <v/>
      </c>
      <c r="AI223" s="16" t="str">
        <f t="shared" si="43"/>
        <v/>
      </c>
      <c r="AJ223" s="16" t="str">
        <f t="shared" si="44"/>
        <v/>
      </c>
      <c r="AK223" s="14" t="str">
        <f>IF(AND(A223&lt;&gt;"",F223="Selected"),COUNTIF($F$9:F223,"Selected"),"")</f>
        <v/>
      </c>
      <c r="AL223" s="14" t="str">
        <f>IF(A223="","",COUNTIF($B$9:B223,B223))</f>
        <v/>
      </c>
      <c r="AM223" s="14" t="str">
        <f>IF(A223="","",IF(COUNTIF(Jobs!$A$9:$A$258,B223)&lt;&gt;1,"Check JobID",IF(COUNTIF(Suppliers!$D$9:$D$508,D223)&lt;&gt;1,"Check contact",IF(AA223&lt;=0,"Currency / FX missing",IF(NOT(ISNUMBER(G223)),"Original price missing",IF(G223&lt;0,"Invalid original price",IF(AND(H223&lt;&gt;"",NOT(ISNUMBER(H223))),"Invalid final price",IF(AND(ISNUMBER(H223),H223&lt;0),"Invalid final price",IF(AND(F223="Selected",COUNTIFS($B$9:$B$258,B223,$E$9:$E$258,E223,$F$9:$F$258,"Selected")&gt;1),"Selected scope overlap",IF(AND(ISNUMBER(H223),H223&gt;G223),"Price increased",IF(LEN(H223&amp;"")=0,"Final price pending","OK")))))))))))</f>
        <v/>
      </c>
      <c r="AN223" s="16" t="str">
        <f t="shared" si="45"/>
        <v/>
      </c>
      <c r="AO223" s="14" t="str">
        <f>IF(A223="","",IFERROR(IF(INDEX(Suppliers!$A$9:$A$508,MATCH(D223,Suppliers!$D$9:$D$508,0))=C223,"OK","Contact / supplier mismatch"),"Contact missing"))</f>
        <v/>
      </c>
      <c r="AP223" s="14" t="str">
        <f>IF(OR(A223="",IFERROR(INDEX(Jobs!$P$9:$P$258,MATCH(B223,Jobs!$A$9:$A$258,0)),"")=""),"",HYPERLINK("#'"&amp;IFERROR(INDEX(Jobs!$P$9:$P$258,MATCH(B223,Jobs!$A$9:$A$258,0)),"")&amp;"'!A1","OPEN JOB"))</f>
        <v/>
      </c>
      <c r="AQ223" s="14"/>
      <c r="AR223" s="14"/>
      <c r="AS223" t="str">
        <f t="shared" si="46"/>
        <v/>
      </c>
      <c r="AT223" t="str">
        <f t="shared" si="47"/>
        <v/>
      </c>
    </row>
    <row r="224" spans="1:46" ht="40" customHeight="1" x14ac:dyDescent="0.35">
      <c r="A224" s="18"/>
      <c r="B224" s="37"/>
      <c r="C224" s="18"/>
      <c r="D224" s="15"/>
      <c r="E224" s="15"/>
      <c r="F224" s="15"/>
      <c r="G224" s="24"/>
      <c r="H224" s="24"/>
      <c r="I224" s="15"/>
      <c r="J224" s="17"/>
      <c r="K224" s="17"/>
      <c r="L224" s="17"/>
      <c r="M224" s="15"/>
      <c r="N224" s="15"/>
      <c r="O224" s="15"/>
      <c r="P224" s="15"/>
      <c r="Q224" s="15"/>
      <c r="R224" s="15"/>
      <c r="S224" s="18"/>
      <c r="T224" s="18"/>
      <c r="U224" s="18" t="str">
        <f>IF(A224="","",IFERROR(IF(LEN(INDEX(Suppliers!$B$9:$B$508,MATCH(C224,Suppliers!$A$9:$A$508,0))&amp;"")=0,"",INDEX(Suppliers!$B$9:$B$508,MATCH(C224,Suppliers!$A$9:$A$508,0))),""))</f>
        <v/>
      </c>
      <c r="V224" s="18" t="str">
        <f>IF(A224="","",IFERROR(IF(LEN(INDEX(Suppliers!$E$9:$E$508,MATCH(D224,Suppliers!$D$9:$D$508,0))&amp;"")=0,"",INDEX(Suppliers!$E$9:$E$508,MATCH(D224,Suppliers!$D$9:$D$508,0))),""))</f>
        <v/>
      </c>
      <c r="W224" s="18" t="str">
        <f>IF(A224="","",IFERROR(IF(LEN(INDEX(Suppliers!$F$9:$F$508,MATCH(D224,Suppliers!$D$9:$D$508,0))&amp;"")=0,"",INDEX(Suppliers!$F$9:$F$508,MATCH(D224,Suppliers!$D$9:$D$508,0))),""))</f>
        <v/>
      </c>
      <c r="X224" s="18" t="str">
        <f>IF(A224="","",IFERROR(IF(LEN(INDEX(Suppliers!$G$9:$G$508,MATCH(D224,Suppliers!$D$9:$D$508,0))&amp;"")=0,"",INDEX(Suppliers!$G$9:$G$508,MATCH(D224,Suppliers!$D$9:$D$508,0))),""))</f>
        <v/>
      </c>
      <c r="Y224" s="18" t="str">
        <f>IF(A224="","",IFERROR(INDEX(Jobs!$C$9:$C$258,MATCH(B224,Jobs!$A$9:$A$258,0)),""))</f>
        <v/>
      </c>
      <c r="Z224" s="18" t="str">
        <f>IF(A224="","",IFERROR(INDEX(Jobs!$B$9:$B$258,MATCH(B224,Jobs!$A$9:$A$258,0)),""))</f>
        <v/>
      </c>
      <c r="AA224" s="19" t="str">
        <f>IF(A224="","",IFERROR(VLOOKUP(I224,Lists!$E$9:$F$14,2,FALSE),0))</f>
        <v/>
      </c>
      <c r="AB224" s="19" t="str">
        <f t="shared" si="36"/>
        <v/>
      </c>
      <c r="AC224" s="19" t="str">
        <f t="shared" si="37"/>
        <v/>
      </c>
      <c r="AD224" s="19" t="str">
        <f t="shared" si="38"/>
        <v/>
      </c>
      <c r="AE224" s="19" t="str">
        <f t="shared" si="39"/>
        <v/>
      </c>
      <c r="AF224" s="19" t="str">
        <f t="shared" si="40"/>
        <v/>
      </c>
      <c r="AG224" s="27" t="str">
        <f t="shared" si="41"/>
        <v/>
      </c>
      <c r="AH224" s="19" t="str">
        <f t="shared" si="42"/>
        <v/>
      </c>
      <c r="AI224" s="19" t="str">
        <f t="shared" si="43"/>
        <v/>
      </c>
      <c r="AJ224" s="19" t="str">
        <f t="shared" si="44"/>
        <v/>
      </c>
      <c r="AK224" s="18" t="str">
        <f>IF(AND(A224&lt;&gt;"",F224="Selected"),COUNTIF($F$9:F224,"Selected"),"")</f>
        <v/>
      </c>
      <c r="AL224" s="18" t="str">
        <f>IF(A224="","",COUNTIF($B$9:B224,B224))</f>
        <v/>
      </c>
      <c r="AM224" s="18" t="str">
        <f>IF(A224="","",IF(COUNTIF(Jobs!$A$9:$A$258,B224)&lt;&gt;1,"Check JobID",IF(COUNTIF(Suppliers!$D$9:$D$508,D224)&lt;&gt;1,"Check contact",IF(AA224&lt;=0,"Currency / FX missing",IF(NOT(ISNUMBER(G224)),"Original price missing",IF(G224&lt;0,"Invalid original price",IF(AND(H224&lt;&gt;"",NOT(ISNUMBER(H224))),"Invalid final price",IF(AND(ISNUMBER(H224),H224&lt;0),"Invalid final price",IF(AND(F224="Selected",COUNTIFS($B$9:$B$258,B224,$E$9:$E$258,E224,$F$9:$F$258,"Selected")&gt;1),"Selected scope overlap",IF(AND(ISNUMBER(H224),H224&gt;G224),"Price increased",IF(LEN(H224&amp;"")=0,"Final price pending","OK")))))))))))</f>
        <v/>
      </c>
      <c r="AN224" s="19" t="str">
        <f t="shared" si="45"/>
        <v/>
      </c>
      <c r="AO224" s="18" t="str">
        <f>IF(A224="","",IFERROR(IF(INDEX(Suppliers!$A$9:$A$508,MATCH(D224,Suppliers!$D$9:$D$508,0))=C224,"OK","Contact / supplier mismatch"),"Contact missing"))</f>
        <v/>
      </c>
      <c r="AP224" s="18" t="str">
        <f>IF(OR(A224="",IFERROR(INDEX(Jobs!$P$9:$P$258,MATCH(B224,Jobs!$A$9:$A$258,0)),"")=""),"",HYPERLINK("#'"&amp;IFERROR(INDEX(Jobs!$P$9:$P$258,MATCH(B224,Jobs!$A$9:$A$258,0)),"")&amp;"'!A1","OPEN JOB"))</f>
        <v/>
      </c>
      <c r="AQ224" s="18"/>
      <c r="AR224" s="18"/>
      <c r="AS224" t="str">
        <f t="shared" si="46"/>
        <v/>
      </c>
      <c r="AT224" t="str">
        <f t="shared" si="47"/>
        <v/>
      </c>
    </row>
    <row r="225" spans="1:46" ht="40" customHeight="1" x14ac:dyDescent="0.35">
      <c r="A225" s="14"/>
      <c r="B225" s="37"/>
      <c r="C225" s="14"/>
      <c r="D225" s="15"/>
      <c r="E225" s="15"/>
      <c r="F225" s="15"/>
      <c r="G225" s="24"/>
      <c r="H225" s="24"/>
      <c r="I225" s="15"/>
      <c r="J225" s="17"/>
      <c r="K225" s="17"/>
      <c r="L225" s="17"/>
      <c r="M225" s="15"/>
      <c r="N225" s="15"/>
      <c r="O225" s="15"/>
      <c r="P225" s="15"/>
      <c r="Q225" s="15"/>
      <c r="R225" s="15"/>
      <c r="S225" s="14"/>
      <c r="T225" s="14"/>
      <c r="U225" s="14" t="str">
        <f>IF(A225="","",IFERROR(IF(LEN(INDEX(Suppliers!$B$9:$B$508,MATCH(C225,Suppliers!$A$9:$A$508,0))&amp;"")=0,"",INDEX(Suppliers!$B$9:$B$508,MATCH(C225,Suppliers!$A$9:$A$508,0))),""))</f>
        <v/>
      </c>
      <c r="V225" s="14" t="str">
        <f>IF(A225="","",IFERROR(IF(LEN(INDEX(Suppliers!$E$9:$E$508,MATCH(D225,Suppliers!$D$9:$D$508,0))&amp;"")=0,"",INDEX(Suppliers!$E$9:$E$508,MATCH(D225,Suppliers!$D$9:$D$508,0))),""))</f>
        <v/>
      </c>
      <c r="W225" s="14" t="str">
        <f>IF(A225="","",IFERROR(IF(LEN(INDEX(Suppliers!$F$9:$F$508,MATCH(D225,Suppliers!$D$9:$D$508,0))&amp;"")=0,"",INDEX(Suppliers!$F$9:$F$508,MATCH(D225,Suppliers!$D$9:$D$508,0))),""))</f>
        <v/>
      </c>
      <c r="X225" s="14" t="str">
        <f>IF(A225="","",IFERROR(IF(LEN(INDEX(Suppliers!$G$9:$G$508,MATCH(D225,Suppliers!$D$9:$D$508,0))&amp;"")=0,"",INDEX(Suppliers!$G$9:$G$508,MATCH(D225,Suppliers!$D$9:$D$508,0))),""))</f>
        <v/>
      </c>
      <c r="Y225" s="14" t="str">
        <f>IF(A225="","",IFERROR(INDEX(Jobs!$C$9:$C$258,MATCH(B225,Jobs!$A$9:$A$258,0)),""))</f>
        <v/>
      </c>
      <c r="Z225" s="14" t="str">
        <f>IF(A225="","",IFERROR(INDEX(Jobs!$B$9:$B$258,MATCH(B225,Jobs!$A$9:$A$258,0)),""))</f>
        <v/>
      </c>
      <c r="AA225" s="16" t="str">
        <f>IF(A225="","",IFERROR(VLOOKUP(I225,Lists!$E$9:$F$14,2,FALSE),0))</f>
        <v/>
      </c>
      <c r="AB225" s="16" t="str">
        <f t="shared" si="36"/>
        <v/>
      </c>
      <c r="AC225" s="16" t="str">
        <f t="shared" si="37"/>
        <v/>
      </c>
      <c r="AD225" s="16" t="str">
        <f t="shared" si="38"/>
        <v/>
      </c>
      <c r="AE225" s="16" t="str">
        <f t="shared" si="39"/>
        <v/>
      </c>
      <c r="AF225" s="16" t="str">
        <f t="shared" si="40"/>
        <v/>
      </c>
      <c r="AG225" s="26" t="str">
        <f t="shared" si="41"/>
        <v/>
      </c>
      <c r="AH225" s="16" t="str">
        <f t="shared" si="42"/>
        <v/>
      </c>
      <c r="AI225" s="16" t="str">
        <f t="shared" si="43"/>
        <v/>
      </c>
      <c r="AJ225" s="16" t="str">
        <f t="shared" si="44"/>
        <v/>
      </c>
      <c r="AK225" s="14" t="str">
        <f>IF(AND(A225&lt;&gt;"",F225="Selected"),COUNTIF($F$9:F225,"Selected"),"")</f>
        <v/>
      </c>
      <c r="AL225" s="14" t="str">
        <f>IF(A225="","",COUNTIF($B$9:B225,B225))</f>
        <v/>
      </c>
      <c r="AM225" s="14" t="str">
        <f>IF(A225="","",IF(COUNTIF(Jobs!$A$9:$A$258,B225)&lt;&gt;1,"Check JobID",IF(COUNTIF(Suppliers!$D$9:$D$508,D225)&lt;&gt;1,"Check contact",IF(AA225&lt;=0,"Currency / FX missing",IF(NOT(ISNUMBER(G225)),"Original price missing",IF(G225&lt;0,"Invalid original price",IF(AND(H225&lt;&gt;"",NOT(ISNUMBER(H225))),"Invalid final price",IF(AND(ISNUMBER(H225),H225&lt;0),"Invalid final price",IF(AND(F225="Selected",COUNTIFS($B$9:$B$258,B225,$E$9:$E$258,E225,$F$9:$F$258,"Selected")&gt;1),"Selected scope overlap",IF(AND(ISNUMBER(H225),H225&gt;G225),"Price increased",IF(LEN(H225&amp;"")=0,"Final price pending","OK")))))))))))</f>
        <v/>
      </c>
      <c r="AN225" s="16" t="str">
        <f t="shared" si="45"/>
        <v/>
      </c>
      <c r="AO225" s="14" t="str">
        <f>IF(A225="","",IFERROR(IF(INDEX(Suppliers!$A$9:$A$508,MATCH(D225,Suppliers!$D$9:$D$508,0))=C225,"OK","Contact / supplier mismatch"),"Contact missing"))</f>
        <v/>
      </c>
      <c r="AP225" s="14" t="str">
        <f>IF(OR(A225="",IFERROR(INDEX(Jobs!$P$9:$P$258,MATCH(B225,Jobs!$A$9:$A$258,0)),"")=""),"",HYPERLINK("#'"&amp;IFERROR(INDEX(Jobs!$P$9:$P$258,MATCH(B225,Jobs!$A$9:$A$258,0)),"")&amp;"'!A1","OPEN JOB"))</f>
        <v/>
      </c>
      <c r="AQ225" s="14"/>
      <c r="AR225" s="14"/>
      <c r="AS225" t="str">
        <f t="shared" si="46"/>
        <v/>
      </c>
      <c r="AT225" t="str">
        <f t="shared" si="47"/>
        <v/>
      </c>
    </row>
    <row r="226" spans="1:46" ht="40" customHeight="1" x14ac:dyDescent="0.35">
      <c r="A226" s="18"/>
      <c r="B226" s="37"/>
      <c r="C226" s="18"/>
      <c r="D226" s="15"/>
      <c r="E226" s="15"/>
      <c r="F226" s="15"/>
      <c r="G226" s="24"/>
      <c r="H226" s="24"/>
      <c r="I226" s="15"/>
      <c r="J226" s="17"/>
      <c r="K226" s="17"/>
      <c r="L226" s="17"/>
      <c r="M226" s="15"/>
      <c r="N226" s="15"/>
      <c r="O226" s="15"/>
      <c r="P226" s="15"/>
      <c r="Q226" s="15"/>
      <c r="R226" s="15"/>
      <c r="S226" s="18"/>
      <c r="T226" s="18"/>
      <c r="U226" s="18" t="str">
        <f>IF(A226="","",IFERROR(IF(LEN(INDEX(Suppliers!$B$9:$B$508,MATCH(C226,Suppliers!$A$9:$A$508,0))&amp;"")=0,"",INDEX(Suppliers!$B$9:$B$508,MATCH(C226,Suppliers!$A$9:$A$508,0))),""))</f>
        <v/>
      </c>
      <c r="V226" s="18" t="str">
        <f>IF(A226="","",IFERROR(IF(LEN(INDEX(Suppliers!$E$9:$E$508,MATCH(D226,Suppliers!$D$9:$D$508,0))&amp;"")=0,"",INDEX(Suppliers!$E$9:$E$508,MATCH(D226,Suppliers!$D$9:$D$508,0))),""))</f>
        <v/>
      </c>
      <c r="W226" s="18" t="str">
        <f>IF(A226="","",IFERROR(IF(LEN(INDEX(Suppliers!$F$9:$F$508,MATCH(D226,Suppliers!$D$9:$D$508,0))&amp;"")=0,"",INDEX(Suppliers!$F$9:$F$508,MATCH(D226,Suppliers!$D$9:$D$508,0))),""))</f>
        <v/>
      </c>
      <c r="X226" s="18" t="str">
        <f>IF(A226="","",IFERROR(IF(LEN(INDEX(Suppliers!$G$9:$G$508,MATCH(D226,Suppliers!$D$9:$D$508,0))&amp;"")=0,"",INDEX(Suppliers!$G$9:$G$508,MATCH(D226,Suppliers!$D$9:$D$508,0))),""))</f>
        <v/>
      </c>
      <c r="Y226" s="18" t="str">
        <f>IF(A226="","",IFERROR(INDEX(Jobs!$C$9:$C$258,MATCH(B226,Jobs!$A$9:$A$258,0)),""))</f>
        <v/>
      </c>
      <c r="Z226" s="18" t="str">
        <f>IF(A226="","",IFERROR(INDEX(Jobs!$B$9:$B$258,MATCH(B226,Jobs!$A$9:$A$258,0)),""))</f>
        <v/>
      </c>
      <c r="AA226" s="19" t="str">
        <f>IF(A226="","",IFERROR(VLOOKUP(I226,Lists!$E$9:$F$14,2,FALSE),0))</f>
        <v/>
      </c>
      <c r="AB226" s="19" t="str">
        <f t="shared" si="36"/>
        <v/>
      </c>
      <c r="AC226" s="19" t="str">
        <f t="shared" si="37"/>
        <v/>
      </c>
      <c r="AD226" s="19" t="str">
        <f t="shared" si="38"/>
        <v/>
      </c>
      <c r="AE226" s="19" t="str">
        <f t="shared" si="39"/>
        <v/>
      </c>
      <c r="AF226" s="19" t="str">
        <f t="shared" si="40"/>
        <v/>
      </c>
      <c r="AG226" s="27" t="str">
        <f t="shared" si="41"/>
        <v/>
      </c>
      <c r="AH226" s="19" t="str">
        <f t="shared" si="42"/>
        <v/>
      </c>
      <c r="AI226" s="19" t="str">
        <f t="shared" si="43"/>
        <v/>
      </c>
      <c r="AJ226" s="19" t="str">
        <f t="shared" si="44"/>
        <v/>
      </c>
      <c r="AK226" s="18" t="str">
        <f>IF(AND(A226&lt;&gt;"",F226="Selected"),COUNTIF($F$9:F226,"Selected"),"")</f>
        <v/>
      </c>
      <c r="AL226" s="18" t="str">
        <f>IF(A226="","",COUNTIF($B$9:B226,B226))</f>
        <v/>
      </c>
      <c r="AM226" s="18" t="str">
        <f>IF(A226="","",IF(COUNTIF(Jobs!$A$9:$A$258,B226)&lt;&gt;1,"Check JobID",IF(COUNTIF(Suppliers!$D$9:$D$508,D226)&lt;&gt;1,"Check contact",IF(AA226&lt;=0,"Currency / FX missing",IF(NOT(ISNUMBER(G226)),"Original price missing",IF(G226&lt;0,"Invalid original price",IF(AND(H226&lt;&gt;"",NOT(ISNUMBER(H226))),"Invalid final price",IF(AND(ISNUMBER(H226),H226&lt;0),"Invalid final price",IF(AND(F226="Selected",COUNTIFS($B$9:$B$258,B226,$E$9:$E$258,E226,$F$9:$F$258,"Selected")&gt;1),"Selected scope overlap",IF(AND(ISNUMBER(H226),H226&gt;G226),"Price increased",IF(LEN(H226&amp;"")=0,"Final price pending","OK")))))))))))</f>
        <v/>
      </c>
      <c r="AN226" s="19" t="str">
        <f t="shared" si="45"/>
        <v/>
      </c>
      <c r="AO226" s="18" t="str">
        <f>IF(A226="","",IFERROR(IF(INDEX(Suppliers!$A$9:$A$508,MATCH(D226,Suppliers!$D$9:$D$508,0))=C226,"OK","Contact / supplier mismatch"),"Contact missing"))</f>
        <v/>
      </c>
      <c r="AP226" s="18" t="str">
        <f>IF(OR(A226="",IFERROR(INDEX(Jobs!$P$9:$P$258,MATCH(B226,Jobs!$A$9:$A$258,0)),"")=""),"",HYPERLINK("#'"&amp;IFERROR(INDEX(Jobs!$P$9:$P$258,MATCH(B226,Jobs!$A$9:$A$258,0)),"")&amp;"'!A1","OPEN JOB"))</f>
        <v/>
      </c>
      <c r="AQ226" s="18"/>
      <c r="AR226" s="18"/>
      <c r="AS226" t="str">
        <f t="shared" si="46"/>
        <v/>
      </c>
      <c r="AT226" t="str">
        <f t="shared" si="47"/>
        <v/>
      </c>
    </row>
    <row r="227" spans="1:46" ht="40" customHeight="1" x14ac:dyDescent="0.35">
      <c r="A227" s="14"/>
      <c r="B227" s="37"/>
      <c r="C227" s="14"/>
      <c r="D227" s="15"/>
      <c r="E227" s="15"/>
      <c r="F227" s="15"/>
      <c r="G227" s="24"/>
      <c r="H227" s="24"/>
      <c r="I227" s="15"/>
      <c r="J227" s="17"/>
      <c r="K227" s="17"/>
      <c r="L227" s="17"/>
      <c r="M227" s="15"/>
      <c r="N227" s="15"/>
      <c r="O227" s="15"/>
      <c r="P227" s="15"/>
      <c r="Q227" s="15"/>
      <c r="R227" s="15"/>
      <c r="S227" s="14"/>
      <c r="T227" s="14"/>
      <c r="U227" s="14" t="str">
        <f>IF(A227="","",IFERROR(IF(LEN(INDEX(Suppliers!$B$9:$B$508,MATCH(C227,Suppliers!$A$9:$A$508,0))&amp;"")=0,"",INDEX(Suppliers!$B$9:$B$508,MATCH(C227,Suppliers!$A$9:$A$508,0))),""))</f>
        <v/>
      </c>
      <c r="V227" s="14" t="str">
        <f>IF(A227="","",IFERROR(IF(LEN(INDEX(Suppliers!$E$9:$E$508,MATCH(D227,Suppliers!$D$9:$D$508,0))&amp;"")=0,"",INDEX(Suppliers!$E$9:$E$508,MATCH(D227,Suppliers!$D$9:$D$508,0))),""))</f>
        <v/>
      </c>
      <c r="W227" s="14" t="str">
        <f>IF(A227="","",IFERROR(IF(LEN(INDEX(Suppliers!$F$9:$F$508,MATCH(D227,Suppliers!$D$9:$D$508,0))&amp;"")=0,"",INDEX(Suppliers!$F$9:$F$508,MATCH(D227,Suppliers!$D$9:$D$508,0))),""))</f>
        <v/>
      </c>
      <c r="X227" s="14" t="str">
        <f>IF(A227="","",IFERROR(IF(LEN(INDEX(Suppliers!$G$9:$G$508,MATCH(D227,Suppliers!$D$9:$D$508,0))&amp;"")=0,"",INDEX(Suppliers!$G$9:$G$508,MATCH(D227,Suppliers!$D$9:$D$508,0))),""))</f>
        <v/>
      </c>
      <c r="Y227" s="14" t="str">
        <f>IF(A227="","",IFERROR(INDEX(Jobs!$C$9:$C$258,MATCH(B227,Jobs!$A$9:$A$258,0)),""))</f>
        <v/>
      </c>
      <c r="Z227" s="14" t="str">
        <f>IF(A227="","",IFERROR(INDEX(Jobs!$B$9:$B$258,MATCH(B227,Jobs!$A$9:$A$258,0)),""))</f>
        <v/>
      </c>
      <c r="AA227" s="16" t="str">
        <f>IF(A227="","",IFERROR(VLOOKUP(I227,Lists!$E$9:$F$14,2,FALSE),0))</f>
        <v/>
      </c>
      <c r="AB227" s="16" t="str">
        <f t="shared" si="36"/>
        <v/>
      </c>
      <c r="AC227" s="16" t="str">
        <f t="shared" si="37"/>
        <v/>
      </c>
      <c r="AD227" s="16" t="str">
        <f t="shared" si="38"/>
        <v/>
      </c>
      <c r="AE227" s="16" t="str">
        <f t="shared" si="39"/>
        <v/>
      </c>
      <c r="AF227" s="16" t="str">
        <f t="shared" si="40"/>
        <v/>
      </c>
      <c r="AG227" s="26" t="str">
        <f t="shared" si="41"/>
        <v/>
      </c>
      <c r="AH227" s="16" t="str">
        <f t="shared" si="42"/>
        <v/>
      </c>
      <c r="AI227" s="16" t="str">
        <f t="shared" si="43"/>
        <v/>
      </c>
      <c r="AJ227" s="16" t="str">
        <f t="shared" si="44"/>
        <v/>
      </c>
      <c r="AK227" s="14" t="str">
        <f>IF(AND(A227&lt;&gt;"",F227="Selected"),COUNTIF($F$9:F227,"Selected"),"")</f>
        <v/>
      </c>
      <c r="AL227" s="14" t="str">
        <f>IF(A227="","",COUNTIF($B$9:B227,B227))</f>
        <v/>
      </c>
      <c r="AM227" s="14" t="str">
        <f>IF(A227="","",IF(COUNTIF(Jobs!$A$9:$A$258,B227)&lt;&gt;1,"Check JobID",IF(COUNTIF(Suppliers!$D$9:$D$508,D227)&lt;&gt;1,"Check contact",IF(AA227&lt;=0,"Currency / FX missing",IF(NOT(ISNUMBER(G227)),"Original price missing",IF(G227&lt;0,"Invalid original price",IF(AND(H227&lt;&gt;"",NOT(ISNUMBER(H227))),"Invalid final price",IF(AND(ISNUMBER(H227),H227&lt;0),"Invalid final price",IF(AND(F227="Selected",COUNTIFS($B$9:$B$258,B227,$E$9:$E$258,E227,$F$9:$F$258,"Selected")&gt;1),"Selected scope overlap",IF(AND(ISNUMBER(H227),H227&gt;G227),"Price increased",IF(LEN(H227&amp;"")=0,"Final price pending","OK")))))))))))</f>
        <v/>
      </c>
      <c r="AN227" s="16" t="str">
        <f t="shared" si="45"/>
        <v/>
      </c>
      <c r="AO227" s="14" t="str">
        <f>IF(A227="","",IFERROR(IF(INDEX(Suppliers!$A$9:$A$508,MATCH(D227,Suppliers!$D$9:$D$508,0))=C227,"OK","Contact / supplier mismatch"),"Contact missing"))</f>
        <v/>
      </c>
      <c r="AP227" s="14" t="str">
        <f>IF(OR(A227="",IFERROR(INDEX(Jobs!$P$9:$P$258,MATCH(B227,Jobs!$A$9:$A$258,0)),"")=""),"",HYPERLINK("#'"&amp;IFERROR(INDEX(Jobs!$P$9:$P$258,MATCH(B227,Jobs!$A$9:$A$258,0)),"")&amp;"'!A1","OPEN JOB"))</f>
        <v/>
      </c>
      <c r="AQ227" s="14"/>
      <c r="AR227" s="14"/>
      <c r="AS227" t="str">
        <f t="shared" si="46"/>
        <v/>
      </c>
      <c r="AT227" t="str">
        <f t="shared" si="47"/>
        <v/>
      </c>
    </row>
    <row r="228" spans="1:46" ht="40" customHeight="1" x14ac:dyDescent="0.35">
      <c r="A228" s="18"/>
      <c r="B228" s="37"/>
      <c r="C228" s="18"/>
      <c r="D228" s="15"/>
      <c r="E228" s="15"/>
      <c r="F228" s="15"/>
      <c r="G228" s="24"/>
      <c r="H228" s="24"/>
      <c r="I228" s="15"/>
      <c r="J228" s="17"/>
      <c r="K228" s="17"/>
      <c r="L228" s="17"/>
      <c r="M228" s="15"/>
      <c r="N228" s="15"/>
      <c r="O228" s="15"/>
      <c r="P228" s="15"/>
      <c r="Q228" s="15"/>
      <c r="R228" s="15"/>
      <c r="S228" s="18"/>
      <c r="T228" s="18"/>
      <c r="U228" s="18" t="str">
        <f>IF(A228="","",IFERROR(IF(LEN(INDEX(Suppliers!$B$9:$B$508,MATCH(C228,Suppliers!$A$9:$A$508,0))&amp;"")=0,"",INDEX(Suppliers!$B$9:$B$508,MATCH(C228,Suppliers!$A$9:$A$508,0))),""))</f>
        <v/>
      </c>
      <c r="V228" s="18" t="str">
        <f>IF(A228="","",IFERROR(IF(LEN(INDEX(Suppliers!$E$9:$E$508,MATCH(D228,Suppliers!$D$9:$D$508,0))&amp;"")=0,"",INDEX(Suppliers!$E$9:$E$508,MATCH(D228,Suppliers!$D$9:$D$508,0))),""))</f>
        <v/>
      </c>
      <c r="W228" s="18" t="str">
        <f>IF(A228="","",IFERROR(IF(LEN(INDEX(Suppliers!$F$9:$F$508,MATCH(D228,Suppliers!$D$9:$D$508,0))&amp;"")=0,"",INDEX(Suppliers!$F$9:$F$508,MATCH(D228,Suppliers!$D$9:$D$508,0))),""))</f>
        <v/>
      </c>
      <c r="X228" s="18" t="str">
        <f>IF(A228="","",IFERROR(IF(LEN(INDEX(Suppliers!$G$9:$G$508,MATCH(D228,Suppliers!$D$9:$D$508,0))&amp;"")=0,"",INDEX(Suppliers!$G$9:$G$508,MATCH(D228,Suppliers!$D$9:$D$508,0))),""))</f>
        <v/>
      </c>
      <c r="Y228" s="18" t="str">
        <f>IF(A228="","",IFERROR(INDEX(Jobs!$C$9:$C$258,MATCH(B228,Jobs!$A$9:$A$258,0)),""))</f>
        <v/>
      </c>
      <c r="Z228" s="18" t="str">
        <f>IF(A228="","",IFERROR(INDEX(Jobs!$B$9:$B$258,MATCH(B228,Jobs!$A$9:$A$258,0)),""))</f>
        <v/>
      </c>
      <c r="AA228" s="19" t="str">
        <f>IF(A228="","",IFERROR(VLOOKUP(I228,Lists!$E$9:$F$14,2,FALSE),0))</f>
        <v/>
      </c>
      <c r="AB228" s="19" t="str">
        <f t="shared" si="36"/>
        <v/>
      </c>
      <c r="AC228" s="19" t="str">
        <f t="shared" si="37"/>
        <v/>
      </c>
      <c r="AD228" s="19" t="str">
        <f t="shared" si="38"/>
        <v/>
      </c>
      <c r="AE228" s="19" t="str">
        <f t="shared" si="39"/>
        <v/>
      </c>
      <c r="AF228" s="19" t="str">
        <f t="shared" si="40"/>
        <v/>
      </c>
      <c r="AG228" s="27" t="str">
        <f t="shared" si="41"/>
        <v/>
      </c>
      <c r="AH228" s="19" t="str">
        <f t="shared" si="42"/>
        <v/>
      </c>
      <c r="AI228" s="19" t="str">
        <f t="shared" si="43"/>
        <v/>
      </c>
      <c r="AJ228" s="19" t="str">
        <f t="shared" si="44"/>
        <v/>
      </c>
      <c r="AK228" s="18" t="str">
        <f>IF(AND(A228&lt;&gt;"",F228="Selected"),COUNTIF($F$9:F228,"Selected"),"")</f>
        <v/>
      </c>
      <c r="AL228" s="18" t="str">
        <f>IF(A228="","",COUNTIF($B$9:B228,B228))</f>
        <v/>
      </c>
      <c r="AM228" s="18" t="str">
        <f>IF(A228="","",IF(COUNTIF(Jobs!$A$9:$A$258,B228)&lt;&gt;1,"Check JobID",IF(COUNTIF(Suppliers!$D$9:$D$508,D228)&lt;&gt;1,"Check contact",IF(AA228&lt;=0,"Currency / FX missing",IF(NOT(ISNUMBER(G228)),"Original price missing",IF(G228&lt;0,"Invalid original price",IF(AND(H228&lt;&gt;"",NOT(ISNUMBER(H228))),"Invalid final price",IF(AND(ISNUMBER(H228),H228&lt;0),"Invalid final price",IF(AND(F228="Selected",COUNTIFS($B$9:$B$258,B228,$E$9:$E$258,E228,$F$9:$F$258,"Selected")&gt;1),"Selected scope overlap",IF(AND(ISNUMBER(H228),H228&gt;G228),"Price increased",IF(LEN(H228&amp;"")=0,"Final price pending","OK")))))))))))</f>
        <v/>
      </c>
      <c r="AN228" s="19" t="str">
        <f t="shared" si="45"/>
        <v/>
      </c>
      <c r="AO228" s="18" t="str">
        <f>IF(A228="","",IFERROR(IF(INDEX(Suppliers!$A$9:$A$508,MATCH(D228,Suppliers!$D$9:$D$508,0))=C228,"OK","Contact / supplier mismatch"),"Contact missing"))</f>
        <v/>
      </c>
      <c r="AP228" s="18" t="str">
        <f>IF(OR(A228="",IFERROR(INDEX(Jobs!$P$9:$P$258,MATCH(B228,Jobs!$A$9:$A$258,0)),"")=""),"",HYPERLINK("#'"&amp;IFERROR(INDEX(Jobs!$P$9:$P$258,MATCH(B228,Jobs!$A$9:$A$258,0)),"")&amp;"'!A1","OPEN JOB"))</f>
        <v/>
      </c>
      <c r="AQ228" s="18"/>
      <c r="AR228" s="18"/>
      <c r="AS228" t="str">
        <f t="shared" si="46"/>
        <v/>
      </c>
      <c r="AT228" t="str">
        <f t="shared" si="47"/>
        <v/>
      </c>
    </row>
    <row r="229" spans="1:46" ht="40" customHeight="1" x14ac:dyDescent="0.35">
      <c r="A229" s="14"/>
      <c r="B229" s="37"/>
      <c r="C229" s="14"/>
      <c r="D229" s="15"/>
      <c r="E229" s="15"/>
      <c r="F229" s="15"/>
      <c r="G229" s="24"/>
      <c r="H229" s="24"/>
      <c r="I229" s="15"/>
      <c r="J229" s="17"/>
      <c r="K229" s="17"/>
      <c r="L229" s="17"/>
      <c r="M229" s="15"/>
      <c r="N229" s="15"/>
      <c r="O229" s="15"/>
      <c r="P229" s="15"/>
      <c r="Q229" s="15"/>
      <c r="R229" s="15"/>
      <c r="S229" s="14"/>
      <c r="T229" s="14"/>
      <c r="U229" s="14" t="str">
        <f>IF(A229="","",IFERROR(IF(LEN(INDEX(Suppliers!$B$9:$B$508,MATCH(C229,Suppliers!$A$9:$A$508,0))&amp;"")=0,"",INDEX(Suppliers!$B$9:$B$508,MATCH(C229,Suppliers!$A$9:$A$508,0))),""))</f>
        <v/>
      </c>
      <c r="V229" s="14" t="str">
        <f>IF(A229="","",IFERROR(IF(LEN(INDEX(Suppliers!$E$9:$E$508,MATCH(D229,Suppliers!$D$9:$D$508,0))&amp;"")=0,"",INDEX(Suppliers!$E$9:$E$508,MATCH(D229,Suppliers!$D$9:$D$508,0))),""))</f>
        <v/>
      </c>
      <c r="W229" s="14" t="str">
        <f>IF(A229="","",IFERROR(IF(LEN(INDEX(Suppliers!$F$9:$F$508,MATCH(D229,Suppliers!$D$9:$D$508,0))&amp;"")=0,"",INDEX(Suppliers!$F$9:$F$508,MATCH(D229,Suppliers!$D$9:$D$508,0))),""))</f>
        <v/>
      </c>
      <c r="X229" s="14" t="str">
        <f>IF(A229="","",IFERROR(IF(LEN(INDEX(Suppliers!$G$9:$G$508,MATCH(D229,Suppliers!$D$9:$D$508,0))&amp;"")=0,"",INDEX(Suppliers!$G$9:$G$508,MATCH(D229,Suppliers!$D$9:$D$508,0))),""))</f>
        <v/>
      </c>
      <c r="Y229" s="14" t="str">
        <f>IF(A229="","",IFERROR(INDEX(Jobs!$C$9:$C$258,MATCH(B229,Jobs!$A$9:$A$258,0)),""))</f>
        <v/>
      </c>
      <c r="Z229" s="14" t="str">
        <f>IF(A229="","",IFERROR(INDEX(Jobs!$B$9:$B$258,MATCH(B229,Jobs!$A$9:$A$258,0)),""))</f>
        <v/>
      </c>
      <c r="AA229" s="16" t="str">
        <f>IF(A229="","",IFERROR(VLOOKUP(I229,Lists!$E$9:$F$14,2,FALSE),0))</f>
        <v/>
      </c>
      <c r="AB229" s="16" t="str">
        <f t="shared" si="36"/>
        <v/>
      </c>
      <c r="AC229" s="16" t="str">
        <f t="shared" si="37"/>
        <v/>
      </c>
      <c r="AD229" s="16" t="str">
        <f t="shared" si="38"/>
        <v/>
      </c>
      <c r="AE229" s="16" t="str">
        <f t="shared" si="39"/>
        <v/>
      </c>
      <c r="AF229" s="16" t="str">
        <f t="shared" si="40"/>
        <v/>
      </c>
      <c r="AG229" s="26" t="str">
        <f t="shared" si="41"/>
        <v/>
      </c>
      <c r="AH229" s="16" t="str">
        <f t="shared" si="42"/>
        <v/>
      </c>
      <c r="AI229" s="16" t="str">
        <f t="shared" si="43"/>
        <v/>
      </c>
      <c r="AJ229" s="16" t="str">
        <f t="shared" si="44"/>
        <v/>
      </c>
      <c r="AK229" s="14" t="str">
        <f>IF(AND(A229&lt;&gt;"",F229="Selected"),COUNTIF($F$9:F229,"Selected"),"")</f>
        <v/>
      </c>
      <c r="AL229" s="14" t="str">
        <f>IF(A229="","",COUNTIF($B$9:B229,B229))</f>
        <v/>
      </c>
      <c r="AM229" s="14" t="str">
        <f>IF(A229="","",IF(COUNTIF(Jobs!$A$9:$A$258,B229)&lt;&gt;1,"Check JobID",IF(COUNTIF(Suppliers!$D$9:$D$508,D229)&lt;&gt;1,"Check contact",IF(AA229&lt;=0,"Currency / FX missing",IF(NOT(ISNUMBER(G229)),"Original price missing",IF(G229&lt;0,"Invalid original price",IF(AND(H229&lt;&gt;"",NOT(ISNUMBER(H229))),"Invalid final price",IF(AND(ISNUMBER(H229),H229&lt;0),"Invalid final price",IF(AND(F229="Selected",COUNTIFS($B$9:$B$258,B229,$E$9:$E$258,E229,$F$9:$F$258,"Selected")&gt;1),"Selected scope overlap",IF(AND(ISNUMBER(H229),H229&gt;G229),"Price increased",IF(LEN(H229&amp;"")=0,"Final price pending","OK")))))))))))</f>
        <v/>
      </c>
      <c r="AN229" s="16" t="str">
        <f t="shared" si="45"/>
        <v/>
      </c>
      <c r="AO229" s="14" t="str">
        <f>IF(A229="","",IFERROR(IF(INDEX(Suppliers!$A$9:$A$508,MATCH(D229,Suppliers!$D$9:$D$508,0))=C229,"OK","Contact / supplier mismatch"),"Contact missing"))</f>
        <v/>
      </c>
      <c r="AP229" s="14" t="str">
        <f>IF(OR(A229="",IFERROR(INDEX(Jobs!$P$9:$P$258,MATCH(B229,Jobs!$A$9:$A$258,0)),"")=""),"",HYPERLINK("#'"&amp;IFERROR(INDEX(Jobs!$P$9:$P$258,MATCH(B229,Jobs!$A$9:$A$258,0)),"")&amp;"'!A1","OPEN JOB"))</f>
        <v/>
      </c>
      <c r="AQ229" s="14"/>
      <c r="AR229" s="14"/>
      <c r="AS229" t="str">
        <f t="shared" si="46"/>
        <v/>
      </c>
      <c r="AT229" t="str">
        <f t="shared" si="47"/>
        <v/>
      </c>
    </row>
    <row r="230" spans="1:46" ht="40" customHeight="1" x14ac:dyDescent="0.35">
      <c r="A230" s="18"/>
      <c r="B230" s="37"/>
      <c r="C230" s="18"/>
      <c r="D230" s="15"/>
      <c r="E230" s="15"/>
      <c r="F230" s="15"/>
      <c r="G230" s="24"/>
      <c r="H230" s="24"/>
      <c r="I230" s="15"/>
      <c r="J230" s="17"/>
      <c r="K230" s="17"/>
      <c r="L230" s="17"/>
      <c r="M230" s="15"/>
      <c r="N230" s="15"/>
      <c r="O230" s="15"/>
      <c r="P230" s="15"/>
      <c r="Q230" s="15"/>
      <c r="R230" s="15"/>
      <c r="S230" s="18"/>
      <c r="T230" s="18"/>
      <c r="U230" s="18" t="str">
        <f>IF(A230="","",IFERROR(IF(LEN(INDEX(Suppliers!$B$9:$B$508,MATCH(C230,Suppliers!$A$9:$A$508,0))&amp;"")=0,"",INDEX(Suppliers!$B$9:$B$508,MATCH(C230,Suppliers!$A$9:$A$508,0))),""))</f>
        <v/>
      </c>
      <c r="V230" s="18" t="str">
        <f>IF(A230="","",IFERROR(IF(LEN(INDEX(Suppliers!$E$9:$E$508,MATCH(D230,Suppliers!$D$9:$D$508,0))&amp;"")=0,"",INDEX(Suppliers!$E$9:$E$508,MATCH(D230,Suppliers!$D$9:$D$508,0))),""))</f>
        <v/>
      </c>
      <c r="W230" s="18" t="str">
        <f>IF(A230="","",IFERROR(IF(LEN(INDEX(Suppliers!$F$9:$F$508,MATCH(D230,Suppliers!$D$9:$D$508,0))&amp;"")=0,"",INDEX(Suppliers!$F$9:$F$508,MATCH(D230,Suppliers!$D$9:$D$508,0))),""))</f>
        <v/>
      </c>
      <c r="X230" s="18" t="str">
        <f>IF(A230="","",IFERROR(IF(LEN(INDEX(Suppliers!$G$9:$G$508,MATCH(D230,Suppliers!$D$9:$D$508,0))&amp;"")=0,"",INDEX(Suppliers!$G$9:$G$508,MATCH(D230,Suppliers!$D$9:$D$508,0))),""))</f>
        <v/>
      </c>
      <c r="Y230" s="18" t="str">
        <f>IF(A230="","",IFERROR(INDEX(Jobs!$C$9:$C$258,MATCH(B230,Jobs!$A$9:$A$258,0)),""))</f>
        <v/>
      </c>
      <c r="Z230" s="18" t="str">
        <f>IF(A230="","",IFERROR(INDEX(Jobs!$B$9:$B$258,MATCH(B230,Jobs!$A$9:$A$258,0)),""))</f>
        <v/>
      </c>
      <c r="AA230" s="19" t="str">
        <f>IF(A230="","",IFERROR(VLOOKUP(I230,Lists!$E$9:$F$14,2,FALSE),0))</f>
        <v/>
      </c>
      <c r="AB230" s="19" t="str">
        <f t="shared" si="36"/>
        <v/>
      </c>
      <c r="AC230" s="19" t="str">
        <f t="shared" si="37"/>
        <v/>
      </c>
      <c r="AD230" s="19" t="str">
        <f t="shared" si="38"/>
        <v/>
      </c>
      <c r="AE230" s="19" t="str">
        <f t="shared" si="39"/>
        <v/>
      </c>
      <c r="AF230" s="19" t="str">
        <f t="shared" si="40"/>
        <v/>
      </c>
      <c r="AG230" s="27" t="str">
        <f t="shared" si="41"/>
        <v/>
      </c>
      <c r="AH230" s="19" t="str">
        <f t="shared" si="42"/>
        <v/>
      </c>
      <c r="AI230" s="19" t="str">
        <f t="shared" si="43"/>
        <v/>
      </c>
      <c r="AJ230" s="19" t="str">
        <f t="shared" si="44"/>
        <v/>
      </c>
      <c r="AK230" s="18" t="str">
        <f>IF(AND(A230&lt;&gt;"",F230="Selected"),COUNTIF($F$9:F230,"Selected"),"")</f>
        <v/>
      </c>
      <c r="AL230" s="18" t="str">
        <f>IF(A230="","",COUNTIF($B$9:B230,B230))</f>
        <v/>
      </c>
      <c r="AM230" s="18" t="str">
        <f>IF(A230="","",IF(COUNTIF(Jobs!$A$9:$A$258,B230)&lt;&gt;1,"Check JobID",IF(COUNTIF(Suppliers!$D$9:$D$508,D230)&lt;&gt;1,"Check contact",IF(AA230&lt;=0,"Currency / FX missing",IF(NOT(ISNUMBER(G230)),"Original price missing",IF(G230&lt;0,"Invalid original price",IF(AND(H230&lt;&gt;"",NOT(ISNUMBER(H230))),"Invalid final price",IF(AND(ISNUMBER(H230),H230&lt;0),"Invalid final price",IF(AND(F230="Selected",COUNTIFS($B$9:$B$258,B230,$E$9:$E$258,E230,$F$9:$F$258,"Selected")&gt;1),"Selected scope overlap",IF(AND(ISNUMBER(H230),H230&gt;G230),"Price increased",IF(LEN(H230&amp;"")=0,"Final price pending","OK")))))))))))</f>
        <v/>
      </c>
      <c r="AN230" s="19" t="str">
        <f t="shared" si="45"/>
        <v/>
      </c>
      <c r="AO230" s="18" t="str">
        <f>IF(A230="","",IFERROR(IF(INDEX(Suppliers!$A$9:$A$508,MATCH(D230,Suppliers!$D$9:$D$508,0))=C230,"OK","Contact / supplier mismatch"),"Contact missing"))</f>
        <v/>
      </c>
      <c r="AP230" s="18" t="str">
        <f>IF(OR(A230="",IFERROR(INDEX(Jobs!$P$9:$P$258,MATCH(B230,Jobs!$A$9:$A$258,0)),"")=""),"",HYPERLINK("#'"&amp;IFERROR(INDEX(Jobs!$P$9:$P$258,MATCH(B230,Jobs!$A$9:$A$258,0)),"")&amp;"'!A1","OPEN JOB"))</f>
        <v/>
      </c>
      <c r="AQ230" s="18"/>
      <c r="AR230" s="18"/>
      <c r="AS230" t="str">
        <f t="shared" si="46"/>
        <v/>
      </c>
      <c r="AT230" t="str">
        <f t="shared" si="47"/>
        <v/>
      </c>
    </row>
    <row r="231" spans="1:46" ht="40" customHeight="1" x14ac:dyDescent="0.35">
      <c r="A231" s="14"/>
      <c r="B231" s="37"/>
      <c r="C231" s="14"/>
      <c r="D231" s="15"/>
      <c r="E231" s="15"/>
      <c r="F231" s="15"/>
      <c r="G231" s="24"/>
      <c r="H231" s="24"/>
      <c r="I231" s="15"/>
      <c r="J231" s="17"/>
      <c r="K231" s="17"/>
      <c r="L231" s="17"/>
      <c r="M231" s="15"/>
      <c r="N231" s="15"/>
      <c r="O231" s="15"/>
      <c r="P231" s="15"/>
      <c r="Q231" s="15"/>
      <c r="R231" s="15"/>
      <c r="S231" s="14"/>
      <c r="T231" s="14"/>
      <c r="U231" s="14" t="str">
        <f>IF(A231="","",IFERROR(IF(LEN(INDEX(Suppliers!$B$9:$B$508,MATCH(C231,Suppliers!$A$9:$A$508,0))&amp;"")=0,"",INDEX(Suppliers!$B$9:$B$508,MATCH(C231,Suppliers!$A$9:$A$508,0))),""))</f>
        <v/>
      </c>
      <c r="V231" s="14" t="str">
        <f>IF(A231="","",IFERROR(IF(LEN(INDEX(Suppliers!$E$9:$E$508,MATCH(D231,Suppliers!$D$9:$D$508,0))&amp;"")=0,"",INDEX(Suppliers!$E$9:$E$508,MATCH(D231,Suppliers!$D$9:$D$508,0))),""))</f>
        <v/>
      </c>
      <c r="W231" s="14" t="str">
        <f>IF(A231="","",IFERROR(IF(LEN(INDEX(Suppliers!$F$9:$F$508,MATCH(D231,Suppliers!$D$9:$D$508,0))&amp;"")=0,"",INDEX(Suppliers!$F$9:$F$508,MATCH(D231,Suppliers!$D$9:$D$508,0))),""))</f>
        <v/>
      </c>
      <c r="X231" s="14" t="str">
        <f>IF(A231="","",IFERROR(IF(LEN(INDEX(Suppliers!$G$9:$G$508,MATCH(D231,Suppliers!$D$9:$D$508,0))&amp;"")=0,"",INDEX(Suppliers!$G$9:$G$508,MATCH(D231,Suppliers!$D$9:$D$508,0))),""))</f>
        <v/>
      </c>
      <c r="Y231" s="14" t="str">
        <f>IF(A231="","",IFERROR(INDEX(Jobs!$C$9:$C$258,MATCH(B231,Jobs!$A$9:$A$258,0)),""))</f>
        <v/>
      </c>
      <c r="Z231" s="14" t="str">
        <f>IF(A231="","",IFERROR(INDEX(Jobs!$B$9:$B$258,MATCH(B231,Jobs!$A$9:$A$258,0)),""))</f>
        <v/>
      </c>
      <c r="AA231" s="16" t="str">
        <f>IF(A231="","",IFERROR(VLOOKUP(I231,Lists!$E$9:$F$14,2,FALSE),0))</f>
        <v/>
      </c>
      <c r="AB231" s="16" t="str">
        <f t="shared" si="36"/>
        <v/>
      </c>
      <c r="AC231" s="16" t="str">
        <f t="shared" si="37"/>
        <v/>
      </c>
      <c r="AD231" s="16" t="str">
        <f t="shared" si="38"/>
        <v/>
      </c>
      <c r="AE231" s="16" t="str">
        <f t="shared" si="39"/>
        <v/>
      </c>
      <c r="AF231" s="16" t="str">
        <f t="shared" si="40"/>
        <v/>
      </c>
      <c r="AG231" s="26" t="str">
        <f t="shared" si="41"/>
        <v/>
      </c>
      <c r="AH231" s="16" t="str">
        <f t="shared" si="42"/>
        <v/>
      </c>
      <c r="AI231" s="16" t="str">
        <f t="shared" si="43"/>
        <v/>
      </c>
      <c r="AJ231" s="16" t="str">
        <f t="shared" si="44"/>
        <v/>
      </c>
      <c r="AK231" s="14" t="str">
        <f>IF(AND(A231&lt;&gt;"",F231="Selected"),COUNTIF($F$9:F231,"Selected"),"")</f>
        <v/>
      </c>
      <c r="AL231" s="14" t="str">
        <f>IF(A231="","",COUNTIF($B$9:B231,B231))</f>
        <v/>
      </c>
      <c r="AM231" s="14" t="str">
        <f>IF(A231="","",IF(COUNTIF(Jobs!$A$9:$A$258,B231)&lt;&gt;1,"Check JobID",IF(COUNTIF(Suppliers!$D$9:$D$508,D231)&lt;&gt;1,"Check contact",IF(AA231&lt;=0,"Currency / FX missing",IF(NOT(ISNUMBER(G231)),"Original price missing",IF(G231&lt;0,"Invalid original price",IF(AND(H231&lt;&gt;"",NOT(ISNUMBER(H231))),"Invalid final price",IF(AND(ISNUMBER(H231),H231&lt;0),"Invalid final price",IF(AND(F231="Selected",COUNTIFS($B$9:$B$258,B231,$E$9:$E$258,E231,$F$9:$F$258,"Selected")&gt;1),"Selected scope overlap",IF(AND(ISNUMBER(H231),H231&gt;G231),"Price increased",IF(LEN(H231&amp;"")=0,"Final price pending","OK")))))))))))</f>
        <v/>
      </c>
      <c r="AN231" s="16" t="str">
        <f t="shared" si="45"/>
        <v/>
      </c>
      <c r="AO231" s="14" t="str">
        <f>IF(A231="","",IFERROR(IF(INDEX(Suppliers!$A$9:$A$508,MATCH(D231,Suppliers!$D$9:$D$508,0))=C231,"OK","Contact / supplier mismatch"),"Contact missing"))</f>
        <v/>
      </c>
      <c r="AP231" s="14" t="str">
        <f>IF(OR(A231="",IFERROR(INDEX(Jobs!$P$9:$P$258,MATCH(B231,Jobs!$A$9:$A$258,0)),"")=""),"",HYPERLINK("#'"&amp;IFERROR(INDEX(Jobs!$P$9:$P$258,MATCH(B231,Jobs!$A$9:$A$258,0)),"")&amp;"'!A1","OPEN JOB"))</f>
        <v/>
      </c>
      <c r="AQ231" s="14"/>
      <c r="AR231" s="14"/>
      <c r="AS231" t="str">
        <f t="shared" si="46"/>
        <v/>
      </c>
      <c r="AT231" t="str">
        <f t="shared" si="47"/>
        <v/>
      </c>
    </row>
    <row r="232" spans="1:46" ht="40" customHeight="1" x14ac:dyDescent="0.35">
      <c r="A232" s="18"/>
      <c r="B232" s="37"/>
      <c r="C232" s="18"/>
      <c r="D232" s="15"/>
      <c r="E232" s="15"/>
      <c r="F232" s="15"/>
      <c r="G232" s="24"/>
      <c r="H232" s="24"/>
      <c r="I232" s="15"/>
      <c r="J232" s="17"/>
      <c r="K232" s="17"/>
      <c r="L232" s="17"/>
      <c r="M232" s="15"/>
      <c r="N232" s="15"/>
      <c r="O232" s="15"/>
      <c r="P232" s="15"/>
      <c r="Q232" s="15"/>
      <c r="R232" s="15"/>
      <c r="S232" s="18"/>
      <c r="T232" s="18"/>
      <c r="U232" s="18" t="str">
        <f>IF(A232="","",IFERROR(IF(LEN(INDEX(Suppliers!$B$9:$B$508,MATCH(C232,Suppliers!$A$9:$A$508,0))&amp;"")=0,"",INDEX(Suppliers!$B$9:$B$508,MATCH(C232,Suppliers!$A$9:$A$508,0))),""))</f>
        <v/>
      </c>
      <c r="V232" s="18" t="str">
        <f>IF(A232="","",IFERROR(IF(LEN(INDEX(Suppliers!$E$9:$E$508,MATCH(D232,Suppliers!$D$9:$D$508,0))&amp;"")=0,"",INDEX(Suppliers!$E$9:$E$508,MATCH(D232,Suppliers!$D$9:$D$508,0))),""))</f>
        <v/>
      </c>
      <c r="W232" s="18" t="str">
        <f>IF(A232="","",IFERROR(IF(LEN(INDEX(Suppliers!$F$9:$F$508,MATCH(D232,Suppliers!$D$9:$D$508,0))&amp;"")=0,"",INDEX(Suppliers!$F$9:$F$508,MATCH(D232,Suppliers!$D$9:$D$508,0))),""))</f>
        <v/>
      </c>
      <c r="X232" s="18" t="str">
        <f>IF(A232="","",IFERROR(IF(LEN(INDEX(Suppliers!$G$9:$G$508,MATCH(D232,Suppliers!$D$9:$D$508,0))&amp;"")=0,"",INDEX(Suppliers!$G$9:$G$508,MATCH(D232,Suppliers!$D$9:$D$508,0))),""))</f>
        <v/>
      </c>
      <c r="Y232" s="18" t="str">
        <f>IF(A232="","",IFERROR(INDEX(Jobs!$C$9:$C$258,MATCH(B232,Jobs!$A$9:$A$258,0)),""))</f>
        <v/>
      </c>
      <c r="Z232" s="18" t="str">
        <f>IF(A232="","",IFERROR(INDEX(Jobs!$B$9:$B$258,MATCH(B232,Jobs!$A$9:$A$258,0)),""))</f>
        <v/>
      </c>
      <c r="AA232" s="19" t="str">
        <f>IF(A232="","",IFERROR(VLOOKUP(I232,Lists!$E$9:$F$14,2,FALSE),0))</f>
        <v/>
      </c>
      <c r="AB232" s="19" t="str">
        <f t="shared" si="36"/>
        <v/>
      </c>
      <c r="AC232" s="19" t="str">
        <f t="shared" si="37"/>
        <v/>
      </c>
      <c r="AD232" s="19" t="str">
        <f t="shared" si="38"/>
        <v/>
      </c>
      <c r="AE232" s="19" t="str">
        <f t="shared" si="39"/>
        <v/>
      </c>
      <c r="AF232" s="19" t="str">
        <f t="shared" si="40"/>
        <v/>
      </c>
      <c r="AG232" s="27" t="str">
        <f t="shared" si="41"/>
        <v/>
      </c>
      <c r="AH232" s="19" t="str">
        <f t="shared" si="42"/>
        <v/>
      </c>
      <c r="AI232" s="19" t="str">
        <f t="shared" si="43"/>
        <v/>
      </c>
      <c r="AJ232" s="19" t="str">
        <f t="shared" si="44"/>
        <v/>
      </c>
      <c r="AK232" s="18" t="str">
        <f>IF(AND(A232&lt;&gt;"",F232="Selected"),COUNTIF($F$9:F232,"Selected"),"")</f>
        <v/>
      </c>
      <c r="AL232" s="18" t="str">
        <f>IF(A232="","",COUNTIF($B$9:B232,B232))</f>
        <v/>
      </c>
      <c r="AM232" s="18" t="str">
        <f>IF(A232="","",IF(COUNTIF(Jobs!$A$9:$A$258,B232)&lt;&gt;1,"Check JobID",IF(COUNTIF(Suppliers!$D$9:$D$508,D232)&lt;&gt;1,"Check contact",IF(AA232&lt;=0,"Currency / FX missing",IF(NOT(ISNUMBER(G232)),"Original price missing",IF(G232&lt;0,"Invalid original price",IF(AND(H232&lt;&gt;"",NOT(ISNUMBER(H232))),"Invalid final price",IF(AND(ISNUMBER(H232),H232&lt;0),"Invalid final price",IF(AND(F232="Selected",COUNTIFS($B$9:$B$258,B232,$E$9:$E$258,E232,$F$9:$F$258,"Selected")&gt;1),"Selected scope overlap",IF(AND(ISNUMBER(H232),H232&gt;G232),"Price increased",IF(LEN(H232&amp;"")=0,"Final price pending","OK")))))))))))</f>
        <v/>
      </c>
      <c r="AN232" s="19" t="str">
        <f t="shared" si="45"/>
        <v/>
      </c>
      <c r="AO232" s="18" t="str">
        <f>IF(A232="","",IFERROR(IF(INDEX(Suppliers!$A$9:$A$508,MATCH(D232,Suppliers!$D$9:$D$508,0))=C232,"OK","Contact / supplier mismatch"),"Contact missing"))</f>
        <v/>
      </c>
      <c r="AP232" s="18" t="str">
        <f>IF(OR(A232="",IFERROR(INDEX(Jobs!$P$9:$P$258,MATCH(B232,Jobs!$A$9:$A$258,0)),"")=""),"",HYPERLINK("#'"&amp;IFERROR(INDEX(Jobs!$P$9:$P$258,MATCH(B232,Jobs!$A$9:$A$258,0)),"")&amp;"'!A1","OPEN JOB"))</f>
        <v/>
      </c>
      <c r="AQ232" s="18"/>
      <c r="AR232" s="18"/>
      <c r="AS232" t="str">
        <f t="shared" si="46"/>
        <v/>
      </c>
      <c r="AT232" t="str">
        <f t="shared" si="47"/>
        <v/>
      </c>
    </row>
    <row r="233" spans="1:46" ht="40" customHeight="1" x14ac:dyDescent="0.35">
      <c r="A233" s="14"/>
      <c r="B233" s="37"/>
      <c r="C233" s="14"/>
      <c r="D233" s="15"/>
      <c r="E233" s="15"/>
      <c r="F233" s="15"/>
      <c r="G233" s="24"/>
      <c r="H233" s="24"/>
      <c r="I233" s="15"/>
      <c r="J233" s="17"/>
      <c r="K233" s="17"/>
      <c r="L233" s="17"/>
      <c r="M233" s="15"/>
      <c r="N233" s="15"/>
      <c r="O233" s="15"/>
      <c r="P233" s="15"/>
      <c r="Q233" s="15"/>
      <c r="R233" s="15"/>
      <c r="S233" s="14"/>
      <c r="T233" s="14"/>
      <c r="U233" s="14" t="str">
        <f>IF(A233="","",IFERROR(IF(LEN(INDEX(Suppliers!$B$9:$B$508,MATCH(C233,Suppliers!$A$9:$A$508,0))&amp;"")=0,"",INDEX(Suppliers!$B$9:$B$508,MATCH(C233,Suppliers!$A$9:$A$508,0))),""))</f>
        <v/>
      </c>
      <c r="V233" s="14" t="str">
        <f>IF(A233="","",IFERROR(IF(LEN(INDEX(Suppliers!$E$9:$E$508,MATCH(D233,Suppliers!$D$9:$D$508,0))&amp;"")=0,"",INDEX(Suppliers!$E$9:$E$508,MATCH(D233,Suppliers!$D$9:$D$508,0))),""))</f>
        <v/>
      </c>
      <c r="W233" s="14" t="str">
        <f>IF(A233="","",IFERROR(IF(LEN(INDEX(Suppliers!$F$9:$F$508,MATCH(D233,Suppliers!$D$9:$D$508,0))&amp;"")=0,"",INDEX(Suppliers!$F$9:$F$508,MATCH(D233,Suppliers!$D$9:$D$508,0))),""))</f>
        <v/>
      </c>
      <c r="X233" s="14" t="str">
        <f>IF(A233="","",IFERROR(IF(LEN(INDEX(Suppliers!$G$9:$G$508,MATCH(D233,Suppliers!$D$9:$D$508,0))&amp;"")=0,"",INDEX(Suppliers!$G$9:$G$508,MATCH(D233,Suppliers!$D$9:$D$508,0))),""))</f>
        <v/>
      </c>
      <c r="Y233" s="14" t="str">
        <f>IF(A233="","",IFERROR(INDEX(Jobs!$C$9:$C$258,MATCH(B233,Jobs!$A$9:$A$258,0)),""))</f>
        <v/>
      </c>
      <c r="Z233" s="14" t="str">
        <f>IF(A233="","",IFERROR(INDEX(Jobs!$B$9:$B$258,MATCH(B233,Jobs!$A$9:$A$258,0)),""))</f>
        <v/>
      </c>
      <c r="AA233" s="16" t="str">
        <f>IF(A233="","",IFERROR(VLOOKUP(I233,Lists!$E$9:$F$14,2,FALSE),0))</f>
        <v/>
      </c>
      <c r="AB233" s="16" t="str">
        <f t="shared" si="36"/>
        <v/>
      </c>
      <c r="AC233" s="16" t="str">
        <f t="shared" si="37"/>
        <v/>
      </c>
      <c r="AD233" s="16" t="str">
        <f t="shared" si="38"/>
        <v/>
      </c>
      <c r="AE233" s="16" t="str">
        <f t="shared" si="39"/>
        <v/>
      </c>
      <c r="AF233" s="16" t="str">
        <f t="shared" si="40"/>
        <v/>
      </c>
      <c r="AG233" s="26" t="str">
        <f t="shared" si="41"/>
        <v/>
      </c>
      <c r="AH233" s="16" t="str">
        <f t="shared" si="42"/>
        <v/>
      </c>
      <c r="AI233" s="16" t="str">
        <f t="shared" si="43"/>
        <v/>
      </c>
      <c r="AJ233" s="16" t="str">
        <f t="shared" si="44"/>
        <v/>
      </c>
      <c r="AK233" s="14" t="str">
        <f>IF(AND(A233&lt;&gt;"",F233="Selected"),COUNTIF($F$9:F233,"Selected"),"")</f>
        <v/>
      </c>
      <c r="AL233" s="14" t="str">
        <f>IF(A233="","",COUNTIF($B$9:B233,B233))</f>
        <v/>
      </c>
      <c r="AM233" s="14" t="str">
        <f>IF(A233="","",IF(COUNTIF(Jobs!$A$9:$A$258,B233)&lt;&gt;1,"Check JobID",IF(COUNTIF(Suppliers!$D$9:$D$508,D233)&lt;&gt;1,"Check contact",IF(AA233&lt;=0,"Currency / FX missing",IF(NOT(ISNUMBER(G233)),"Original price missing",IF(G233&lt;0,"Invalid original price",IF(AND(H233&lt;&gt;"",NOT(ISNUMBER(H233))),"Invalid final price",IF(AND(ISNUMBER(H233),H233&lt;0),"Invalid final price",IF(AND(F233="Selected",COUNTIFS($B$9:$B$258,B233,$E$9:$E$258,E233,$F$9:$F$258,"Selected")&gt;1),"Selected scope overlap",IF(AND(ISNUMBER(H233),H233&gt;G233),"Price increased",IF(LEN(H233&amp;"")=0,"Final price pending","OK")))))))))))</f>
        <v/>
      </c>
      <c r="AN233" s="16" t="str">
        <f t="shared" si="45"/>
        <v/>
      </c>
      <c r="AO233" s="14" t="str">
        <f>IF(A233="","",IFERROR(IF(INDEX(Suppliers!$A$9:$A$508,MATCH(D233,Suppliers!$D$9:$D$508,0))=C233,"OK","Contact / supplier mismatch"),"Contact missing"))</f>
        <v/>
      </c>
      <c r="AP233" s="14" t="str">
        <f>IF(OR(A233="",IFERROR(INDEX(Jobs!$P$9:$P$258,MATCH(B233,Jobs!$A$9:$A$258,0)),"")=""),"",HYPERLINK("#'"&amp;IFERROR(INDEX(Jobs!$P$9:$P$258,MATCH(B233,Jobs!$A$9:$A$258,0)),"")&amp;"'!A1","OPEN JOB"))</f>
        <v/>
      </c>
      <c r="AQ233" s="14"/>
      <c r="AR233" s="14"/>
      <c r="AS233" t="str">
        <f t="shared" si="46"/>
        <v/>
      </c>
      <c r="AT233" t="str">
        <f t="shared" si="47"/>
        <v/>
      </c>
    </row>
    <row r="234" spans="1:46" ht="40" customHeight="1" x14ac:dyDescent="0.35">
      <c r="A234" s="18"/>
      <c r="B234" s="37"/>
      <c r="C234" s="18"/>
      <c r="D234" s="15"/>
      <c r="E234" s="15"/>
      <c r="F234" s="15"/>
      <c r="G234" s="24"/>
      <c r="H234" s="24"/>
      <c r="I234" s="15"/>
      <c r="J234" s="17"/>
      <c r="K234" s="17"/>
      <c r="L234" s="17"/>
      <c r="M234" s="15"/>
      <c r="N234" s="15"/>
      <c r="O234" s="15"/>
      <c r="P234" s="15"/>
      <c r="Q234" s="15"/>
      <c r="R234" s="15"/>
      <c r="S234" s="18"/>
      <c r="T234" s="18"/>
      <c r="U234" s="18" t="str">
        <f>IF(A234="","",IFERROR(IF(LEN(INDEX(Suppliers!$B$9:$B$508,MATCH(C234,Suppliers!$A$9:$A$508,0))&amp;"")=0,"",INDEX(Suppliers!$B$9:$B$508,MATCH(C234,Suppliers!$A$9:$A$508,0))),""))</f>
        <v/>
      </c>
      <c r="V234" s="18" t="str">
        <f>IF(A234="","",IFERROR(IF(LEN(INDEX(Suppliers!$E$9:$E$508,MATCH(D234,Suppliers!$D$9:$D$508,0))&amp;"")=0,"",INDEX(Suppliers!$E$9:$E$508,MATCH(D234,Suppliers!$D$9:$D$508,0))),""))</f>
        <v/>
      </c>
      <c r="W234" s="18" t="str">
        <f>IF(A234="","",IFERROR(IF(LEN(INDEX(Suppliers!$F$9:$F$508,MATCH(D234,Suppliers!$D$9:$D$508,0))&amp;"")=0,"",INDEX(Suppliers!$F$9:$F$508,MATCH(D234,Suppliers!$D$9:$D$508,0))),""))</f>
        <v/>
      </c>
      <c r="X234" s="18" t="str">
        <f>IF(A234="","",IFERROR(IF(LEN(INDEX(Suppliers!$G$9:$G$508,MATCH(D234,Suppliers!$D$9:$D$508,0))&amp;"")=0,"",INDEX(Suppliers!$G$9:$G$508,MATCH(D234,Suppliers!$D$9:$D$508,0))),""))</f>
        <v/>
      </c>
      <c r="Y234" s="18" t="str">
        <f>IF(A234="","",IFERROR(INDEX(Jobs!$C$9:$C$258,MATCH(B234,Jobs!$A$9:$A$258,0)),""))</f>
        <v/>
      </c>
      <c r="Z234" s="18" t="str">
        <f>IF(A234="","",IFERROR(INDEX(Jobs!$B$9:$B$258,MATCH(B234,Jobs!$A$9:$A$258,0)),""))</f>
        <v/>
      </c>
      <c r="AA234" s="19" t="str">
        <f>IF(A234="","",IFERROR(VLOOKUP(I234,Lists!$E$9:$F$14,2,FALSE),0))</f>
        <v/>
      </c>
      <c r="AB234" s="19" t="str">
        <f t="shared" si="36"/>
        <v/>
      </c>
      <c r="AC234" s="19" t="str">
        <f t="shared" si="37"/>
        <v/>
      </c>
      <c r="AD234" s="19" t="str">
        <f t="shared" si="38"/>
        <v/>
      </c>
      <c r="AE234" s="19" t="str">
        <f t="shared" si="39"/>
        <v/>
      </c>
      <c r="AF234" s="19" t="str">
        <f t="shared" si="40"/>
        <v/>
      </c>
      <c r="AG234" s="27" t="str">
        <f t="shared" si="41"/>
        <v/>
      </c>
      <c r="AH234" s="19" t="str">
        <f t="shared" si="42"/>
        <v/>
      </c>
      <c r="AI234" s="19" t="str">
        <f t="shared" si="43"/>
        <v/>
      </c>
      <c r="AJ234" s="19" t="str">
        <f t="shared" si="44"/>
        <v/>
      </c>
      <c r="AK234" s="18" t="str">
        <f>IF(AND(A234&lt;&gt;"",F234="Selected"),COUNTIF($F$9:F234,"Selected"),"")</f>
        <v/>
      </c>
      <c r="AL234" s="18" t="str">
        <f>IF(A234="","",COUNTIF($B$9:B234,B234))</f>
        <v/>
      </c>
      <c r="AM234" s="18" t="str">
        <f>IF(A234="","",IF(COUNTIF(Jobs!$A$9:$A$258,B234)&lt;&gt;1,"Check JobID",IF(COUNTIF(Suppliers!$D$9:$D$508,D234)&lt;&gt;1,"Check contact",IF(AA234&lt;=0,"Currency / FX missing",IF(NOT(ISNUMBER(G234)),"Original price missing",IF(G234&lt;0,"Invalid original price",IF(AND(H234&lt;&gt;"",NOT(ISNUMBER(H234))),"Invalid final price",IF(AND(ISNUMBER(H234),H234&lt;0),"Invalid final price",IF(AND(F234="Selected",COUNTIFS($B$9:$B$258,B234,$E$9:$E$258,E234,$F$9:$F$258,"Selected")&gt;1),"Selected scope overlap",IF(AND(ISNUMBER(H234),H234&gt;G234),"Price increased",IF(LEN(H234&amp;"")=0,"Final price pending","OK")))))))))))</f>
        <v/>
      </c>
      <c r="AN234" s="19" t="str">
        <f t="shared" si="45"/>
        <v/>
      </c>
      <c r="AO234" s="18" t="str">
        <f>IF(A234="","",IFERROR(IF(INDEX(Suppliers!$A$9:$A$508,MATCH(D234,Suppliers!$D$9:$D$508,0))=C234,"OK","Contact / supplier mismatch"),"Contact missing"))</f>
        <v/>
      </c>
      <c r="AP234" s="18" t="str">
        <f>IF(OR(A234="",IFERROR(INDEX(Jobs!$P$9:$P$258,MATCH(B234,Jobs!$A$9:$A$258,0)),"")=""),"",HYPERLINK("#'"&amp;IFERROR(INDEX(Jobs!$P$9:$P$258,MATCH(B234,Jobs!$A$9:$A$258,0)),"")&amp;"'!A1","OPEN JOB"))</f>
        <v/>
      </c>
      <c r="AQ234" s="18"/>
      <c r="AR234" s="18"/>
      <c r="AS234" t="str">
        <f t="shared" si="46"/>
        <v/>
      </c>
      <c r="AT234" t="str">
        <f t="shared" si="47"/>
        <v/>
      </c>
    </row>
    <row r="235" spans="1:46" ht="40" customHeight="1" x14ac:dyDescent="0.35">
      <c r="A235" s="14"/>
      <c r="B235" s="37"/>
      <c r="C235" s="14"/>
      <c r="D235" s="15"/>
      <c r="E235" s="15"/>
      <c r="F235" s="15"/>
      <c r="G235" s="24"/>
      <c r="H235" s="24"/>
      <c r="I235" s="15"/>
      <c r="J235" s="17"/>
      <c r="K235" s="17"/>
      <c r="L235" s="17"/>
      <c r="M235" s="15"/>
      <c r="N235" s="15"/>
      <c r="O235" s="15"/>
      <c r="P235" s="15"/>
      <c r="Q235" s="15"/>
      <c r="R235" s="15"/>
      <c r="S235" s="14"/>
      <c r="T235" s="14"/>
      <c r="U235" s="14" t="str">
        <f>IF(A235="","",IFERROR(IF(LEN(INDEX(Suppliers!$B$9:$B$508,MATCH(C235,Suppliers!$A$9:$A$508,0))&amp;"")=0,"",INDEX(Suppliers!$B$9:$B$508,MATCH(C235,Suppliers!$A$9:$A$508,0))),""))</f>
        <v/>
      </c>
      <c r="V235" s="14" t="str">
        <f>IF(A235="","",IFERROR(IF(LEN(INDEX(Suppliers!$E$9:$E$508,MATCH(D235,Suppliers!$D$9:$D$508,0))&amp;"")=0,"",INDEX(Suppliers!$E$9:$E$508,MATCH(D235,Suppliers!$D$9:$D$508,0))),""))</f>
        <v/>
      </c>
      <c r="W235" s="14" t="str">
        <f>IF(A235="","",IFERROR(IF(LEN(INDEX(Suppliers!$F$9:$F$508,MATCH(D235,Suppliers!$D$9:$D$508,0))&amp;"")=0,"",INDEX(Suppliers!$F$9:$F$508,MATCH(D235,Suppliers!$D$9:$D$508,0))),""))</f>
        <v/>
      </c>
      <c r="X235" s="14" t="str">
        <f>IF(A235="","",IFERROR(IF(LEN(INDEX(Suppliers!$G$9:$G$508,MATCH(D235,Suppliers!$D$9:$D$508,0))&amp;"")=0,"",INDEX(Suppliers!$G$9:$G$508,MATCH(D235,Suppliers!$D$9:$D$508,0))),""))</f>
        <v/>
      </c>
      <c r="Y235" s="14" t="str">
        <f>IF(A235="","",IFERROR(INDEX(Jobs!$C$9:$C$258,MATCH(B235,Jobs!$A$9:$A$258,0)),""))</f>
        <v/>
      </c>
      <c r="Z235" s="14" t="str">
        <f>IF(A235="","",IFERROR(INDEX(Jobs!$B$9:$B$258,MATCH(B235,Jobs!$A$9:$A$258,0)),""))</f>
        <v/>
      </c>
      <c r="AA235" s="16" t="str">
        <f>IF(A235="","",IFERROR(VLOOKUP(I235,Lists!$E$9:$F$14,2,FALSE),0))</f>
        <v/>
      </c>
      <c r="AB235" s="16" t="str">
        <f t="shared" si="36"/>
        <v/>
      </c>
      <c r="AC235" s="16" t="str">
        <f t="shared" si="37"/>
        <v/>
      </c>
      <c r="AD235" s="16" t="str">
        <f t="shared" si="38"/>
        <v/>
      </c>
      <c r="AE235" s="16" t="str">
        <f t="shared" si="39"/>
        <v/>
      </c>
      <c r="AF235" s="16" t="str">
        <f t="shared" si="40"/>
        <v/>
      </c>
      <c r="AG235" s="26" t="str">
        <f t="shared" si="41"/>
        <v/>
      </c>
      <c r="AH235" s="16" t="str">
        <f t="shared" si="42"/>
        <v/>
      </c>
      <c r="AI235" s="16" t="str">
        <f t="shared" si="43"/>
        <v/>
      </c>
      <c r="AJ235" s="16" t="str">
        <f t="shared" si="44"/>
        <v/>
      </c>
      <c r="AK235" s="14" t="str">
        <f>IF(AND(A235&lt;&gt;"",F235="Selected"),COUNTIF($F$9:F235,"Selected"),"")</f>
        <v/>
      </c>
      <c r="AL235" s="14" t="str">
        <f>IF(A235="","",COUNTIF($B$9:B235,B235))</f>
        <v/>
      </c>
      <c r="AM235" s="14" t="str">
        <f>IF(A235="","",IF(COUNTIF(Jobs!$A$9:$A$258,B235)&lt;&gt;1,"Check JobID",IF(COUNTIF(Suppliers!$D$9:$D$508,D235)&lt;&gt;1,"Check contact",IF(AA235&lt;=0,"Currency / FX missing",IF(NOT(ISNUMBER(G235)),"Original price missing",IF(G235&lt;0,"Invalid original price",IF(AND(H235&lt;&gt;"",NOT(ISNUMBER(H235))),"Invalid final price",IF(AND(ISNUMBER(H235),H235&lt;0),"Invalid final price",IF(AND(F235="Selected",COUNTIFS($B$9:$B$258,B235,$E$9:$E$258,E235,$F$9:$F$258,"Selected")&gt;1),"Selected scope overlap",IF(AND(ISNUMBER(H235),H235&gt;G235),"Price increased",IF(LEN(H235&amp;"")=0,"Final price pending","OK")))))))))))</f>
        <v/>
      </c>
      <c r="AN235" s="16" t="str">
        <f t="shared" si="45"/>
        <v/>
      </c>
      <c r="AO235" s="14" t="str">
        <f>IF(A235="","",IFERROR(IF(INDEX(Suppliers!$A$9:$A$508,MATCH(D235,Suppliers!$D$9:$D$508,0))=C235,"OK","Contact / supplier mismatch"),"Contact missing"))</f>
        <v/>
      </c>
      <c r="AP235" s="14" t="str">
        <f>IF(OR(A235="",IFERROR(INDEX(Jobs!$P$9:$P$258,MATCH(B235,Jobs!$A$9:$A$258,0)),"")=""),"",HYPERLINK("#'"&amp;IFERROR(INDEX(Jobs!$P$9:$P$258,MATCH(B235,Jobs!$A$9:$A$258,0)),"")&amp;"'!A1","OPEN JOB"))</f>
        <v/>
      </c>
      <c r="AQ235" s="14"/>
      <c r="AR235" s="14"/>
      <c r="AS235" t="str">
        <f t="shared" si="46"/>
        <v/>
      </c>
      <c r="AT235" t="str">
        <f t="shared" si="47"/>
        <v/>
      </c>
    </row>
    <row r="236" spans="1:46" ht="40" customHeight="1" x14ac:dyDescent="0.35">
      <c r="A236" s="18"/>
      <c r="B236" s="37"/>
      <c r="C236" s="18"/>
      <c r="D236" s="15"/>
      <c r="E236" s="15"/>
      <c r="F236" s="15"/>
      <c r="G236" s="24"/>
      <c r="H236" s="24"/>
      <c r="I236" s="15"/>
      <c r="J236" s="17"/>
      <c r="K236" s="17"/>
      <c r="L236" s="17"/>
      <c r="M236" s="15"/>
      <c r="N236" s="15"/>
      <c r="O236" s="15"/>
      <c r="P236" s="15"/>
      <c r="Q236" s="15"/>
      <c r="R236" s="15"/>
      <c r="S236" s="18"/>
      <c r="T236" s="18"/>
      <c r="U236" s="18" t="str">
        <f>IF(A236="","",IFERROR(IF(LEN(INDEX(Suppliers!$B$9:$B$508,MATCH(C236,Suppliers!$A$9:$A$508,0))&amp;"")=0,"",INDEX(Suppliers!$B$9:$B$508,MATCH(C236,Suppliers!$A$9:$A$508,0))),""))</f>
        <v/>
      </c>
      <c r="V236" s="18" t="str">
        <f>IF(A236="","",IFERROR(IF(LEN(INDEX(Suppliers!$E$9:$E$508,MATCH(D236,Suppliers!$D$9:$D$508,0))&amp;"")=0,"",INDEX(Suppliers!$E$9:$E$508,MATCH(D236,Suppliers!$D$9:$D$508,0))),""))</f>
        <v/>
      </c>
      <c r="W236" s="18" t="str">
        <f>IF(A236="","",IFERROR(IF(LEN(INDEX(Suppliers!$F$9:$F$508,MATCH(D236,Suppliers!$D$9:$D$508,0))&amp;"")=0,"",INDEX(Suppliers!$F$9:$F$508,MATCH(D236,Suppliers!$D$9:$D$508,0))),""))</f>
        <v/>
      </c>
      <c r="X236" s="18" t="str">
        <f>IF(A236="","",IFERROR(IF(LEN(INDEX(Suppliers!$G$9:$G$508,MATCH(D236,Suppliers!$D$9:$D$508,0))&amp;"")=0,"",INDEX(Suppliers!$G$9:$G$508,MATCH(D236,Suppliers!$D$9:$D$508,0))),""))</f>
        <v/>
      </c>
      <c r="Y236" s="18" t="str">
        <f>IF(A236="","",IFERROR(INDEX(Jobs!$C$9:$C$258,MATCH(B236,Jobs!$A$9:$A$258,0)),""))</f>
        <v/>
      </c>
      <c r="Z236" s="18" t="str">
        <f>IF(A236="","",IFERROR(INDEX(Jobs!$B$9:$B$258,MATCH(B236,Jobs!$A$9:$A$258,0)),""))</f>
        <v/>
      </c>
      <c r="AA236" s="19" t="str">
        <f>IF(A236="","",IFERROR(VLOOKUP(I236,Lists!$E$9:$F$14,2,FALSE),0))</f>
        <v/>
      </c>
      <c r="AB236" s="19" t="str">
        <f t="shared" si="36"/>
        <v/>
      </c>
      <c r="AC236" s="19" t="str">
        <f t="shared" si="37"/>
        <v/>
      </c>
      <c r="AD236" s="19" t="str">
        <f t="shared" si="38"/>
        <v/>
      </c>
      <c r="AE236" s="19" t="str">
        <f t="shared" si="39"/>
        <v/>
      </c>
      <c r="AF236" s="19" t="str">
        <f t="shared" si="40"/>
        <v/>
      </c>
      <c r="AG236" s="27" t="str">
        <f t="shared" si="41"/>
        <v/>
      </c>
      <c r="AH236" s="19" t="str">
        <f t="shared" si="42"/>
        <v/>
      </c>
      <c r="AI236" s="19" t="str">
        <f t="shared" si="43"/>
        <v/>
      </c>
      <c r="AJ236" s="19" t="str">
        <f t="shared" si="44"/>
        <v/>
      </c>
      <c r="AK236" s="18" t="str">
        <f>IF(AND(A236&lt;&gt;"",F236="Selected"),COUNTIF($F$9:F236,"Selected"),"")</f>
        <v/>
      </c>
      <c r="AL236" s="18" t="str">
        <f>IF(A236="","",COUNTIF($B$9:B236,B236))</f>
        <v/>
      </c>
      <c r="AM236" s="18" t="str">
        <f>IF(A236="","",IF(COUNTIF(Jobs!$A$9:$A$258,B236)&lt;&gt;1,"Check JobID",IF(COUNTIF(Suppliers!$D$9:$D$508,D236)&lt;&gt;1,"Check contact",IF(AA236&lt;=0,"Currency / FX missing",IF(NOT(ISNUMBER(G236)),"Original price missing",IF(G236&lt;0,"Invalid original price",IF(AND(H236&lt;&gt;"",NOT(ISNUMBER(H236))),"Invalid final price",IF(AND(ISNUMBER(H236),H236&lt;0),"Invalid final price",IF(AND(F236="Selected",COUNTIFS($B$9:$B$258,B236,$E$9:$E$258,E236,$F$9:$F$258,"Selected")&gt;1),"Selected scope overlap",IF(AND(ISNUMBER(H236),H236&gt;G236),"Price increased",IF(LEN(H236&amp;"")=0,"Final price pending","OK")))))))))))</f>
        <v/>
      </c>
      <c r="AN236" s="19" t="str">
        <f t="shared" si="45"/>
        <v/>
      </c>
      <c r="AO236" s="18" t="str">
        <f>IF(A236="","",IFERROR(IF(INDEX(Suppliers!$A$9:$A$508,MATCH(D236,Suppliers!$D$9:$D$508,0))=C236,"OK","Contact / supplier mismatch"),"Contact missing"))</f>
        <v/>
      </c>
      <c r="AP236" s="18" t="str">
        <f>IF(OR(A236="",IFERROR(INDEX(Jobs!$P$9:$P$258,MATCH(B236,Jobs!$A$9:$A$258,0)),"")=""),"",HYPERLINK("#'"&amp;IFERROR(INDEX(Jobs!$P$9:$P$258,MATCH(B236,Jobs!$A$9:$A$258,0)),"")&amp;"'!A1","OPEN JOB"))</f>
        <v/>
      </c>
      <c r="AQ236" s="18"/>
      <c r="AR236" s="18"/>
      <c r="AS236" t="str">
        <f t="shared" si="46"/>
        <v/>
      </c>
      <c r="AT236" t="str">
        <f t="shared" si="47"/>
        <v/>
      </c>
    </row>
    <row r="237" spans="1:46" ht="40" customHeight="1" x14ac:dyDescent="0.35">
      <c r="A237" s="14"/>
      <c r="B237" s="37"/>
      <c r="C237" s="14"/>
      <c r="D237" s="15"/>
      <c r="E237" s="15"/>
      <c r="F237" s="15"/>
      <c r="G237" s="24"/>
      <c r="H237" s="24"/>
      <c r="I237" s="15"/>
      <c r="J237" s="17"/>
      <c r="K237" s="17"/>
      <c r="L237" s="17"/>
      <c r="M237" s="15"/>
      <c r="N237" s="15"/>
      <c r="O237" s="15"/>
      <c r="P237" s="15"/>
      <c r="Q237" s="15"/>
      <c r="R237" s="15"/>
      <c r="S237" s="14"/>
      <c r="T237" s="14"/>
      <c r="U237" s="14" t="str">
        <f>IF(A237="","",IFERROR(IF(LEN(INDEX(Suppliers!$B$9:$B$508,MATCH(C237,Suppliers!$A$9:$A$508,0))&amp;"")=0,"",INDEX(Suppliers!$B$9:$B$508,MATCH(C237,Suppliers!$A$9:$A$508,0))),""))</f>
        <v/>
      </c>
      <c r="V237" s="14" t="str">
        <f>IF(A237="","",IFERROR(IF(LEN(INDEX(Suppliers!$E$9:$E$508,MATCH(D237,Suppliers!$D$9:$D$508,0))&amp;"")=0,"",INDEX(Suppliers!$E$9:$E$508,MATCH(D237,Suppliers!$D$9:$D$508,0))),""))</f>
        <v/>
      </c>
      <c r="W237" s="14" t="str">
        <f>IF(A237="","",IFERROR(IF(LEN(INDEX(Suppliers!$F$9:$F$508,MATCH(D237,Suppliers!$D$9:$D$508,0))&amp;"")=0,"",INDEX(Suppliers!$F$9:$F$508,MATCH(D237,Suppliers!$D$9:$D$508,0))),""))</f>
        <v/>
      </c>
      <c r="X237" s="14" t="str">
        <f>IF(A237="","",IFERROR(IF(LEN(INDEX(Suppliers!$G$9:$G$508,MATCH(D237,Suppliers!$D$9:$D$508,0))&amp;"")=0,"",INDEX(Suppliers!$G$9:$G$508,MATCH(D237,Suppliers!$D$9:$D$508,0))),""))</f>
        <v/>
      </c>
      <c r="Y237" s="14" t="str">
        <f>IF(A237="","",IFERROR(INDEX(Jobs!$C$9:$C$258,MATCH(B237,Jobs!$A$9:$A$258,0)),""))</f>
        <v/>
      </c>
      <c r="Z237" s="14" t="str">
        <f>IF(A237="","",IFERROR(INDEX(Jobs!$B$9:$B$258,MATCH(B237,Jobs!$A$9:$A$258,0)),""))</f>
        <v/>
      </c>
      <c r="AA237" s="16" t="str">
        <f>IF(A237="","",IFERROR(VLOOKUP(I237,Lists!$E$9:$F$14,2,FALSE),0))</f>
        <v/>
      </c>
      <c r="AB237" s="16" t="str">
        <f t="shared" si="36"/>
        <v/>
      </c>
      <c r="AC237" s="16" t="str">
        <f t="shared" si="37"/>
        <v/>
      </c>
      <c r="AD237" s="16" t="str">
        <f t="shared" si="38"/>
        <v/>
      </c>
      <c r="AE237" s="16" t="str">
        <f t="shared" si="39"/>
        <v/>
      </c>
      <c r="AF237" s="16" t="str">
        <f t="shared" si="40"/>
        <v/>
      </c>
      <c r="AG237" s="26" t="str">
        <f t="shared" si="41"/>
        <v/>
      </c>
      <c r="AH237" s="16" t="str">
        <f t="shared" si="42"/>
        <v/>
      </c>
      <c r="AI237" s="16" t="str">
        <f t="shared" si="43"/>
        <v/>
      </c>
      <c r="AJ237" s="16" t="str">
        <f t="shared" si="44"/>
        <v/>
      </c>
      <c r="AK237" s="14" t="str">
        <f>IF(AND(A237&lt;&gt;"",F237="Selected"),COUNTIF($F$9:F237,"Selected"),"")</f>
        <v/>
      </c>
      <c r="AL237" s="14" t="str">
        <f>IF(A237="","",COUNTIF($B$9:B237,B237))</f>
        <v/>
      </c>
      <c r="AM237" s="14" t="str">
        <f>IF(A237="","",IF(COUNTIF(Jobs!$A$9:$A$258,B237)&lt;&gt;1,"Check JobID",IF(COUNTIF(Suppliers!$D$9:$D$508,D237)&lt;&gt;1,"Check contact",IF(AA237&lt;=0,"Currency / FX missing",IF(NOT(ISNUMBER(G237)),"Original price missing",IF(G237&lt;0,"Invalid original price",IF(AND(H237&lt;&gt;"",NOT(ISNUMBER(H237))),"Invalid final price",IF(AND(ISNUMBER(H237),H237&lt;0),"Invalid final price",IF(AND(F237="Selected",COUNTIFS($B$9:$B$258,B237,$E$9:$E$258,E237,$F$9:$F$258,"Selected")&gt;1),"Selected scope overlap",IF(AND(ISNUMBER(H237),H237&gt;G237),"Price increased",IF(LEN(H237&amp;"")=0,"Final price pending","OK")))))))))))</f>
        <v/>
      </c>
      <c r="AN237" s="16" t="str">
        <f t="shared" si="45"/>
        <v/>
      </c>
      <c r="AO237" s="14" t="str">
        <f>IF(A237="","",IFERROR(IF(INDEX(Suppliers!$A$9:$A$508,MATCH(D237,Suppliers!$D$9:$D$508,0))=C237,"OK","Contact / supplier mismatch"),"Contact missing"))</f>
        <v/>
      </c>
      <c r="AP237" s="14" t="str">
        <f>IF(OR(A237="",IFERROR(INDEX(Jobs!$P$9:$P$258,MATCH(B237,Jobs!$A$9:$A$258,0)),"")=""),"",HYPERLINK("#'"&amp;IFERROR(INDEX(Jobs!$P$9:$P$258,MATCH(B237,Jobs!$A$9:$A$258,0)),"")&amp;"'!A1","OPEN JOB"))</f>
        <v/>
      </c>
      <c r="AQ237" s="14"/>
      <c r="AR237" s="14"/>
      <c r="AS237" t="str">
        <f t="shared" si="46"/>
        <v/>
      </c>
      <c r="AT237" t="str">
        <f t="shared" si="47"/>
        <v/>
      </c>
    </row>
    <row r="238" spans="1:46" ht="40" customHeight="1" x14ac:dyDescent="0.35">
      <c r="A238" s="18"/>
      <c r="B238" s="37"/>
      <c r="C238" s="18"/>
      <c r="D238" s="15"/>
      <c r="E238" s="15"/>
      <c r="F238" s="15"/>
      <c r="G238" s="24"/>
      <c r="H238" s="24"/>
      <c r="I238" s="15"/>
      <c r="J238" s="17"/>
      <c r="K238" s="17"/>
      <c r="L238" s="17"/>
      <c r="M238" s="15"/>
      <c r="N238" s="15"/>
      <c r="O238" s="15"/>
      <c r="P238" s="15"/>
      <c r="Q238" s="15"/>
      <c r="R238" s="15"/>
      <c r="S238" s="18"/>
      <c r="T238" s="18"/>
      <c r="U238" s="18" t="str">
        <f>IF(A238="","",IFERROR(IF(LEN(INDEX(Suppliers!$B$9:$B$508,MATCH(C238,Suppliers!$A$9:$A$508,0))&amp;"")=0,"",INDEX(Suppliers!$B$9:$B$508,MATCH(C238,Suppliers!$A$9:$A$508,0))),""))</f>
        <v/>
      </c>
      <c r="V238" s="18" t="str">
        <f>IF(A238="","",IFERROR(IF(LEN(INDEX(Suppliers!$E$9:$E$508,MATCH(D238,Suppliers!$D$9:$D$508,0))&amp;"")=0,"",INDEX(Suppliers!$E$9:$E$508,MATCH(D238,Suppliers!$D$9:$D$508,0))),""))</f>
        <v/>
      </c>
      <c r="W238" s="18" t="str">
        <f>IF(A238="","",IFERROR(IF(LEN(INDEX(Suppliers!$F$9:$F$508,MATCH(D238,Suppliers!$D$9:$D$508,0))&amp;"")=0,"",INDEX(Suppliers!$F$9:$F$508,MATCH(D238,Suppliers!$D$9:$D$508,0))),""))</f>
        <v/>
      </c>
      <c r="X238" s="18" t="str">
        <f>IF(A238="","",IFERROR(IF(LEN(INDEX(Suppliers!$G$9:$G$508,MATCH(D238,Suppliers!$D$9:$D$508,0))&amp;"")=0,"",INDEX(Suppliers!$G$9:$G$508,MATCH(D238,Suppliers!$D$9:$D$508,0))),""))</f>
        <v/>
      </c>
      <c r="Y238" s="18" t="str">
        <f>IF(A238="","",IFERROR(INDEX(Jobs!$C$9:$C$258,MATCH(B238,Jobs!$A$9:$A$258,0)),""))</f>
        <v/>
      </c>
      <c r="Z238" s="18" t="str">
        <f>IF(A238="","",IFERROR(INDEX(Jobs!$B$9:$B$258,MATCH(B238,Jobs!$A$9:$A$258,0)),""))</f>
        <v/>
      </c>
      <c r="AA238" s="19" t="str">
        <f>IF(A238="","",IFERROR(VLOOKUP(I238,Lists!$E$9:$F$14,2,FALSE),0))</f>
        <v/>
      </c>
      <c r="AB238" s="19" t="str">
        <f t="shared" si="36"/>
        <v/>
      </c>
      <c r="AC238" s="19" t="str">
        <f t="shared" si="37"/>
        <v/>
      </c>
      <c r="AD238" s="19" t="str">
        <f t="shared" si="38"/>
        <v/>
      </c>
      <c r="AE238" s="19" t="str">
        <f t="shared" si="39"/>
        <v/>
      </c>
      <c r="AF238" s="19" t="str">
        <f t="shared" si="40"/>
        <v/>
      </c>
      <c r="AG238" s="27" t="str">
        <f t="shared" si="41"/>
        <v/>
      </c>
      <c r="AH238" s="19" t="str">
        <f t="shared" si="42"/>
        <v/>
      </c>
      <c r="AI238" s="19" t="str">
        <f t="shared" si="43"/>
        <v/>
      </c>
      <c r="AJ238" s="19" t="str">
        <f t="shared" si="44"/>
        <v/>
      </c>
      <c r="AK238" s="18" t="str">
        <f>IF(AND(A238&lt;&gt;"",F238="Selected"),COUNTIF($F$9:F238,"Selected"),"")</f>
        <v/>
      </c>
      <c r="AL238" s="18" t="str">
        <f>IF(A238="","",COUNTIF($B$9:B238,B238))</f>
        <v/>
      </c>
      <c r="AM238" s="18" t="str">
        <f>IF(A238="","",IF(COUNTIF(Jobs!$A$9:$A$258,B238)&lt;&gt;1,"Check JobID",IF(COUNTIF(Suppliers!$D$9:$D$508,D238)&lt;&gt;1,"Check contact",IF(AA238&lt;=0,"Currency / FX missing",IF(NOT(ISNUMBER(G238)),"Original price missing",IF(G238&lt;0,"Invalid original price",IF(AND(H238&lt;&gt;"",NOT(ISNUMBER(H238))),"Invalid final price",IF(AND(ISNUMBER(H238),H238&lt;0),"Invalid final price",IF(AND(F238="Selected",COUNTIFS($B$9:$B$258,B238,$E$9:$E$258,E238,$F$9:$F$258,"Selected")&gt;1),"Selected scope overlap",IF(AND(ISNUMBER(H238),H238&gt;G238),"Price increased",IF(LEN(H238&amp;"")=0,"Final price pending","OK")))))))))))</f>
        <v/>
      </c>
      <c r="AN238" s="19" t="str">
        <f t="shared" si="45"/>
        <v/>
      </c>
      <c r="AO238" s="18" t="str">
        <f>IF(A238="","",IFERROR(IF(INDEX(Suppliers!$A$9:$A$508,MATCH(D238,Suppliers!$D$9:$D$508,0))=C238,"OK","Contact / supplier mismatch"),"Contact missing"))</f>
        <v/>
      </c>
      <c r="AP238" s="18" t="str">
        <f>IF(OR(A238="",IFERROR(INDEX(Jobs!$P$9:$P$258,MATCH(B238,Jobs!$A$9:$A$258,0)),"")=""),"",HYPERLINK("#'"&amp;IFERROR(INDEX(Jobs!$P$9:$P$258,MATCH(B238,Jobs!$A$9:$A$258,0)),"")&amp;"'!A1","OPEN JOB"))</f>
        <v/>
      </c>
      <c r="AQ238" s="18"/>
      <c r="AR238" s="18"/>
      <c r="AS238" t="str">
        <f t="shared" si="46"/>
        <v/>
      </c>
      <c r="AT238" t="str">
        <f t="shared" si="47"/>
        <v/>
      </c>
    </row>
    <row r="239" spans="1:46" ht="40" customHeight="1" x14ac:dyDescent="0.35">
      <c r="A239" s="14"/>
      <c r="B239" s="37"/>
      <c r="C239" s="14"/>
      <c r="D239" s="15"/>
      <c r="E239" s="15"/>
      <c r="F239" s="15"/>
      <c r="G239" s="24"/>
      <c r="H239" s="24"/>
      <c r="I239" s="15"/>
      <c r="J239" s="17"/>
      <c r="K239" s="17"/>
      <c r="L239" s="17"/>
      <c r="M239" s="15"/>
      <c r="N239" s="15"/>
      <c r="O239" s="15"/>
      <c r="P239" s="15"/>
      <c r="Q239" s="15"/>
      <c r="R239" s="15"/>
      <c r="S239" s="14"/>
      <c r="T239" s="14"/>
      <c r="U239" s="14" t="str">
        <f>IF(A239="","",IFERROR(IF(LEN(INDEX(Suppliers!$B$9:$B$508,MATCH(C239,Suppliers!$A$9:$A$508,0))&amp;"")=0,"",INDEX(Suppliers!$B$9:$B$508,MATCH(C239,Suppliers!$A$9:$A$508,0))),""))</f>
        <v/>
      </c>
      <c r="V239" s="14" t="str">
        <f>IF(A239="","",IFERROR(IF(LEN(INDEX(Suppliers!$E$9:$E$508,MATCH(D239,Suppliers!$D$9:$D$508,0))&amp;"")=0,"",INDEX(Suppliers!$E$9:$E$508,MATCH(D239,Suppliers!$D$9:$D$508,0))),""))</f>
        <v/>
      </c>
      <c r="W239" s="14" t="str">
        <f>IF(A239="","",IFERROR(IF(LEN(INDEX(Suppliers!$F$9:$F$508,MATCH(D239,Suppliers!$D$9:$D$508,0))&amp;"")=0,"",INDEX(Suppliers!$F$9:$F$508,MATCH(D239,Suppliers!$D$9:$D$508,0))),""))</f>
        <v/>
      </c>
      <c r="X239" s="14" t="str">
        <f>IF(A239="","",IFERROR(IF(LEN(INDEX(Suppliers!$G$9:$G$508,MATCH(D239,Suppliers!$D$9:$D$508,0))&amp;"")=0,"",INDEX(Suppliers!$G$9:$G$508,MATCH(D239,Suppliers!$D$9:$D$508,0))),""))</f>
        <v/>
      </c>
      <c r="Y239" s="14" t="str">
        <f>IF(A239="","",IFERROR(INDEX(Jobs!$C$9:$C$258,MATCH(B239,Jobs!$A$9:$A$258,0)),""))</f>
        <v/>
      </c>
      <c r="Z239" s="14" t="str">
        <f>IF(A239="","",IFERROR(INDEX(Jobs!$B$9:$B$258,MATCH(B239,Jobs!$A$9:$A$258,0)),""))</f>
        <v/>
      </c>
      <c r="AA239" s="16" t="str">
        <f>IF(A239="","",IFERROR(VLOOKUP(I239,Lists!$E$9:$F$14,2,FALSE),0))</f>
        <v/>
      </c>
      <c r="AB239" s="16" t="str">
        <f t="shared" si="36"/>
        <v/>
      </c>
      <c r="AC239" s="16" t="str">
        <f t="shared" si="37"/>
        <v/>
      </c>
      <c r="AD239" s="16" t="str">
        <f t="shared" si="38"/>
        <v/>
      </c>
      <c r="AE239" s="16" t="str">
        <f t="shared" si="39"/>
        <v/>
      </c>
      <c r="AF239" s="16" t="str">
        <f t="shared" si="40"/>
        <v/>
      </c>
      <c r="AG239" s="26" t="str">
        <f t="shared" si="41"/>
        <v/>
      </c>
      <c r="AH239" s="16" t="str">
        <f t="shared" si="42"/>
        <v/>
      </c>
      <c r="AI239" s="16" t="str">
        <f t="shared" si="43"/>
        <v/>
      </c>
      <c r="AJ239" s="16" t="str">
        <f t="shared" si="44"/>
        <v/>
      </c>
      <c r="AK239" s="14" t="str">
        <f>IF(AND(A239&lt;&gt;"",F239="Selected"),COUNTIF($F$9:F239,"Selected"),"")</f>
        <v/>
      </c>
      <c r="AL239" s="14" t="str">
        <f>IF(A239="","",COUNTIF($B$9:B239,B239))</f>
        <v/>
      </c>
      <c r="AM239" s="14" t="str">
        <f>IF(A239="","",IF(COUNTIF(Jobs!$A$9:$A$258,B239)&lt;&gt;1,"Check JobID",IF(COUNTIF(Suppliers!$D$9:$D$508,D239)&lt;&gt;1,"Check contact",IF(AA239&lt;=0,"Currency / FX missing",IF(NOT(ISNUMBER(G239)),"Original price missing",IF(G239&lt;0,"Invalid original price",IF(AND(H239&lt;&gt;"",NOT(ISNUMBER(H239))),"Invalid final price",IF(AND(ISNUMBER(H239),H239&lt;0),"Invalid final price",IF(AND(F239="Selected",COUNTIFS($B$9:$B$258,B239,$E$9:$E$258,E239,$F$9:$F$258,"Selected")&gt;1),"Selected scope overlap",IF(AND(ISNUMBER(H239),H239&gt;G239),"Price increased",IF(LEN(H239&amp;"")=0,"Final price pending","OK")))))))))))</f>
        <v/>
      </c>
      <c r="AN239" s="16" t="str">
        <f t="shared" si="45"/>
        <v/>
      </c>
      <c r="AO239" s="14" t="str">
        <f>IF(A239="","",IFERROR(IF(INDEX(Suppliers!$A$9:$A$508,MATCH(D239,Suppliers!$D$9:$D$508,0))=C239,"OK","Contact / supplier mismatch"),"Contact missing"))</f>
        <v/>
      </c>
      <c r="AP239" s="14" t="str">
        <f>IF(OR(A239="",IFERROR(INDEX(Jobs!$P$9:$P$258,MATCH(B239,Jobs!$A$9:$A$258,0)),"")=""),"",HYPERLINK("#'"&amp;IFERROR(INDEX(Jobs!$P$9:$P$258,MATCH(B239,Jobs!$A$9:$A$258,0)),"")&amp;"'!A1","OPEN JOB"))</f>
        <v/>
      </c>
      <c r="AQ239" s="14"/>
      <c r="AR239" s="14"/>
      <c r="AS239" t="str">
        <f t="shared" si="46"/>
        <v/>
      </c>
      <c r="AT239" t="str">
        <f t="shared" si="47"/>
        <v/>
      </c>
    </row>
    <row r="240" spans="1:46" ht="40" customHeight="1" x14ac:dyDescent="0.35">
      <c r="A240" s="18"/>
      <c r="B240" s="37"/>
      <c r="C240" s="18"/>
      <c r="D240" s="15"/>
      <c r="E240" s="15"/>
      <c r="F240" s="15"/>
      <c r="G240" s="24"/>
      <c r="H240" s="24"/>
      <c r="I240" s="15"/>
      <c r="J240" s="17"/>
      <c r="K240" s="17"/>
      <c r="L240" s="17"/>
      <c r="M240" s="15"/>
      <c r="N240" s="15"/>
      <c r="O240" s="15"/>
      <c r="P240" s="15"/>
      <c r="Q240" s="15"/>
      <c r="R240" s="15"/>
      <c r="S240" s="18"/>
      <c r="T240" s="18"/>
      <c r="U240" s="18" t="str">
        <f>IF(A240="","",IFERROR(IF(LEN(INDEX(Suppliers!$B$9:$B$508,MATCH(C240,Suppliers!$A$9:$A$508,0))&amp;"")=0,"",INDEX(Suppliers!$B$9:$B$508,MATCH(C240,Suppliers!$A$9:$A$508,0))),""))</f>
        <v/>
      </c>
      <c r="V240" s="18" t="str">
        <f>IF(A240="","",IFERROR(IF(LEN(INDEX(Suppliers!$E$9:$E$508,MATCH(D240,Suppliers!$D$9:$D$508,0))&amp;"")=0,"",INDEX(Suppliers!$E$9:$E$508,MATCH(D240,Suppliers!$D$9:$D$508,0))),""))</f>
        <v/>
      </c>
      <c r="W240" s="18" t="str">
        <f>IF(A240="","",IFERROR(IF(LEN(INDEX(Suppliers!$F$9:$F$508,MATCH(D240,Suppliers!$D$9:$D$508,0))&amp;"")=0,"",INDEX(Suppliers!$F$9:$F$508,MATCH(D240,Suppliers!$D$9:$D$508,0))),""))</f>
        <v/>
      </c>
      <c r="X240" s="18" t="str">
        <f>IF(A240="","",IFERROR(IF(LEN(INDEX(Suppliers!$G$9:$G$508,MATCH(D240,Suppliers!$D$9:$D$508,0))&amp;"")=0,"",INDEX(Suppliers!$G$9:$G$508,MATCH(D240,Suppliers!$D$9:$D$508,0))),""))</f>
        <v/>
      </c>
      <c r="Y240" s="18" t="str">
        <f>IF(A240="","",IFERROR(INDEX(Jobs!$C$9:$C$258,MATCH(B240,Jobs!$A$9:$A$258,0)),""))</f>
        <v/>
      </c>
      <c r="Z240" s="18" t="str">
        <f>IF(A240="","",IFERROR(INDEX(Jobs!$B$9:$B$258,MATCH(B240,Jobs!$A$9:$A$258,0)),""))</f>
        <v/>
      </c>
      <c r="AA240" s="19" t="str">
        <f>IF(A240="","",IFERROR(VLOOKUP(I240,Lists!$E$9:$F$14,2,FALSE),0))</f>
        <v/>
      </c>
      <c r="AB240" s="19" t="str">
        <f t="shared" si="36"/>
        <v/>
      </c>
      <c r="AC240" s="19" t="str">
        <f t="shared" si="37"/>
        <v/>
      </c>
      <c r="AD240" s="19" t="str">
        <f t="shared" si="38"/>
        <v/>
      </c>
      <c r="AE240" s="19" t="str">
        <f t="shared" si="39"/>
        <v/>
      </c>
      <c r="AF240" s="19" t="str">
        <f t="shared" si="40"/>
        <v/>
      </c>
      <c r="AG240" s="27" t="str">
        <f t="shared" si="41"/>
        <v/>
      </c>
      <c r="AH240" s="19" t="str">
        <f t="shared" si="42"/>
        <v/>
      </c>
      <c r="AI240" s="19" t="str">
        <f t="shared" si="43"/>
        <v/>
      </c>
      <c r="AJ240" s="19" t="str">
        <f t="shared" si="44"/>
        <v/>
      </c>
      <c r="AK240" s="18" t="str">
        <f>IF(AND(A240&lt;&gt;"",F240="Selected"),COUNTIF($F$9:F240,"Selected"),"")</f>
        <v/>
      </c>
      <c r="AL240" s="18" t="str">
        <f>IF(A240="","",COUNTIF($B$9:B240,B240))</f>
        <v/>
      </c>
      <c r="AM240" s="18" t="str">
        <f>IF(A240="","",IF(COUNTIF(Jobs!$A$9:$A$258,B240)&lt;&gt;1,"Check JobID",IF(COUNTIF(Suppliers!$D$9:$D$508,D240)&lt;&gt;1,"Check contact",IF(AA240&lt;=0,"Currency / FX missing",IF(NOT(ISNUMBER(G240)),"Original price missing",IF(G240&lt;0,"Invalid original price",IF(AND(H240&lt;&gt;"",NOT(ISNUMBER(H240))),"Invalid final price",IF(AND(ISNUMBER(H240),H240&lt;0),"Invalid final price",IF(AND(F240="Selected",COUNTIFS($B$9:$B$258,B240,$E$9:$E$258,E240,$F$9:$F$258,"Selected")&gt;1),"Selected scope overlap",IF(AND(ISNUMBER(H240),H240&gt;G240),"Price increased",IF(LEN(H240&amp;"")=0,"Final price pending","OK")))))))))))</f>
        <v/>
      </c>
      <c r="AN240" s="19" t="str">
        <f t="shared" si="45"/>
        <v/>
      </c>
      <c r="AO240" s="18" t="str">
        <f>IF(A240="","",IFERROR(IF(INDEX(Suppliers!$A$9:$A$508,MATCH(D240,Suppliers!$D$9:$D$508,0))=C240,"OK","Contact / supplier mismatch"),"Contact missing"))</f>
        <v/>
      </c>
      <c r="AP240" s="18" t="str">
        <f>IF(OR(A240="",IFERROR(INDEX(Jobs!$P$9:$P$258,MATCH(B240,Jobs!$A$9:$A$258,0)),"")=""),"",HYPERLINK("#'"&amp;IFERROR(INDEX(Jobs!$P$9:$P$258,MATCH(B240,Jobs!$A$9:$A$258,0)),"")&amp;"'!A1","OPEN JOB"))</f>
        <v/>
      </c>
      <c r="AQ240" s="18"/>
      <c r="AR240" s="18"/>
      <c r="AS240" t="str">
        <f t="shared" si="46"/>
        <v/>
      </c>
      <c r="AT240" t="str">
        <f t="shared" si="47"/>
        <v/>
      </c>
    </row>
    <row r="241" spans="1:46" ht="40" customHeight="1" x14ac:dyDescent="0.35">
      <c r="A241" s="14"/>
      <c r="B241" s="37"/>
      <c r="C241" s="14"/>
      <c r="D241" s="15"/>
      <c r="E241" s="15"/>
      <c r="F241" s="15"/>
      <c r="G241" s="24"/>
      <c r="H241" s="24"/>
      <c r="I241" s="15"/>
      <c r="J241" s="17"/>
      <c r="K241" s="17"/>
      <c r="L241" s="17"/>
      <c r="M241" s="15"/>
      <c r="N241" s="15"/>
      <c r="O241" s="15"/>
      <c r="P241" s="15"/>
      <c r="Q241" s="15"/>
      <c r="R241" s="15"/>
      <c r="S241" s="14"/>
      <c r="T241" s="14"/>
      <c r="U241" s="14" t="str">
        <f>IF(A241="","",IFERROR(IF(LEN(INDEX(Suppliers!$B$9:$B$508,MATCH(C241,Suppliers!$A$9:$A$508,0))&amp;"")=0,"",INDEX(Suppliers!$B$9:$B$508,MATCH(C241,Suppliers!$A$9:$A$508,0))),""))</f>
        <v/>
      </c>
      <c r="V241" s="14" t="str">
        <f>IF(A241="","",IFERROR(IF(LEN(INDEX(Suppliers!$E$9:$E$508,MATCH(D241,Suppliers!$D$9:$D$508,0))&amp;"")=0,"",INDEX(Suppliers!$E$9:$E$508,MATCH(D241,Suppliers!$D$9:$D$508,0))),""))</f>
        <v/>
      </c>
      <c r="W241" s="14" t="str">
        <f>IF(A241="","",IFERROR(IF(LEN(INDEX(Suppliers!$F$9:$F$508,MATCH(D241,Suppliers!$D$9:$D$508,0))&amp;"")=0,"",INDEX(Suppliers!$F$9:$F$508,MATCH(D241,Suppliers!$D$9:$D$508,0))),""))</f>
        <v/>
      </c>
      <c r="X241" s="14" t="str">
        <f>IF(A241="","",IFERROR(IF(LEN(INDEX(Suppliers!$G$9:$G$508,MATCH(D241,Suppliers!$D$9:$D$508,0))&amp;"")=0,"",INDEX(Suppliers!$G$9:$G$508,MATCH(D241,Suppliers!$D$9:$D$508,0))),""))</f>
        <v/>
      </c>
      <c r="Y241" s="14" t="str">
        <f>IF(A241="","",IFERROR(INDEX(Jobs!$C$9:$C$258,MATCH(B241,Jobs!$A$9:$A$258,0)),""))</f>
        <v/>
      </c>
      <c r="Z241" s="14" t="str">
        <f>IF(A241="","",IFERROR(INDEX(Jobs!$B$9:$B$258,MATCH(B241,Jobs!$A$9:$A$258,0)),""))</f>
        <v/>
      </c>
      <c r="AA241" s="16" t="str">
        <f>IF(A241="","",IFERROR(VLOOKUP(I241,Lists!$E$9:$F$14,2,FALSE),0))</f>
        <v/>
      </c>
      <c r="AB241" s="16" t="str">
        <f t="shared" si="36"/>
        <v/>
      </c>
      <c r="AC241" s="16" t="str">
        <f t="shared" si="37"/>
        <v/>
      </c>
      <c r="AD241" s="16" t="str">
        <f t="shared" si="38"/>
        <v/>
      </c>
      <c r="AE241" s="16" t="str">
        <f t="shared" si="39"/>
        <v/>
      </c>
      <c r="AF241" s="16" t="str">
        <f t="shared" si="40"/>
        <v/>
      </c>
      <c r="AG241" s="26" t="str">
        <f t="shared" si="41"/>
        <v/>
      </c>
      <c r="AH241" s="16" t="str">
        <f t="shared" si="42"/>
        <v/>
      </c>
      <c r="AI241" s="16" t="str">
        <f t="shared" si="43"/>
        <v/>
      </c>
      <c r="AJ241" s="16" t="str">
        <f t="shared" si="44"/>
        <v/>
      </c>
      <c r="AK241" s="14" t="str">
        <f>IF(AND(A241&lt;&gt;"",F241="Selected"),COUNTIF($F$9:F241,"Selected"),"")</f>
        <v/>
      </c>
      <c r="AL241" s="14" t="str">
        <f>IF(A241="","",COUNTIF($B$9:B241,B241))</f>
        <v/>
      </c>
      <c r="AM241" s="14" t="str">
        <f>IF(A241="","",IF(COUNTIF(Jobs!$A$9:$A$258,B241)&lt;&gt;1,"Check JobID",IF(COUNTIF(Suppliers!$D$9:$D$508,D241)&lt;&gt;1,"Check contact",IF(AA241&lt;=0,"Currency / FX missing",IF(NOT(ISNUMBER(G241)),"Original price missing",IF(G241&lt;0,"Invalid original price",IF(AND(H241&lt;&gt;"",NOT(ISNUMBER(H241))),"Invalid final price",IF(AND(ISNUMBER(H241),H241&lt;0),"Invalid final price",IF(AND(F241="Selected",COUNTIFS($B$9:$B$258,B241,$E$9:$E$258,E241,$F$9:$F$258,"Selected")&gt;1),"Selected scope overlap",IF(AND(ISNUMBER(H241),H241&gt;G241),"Price increased",IF(LEN(H241&amp;"")=0,"Final price pending","OK")))))))))))</f>
        <v/>
      </c>
      <c r="AN241" s="16" t="str">
        <f t="shared" si="45"/>
        <v/>
      </c>
      <c r="AO241" s="14" t="str">
        <f>IF(A241="","",IFERROR(IF(INDEX(Suppliers!$A$9:$A$508,MATCH(D241,Suppliers!$D$9:$D$508,0))=C241,"OK","Contact / supplier mismatch"),"Contact missing"))</f>
        <v/>
      </c>
      <c r="AP241" s="14" t="str">
        <f>IF(OR(A241="",IFERROR(INDEX(Jobs!$P$9:$P$258,MATCH(B241,Jobs!$A$9:$A$258,0)),"")=""),"",HYPERLINK("#'"&amp;IFERROR(INDEX(Jobs!$P$9:$P$258,MATCH(B241,Jobs!$A$9:$A$258,0)),"")&amp;"'!A1","OPEN JOB"))</f>
        <v/>
      </c>
      <c r="AQ241" s="14"/>
      <c r="AR241" s="14"/>
      <c r="AS241" t="str">
        <f t="shared" si="46"/>
        <v/>
      </c>
      <c r="AT241" t="str">
        <f t="shared" si="47"/>
        <v/>
      </c>
    </row>
    <row r="242" spans="1:46" ht="40" customHeight="1" x14ac:dyDescent="0.35">
      <c r="A242" s="18"/>
      <c r="B242" s="37"/>
      <c r="C242" s="18"/>
      <c r="D242" s="15"/>
      <c r="E242" s="15"/>
      <c r="F242" s="15"/>
      <c r="G242" s="24"/>
      <c r="H242" s="24"/>
      <c r="I242" s="15"/>
      <c r="J242" s="17"/>
      <c r="K242" s="17"/>
      <c r="L242" s="17"/>
      <c r="M242" s="15"/>
      <c r="N242" s="15"/>
      <c r="O242" s="15"/>
      <c r="P242" s="15"/>
      <c r="Q242" s="15"/>
      <c r="R242" s="15"/>
      <c r="S242" s="18"/>
      <c r="T242" s="18"/>
      <c r="U242" s="18" t="str">
        <f>IF(A242="","",IFERROR(IF(LEN(INDEX(Suppliers!$B$9:$B$508,MATCH(C242,Suppliers!$A$9:$A$508,0))&amp;"")=0,"",INDEX(Suppliers!$B$9:$B$508,MATCH(C242,Suppliers!$A$9:$A$508,0))),""))</f>
        <v/>
      </c>
      <c r="V242" s="18" t="str">
        <f>IF(A242="","",IFERROR(IF(LEN(INDEX(Suppliers!$E$9:$E$508,MATCH(D242,Suppliers!$D$9:$D$508,0))&amp;"")=0,"",INDEX(Suppliers!$E$9:$E$508,MATCH(D242,Suppliers!$D$9:$D$508,0))),""))</f>
        <v/>
      </c>
      <c r="W242" s="18" t="str">
        <f>IF(A242="","",IFERROR(IF(LEN(INDEX(Suppliers!$F$9:$F$508,MATCH(D242,Suppliers!$D$9:$D$508,0))&amp;"")=0,"",INDEX(Suppliers!$F$9:$F$508,MATCH(D242,Suppliers!$D$9:$D$508,0))),""))</f>
        <v/>
      </c>
      <c r="X242" s="18" t="str">
        <f>IF(A242="","",IFERROR(IF(LEN(INDEX(Suppliers!$G$9:$G$508,MATCH(D242,Suppliers!$D$9:$D$508,0))&amp;"")=0,"",INDEX(Suppliers!$G$9:$G$508,MATCH(D242,Suppliers!$D$9:$D$508,0))),""))</f>
        <v/>
      </c>
      <c r="Y242" s="18" t="str">
        <f>IF(A242="","",IFERROR(INDEX(Jobs!$C$9:$C$258,MATCH(B242,Jobs!$A$9:$A$258,0)),""))</f>
        <v/>
      </c>
      <c r="Z242" s="18" t="str">
        <f>IF(A242="","",IFERROR(INDEX(Jobs!$B$9:$B$258,MATCH(B242,Jobs!$A$9:$A$258,0)),""))</f>
        <v/>
      </c>
      <c r="AA242" s="19" t="str">
        <f>IF(A242="","",IFERROR(VLOOKUP(I242,Lists!$E$9:$F$14,2,FALSE),0))</f>
        <v/>
      </c>
      <c r="AB242" s="19" t="str">
        <f t="shared" si="36"/>
        <v/>
      </c>
      <c r="AC242" s="19" t="str">
        <f t="shared" si="37"/>
        <v/>
      </c>
      <c r="AD242" s="19" t="str">
        <f t="shared" si="38"/>
        <v/>
      </c>
      <c r="AE242" s="19" t="str">
        <f t="shared" si="39"/>
        <v/>
      </c>
      <c r="AF242" s="19" t="str">
        <f t="shared" si="40"/>
        <v/>
      </c>
      <c r="AG242" s="27" t="str">
        <f t="shared" si="41"/>
        <v/>
      </c>
      <c r="AH242" s="19" t="str">
        <f t="shared" si="42"/>
        <v/>
      </c>
      <c r="AI242" s="19" t="str">
        <f t="shared" si="43"/>
        <v/>
      </c>
      <c r="AJ242" s="19" t="str">
        <f t="shared" si="44"/>
        <v/>
      </c>
      <c r="AK242" s="18" t="str">
        <f>IF(AND(A242&lt;&gt;"",F242="Selected"),COUNTIF($F$9:F242,"Selected"),"")</f>
        <v/>
      </c>
      <c r="AL242" s="18" t="str">
        <f>IF(A242="","",COUNTIF($B$9:B242,B242))</f>
        <v/>
      </c>
      <c r="AM242" s="18" t="str">
        <f>IF(A242="","",IF(COUNTIF(Jobs!$A$9:$A$258,B242)&lt;&gt;1,"Check JobID",IF(COUNTIF(Suppliers!$D$9:$D$508,D242)&lt;&gt;1,"Check contact",IF(AA242&lt;=0,"Currency / FX missing",IF(NOT(ISNUMBER(G242)),"Original price missing",IF(G242&lt;0,"Invalid original price",IF(AND(H242&lt;&gt;"",NOT(ISNUMBER(H242))),"Invalid final price",IF(AND(ISNUMBER(H242),H242&lt;0),"Invalid final price",IF(AND(F242="Selected",COUNTIFS($B$9:$B$258,B242,$E$9:$E$258,E242,$F$9:$F$258,"Selected")&gt;1),"Selected scope overlap",IF(AND(ISNUMBER(H242),H242&gt;G242),"Price increased",IF(LEN(H242&amp;"")=0,"Final price pending","OK")))))))))))</f>
        <v/>
      </c>
      <c r="AN242" s="19" t="str">
        <f t="shared" si="45"/>
        <v/>
      </c>
      <c r="AO242" s="18" t="str">
        <f>IF(A242="","",IFERROR(IF(INDEX(Suppliers!$A$9:$A$508,MATCH(D242,Suppliers!$D$9:$D$508,0))=C242,"OK","Contact / supplier mismatch"),"Contact missing"))</f>
        <v/>
      </c>
      <c r="AP242" s="18" t="str">
        <f>IF(OR(A242="",IFERROR(INDEX(Jobs!$P$9:$P$258,MATCH(B242,Jobs!$A$9:$A$258,0)),"")=""),"",HYPERLINK("#'"&amp;IFERROR(INDEX(Jobs!$P$9:$P$258,MATCH(B242,Jobs!$A$9:$A$258,0)),"")&amp;"'!A1","OPEN JOB"))</f>
        <v/>
      </c>
      <c r="AQ242" s="18"/>
      <c r="AR242" s="18"/>
      <c r="AS242" t="str">
        <f t="shared" si="46"/>
        <v/>
      </c>
      <c r="AT242" t="str">
        <f t="shared" si="47"/>
        <v/>
      </c>
    </row>
    <row r="243" spans="1:46" ht="40" customHeight="1" x14ac:dyDescent="0.35">
      <c r="A243" s="14"/>
      <c r="B243" s="37"/>
      <c r="C243" s="14"/>
      <c r="D243" s="15"/>
      <c r="E243" s="15"/>
      <c r="F243" s="15"/>
      <c r="G243" s="24"/>
      <c r="H243" s="24"/>
      <c r="I243" s="15"/>
      <c r="J243" s="17"/>
      <c r="K243" s="17"/>
      <c r="L243" s="17"/>
      <c r="M243" s="15"/>
      <c r="N243" s="15"/>
      <c r="O243" s="15"/>
      <c r="P243" s="15"/>
      <c r="Q243" s="15"/>
      <c r="R243" s="15"/>
      <c r="S243" s="14"/>
      <c r="T243" s="14"/>
      <c r="U243" s="14" t="str">
        <f>IF(A243="","",IFERROR(IF(LEN(INDEX(Suppliers!$B$9:$B$508,MATCH(C243,Suppliers!$A$9:$A$508,0))&amp;"")=0,"",INDEX(Suppliers!$B$9:$B$508,MATCH(C243,Suppliers!$A$9:$A$508,0))),""))</f>
        <v/>
      </c>
      <c r="V243" s="14" t="str">
        <f>IF(A243="","",IFERROR(IF(LEN(INDEX(Suppliers!$E$9:$E$508,MATCH(D243,Suppliers!$D$9:$D$508,0))&amp;"")=0,"",INDEX(Suppliers!$E$9:$E$508,MATCH(D243,Suppliers!$D$9:$D$508,0))),""))</f>
        <v/>
      </c>
      <c r="W243" s="14" t="str">
        <f>IF(A243="","",IFERROR(IF(LEN(INDEX(Suppliers!$F$9:$F$508,MATCH(D243,Suppliers!$D$9:$D$508,0))&amp;"")=0,"",INDEX(Suppliers!$F$9:$F$508,MATCH(D243,Suppliers!$D$9:$D$508,0))),""))</f>
        <v/>
      </c>
      <c r="X243" s="14" t="str">
        <f>IF(A243="","",IFERROR(IF(LEN(INDEX(Suppliers!$G$9:$G$508,MATCH(D243,Suppliers!$D$9:$D$508,0))&amp;"")=0,"",INDEX(Suppliers!$G$9:$G$508,MATCH(D243,Suppliers!$D$9:$D$508,0))),""))</f>
        <v/>
      </c>
      <c r="Y243" s="14" t="str">
        <f>IF(A243="","",IFERROR(INDEX(Jobs!$C$9:$C$258,MATCH(B243,Jobs!$A$9:$A$258,0)),""))</f>
        <v/>
      </c>
      <c r="Z243" s="14" t="str">
        <f>IF(A243="","",IFERROR(INDEX(Jobs!$B$9:$B$258,MATCH(B243,Jobs!$A$9:$A$258,0)),""))</f>
        <v/>
      </c>
      <c r="AA243" s="16" t="str">
        <f>IF(A243="","",IFERROR(VLOOKUP(I243,Lists!$E$9:$F$14,2,FALSE),0))</f>
        <v/>
      </c>
      <c r="AB243" s="16" t="str">
        <f t="shared" si="36"/>
        <v/>
      </c>
      <c r="AC243" s="16" t="str">
        <f t="shared" si="37"/>
        <v/>
      </c>
      <c r="AD243" s="16" t="str">
        <f t="shared" si="38"/>
        <v/>
      </c>
      <c r="AE243" s="16" t="str">
        <f t="shared" si="39"/>
        <v/>
      </c>
      <c r="AF243" s="16" t="str">
        <f t="shared" si="40"/>
        <v/>
      </c>
      <c r="AG243" s="26" t="str">
        <f t="shared" si="41"/>
        <v/>
      </c>
      <c r="AH243" s="16" t="str">
        <f t="shared" si="42"/>
        <v/>
      </c>
      <c r="AI243" s="16" t="str">
        <f t="shared" si="43"/>
        <v/>
      </c>
      <c r="AJ243" s="16" t="str">
        <f t="shared" si="44"/>
        <v/>
      </c>
      <c r="AK243" s="14" t="str">
        <f>IF(AND(A243&lt;&gt;"",F243="Selected"),COUNTIF($F$9:F243,"Selected"),"")</f>
        <v/>
      </c>
      <c r="AL243" s="14" t="str">
        <f>IF(A243="","",COUNTIF($B$9:B243,B243))</f>
        <v/>
      </c>
      <c r="AM243" s="14" t="str">
        <f>IF(A243="","",IF(COUNTIF(Jobs!$A$9:$A$258,B243)&lt;&gt;1,"Check JobID",IF(COUNTIF(Suppliers!$D$9:$D$508,D243)&lt;&gt;1,"Check contact",IF(AA243&lt;=0,"Currency / FX missing",IF(NOT(ISNUMBER(G243)),"Original price missing",IF(G243&lt;0,"Invalid original price",IF(AND(H243&lt;&gt;"",NOT(ISNUMBER(H243))),"Invalid final price",IF(AND(ISNUMBER(H243),H243&lt;0),"Invalid final price",IF(AND(F243="Selected",COUNTIFS($B$9:$B$258,B243,$E$9:$E$258,E243,$F$9:$F$258,"Selected")&gt;1),"Selected scope overlap",IF(AND(ISNUMBER(H243),H243&gt;G243),"Price increased",IF(LEN(H243&amp;"")=0,"Final price pending","OK")))))))))))</f>
        <v/>
      </c>
      <c r="AN243" s="16" t="str">
        <f t="shared" si="45"/>
        <v/>
      </c>
      <c r="AO243" s="14" t="str">
        <f>IF(A243="","",IFERROR(IF(INDEX(Suppliers!$A$9:$A$508,MATCH(D243,Suppliers!$D$9:$D$508,0))=C243,"OK","Contact / supplier mismatch"),"Contact missing"))</f>
        <v/>
      </c>
      <c r="AP243" s="14" t="str">
        <f>IF(OR(A243="",IFERROR(INDEX(Jobs!$P$9:$P$258,MATCH(B243,Jobs!$A$9:$A$258,0)),"")=""),"",HYPERLINK("#'"&amp;IFERROR(INDEX(Jobs!$P$9:$P$258,MATCH(B243,Jobs!$A$9:$A$258,0)),"")&amp;"'!A1","OPEN JOB"))</f>
        <v/>
      </c>
      <c r="AQ243" s="14"/>
      <c r="AR243" s="14"/>
      <c r="AS243" t="str">
        <f t="shared" si="46"/>
        <v/>
      </c>
      <c r="AT243" t="str">
        <f t="shared" si="47"/>
        <v/>
      </c>
    </row>
    <row r="244" spans="1:46" ht="40" customHeight="1" x14ac:dyDescent="0.35">
      <c r="A244" s="18"/>
      <c r="B244" s="37"/>
      <c r="C244" s="18"/>
      <c r="D244" s="15"/>
      <c r="E244" s="15"/>
      <c r="F244" s="15"/>
      <c r="G244" s="24"/>
      <c r="H244" s="24"/>
      <c r="I244" s="15"/>
      <c r="J244" s="17"/>
      <c r="K244" s="17"/>
      <c r="L244" s="17"/>
      <c r="M244" s="15"/>
      <c r="N244" s="15"/>
      <c r="O244" s="15"/>
      <c r="P244" s="15"/>
      <c r="Q244" s="15"/>
      <c r="R244" s="15"/>
      <c r="S244" s="18"/>
      <c r="T244" s="18"/>
      <c r="U244" s="18" t="str">
        <f>IF(A244="","",IFERROR(IF(LEN(INDEX(Suppliers!$B$9:$B$508,MATCH(C244,Suppliers!$A$9:$A$508,0))&amp;"")=0,"",INDEX(Suppliers!$B$9:$B$508,MATCH(C244,Suppliers!$A$9:$A$508,0))),""))</f>
        <v/>
      </c>
      <c r="V244" s="18" t="str">
        <f>IF(A244="","",IFERROR(IF(LEN(INDEX(Suppliers!$E$9:$E$508,MATCH(D244,Suppliers!$D$9:$D$508,0))&amp;"")=0,"",INDEX(Suppliers!$E$9:$E$508,MATCH(D244,Suppliers!$D$9:$D$508,0))),""))</f>
        <v/>
      </c>
      <c r="W244" s="18" t="str">
        <f>IF(A244="","",IFERROR(IF(LEN(INDEX(Suppliers!$F$9:$F$508,MATCH(D244,Suppliers!$D$9:$D$508,0))&amp;"")=0,"",INDEX(Suppliers!$F$9:$F$508,MATCH(D244,Suppliers!$D$9:$D$508,0))),""))</f>
        <v/>
      </c>
      <c r="X244" s="18" t="str">
        <f>IF(A244="","",IFERROR(IF(LEN(INDEX(Suppliers!$G$9:$G$508,MATCH(D244,Suppliers!$D$9:$D$508,0))&amp;"")=0,"",INDEX(Suppliers!$G$9:$G$508,MATCH(D244,Suppliers!$D$9:$D$508,0))),""))</f>
        <v/>
      </c>
      <c r="Y244" s="18" t="str">
        <f>IF(A244="","",IFERROR(INDEX(Jobs!$C$9:$C$258,MATCH(B244,Jobs!$A$9:$A$258,0)),""))</f>
        <v/>
      </c>
      <c r="Z244" s="18" t="str">
        <f>IF(A244="","",IFERROR(INDEX(Jobs!$B$9:$B$258,MATCH(B244,Jobs!$A$9:$A$258,0)),""))</f>
        <v/>
      </c>
      <c r="AA244" s="19" t="str">
        <f>IF(A244="","",IFERROR(VLOOKUP(I244,Lists!$E$9:$F$14,2,FALSE),0))</f>
        <v/>
      </c>
      <c r="AB244" s="19" t="str">
        <f t="shared" si="36"/>
        <v/>
      </c>
      <c r="AC244" s="19" t="str">
        <f t="shared" si="37"/>
        <v/>
      </c>
      <c r="AD244" s="19" t="str">
        <f t="shared" si="38"/>
        <v/>
      </c>
      <c r="AE244" s="19" t="str">
        <f t="shared" si="39"/>
        <v/>
      </c>
      <c r="AF244" s="19" t="str">
        <f t="shared" si="40"/>
        <v/>
      </c>
      <c r="AG244" s="27" t="str">
        <f t="shared" si="41"/>
        <v/>
      </c>
      <c r="AH244" s="19" t="str">
        <f t="shared" si="42"/>
        <v/>
      </c>
      <c r="AI244" s="19" t="str">
        <f t="shared" si="43"/>
        <v/>
      </c>
      <c r="AJ244" s="19" t="str">
        <f t="shared" si="44"/>
        <v/>
      </c>
      <c r="AK244" s="18" t="str">
        <f>IF(AND(A244&lt;&gt;"",F244="Selected"),COUNTIF($F$9:F244,"Selected"),"")</f>
        <v/>
      </c>
      <c r="AL244" s="18" t="str">
        <f>IF(A244="","",COUNTIF($B$9:B244,B244))</f>
        <v/>
      </c>
      <c r="AM244" s="18" t="str">
        <f>IF(A244="","",IF(COUNTIF(Jobs!$A$9:$A$258,B244)&lt;&gt;1,"Check JobID",IF(COUNTIF(Suppliers!$D$9:$D$508,D244)&lt;&gt;1,"Check contact",IF(AA244&lt;=0,"Currency / FX missing",IF(NOT(ISNUMBER(G244)),"Original price missing",IF(G244&lt;0,"Invalid original price",IF(AND(H244&lt;&gt;"",NOT(ISNUMBER(H244))),"Invalid final price",IF(AND(ISNUMBER(H244),H244&lt;0),"Invalid final price",IF(AND(F244="Selected",COUNTIFS($B$9:$B$258,B244,$E$9:$E$258,E244,$F$9:$F$258,"Selected")&gt;1),"Selected scope overlap",IF(AND(ISNUMBER(H244),H244&gt;G244),"Price increased",IF(LEN(H244&amp;"")=0,"Final price pending","OK")))))))))))</f>
        <v/>
      </c>
      <c r="AN244" s="19" t="str">
        <f t="shared" si="45"/>
        <v/>
      </c>
      <c r="AO244" s="18" t="str">
        <f>IF(A244="","",IFERROR(IF(INDEX(Suppliers!$A$9:$A$508,MATCH(D244,Suppliers!$D$9:$D$508,0))=C244,"OK","Contact / supplier mismatch"),"Contact missing"))</f>
        <v/>
      </c>
      <c r="AP244" s="18" t="str">
        <f>IF(OR(A244="",IFERROR(INDEX(Jobs!$P$9:$P$258,MATCH(B244,Jobs!$A$9:$A$258,0)),"")=""),"",HYPERLINK("#'"&amp;IFERROR(INDEX(Jobs!$P$9:$P$258,MATCH(B244,Jobs!$A$9:$A$258,0)),"")&amp;"'!A1","OPEN JOB"))</f>
        <v/>
      </c>
      <c r="AQ244" s="18"/>
      <c r="AR244" s="18"/>
      <c r="AS244" t="str">
        <f t="shared" si="46"/>
        <v/>
      </c>
      <c r="AT244" t="str">
        <f t="shared" si="47"/>
        <v/>
      </c>
    </row>
    <row r="245" spans="1:46" ht="40" customHeight="1" x14ac:dyDescent="0.35">
      <c r="A245" s="14"/>
      <c r="B245" s="37"/>
      <c r="C245" s="14"/>
      <c r="D245" s="15"/>
      <c r="E245" s="15"/>
      <c r="F245" s="15"/>
      <c r="G245" s="24"/>
      <c r="H245" s="24"/>
      <c r="I245" s="15"/>
      <c r="J245" s="17"/>
      <c r="K245" s="17"/>
      <c r="L245" s="17"/>
      <c r="M245" s="15"/>
      <c r="N245" s="15"/>
      <c r="O245" s="15"/>
      <c r="P245" s="15"/>
      <c r="Q245" s="15"/>
      <c r="R245" s="15"/>
      <c r="S245" s="14"/>
      <c r="T245" s="14"/>
      <c r="U245" s="14" t="str">
        <f>IF(A245="","",IFERROR(IF(LEN(INDEX(Suppliers!$B$9:$B$508,MATCH(C245,Suppliers!$A$9:$A$508,0))&amp;"")=0,"",INDEX(Suppliers!$B$9:$B$508,MATCH(C245,Suppliers!$A$9:$A$508,0))),""))</f>
        <v/>
      </c>
      <c r="V245" s="14" t="str">
        <f>IF(A245="","",IFERROR(IF(LEN(INDEX(Suppliers!$E$9:$E$508,MATCH(D245,Suppliers!$D$9:$D$508,0))&amp;"")=0,"",INDEX(Suppliers!$E$9:$E$508,MATCH(D245,Suppliers!$D$9:$D$508,0))),""))</f>
        <v/>
      </c>
      <c r="W245" s="14" t="str">
        <f>IF(A245="","",IFERROR(IF(LEN(INDEX(Suppliers!$F$9:$F$508,MATCH(D245,Suppliers!$D$9:$D$508,0))&amp;"")=0,"",INDEX(Suppliers!$F$9:$F$508,MATCH(D245,Suppliers!$D$9:$D$508,0))),""))</f>
        <v/>
      </c>
      <c r="X245" s="14" t="str">
        <f>IF(A245="","",IFERROR(IF(LEN(INDEX(Suppliers!$G$9:$G$508,MATCH(D245,Suppliers!$D$9:$D$508,0))&amp;"")=0,"",INDEX(Suppliers!$G$9:$G$508,MATCH(D245,Suppliers!$D$9:$D$508,0))),""))</f>
        <v/>
      </c>
      <c r="Y245" s="14" t="str">
        <f>IF(A245="","",IFERROR(INDEX(Jobs!$C$9:$C$258,MATCH(B245,Jobs!$A$9:$A$258,0)),""))</f>
        <v/>
      </c>
      <c r="Z245" s="14" t="str">
        <f>IF(A245="","",IFERROR(INDEX(Jobs!$B$9:$B$258,MATCH(B245,Jobs!$A$9:$A$258,0)),""))</f>
        <v/>
      </c>
      <c r="AA245" s="16" t="str">
        <f>IF(A245="","",IFERROR(VLOOKUP(I245,Lists!$E$9:$F$14,2,FALSE),0))</f>
        <v/>
      </c>
      <c r="AB245" s="16" t="str">
        <f t="shared" si="36"/>
        <v/>
      </c>
      <c r="AC245" s="16" t="str">
        <f t="shared" si="37"/>
        <v/>
      </c>
      <c r="AD245" s="16" t="str">
        <f t="shared" si="38"/>
        <v/>
      </c>
      <c r="AE245" s="16" t="str">
        <f t="shared" si="39"/>
        <v/>
      </c>
      <c r="AF245" s="16" t="str">
        <f t="shared" si="40"/>
        <v/>
      </c>
      <c r="AG245" s="26" t="str">
        <f t="shared" si="41"/>
        <v/>
      </c>
      <c r="AH245" s="16" t="str">
        <f t="shared" si="42"/>
        <v/>
      </c>
      <c r="AI245" s="16" t="str">
        <f t="shared" si="43"/>
        <v/>
      </c>
      <c r="AJ245" s="16" t="str">
        <f t="shared" si="44"/>
        <v/>
      </c>
      <c r="AK245" s="14" t="str">
        <f>IF(AND(A245&lt;&gt;"",F245="Selected"),COUNTIF($F$9:F245,"Selected"),"")</f>
        <v/>
      </c>
      <c r="AL245" s="14" t="str">
        <f>IF(A245="","",COUNTIF($B$9:B245,B245))</f>
        <v/>
      </c>
      <c r="AM245" s="14" t="str">
        <f>IF(A245="","",IF(COUNTIF(Jobs!$A$9:$A$258,B245)&lt;&gt;1,"Check JobID",IF(COUNTIF(Suppliers!$D$9:$D$508,D245)&lt;&gt;1,"Check contact",IF(AA245&lt;=0,"Currency / FX missing",IF(NOT(ISNUMBER(G245)),"Original price missing",IF(G245&lt;0,"Invalid original price",IF(AND(H245&lt;&gt;"",NOT(ISNUMBER(H245))),"Invalid final price",IF(AND(ISNUMBER(H245),H245&lt;0),"Invalid final price",IF(AND(F245="Selected",COUNTIFS($B$9:$B$258,B245,$E$9:$E$258,E245,$F$9:$F$258,"Selected")&gt;1),"Selected scope overlap",IF(AND(ISNUMBER(H245),H245&gt;G245),"Price increased",IF(LEN(H245&amp;"")=0,"Final price pending","OK")))))))))))</f>
        <v/>
      </c>
      <c r="AN245" s="16" t="str">
        <f t="shared" si="45"/>
        <v/>
      </c>
      <c r="AO245" s="14" t="str">
        <f>IF(A245="","",IFERROR(IF(INDEX(Suppliers!$A$9:$A$508,MATCH(D245,Suppliers!$D$9:$D$508,0))=C245,"OK","Contact / supplier mismatch"),"Contact missing"))</f>
        <v/>
      </c>
      <c r="AP245" s="14" t="str">
        <f>IF(OR(A245="",IFERROR(INDEX(Jobs!$P$9:$P$258,MATCH(B245,Jobs!$A$9:$A$258,0)),"")=""),"",HYPERLINK("#'"&amp;IFERROR(INDEX(Jobs!$P$9:$P$258,MATCH(B245,Jobs!$A$9:$A$258,0)),"")&amp;"'!A1","OPEN JOB"))</f>
        <v/>
      </c>
      <c r="AQ245" s="14"/>
      <c r="AR245" s="14"/>
      <c r="AS245" t="str">
        <f t="shared" si="46"/>
        <v/>
      </c>
      <c r="AT245" t="str">
        <f t="shared" si="47"/>
        <v/>
      </c>
    </row>
    <row r="246" spans="1:46" ht="40" customHeight="1" x14ac:dyDescent="0.35">
      <c r="A246" s="18"/>
      <c r="B246" s="37"/>
      <c r="C246" s="18"/>
      <c r="D246" s="15"/>
      <c r="E246" s="15"/>
      <c r="F246" s="15"/>
      <c r="G246" s="24"/>
      <c r="H246" s="24"/>
      <c r="I246" s="15"/>
      <c r="J246" s="17"/>
      <c r="K246" s="17"/>
      <c r="L246" s="17"/>
      <c r="M246" s="15"/>
      <c r="N246" s="15"/>
      <c r="O246" s="15"/>
      <c r="P246" s="15"/>
      <c r="Q246" s="15"/>
      <c r="R246" s="15"/>
      <c r="S246" s="18"/>
      <c r="T246" s="18"/>
      <c r="U246" s="18" t="str">
        <f>IF(A246="","",IFERROR(IF(LEN(INDEX(Suppliers!$B$9:$B$508,MATCH(C246,Suppliers!$A$9:$A$508,0))&amp;"")=0,"",INDEX(Suppliers!$B$9:$B$508,MATCH(C246,Suppliers!$A$9:$A$508,0))),""))</f>
        <v/>
      </c>
      <c r="V246" s="18" t="str">
        <f>IF(A246="","",IFERROR(IF(LEN(INDEX(Suppliers!$E$9:$E$508,MATCH(D246,Suppliers!$D$9:$D$508,0))&amp;"")=0,"",INDEX(Suppliers!$E$9:$E$508,MATCH(D246,Suppliers!$D$9:$D$508,0))),""))</f>
        <v/>
      </c>
      <c r="W246" s="18" t="str">
        <f>IF(A246="","",IFERROR(IF(LEN(INDEX(Suppliers!$F$9:$F$508,MATCH(D246,Suppliers!$D$9:$D$508,0))&amp;"")=0,"",INDEX(Suppliers!$F$9:$F$508,MATCH(D246,Suppliers!$D$9:$D$508,0))),""))</f>
        <v/>
      </c>
      <c r="X246" s="18" t="str">
        <f>IF(A246="","",IFERROR(IF(LEN(INDEX(Suppliers!$G$9:$G$508,MATCH(D246,Suppliers!$D$9:$D$508,0))&amp;"")=0,"",INDEX(Suppliers!$G$9:$G$508,MATCH(D246,Suppliers!$D$9:$D$508,0))),""))</f>
        <v/>
      </c>
      <c r="Y246" s="18" t="str">
        <f>IF(A246="","",IFERROR(INDEX(Jobs!$C$9:$C$258,MATCH(B246,Jobs!$A$9:$A$258,0)),""))</f>
        <v/>
      </c>
      <c r="Z246" s="18" t="str">
        <f>IF(A246="","",IFERROR(INDEX(Jobs!$B$9:$B$258,MATCH(B246,Jobs!$A$9:$A$258,0)),""))</f>
        <v/>
      </c>
      <c r="AA246" s="19" t="str">
        <f>IF(A246="","",IFERROR(VLOOKUP(I246,Lists!$E$9:$F$14,2,FALSE),0))</f>
        <v/>
      </c>
      <c r="AB246" s="19" t="str">
        <f t="shared" si="36"/>
        <v/>
      </c>
      <c r="AC246" s="19" t="str">
        <f t="shared" si="37"/>
        <v/>
      </c>
      <c r="AD246" s="19" t="str">
        <f t="shared" si="38"/>
        <v/>
      </c>
      <c r="AE246" s="19" t="str">
        <f t="shared" si="39"/>
        <v/>
      </c>
      <c r="AF246" s="19" t="str">
        <f t="shared" si="40"/>
        <v/>
      </c>
      <c r="AG246" s="27" t="str">
        <f t="shared" si="41"/>
        <v/>
      </c>
      <c r="AH246" s="19" t="str">
        <f t="shared" si="42"/>
        <v/>
      </c>
      <c r="AI246" s="19" t="str">
        <f t="shared" si="43"/>
        <v/>
      </c>
      <c r="AJ246" s="19" t="str">
        <f t="shared" si="44"/>
        <v/>
      </c>
      <c r="AK246" s="18" t="str">
        <f>IF(AND(A246&lt;&gt;"",F246="Selected"),COUNTIF($F$9:F246,"Selected"),"")</f>
        <v/>
      </c>
      <c r="AL246" s="18" t="str">
        <f>IF(A246="","",COUNTIF($B$9:B246,B246))</f>
        <v/>
      </c>
      <c r="AM246" s="18" t="str">
        <f>IF(A246="","",IF(COUNTIF(Jobs!$A$9:$A$258,B246)&lt;&gt;1,"Check JobID",IF(COUNTIF(Suppliers!$D$9:$D$508,D246)&lt;&gt;1,"Check contact",IF(AA246&lt;=0,"Currency / FX missing",IF(NOT(ISNUMBER(G246)),"Original price missing",IF(G246&lt;0,"Invalid original price",IF(AND(H246&lt;&gt;"",NOT(ISNUMBER(H246))),"Invalid final price",IF(AND(ISNUMBER(H246),H246&lt;0),"Invalid final price",IF(AND(F246="Selected",COUNTIFS($B$9:$B$258,B246,$E$9:$E$258,E246,$F$9:$F$258,"Selected")&gt;1),"Selected scope overlap",IF(AND(ISNUMBER(H246),H246&gt;G246),"Price increased",IF(LEN(H246&amp;"")=0,"Final price pending","OK")))))))))))</f>
        <v/>
      </c>
      <c r="AN246" s="19" t="str">
        <f t="shared" si="45"/>
        <v/>
      </c>
      <c r="AO246" s="18" t="str">
        <f>IF(A246="","",IFERROR(IF(INDEX(Suppliers!$A$9:$A$508,MATCH(D246,Suppliers!$D$9:$D$508,0))=C246,"OK","Contact / supplier mismatch"),"Contact missing"))</f>
        <v/>
      </c>
      <c r="AP246" s="18" t="str">
        <f>IF(OR(A246="",IFERROR(INDEX(Jobs!$P$9:$P$258,MATCH(B246,Jobs!$A$9:$A$258,0)),"")=""),"",HYPERLINK("#'"&amp;IFERROR(INDEX(Jobs!$P$9:$P$258,MATCH(B246,Jobs!$A$9:$A$258,0)),"")&amp;"'!A1","OPEN JOB"))</f>
        <v/>
      </c>
      <c r="AQ246" s="18"/>
      <c r="AR246" s="18"/>
      <c r="AS246" t="str">
        <f t="shared" si="46"/>
        <v/>
      </c>
      <c r="AT246" t="str">
        <f t="shared" si="47"/>
        <v/>
      </c>
    </row>
    <row r="247" spans="1:46" ht="40" customHeight="1" x14ac:dyDescent="0.35">
      <c r="A247" s="14"/>
      <c r="B247" s="37"/>
      <c r="C247" s="14"/>
      <c r="D247" s="15"/>
      <c r="E247" s="15"/>
      <c r="F247" s="15"/>
      <c r="G247" s="24"/>
      <c r="H247" s="24"/>
      <c r="I247" s="15"/>
      <c r="J247" s="17"/>
      <c r="K247" s="17"/>
      <c r="L247" s="17"/>
      <c r="M247" s="15"/>
      <c r="N247" s="15"/>
      <c r="O247" s="15"/>
      <c r="P247" s="15"/>
      <c r="Q247" s="15"/>
      <c r="R247" s="15"/>
      <c r="S247" s="14"/>
      <c r="T247" s="14"/>
      <c r="U247" s="14" t="str">
        <f>IF(A247="","",IFERROR(IF(LEN(INDEX(Suppliers!$B$9:$B$508,MATCH(C247,Suppliers!$A$9:$A$508,0))&amp;"")=0,"",INDEX(Suppliers!$B$9:$B$508,MATCH(C247,Suppliers!$A$9:$A$508,0))),""))</f>
        <v/>
      </c>
      <c r="V247" s="14" t="str">
        <f>IF(A247="","",IFERROR(IF(LEN(INDEX(Suppliers!$E$9:$E$508,MATCH(D247,Suppliers!$D$9:$D$508,0))&amp;"")=0,"",INDEX(Suppliers!$E$9:$E$508,MATCH(D247,Suppliers!$D$9:$D$508,0))),""))</f>
        <v/>
      </c>
      <c r="W247" s="14" t="str">
        <f>IF(A247="","",IFERROR(IF(LEN(INDEX(Suppliers!$F$9:$F$508,MATCH(D247,Suppliers!$D$9:$D$508,0))&amp;"")=0,"",INDEX(Suppliers!$F$9:$F$508,MATCH(D247,Suppliers!$D$9:$D$508,0))),""))</f>
        <v/>
      </c>
      <c r="X247" s="14" t="str">
        <f>IF(A247="","",IFERROR(IF(LEN(INDEX(Suppliers!$G$9:$G$508,MATCH(D247,Suppliers!$D$9:$D$508,0))&amp;"")=0,"",INDEX(Suppliers!$G$9:$G$508,MATCH(D247,Suppliers!$D$9:$D$508,0))),""))</f>
        <v/>
      </c>
      <c r="Y247" s="14" t="str">
        <f>IF(A247="","",IFERROR(INDEX(Jobs!$C$9:$C$258,MATCH(B247,Jobs!$A$9:$A$258,0)),""))</f>
        <v/>
      </c>
      <c r="Z247" s="14" t="str">
        <f>IF(A247="","",IFERROR(INDEX(Jobs!$B$9:$B$258,MATCH(B247,Jobs!$A$9:$A$258,0)),""))</f>
        <v/>
      </c>
      <c r="AA247" s="16" t="str">
        <f>IF(A247="","",IFERROR(VLOOKUP(I247,Lists!$E$9:$F$14,2,FALSE),0))</f>
        <v/>
      </c>
      <c r="AB247" s="16" t="str">
        <f t="shared" si="36"/>
        <v/>
      </c>
      <c r="AC247" s="16" t="str">
        <f t="shared" si="37"/>
        <v/>
      </c>
      <c r="AD247" s="16" t="str">
        <f t="shared" si="38"/>
        <v/>
      </c>
      <c r="AE247" s="16" t="str">
        <f t="shared" si="39"/>
        <v/>
      </c>
      <c r="AF247" s="16" t="str">
        <f t="shared" si="40"/>
        <v/>
      </c>
      <c r="AG247" s="26" t="str">
        <f t="shared" si="41"/>
        <v/>
      </c>
      <c r="AH247" s="16" t="str">
        <f t="shared" si="42"/>
        <v/>
      </c>
      <c r="AI247" s="16" t="str">
        <f t="shared" si="43"/>
        <v/>
      </c>
      <c r="AJ247" s="16" t="str">
        <f t="shared" si="44"/>
        <v/>
      </c>
      <c r="AK247" s="14" t="str">
        <f>IF(AND(A247&lt;&gt;"",F247="Selected"),COUNTIF($F$9:F247,"Selected"),"")</f>
        <v/>
      </c>
      <c r="AL247" s="14" t="str">
        <f>IF(A247="","",COUNTIF($B$9:B247,B247))</f>
        <v/>
      </c>
      <c r="AM247" s="14" t="str">
        <f>IF(A247="","",IF(COUNTIF(Jobs!$A$9:$A$258,B247)&lt;&gt;1,"Check JobID",IF(COUNTIF(Suppliers!$D$9:$D$508,D247)&lt;&gt;1,"Check contact",IF(AA247&lt;=0,"Currency / FX missing",IF(NOT(ISNUMBER(G247)),"Original price missing",IF(G247&lt;0,"Invalid original price",IF(AND(H247&lt;&gt;"",NOT(ISNUMBER(H247))),"Invalid final price",IF(AND(ISNUMBER(H247),H247&lt;0),"Invalid final price",IF(AND(F247="Selected",COUNTIFS($B$9:$B$258,B247,$E$9:$E$258,E247,$F$9:$F$258,"Selected")&gt;1),"Selected scope overlap",IF(AND(ISNUMBER(H247),H247&gt;G247),"Price increased",IF(LEN(H247&amp;"")=0,"Final price pending","OK")))))))))))</f>
        <v/>
      </c>
      <c r="AN247" s="16" t="str">
        <f t="shared" si="45"/>
        <v/>
      </c>
      <c r="AO247" s="14" t="str">
        <f>IF(A247="","",IFERROR(IF(INDEX(Suppliers!$A$9:$A$508,MATCH(D247,Suppliers!$D$9:$D$508,0))=C247,"OK","Contact / supplier mismatch"),"Contact missing"))</f>
        <v/>
      </c>
      <c r="AP247" s="14" t="str">
        <f>IF(OR(A247="",IFERROR(INDEX(Jobs!$P$9:$P$258,MATCH(B247,Jobs!$A$9:$A$258,0)),"")=""),"",HYPERLINK("#'"&amp;IFERROR(INDEX(Jobs!$P$9:$P$258,MATCH(B247,Jobs!$A$9:$A$258,0)),"")&amp;"'!A1","OPEN JOB"))</f>
        <v/>
      </c>
      <c r="AQ247" s="14"/>
      <c r="AR247" s="14"/>
      <c r="AS247" t="str">
        <f t="shared" si="46"/>
        <v/>
      </c>
      <c r="AT247" t="str">
        <f t="shared" si="47"/>
        <v/>
      </c>
    </row>
    <row r="248" spans="1:46" ht="40" customHeight="1" x14ac:dyDescent="0.35">
      <c r="A248" s="18"/>
      <c r="B248" s="37"/>
      <c r="C248" s="18"/>
      <c r="D248" s="15"/>
      <c r="E248" s="15"/>
      <c r="F248" s="15"/>
      <c r="G248" s="24"/>
      <c r="H248" s="24"/>
      <c r="I248" s="15"/>
      <c r="J248" s="17"/>
      <c r="K248" s="17"/>
      <c r="L248" s="17"/>
      <c r="M248" s="15"/>
      <c r="N248" s="15"/>
      <c r="O248" s="15"/>
      <c r="P248" s="15"/>
      <c r="Q248" s="15"/>
      <c r="R248" s="15"/>
      <c r="S248" s="18"/>
      <c r="T248" s="18"/>
      <c r="U248" s="18" t="str">
        <f>IF(A248="","",IFERROR(IF(LEN(INDEX(Suppliers!$B$9:$B$508,MATCH(C248,Suppliers!$A$9:$A$508,0))&amp;"")=0,"",INDEX(Suppliers!$B$9:$B$508,MATCH(C248,Suppliers!$A$9:$A$508,0))),""))</f>
        <v/>
      </c>
      <c r="V248" s="18" t="str">
        <f>IF(A248="","",IFERROR(IF(LEN(INDEX(Suppliers!$E$9:$E$508,MATCH(D248,Suppliers!$D$9:$D$508,0))&amp;"")=0,"",INDEX(Suppliers!$E$9:$E$508,MATCH(D248,Suppliers!$D$9:$D$508,0))),""))</f>
        <v/>
      </c>
      <c r="W248" s="18" t="str">
        <f>IF(A248="","",IFERROR(IF(LEN(INDEX(Suppliers!$F$9:$F$508,MATCH(D248,Suppliers!$D$9:$D$508,0))&amp;"")=0,"",INDEX(Suppliers!$F$9:$F$508,MATCH(D248,Suppliers!$D$9:$D$508,0))),""))</f>
        <v/>
      </c>
      <c r="X248" s="18" t="str">
        <f>IF(A248="","",IFERROR(IF(LEN(INDEX(Suppliers!$G$9:$G$508,MATCH(D248,Suppliers!$D$9:$D$508,0))&amp;"")=0,"",INDEX(Suppliers!$G$9:$G$508,MATCH(D248,Suppliers!$D$9:$D$508,0))),""))</f>
        <v/>
      </c>
      <c r="Y248" s="18" t="str">
        <f>IF(A248="","",IFERROR(INDEX(Jobs!$C$9:$C$258,MATCH(B248,Jobs!$A$9:$A$258,0)),""))</f>
        <v/>
      </c>
      <c r="Z248" s="18" t="str">
        <f>IF(A248="","",IFERROR(INDEX(Jobs!$B$9:$B$258,MATCH(B248,Jobs!$A$9:$A$258,0)),""))</f>
        <v/>
      </c>
      <c r="AA248" s="19" t="str">
        <f>IF(A248="","",IFERROR(VLOOKUP(I248,Lists!$E$9:$F$14,2,FALSE),0))</f>
        <v/>
      </c>
      <c r="AB248" s="19" t="str">
        <f t="shared" si="36"/>
        <v/>
      </c>
      <c r="AC248" s="19" t="str">
        <f t="shared" si="37"/>
        <v/>
      </c>
      <c r="AD248" s="19" t="str">
        <f t="shared" si="38"/>
        <v/>
      </c>
      <c r="AE248" s="19" t="str">
        <f t="shared" si="39"/>
        <v/>
      </c>
      <c r="AF248" s="19" t="str">
        <f t="shared" si="40"/>
        <v/>
      </c>
      <c r="AG248" s="27" t="str">
        <f t="shared" si="41"/>
        <v/>
      </c>
      <c r="AH248" s="19" t="str">
        <f t="shared" si="42"/>
        <v/>
      </c>
      <c r="AI248" s="19" t="str">
        <f t="shared" si="43"/>
        <v/>
      </c>
      <c r="AJ248" s="19" t="str">
        <f t="shared" si="44"/>
        <v/>
      </c>
      <c r="AK248" s="18" t="str">
        <f>IF(AND(A248&lt;&gt;"",F248="Selected"),COUNTIF($F$9:F248,"Selected"),"")</f>
        <v/>
      </c>
      <c r="AL248" s="18" t="str">
        <f>IF(A248="","",COUNTIF($B$9:B248,B248))</f>
        <v/>
      </c>
      <c r="AM248" s="18" t="str">
        <f>IF(A248="","",IF(COUNTIF(Jobs!$A$9:$A$258,B248)&lt;&gt;1,"Check JobID",IF(COUNTIF(Suppliers!$D$9:$D$508,D248)&lt;&gt;1,"Check contact",IF(AA248&lt;=0,"Currency / FX missing",IF(NOT(ISNUMBER(G248)),"Original price missing",IF(G248&lt;0,"Invalid original price",IF(AND(H248&lt;&gt;"",NOT(ISNUMBER(H248))),"Invalid final price",IF(AND(ISNUMBER(H248),H248&lt;0),"Invalid final price",IF(AND(F248="Selected",COUNTIFS($B$9:$B$258,B248,$E$9:$E$258,E248,$F$9:$F$258,"Selected")&gt;1),"Selected scope overlap",IF(AND(ISNUMBER(H248),H248&gt;G248),"Price increased",IF(LEN(H248&amp;"")=0,"Final price pending","OK")))))))))))</f>
        <v/>
      </c>
      <c r="AN248" s="19" t="str">
        <f t="shared" si="45"/>
        <v/>
      </c>
      <c r="AO248" s="18" t="str">
        <f>IF(A248="","",IFERROR(IF(INDEX(Suppliers!$A$9:$A$508,MATCH(D248,Suppliers!$D$9:$D$508,0))=C248,"OK","Contact / supplier mismatch"),"Contact missing"))</f>
        <v/>
      </c>
      <c r="AP248" s="18" t="str">
        <f>IF(OR(A248="",IFERROR(INDEX(Jobs!$P$9:$P$258,MATCH(B248,Jobs!$A$9:$A$258,0)),"")=""),"",HYPERLINK("#'"&amp;IFERROR(INDEX(Jobs!$P$9:$P$258,MATCH(B248,Jobs!$A$9:$A$258,0)),"")&amp;"'!A1","OPEN JOB"))</f>
        <v/>
      </c>
      <c r="AQ248" s="18"/>
      <c r="AR248" s="18"/>
      <c r="AS248" t="str">
        <f t="shared" si="46"/>
        <v/>
      </c>
      <c r="AT248" t="str">
        <f t="shared" si="47"/>
        <v/>
      </c>
    </row>
    <row r="249" spans="1:46" ht="40" customHeight="1" x14ac:dyDescent="0.35">
      <c r="A249" s="14"/>
      <c r="B249" s="37"/>
      <c r="C249" s="14"/>
      <c r="D249" s="15"/>
      <c r="E249" s="15"/>
      <c r="F249" s="15"/>
      <c r="G249" s="24"/>
      <c r="H249" s="24"/>
      <c r="I249" s="15"/>
      <c r="J249" s="17"/>
      <c r="K249" s="17"/>
      <c r="L249" s="17"/>
      <c r="M249" s="15"/>
      <c r="N249" s="15"/>
      <c r="O249" s="15"/>
      <c r="P249" s="15"/>
      <c r="Q249" s="15"/>
      <c r="R249" s="15"/>
      <c r="S249" s="14"/>
      <c r="T249" s="14"/>
      <c r="U249" s="14" t="str">
        <f>IF(A249="","",IFERROR(IF(LEN(INDEX(Suppliers!$B$9:$B$508,MATCH(C249,Suppliers!$A$9:$A$508,0))&amp;"")=0,"",INDEX(Suppliers!$B$9:$B$508,MATCH(C249,Suppliers!$A$9:$A$508,0))),""))</f>
        <v/>
      </c>
      <c r="V249" s="14" t="str">
        <f>IF(A249="","",IFERROR(IF(LEN(INDEX(Suppliers!$E$9:$E$508,MATCH(D249,Suppliers!$D$9:$D$508,0))&amp;"")=0,"",INDEX(Suppliers!$E$9:$E$508,MATCH(D249,Suppliers!$D$9:$D$508,0))),""))</f>
        <v/>
      </c>
      <c r="W249" s="14" t="str">
        <f>IF(A249="","",IFERROR(IF(LEN(INDEX(Suppliers!$F$9:$F$508,MATCH(D249,Suppliers!$D$9:$D$508,0))&amp;"")=0,"",INDEX(Suppliers!$F$9:$F$508,MATCH(D249,Suppliers!$D$9:$D$508,0))),""))</f>
        <v/>
      </c>
      <c r="X249" s="14" t="str">
        <f>IF(A249="","",IFERROR(IF(LEN(INDEX(Suppliers!$G$9:$G$508,MATCH(D249,Suppliers!$D$9:$D$508,0))&amp;"")=0,"",INDEX(Suppliers!$G$9:$G$508,MATCH(D249,Suppliers!$D$9:$D$508,0))),""))</f>
        <v/>
      </c>
      <c r="Y249" s="14" t="str">
        <f>IF(A249="","",IFERROR(INDEX(Jobs!$C$9:$C$258,MATCH(B249,Jobs!$A$9:$A$258,0)),""))</f>
        <v/>
      </c>
      <c r="Z249" s="14" t="str">
        <f>IF(A249="","",IFERROR(INDEX(Jobs!$B$9:$B$258,MATCH(B249,Jobs!$A$9:$A$258,0)),""))</f>
        <v/>
      </c>
      <c r="AA249" s="16" t="str">
        <f>IF(A249="","",IFERROR(VLOOKUP(I249,Lists!$E$9:$F$14,2,FALSE),0))</f>
        <v/>
      </c>
      <c r="AB249" s="16" t="str">
        <f t="shared" si="36"/>
        <v/>
      </c>
      <c r="AC249" s="16" t="str">
        <f t="shared" si="37"/>
        <v/>
      </c>
      <c r="AD249" s="16" t="str">
        <f t="shared" si="38"/>
        <v/>
      </c>
      <c r="AE249" s="16" t="str">
        <f t="shared" si="39"/>
        <v/>
      </c>
      <c r="AF249" s="16" t="str">
        <f t="shared" si="40"/>
        <v/>
      </c>
      <c r="AG249" s="26" t="str">
        <f t="shared" si="41"/>
        <v/>
      </c>
      <c r="AH249" s="16" t="str">
        <f t="shared" si="42"/>
        <v/>
      </c>
      <c r="AI249" s="16" t="str">
        <f t="shared" si="43"/>
        <v/>
      </c>
      <c r="AJ249" s="16" t="str">
        <f t="shared" si="44"/>
        <v/>
      </c>
      <c r="AK249" s="14" t="str">
        <f>IF(AND(A249&lt;&gt;"",F249="Selected"),COUNTIF($F$9:F249,"Selected"),"")</f>
        <v/>
      </c>
      <c r="AL249" s="14" t="str">
        <f>IF(A249="","",COUNTIF($B$9:B249,B249))</f>
        <v/>
      </c>
      <c r="AM249" s="14" t="str">
        <f>IF(A249="","",IF(COUNTIF(Jobs!$A$9:$A$258,B249)&lt;&gt;1,"Check JobID",IF(COUNTIF(Suppliers!$D$9:$D$508,D249)&lt;&gt;1,"Check contact",IF(AA249&lt;=0,"Currency / FX missing",IF(NOT(ISNUMBER(G249)),"Original price missing",IF(G249&lt;0,"Invalid original price",IF(AND(H249&lt;&gt;"",NOT(ISNUMBER(H249))),"Invalid final price",IF(AND(ISNUMBER(H249),H249&lt;0),"Invalid final price",IF(AND(F249="Selected",COUNTIFS($B$9:$B$258,B249,$E$9:$E$258,E249,$F$9:$F$258,"Selected")&gt;1),"Selected scope overlap",IF(AND(ISNUMBER(H249),H249&gt;G249),"Price increased",IF(LEN(H249&amp;"")=0,"Final price pending","OK")))))))))))</f>
        <v/>
      </c>
      <c r="AN249" s="16" t="str">
        <f t="shared" si="45"/>
        <v/>
      </c>
      <c r="AO249" s="14" t="str">
        <f>IF(A249="","",IFERROR(IF(INDEX(Suppliers!$A$9:$A$508,MATCH(D249,Suppliers!$D$9:$D$508,0))=C249,"OK","Contact / supplier mismatch"),"Contact missing"))</f>
        <v/>
      </c>
      <c r="AP249" s="14" t="str">
        <f>IF(OR(A249="",IFERROR(INDEX(Jobs!$P$9:$P$258,MATCH(B249,Jobs!$A$9:$A$258,0)),"")=""),"",HYPERLINK("#'"&amp;IFERROR(INDEX(Jobs!$P$9:$P$258,MATCH(B249,Jobs!$A$9:$A$258,0)),"")&amp;"'!A1","OPEN JOB"))</f>
        <v/>
      </c>
      <c r="AQ249" s="14"/>
      <c r="AR249" s="14"/>
      <c r="AS249" t="str">
        <f t="shared" si="46"/>
        <v/>
      </c>
      <c r="AT249" t="str">
        <f t="shared" si="47"/>
        <v/>
      </c>
    </row>
    <row r="250" spans="1:46" ht="40" customHeight="1" x14ac:dyDescent="0.35">
      <c r="A250" s="18"/>
      <c r="B250" s="37"/>
      <c r="C250" s="18"/>
      <c r="D250" s="15"/>
      <c r="E250" s="15"/>
      <c r="F250" s="15"/>
      <c r="G250" s="24"/>
      <c r="H250" s="24"/>
      <c r="I250" s="15"/>
      <c r="J250" s="17"/>
      <c r="K250" s="17"/>
      <c r="L250" s="17"/>
      <c r="M250" s="15"/>
      <c r="N250" s="15"/>
      <c r="O250" s="15"/>
      <c r="P250" s="15"/>
      <c r="Q250" s="15"/>
      <c r="R250" s="15"/>
      <c r="S250" s="18"/>
      <c r="T250" s="18"/>
      <c r="U250" s="18" t="str">
        <f>IF(A250="","",IFERROR(IF(LEN(INDEX(Suppliers!$B$9:$B$508,MATCH(C250,Suppliers!$A$9:$A$508,0))&amp;"")=0,"",INDEX(Suppliers!$B$9:$B$508,MATCH(C250,Suppliers!$A$9:$A$508,0))),""))</f>
        <v/>
      </c>
      <c r="V250" s="18" t="str">
        <f>IF(A250="","",IFERROR(IF(LEN(INDEX(Suppliers!$E$9:$E$508,MATCH(D250,Suppliers!$D$9:$D$508,0))&amp;"")=0,"",INDEX(Suppliers!$E$9:$E$508,MATCH(D250,Suppliers!$D$9:$D$508,0))),""))</f>
        <v/>
      </c>
      <c r="W250" s="18" t="str">
        <f>IF(A250="","",IFERROR(IF(LEN(INDEX(Suppliers!$F$9:$F$508,MATCH(D250,Suppliers!$D$9:$D$508,0))&amp;"")=0,"",INDEX(Suppliers!$F$9:$F$508,MATCH(D250,Suppliers!$D$9:$D$508,0))),""))</f>
        <v/>
      </c>
      <c r="X250" s="18" t="str">
        <f>IF(A250="","",IFERROR(IF(LEN(INDEX(Suppliers!$G$9:$G$508,MATCH(D250,Suppliers!$D$9:$D$508,0))&amp;"")=0,"",INDEX(Suppliers!$G$9:$G$508,MATCH(D250,Suppliers!$D$9:$D$508,0))),""))</f>
        <v/>
      </c>
      <c r="Y250" s="18" t="str">
        <f>IF(A250="","",IFERROR(INDEX(Jobs!$C$9:$C$258,MATCH(B250,Jobs!$A$9:$A$258,0)),""))</f>
        <v/>
      </c>
      <c r="Z250" s="18" t="str">
        <f>IF(A250="","",IFERROR(INDEX(Jobs!$B$9:$B$258,MATCH(B250,Jobs!$A$9:$A$258,0)),""))</f>
        <v/>
      </c>
      <c r="AA250" s="19" t="str">
        <f>IF(A250="","",IFERROR(VLOOKUP(I250,Lists!$E$9:$F$14,2,FALSE),0))</f>
        <v/>
      </c>
      <c r="AB250" s="19" t="str">
        <f t="shared" si="36"/>
        <v/>
      </c>
      <c r="AC250" s="19" t="str">
        <f t="shared" si="37"/>
        <v/>
      </c>
      <c r="AD250" s="19" t="str">
        <f t="shared" si="38"/>
        <v/>
      </c>
      <c r="AE250" s="19" t="str">
        <f t="shared" si="39"/>
        <v/>
      </c>
      <c r="AF250" s="19" t="str">
        <f t="shared" si="40"/>
        <v/>
      </c>
      <c r="AG250" s="27" t="str">
        <f t="shared" si="41"/>
        <v/>
      </c>
      <c r="AH250" s="19" t="str">
        <f t="shared" si="42"/>
        <v/>
      </c>
      <c r="AI250" s="19" t="str">
        <f t="shared" si="43"/>
        <v/>
      </c>
      <c r="AJ250" s="19" t="str">
        <f t="shared" si="44"/>
        <v/>
      </c>
      <c r="AK250" s="18" t="str">
        <f>IF(AND(A250&lt;&gt;"",F250="Selected"),COUNTIF($F$9:F250,"Selected"),"")</f>
        <v/>
      </c>
      <c r="AL250" s="18" t="str">
        <f>IF(A250="","",COUNTIF($B$9:B250,B250))</f>
        <v/>
      </c>
      <c r="AM250" s="18" t="str">
        <f>IF(A250="","",IF(COUNTIF(Jobs!$A$9:$A$258,B250)&lt;&gt;1,"Check JobID",IF(COUNTIF(Suppliers!$D$9:$D$508,D250)&lt;&gt;1,"Check contact",IF(AA250&lt;=0,"Currency / FX missing",IF(NOT(ISNUMBER(G250)),"Original price missing",IF(G250&lt;0,"Invalid original price",IF(AND(H250&lt;&gt;"",NOT(ISNUMBER(H250))),"Invalid final price",IF(AND(ISNUMBER(H250),H250&lt;0),"Invalid final price",IF(AND(F250="Selected",COUNTIFS($B$9:$B$258,B250,$E$9:$E$258,E250,$F$9:$F$258,"Selected")&gt;1),"Selected scope overlap",IF(AND(ISNUMBER(H250),H250&gt;G250),"Price increased",IF(LEN(H250&amp;"")=0,"Final price pending","OK")))))))))))</f>
        <v/>
      </c>
      <c r="AN250" s="19" t="str">
        <f t="shared" si="45"/>
        <v/>
      </c>
      <c r="AO250" s="18" t="str">
        <f>IF(A250="","",IFERROR(IF(INDEX(Suppliers!$A$9:$A$508,MATCH(D250,Suppliers!$D$9:$D$508,0))=C250,"OK","Contact / supplier mismatch"),"Contact missing"))</f>
        <v/>
      </c>
      <c r="AP250" s="18" t="str">
        <f>IF(OR(A250="",IFERROR(INDEX(Jobs!$P$9:$P$258,MATCH(B250,Jobs!$A$9:$A$258,0)),"")=""),"",HYPERLINK("#'"&amp;IFERROR(INDEX(Jobs!$P$9:$P$258,MATCH(B250,Jobs!$A$9:$A$258,0)),"")&amp;"'!A1","OPEN JOB"))</f>
        <v/>
      </c>
      <c r="AQ250" s="18"/>
      <c r="AR250" s="18"/>
      <c r="AS250" t="str">
        <f t="shared" si="46"/>
        <v/>
      </c>
      <c r="AT250" t="str">
        <f t="shared" si="47"/>
        <v/>
      </c>
    </row>
    <row r="251" spans="1:46" ht="40" customHeight="1" x14ac:dyDescent="0.35">
      <c r="A251" s="14"/>
      <c r="B251" s="37"/>
      <c r="C251" s="14"/>
      <c r="D251" s="15"/>
      <c r="E251" s="15"/>
      <c r="F251" s="15"/>
      <c r="G251" s="24"/>
      <c r="H251" s="24"/>
      <c r="I251" s="15"/>
      <c r="J251" s="17"/>
      <c r="K251" s="17"/>
      <c r="L251" s="17"/>
      <c r="M251" s="15"/>
      <c r="N251" s="15"/>
      <c r="O251" s="15"/>
      <c r="P251" s="15"/>
      <c r="Q251" s="15"/>
      <c r="R251" s="15"/>
      <c r="S251" s="14"/>
      <c r="T251" s="14"/>
      <c r="U251" s="14" t="str">
        <f>IF(A251="","",IFERROR(IF(LEN(INDEX(Suppliers!$B$9:$B$508,MATCH(C251,Suppliers!$A$9:$A$508,0))&amp;"")=0,"",INDEX(Suppliers!$B$9:$B$508,MATCH(C251,Suppliers!$A$9:$A$508,0))),""))</f>
        <v/>
      </c>
      <c r="V251" s="14" t="str">
        <f>IF(A251="","",IFERROR(IF(LEN(INDEX(Suppliers!$E$9:$E$508,MATCH(D251,Suppliers!$D$9:$D$508,0))&amp;"")=0,"",INDEX(Suppliers!$E$9:$E$508,MATCH(D251,Suppliers!$D$9:$D$508,0))),""))</f>
        <v/>
      </c>
      <c r="W251" s="14" t="str">
        <f>IF(A251="","",IFERROR(IF(LEN(INDEX(Suppliers!$F$9:$F$508,MATCH(D251,Suppliers!$D$9:$D$508,0))&amp;"")=0,"",INDEX(Suppliers!$F$9:$F$508,MATCH(D251,Suppliers!$D$9:$D$508,0))),""))</f>
        <v/>
      </c>
      <c r="X251" s="14" t="str">
        <f>IF(A251="","",IFERROR(IF(LEN(INDEX(Suppliers!$G$9:$G$508,MATCH(D251,Suppliers!$D$9:$D$508,0))&amp;"")=0,"",INDEX(Suppliers!$G$9:$G$508,MATCH(D251,Suppliers!$D$9:$D$508,0))),""))</f>
        <v/>
      </c>
      <c r="Y251" s="14" t="str">
        <f>IF(A251="","",IFERROR(INDEX(Jobs!$C$9:$C$258,MATCH(B251,Jobs!$A$9:$A$258,0)),""))</f>
        <v/>
      </c>
      <c r="Z251" s="14" t="str">
        <f>IF(A251="","",IFERROR(INDEX(Jobs!$B$9:$B$258,MATCH(B251,Jobs!$A$9:$A$258,0)),""))</f>
        <v/>
      </c>
      <c r="AA251" s="16" t="str">
        <f>IF(A251="","",IFERROR(VLOOKUP(I251,Lists!$E$9:$F$14,2,FALSE),0))</f>
        <v/>
      </c>
      <c r="AB251" s="16" t="str">
        <f t="shared" si="36"/>
        <v/>
      </c>
      <c r="AC251" s="16" t="str">
        <f t="shared" si="37"/>
        <v/>
      </c>
      <c r="AD251" s="16" t="str">
        <f t="shared" si="38"/>
        <v/>
      </c>
      <c r="AE251" s="16" t="str">
        <f t="shared" si="39"/>
        <v/>
      </c>
      <c r="AF251" s="16" t="str">
        <f t="shared" si="40"/>
        <v/>
      </c>
      <c r="AG251" s="26" t="str">
        <f t="shared" si="41"/>
        <v/>
      </c>
      <c r="AH251" s="16" t="str">
        <f t="shared" si="42"/>
        <v/>
      </c>
      <c r="AI251" s="16" t="str">
        <f t="shared" si="43"/>
        <v/>
      </c>
      <c r="AJ251" s="16" t="str">
        <f t="shared" si="44"/>
        <v/>
      </c>
      <c r="AK251" s="14" t="str">
        <f>IF(AND(A251&lt;&gt;"",F251="Selected"),COUNTIF($F$9:F251,"Selected"),"")</f>
        <v/>
      </c>
      <c r="AL251" s="14" t="str">
        <f>IF(A251="","",COUNTIF($B$9:B251,B251))</f>
        <v/>
      </c>
      <c r="AM251" s="14" t="str">
        <f>IF(A251="","",IF(COUNTIF(Jobs!$A$9:$A$258,B251)&lt;&gt;1,"Check JobID",IF(COUNTIF(Suppliers!$D$9:$D$508,D251)&lt;&gt;1,"Check contact",IF(AA251&lt;=0,"Currency / FX missing",IF(NOT(ISNUMBER(G251)),"Original price missing",IF(G251&lt;0,"Invalid original price",IF(AND(H251&lt;&gt;"",NOT(ISNUMBER(H251))),"Invalid final price",IF(AND(ISNUMBER(H251),H251&lt;0),"Invalid final price",IF(AND(F251="Selected",COUNTIFS($B$9:$B$258,B251,$E$9:$E$258,E251,$F$9:$F$258,"Selected")&gt;1),"Selected scope overlap",IF(AND(ISNUMBER(H251),H251&gt;G251),"Price increased",IF(LEN(H251&amp;"")=0,"Final price pending","OK")))))))))))</f>
        <v/>
      </c>
      <c r="AN251" s="16" t="str">
        <f t="shared" si="45"/>
        <v/>
      </c>
      <c r="AO251" s="14" t="str">
        <f>IF(A251="","",IFERROR(IF(INDEX(Suppliers!$A$9:$A$508,MATCH(D251,Suppliers!$D$9:$D$508,0))=C251,"OK","Contact / supplier mismatch"),"Contact missing"))</f>
        <v/>
      </c>
      <c r="AP251" s="14" t="str">
        <f>IF(OR(A251="",IFERROR(INDEX(Jobs!$P$9:$P$258,MATCH(B251,Jobs!$A$9:$A$258,0)),"")=""),"",HYPERLINK("#'"&amp;IFERROR(INDEX(Jobs!$P$9:$P$258,MATCH(B251,Jobs!$A$9:$A$258,0)),"")&amp;"'!A1","OPEN JOB"))</f>
        <v/>
      </c>
      <c r="AQ251" s="14"/>
      <c r="AR251" s="14"/>
      <c r="AS251" t="str">
        <f t="shared" si="46"/>
        <v/>
      </c>
      <c r="AT251" t="str">
        <f t="shared" si="47"/>
        <v/>
      </c>
    </row>
    <row r="252" spans="1:46" ht="40" customHeight="1" x14ac:dyDescent="0.35">
      <c r="A252" s="18"/>
      <c r="B252" s="37"/>
      <c r="C252" s="18"/>
      <c r="D252" s="15"/>
      <c r="E252" s="15"/>
      <c r="F252" s="15"/>
      <c r="G252" s="24"/>
      <c r="H252" s="24"/>
      <c r="I252" s="15"/>
      <c r="J252" s="17"/>
      <c r="K252" s="17"/>
      <c r="L252" s="17"/>
      <c r="M252" s="15"/>
      <c r="N252" s="15"/>
      <c r="O252" s="15"/>
      <c r="P252" s="15"/>
      <c r="Q252" s="15"/>
      <c r="R252" s="15"/>
      <c r="S252" s="18"/>
      <c r="T252" s="18"/>
      <c r="U252" s="18" t="str">
        <f>IF(A252="","",IFERROR(IF(LEN(INDEX(Suppliers!$B$9:$B$508,MATCH(C252,Suppliers!$A$9:$A$508,0))&amp;"")=0,"",INDEX(Suppliers!$B$9:$B$508,MATCH(C252,Suppliers!$A$9:$A$508,0))),""))</f>
        <v/>
      </c>
      <c r="V252" s="18" t="str">
        <f>IF(A252="","",IFERROR(IF(LEN(INDEX(Suppliers!$E$9:$E$508,MATCH(D252,Suppliers!$D$9:$D$508,0))&amp;"")=0,"",INDEX(Suppliers!$E$9:$E$508,MATCH(D252,Suppliers!$D$9:$D$508,0))),""))</f>
        <v/>
      </c>
      <c r="W252" s="18" t="str">
        <f>IF(A252="","",IFERROR(IF(LEN(INDEX(Suppliers!$F$9:$F$508,MATCH(D252,Suppliers!$D$9:$D$508,0))&amp;"")=0,"",INDEX(Suppliers!$F$9:$F$508,MATCH(D252,Suppliers!$D$9:$D$508,0))),""))</f>
        <v/>
      </c>
      <c r="X252" s="18" t="str">
        <f>IF(A252="","",IFERROR(IF(LEN(INDEX(Suppliers!$G$9:$G$508,MATCH(D252,Suppliers!$D$9:$D$508,0))&amp;"")=0,"",INDEX(Suppliers!$G$9:$G$508,MATCH(D252,Suppliers!$D$9:$D$508,0))),""))</f>
        <v/>
      </c>
      <c r="Y252" s="18" t="str">
        <f>IF(A252="","",IFERROR(INDEX(Jobs!$C$9:$C$258,MATCH(B252,Jobs!$A$9:$A$258,0)),""))</f>
        <v/>
      </c>
      <c r="Z252" s="18" t="str">
        <f>IF(A252="","",IFERROR(INDEX(Jobs!$B$9:$B$258,MATCH(B252,Jobs!$A$9:$A$258,0)),""))</f>
        <v/>
      </c>
      <c r="AA252" s="19" t="str">
        <f>IF(A252="","",IFERROR(VLOOKUP(I252,Lists!$E$9:$F$14,2,FALSE),0))</f>
        <v/>
      </c>
      <c r="AB252" s="19" t="str">
        <f t="shared" si="36"/>
        <v/>
      </c>
      <c r="AC252" s="19" t="str">
        <f t="shared" si="37"/>
        <v/>
      </c>
      <c r="AD252" s="19" t="str">
        <f t="shared" si="38"/>
        <v/>
      </c>
      <c r="AE252" s="19" t="str">
        <f t="shared" si="39"/>
        <v/>
      </c>
      <c r="AF252" s="19" t="str">
        <f t="shared" si="40"/>
        <v/>
      </c>
      <c r="AG252" s="27" t="str">
        <f t="shared" si="41"/>
        <v/>
      </c>
      <c r="AH252" s="19" t="str">
        <f t="shared" si="42"/>
        <v/>
      </c>
      <c r="AI252" s="19" t="str">
        <f t="shared" si="43"/>
        <v/>
      </c>
      <c r="AJ252" s="19" t="str">
        <f t="shared" si="44"/>
        <v/>
      </c>
      <c r="AK252" s="18" t="str">
        <f>IF(AND(A252&lt;&gt;"",F252="Selected"),COUNTIF($F$9:F252,"Selected"),"")</f>
        <v/>
      </c>
      <c r="AL252" s="18" t="str">
        <f>IF(A252="","",COUNTIF($B$9:B252,B252))</f>
        <v/>
      </c>
      <c r="AM252" s="18" t="str">
        <f>IF(A252="","",IF(COUNTIF(Jobs!$A$9:$A$258,B252)&lt;&gt;1,"Check JobID",IF(COUNTIF(Suppliers!$D$9:$D$508,D252)&lt;&gt;1,"Check contact",IF(AA252&lt;=0,"Currency / FX missing",IF(NOT(ISNUMBER(G252)),"Original price missing",IF(G252&lt;0,"Invalid original price",IF(AND(H252&lt;&gt;"",NOT(ISNUMBER(H252))),"Invalid final price",IF(AND(ISNUMBER(H252),H252&lt;0),"Invalid final price",IF(AND(F252="Selected",COUNTIFS($B$9:$B$258,B252,$E$9:$E$258,E252,$F$9:$F$258,"Selected")&gt;1),"Selected scope overlap",IF(AND(ISNUMBER(H252),H252&gt;G252),"Price increased",IF(LEN(H252&amp;"")=0,"Final price pending","OK")))))))))))</f>
        <v/>
      </c>
      <c r="AN252" s="19" t="str">
        <f t="shared" si="45"/>
        <v/>
      </c>
      <c r="AO252" s="18" t="str">
        <f>IF(A252="","",IFERROR(IF(INDEX(Suppliers!$A$9:$A$508,MATCH(D252,Suppliers!$D$9:$D$508,0))=C252,"OK","Contact / supplier mismatch"),"Contact missing"))</f>
        <v/>
      </c>
      <c r="AP252" s="18" t="str">
        <f>IF(OR(A252="",IFERROR(INDEX(Jobs!$P$9:$P$258,MATCH(B252,Jobs!$A$9:$A$258,0)),"")=""),"",HYPERLINK("#'"&amp;IFERROR(INDEX(Jobs!$P$9:$P$258,MATCH(B252,Jobs!$A$9:$A$258,0)),"")&amp;"'!A1","OPEN JOB"))</f>
        <v/>
      </c>
      <c r="AQ252" s="18"/>
      <c r="AR252" s="18"/>
      <c r="AS252" t="str">
        <f t="shared" si="46"/>
        <v/>
      </c>
      <c r="AT252" t="str">
        <f t="shared" si="47"/>
        <v/>
      </c>
    </row>
    <row r="253" spans="1:46" ht="40" customHeight="1" x14ac:dyDescent="0.35">
      <c r="A253" s="14"/>
      <c r="B253" s="37"/>
      <c r="C253" s="14"/>
      <c r="D253" s="15"/>
      <c r="E253" s="15"/>
      <c r="F253" s="15"/>
      <c r="G253" s="24"/>
      <c r="H253" s="24"/>
      <c r="I253" s="15"/>
      <c r="J253" s="17"/>
      <c r="K253" s="17"/>
      <c r="L253" s="17"/>
      <c r="M253" s="15"/>
      <c r="N253" s="15"/>
      <c r="O253" s="15"/>
      <c r="P253" s="15"/>
      <c r="Q253" s="15"/>
      <c r="R253" s="15"/>
      <c r="S253" s="14"/>
      <c r="T253" s="14"/>
      <c r="U253" s="14" t="str">
        <f>IF(A253="","",IFERROR(IF(LEN(INDEX(Suppliers!$B$9:$B$508,MATCH(C253,Suppliers!$A$9:$A$508,0))&amp;"")=0,"",INDEX(Suppliers!$B$9:$B$508,MATCH(C253,Suppliers!$A$9:$A$508,0))),""))</f>
        <v/>
      </c>
      <c r="V253" s="14" t="str">
        <f>IF(A253="","",IFERROR(IF(LEN(INDEX(Suppliers!$E$9:$E$508,MATCH(D253,Suppliers!$D$9:$D$508,0))&amp;"")=0,"",INDEX(Suppliers!$E$9:$E$508,MATCH(D253,Suppliers!$D$9:$D$508,0))),""))</f>
        <v/>
      </c>
      <c r="W253" s="14" t="str">
        <f>IF(A253="","",IFERROR(IF(LEN(INDEX(Suppliers!$F$9:$F$508,MATCH(D253,Suppliers!$D$9:$D$508,0))&amp;"")=0,"",INDEX(Suppliers!$F$9:$F$508,MATCH(D253,Suppliers!$D$9:$D$508,0))),""))</f>
        <v/>
      </c>
      <c r="X253" s="14" t="str">
        <f>IF(A253="","",IFERROR(IF(LEN(INDEX(Suppliers!$G$9:$G$508,MATCH(D253,Suppliers!$D$9:$D$508,0))&amp;"")=0,"",INDEX(Suppliers!$G$9:$G$508,MATCH(D253,Suppliers!$D$9:$D$508,0))),""))</f>
        <v/>
      </c>
      <c r="Y253" s="14" t="str">
        <f>IF(A253="","",IFERROR(INDEX(Jobs!$C$9:$C$258,MATCH(B253,Jobs!$A$9:$A$258,0)),""))</f>
        <v/>
      </c>
      <c r="Z253" s="14" t="str">
        <f>IF(A253="","",IFERROR(INDEX(Jobs!$B$9:$B$258,MATCH(B253,Jobs!$A$9:$A$258,0)),""))</f>
        <v/>
      </c>
      <c r="AA253" s="16" t="str">
        <f>IF(A253="","",IFERROR(VLOOKUP(I253,Lists!$E$9:$F$14,2,FALSE),0))</f>
        <v/>
      </c>
      <c r="AB253" s="16" t="str">
        <f t="shared" si="36"/>
        <v/>
      </c>
      <c r="AC253" s="16" t="str">
        <f t="shared" si="37"/>
        <v/>
      </c>
      <c r="AD253" s="16" t="str">
        <f t="shared" si="38"/>
        <v/>
      </c>
      <c r="AE253" s="16" t="str">
        <f t="shared" si="39"/>
        <v/>
      </c>
      <c r="AF253" s="16" t="str">
        <f t="shared" si="40"/>
        <v/>
      </c>
      <c r="AG253" s="26" t="str">
        <f t="shared" si="41"/>
        <v/>
      </c>
      <c r="AH253" s="16" t="str">
        <f t="shared" si="42"/>
        <v/>
      </c>
      <c r="AI253" s="16" t="str">
        <f t="shared" si="43"/>
        <v/>
      </c>
      <c r="AJ253" s="16" t="str">
        <f t="shared" si="44"/>
        <v/>
      </c>
      <c r="AK253" s="14" t="str">
        <f>IF(AND(A253&lt;&gt;"",F253="Selected"),COUNTIF($F$9:F253,"Selected"),"")</f>
        <v/>
      </c>
      <c r="AL253" s="14" t="str">
        <f>IF(A253="","",COUNTIF($B$9:B253,B253))</f>
        <v/>
      </c>
      <c r="AM253" s="14" t="str">
        <f>IF(A253="","",IF(COUNTIF(Jobs!$A$9:$A$258,B253)&lt;&gt;1,"Check JobID",IF(COUNTIF(Suppliers!$D$9:$D$508,D253)&lt;&gt;1,"Check contact",IF(AA253&lt;=0,"Currency / FX missing",IF(NOT(ISNUMBER(G253)),"Original price missing",IF(G253&lt;0,"Invalid original price",IF(AND(H253&lt;&gt;"",NOT(ISNUMBER(H253))),"Invalid final price",IF(AND(ISNUMBER(H253),H253&lt;0),"Invalid final price",IF(AND(F253="Selected",COUNTIFS($B$9:$B$258,B253,$E$9:$E$258,E253,$F$9:$F$258,"Selected")&gt;1),"Selected scope overlap",IF(AND(ISNUMBER(H253),H253&gt;G253),"Price increased",IF(LEN(H253&amp;"")=0,"Final price pending","OK")))))))))))</f>
        <v/>
      </c>
      <c r="AN253" s="16" t="str">
        <f t="shared" si="45"/>
        <v/>
      </c>
      <c r="AO253" s="14" t="str">
        <f>IF(A253="","",IFERROR(IF(INDEX(Suppliers!$A$9:$A$508,MATCH(D253,Suppliers!$D$9:$D$508,0))=C253,"OK","Contact / supplier mismatch"),"Contact missing"))</f>
        <v/>
      </c>
      <c r="AP253" s="14" t="str">
        <f>IF(OR(A253="",IFERROR(INDEX(Jobs!$P$9:$P$258,MATCH(B253,Jobs!$A$9:$A$258,0)),"")=""),"",HYPERLINK("#'"&amp;IFERROR(INDEX(Jobs!$P$9:$P$258,MATCH(B253,Jobs!$A$9:$A$258,0)),"")&amp;"'!A1","OPEN JOB"))</f>
        <v/>
      </c>
      <c r="AQ253" s="14"/>
      <c r="AR253" s="14"/>
      <c r="AS253" t="str">
        <f t="shared" si="46"/>
        <v/>
      </c>
      <c r="AT253" t="str">
        <f t="shared" si="47"/>
        <v/>
      </c>
    </row>
    <row r="254" spans="1:46" ht="40" customHeight="1" x14ac:dyDescent="0.35">
      <c r="A254" s="18"/>
      <c r="B254" s="37"/>
      <c r="C254" s="18"/>
      <c r="D254" s="15"/>
      <c r="E254" s="15"/>
      <c r="F254" s="15"/>
      <c r="G254" s="24"/>
      <c r="H254" s="24"/>
      <c r="I254" s="15"/>
      <c r="J254" s="17"/>
      <c r="K254" s="17"/>
      <c r="L254" s="17"/>
      <c r="M254" s="15"/>
      <c r="N254" s="15"/>
      <c r="O254" s="15"/>
      <c r="P254" s="15"/>
      <c r="Q254" s="15"/>
      <c r="R254" s="15"/>
      <c r="S254" s="18"/>
      <c r="T254" s="18"/>
      <c r="U254" s="18" t="str">
        <f>IF(A254="","",IFERROR(IF(LEN(INDEX(Suppliers!$B$9:$B$508,MATCH(C254,Suppliers!$A$9:$A$508,0))&amp;"")=0,"",INDEX(Suppliers!$B$9:$B$508,MATCH(C254,Suppliers!$A$9:$A$508,0))),""))</f>
        <v/>
      </c>
      <c r="V254" s="18" t="str">
        <f>IF(A254="","",IFERROR(IF(LEN(INDEX(Suppliers!$E$9:$E$508,MATCH(D254,Suppliers!$D$9:$D$508,0))&amp;"")=0,"",INDEX(Suppliers!$E$9:$E$508,MATCH(D254,Suppliers!$D$9:$D$508,0))),""))</f>
        <v/>
      </c>
      <c r="W254" s="18" t="str">
        <f>IF(A254="","",IFERROR(IF(LEN(INDEX(Suppliers!$F$9:$F$508,MATCH(D254,Suppliers!$D$9:$D$508,0))&amp;"")=0,"",INDEX(Suppliers!$F$9:$F$508,MATCH(D254,Suppliers!$D$9:$D$508,0))),""))</f>
        <v/>
      </c>
      <c r="X254" s="18" t="str">
        <f>IF(A254="","",IFERROR(IF(LEN(INDEX(Suppliers!$G$9:$G$508,MATCH(D254,Suppliers!$D$9:$D$508,0))&amp;"")=0,"",INDEX(Suppliers!$G$9:$G$508,MATCH(D254,Suppliers!$D$9:$D$508,0))),""))</f>
        <v/>
      </c>
      <c r="Y254" s="18" t="str">
        <f>IF(A254="","",IFERROR(INDEX(Jobs!$C$9:$C$258,MATCH(B254,Jobs!$A$9:$A$258,0)),""))</f>
        <v/>
      </c>
      <c r="Z254" s="18" t="str">
        <f>IF(A254="","",IFERROR(INDEX(Jobs!$B$9:$B$258,MATCH(B254,Jobs!$A$9:$A$258,0)),""))</f>
        <v/>
      </c>
      <c r="AA254" s="19" t="str">
        <f>IF(A254="","",IFERROR(VLOOKUP(I254,Lists!$E$9:$F$14,2,FALSE),0))</f>
        <v/>
      </c>
      <c r="AB254" s="19" t="str">
        <f t="shared" si="36"/>
        <v/>
      </c>
      <c r="AC254" s="19" t="str">
        <f t="shared" si="37"/>
        <v/>
      </c>
      <c r="AD254" s="19" t="str">
        <f t="shared" si="38"/>
        <v/>
      </c>
      <c r="AE254" s="19" t="str">
        <f t="shared" si="39"/>
        <v/>
      </c>
      <c r="AF254" s="19" t="str">
        <f t="shared" si="40"/>
        <v/>
      </c>
      <c r="AG254" s="27" t="str">
        <f t="shared" si="41"/>
        <v/>
      </c>
      <c r="AH254" s="19" t="str">
        <f t="shared" si="42"/>
        <v/>
      </c>
      <c r="AI254" s="19" t="str">
        <f t="shared" si="43"/>
        <v/>
      </c>
      <c r="AJ254" s="19" t="str">
        <f t="shared" si="44"/>
        <v/>
      </c>
      <c r="AK254" s="18" t="str">
        <f>IF(AND(A254&lt;&gt;"",F254="Selected"),COUNTIF($F$9:F254,"Selected"),"")</f>
        <v/>
      </c>
      <c r="AL254" s="18" t="str">
        <f>IF(A254="","",COUNTIF($B$9:B254,B254))</f>
        <v/>
      </c>
      <c r="AM254" s="18" t="str">
        <f>IF(A254="","",IF(COUNTIF(Jobs!$A$9:$A$258,B254)&lt;&gt;1,"Check JobID",IF(COUNTIF(Suppliers!$D$9:$D$508,D254)&lt;&gt;1,"Check contact",IF(AA254&lt;=0,"Currency / FX missing",IF(NOT(ISNUMBER(G254)),"Original price missing",IF(G254&lt;0,"Invalid original price",IF(AND(H254&lt;&gt;"",NOT(ISNUMBER(H254))),"Invalid final price",IF(AND(ISNUMBER(H254),H254&lt;0),"Invalid final price",IF(AND(F254="Selected",COUNTIFS($B$9:$B$258,B254,$E$9:$E$258,E254,$F$9:$F$258,"Selected")&gt;1),"Selected scope overlap",IF(AND(ISNUMBER(H254),H254&gt;G254),"Price increased",IF(LEN(H254&amp;"")=0,"Final price pending","OK")))))))))))</f>
        <v/>
      </c>
      <c r="AN254" s="19" t="str">
        <f t="shared" si="45"/>
        <v/>
      </c>
      <c r="AO254" s="18" t="str">
        <f>IF(A254="","",IFERROR(IF(INDEX(Suppliers!$A$9:$A$508,MATCH(D254,Suppliers!$D$9:$D$508,0))=C254,"OK","Contact / supplier mismatch"),"Contact missing"))</f>
        <v/>
      </c>
      <c r="AP254" s="18" t="str">
        <f>IF(OR(A254="",IFERROR(INDEX(Jobs!$P$9:$P$258,MATCH(B254,Jobs!$A$9:$A$258,0)),"")=""),"",HYPERLINK("#'"&amp;IFERROR(INDEX(Jobs!$P$9:$P$258,MATCH(B254,Jobs!$A$9:$A$258,0)),"")&amp;"'!A1","OPEN JOB"))</f>
        <v/>
      </c>
      <c r="AQ254" s="18"/>
      <c r="AR254" s="18"/>
      <c r="AS254" t="str">
        <f t="shared" si="46"/>
        <v/>
      </c>
      <c r="AT254" t="str">
        <f t="shared" si="47"/>
        <v/>
      </c>
    </row>
    <row r="255" spans="1:46" ht="40" customHeight="1" x14ac:dyDescent="0.35">
      <c r="A255" s="14"/>
      <c r="B255" s="37"/>
      <c r="C255" s="14"/>
      <c r="D255" s="15"/>
      <c r="E255" s="15"/>
      <c r="F255" s="15"/>
      <c r="G255" s="24"/>
      <c r="H255" s="24"/>
      <c r="I255" s="15"/>
      <c r="J255" s="17"/>
      <c r="K255" s="17"/>
      <c r="L255" s="17"/>
      <c r="M255" s="15"/>
      <c r="N255" s="15"/>
      <c r="O255" s="15"/>
      <c r="P255" s="15"/>
      <c r="Q255" s="15"/>
      <c r="R255" s="15"/>
      <c r="S255" s="14"/>
      <c r="T255" s="14"/>
      <c r="U255" s="14" t="str">
        <f>IF(A255="","",IFERROR(IF(LEN(INDEX(Suppliers!$B$9:$B$508,MATCH(C255,Suppliers!$A$9:$A$508,0))&amp;"")=0,"",INDEX(Suppliers!$B$9:$B$508,MATCH(C255,Suppliers!$A$9:$A$508,0))),""))</f>
        <v/>
      </c>
      <c r="V255" s="14" t="str">
        <f>IF(A255="","",IFERROR(IF(LEN(INDEX(Suppliers!$E$9:$E$508,MATCH(D255,Suppliers!$D$9:$D$508,0))&amp;"")=0,"",INDEX(Suppliers!$E$9:$E$508,MATCH(D255,Suppliers!$D$9:$D$508,0))),""))</f>
        <v/>
      </c>
      <c r="W255" s="14" t="str">
        <f>IF(A255="","",IFERROR(IF(LEN(INDEX(Suppliers!$F$9:$F$508,MATCH(D255,Suppliers!$D$9:$D$508,0))&amp;"")=0,"",INDEX(Suppliers!$F$9:$F$508,MATCH(D255,Suppliers!$D$9:$D$508,0))),""))</f>
        <v/>
      </c>
      <c r="X255" s="14" t="str">
        <f>IF(A255="","",IFERROR(IF(LEN(INDEX(Suppliers!$G$9:$G$508,MATCH(D255,Suppliers!$D$9:$D$508,0))&amp;"")=0,"",INDEX(Suppliers!$G$9:$G$508,MATCH(D255,Suppliers!$D$9:$D$508,0))),""))</f>
        <v/>
      </c>
      <c r="Y255" s="14" t="str">
        <f>IF(A255="","",IFERROR(INDEX(Jobs!$C$9:$C$258,MATCH(B255,Jobs!$A$9:$A$258,0)),""))</f>
        <v/>
      </c>
      <c r="Z255" s="14" t="str">
        <f>IF(A255="","",IFERROR(INDEX(Jobs!$B$9:$B$258,MATCH(B255,Jobs!$A$9:$A$258,0)),""))</f>
        <v/>
      </c>
      <c r="AA255" s="16" t="str">
        <f>IF(A255="","",IFERROR(VLOOKUP(I255,Lists!$E$9:$F$14,2,FALSE),0))</f>
        <v/>
      </c>
      <c r="AB255" s="16" t="str">
        <f t="shared" si="36"/>
        <v/>
      </c>
      <c r="AC255" s="16" t="str">
        <f t="shared" si="37"/>
        <v/>
      </c>
      <c r="AD255" s="16" t="str">
        <f t="shared" si="38"/>
        <v/>
      </c>
      <c r="AE255" s="16" t="str">
        <f t="shared" si="39"/>
        <v/>
      </c>
      <c r="AF255" s="16" t="str">
        <f t="shared" si="40"/>
        <v/>
      </c>
      <c r="AG255" s="26" t="str">
        <f t="shared" si="41"/>
        <v/>
      </c>
      <c r="AH255" s="16" t="str">
        <f t="shared" si="42"/>
        <v/>
      </c>
      <c r="AI255" s="16" t="str">
        <f t="shared" si="43"/>
        <v/>
      </c>
      <c r="AJ255" s="16" t="str">
        <f t="shared" si="44"/>
        <v/>
      </c>
      <c r="AK255" s="14" t="str">
        <f>IF(AND(A255&lt;&gt;"",F255="Selected"),COUNTIF($F$9:F255,"Selected"),"")</f>
        <v/>
      </c>
      <c r="AL255" s="14" t="str">
        <f>IF(A255="","",COUNTIF($B$9:B255,B255))</f>
        <v/>
      </c>
      <c r="AM255" s="14" t="str">
        <f>IF(A255="","",IF(COUNTIF(Jobs!$A$9:$A$258,B255)&lt;&gt;1,"Check JobID",IF(COUNTIF(Suppliers!$D$9:$D$508,D255)&lt;&gt;1,"Check contact",IF(AA255&lt;=0,"Currency / FX missing",IF(NOT(ISNUMBER(G255)),"Original price missing",IF(G255&lt;0,"Invalid original price",IF(AND(H255&lt;&gt;"",NOT(ISNUMBER(H255))),"Invalid final price",IF(AND(ISNUMBER(H255),H255&lt;0),"Invalid final price",IF(AND(F255="Selected",COUNTIFS($B$9:$B$258,B255,$E$9:$E$258,E255,$F$9:$F$258,"Selected")&gt;1),"Selected scope overlap",IF(AND(ISNUMBER(H255),H255&gt;G255),"Price increased",IF(LEN(H255&amp;"")=0,"Final price pending","OK")))))))))))</f>
        <v/>
      </c>
      <c r="AN255" s="16" t="str">
        <f t="shared" si="45"/>
        <v/>
      </c>
      <c r="AO255" s="14" t="str">
        <f>IF(A255="","",IFERROR(IF(INDEX(Suppliers!$A$9:$A$508,MATCH(D255,Suppliers!$D$9:$D$508,0))=C255,"OK","Contact / supplier mismatch"),"Contact missing"))</f>
        <v/>
      </c>
      <c r="AP255" s="14" t="str">
        <f>IF(OR(A255="",IFERROR(INDEX(Jobs!$P$9:$P$258,MATCH(B255,Jobs!$A$9:$A$258,0)),"")=""),"",HYPERLINK("#'"&amp;IFERROR(INDEX(Jobs!$P$9:$P$258,MATCH(B255,Jobs!$A$9:$A$258,0)),"")&amp;"'!A1","OPEN JOB"))</f>
        <v/>
      </c>
      <c r="AQ255" s="14"/>
      <c r="AR255" s="14"/>
      <c r="AS255" t="str">
        <f t="shared" si="46"/>
        <v/>
      </c>
      <c r="AT255" t="str">
        <f t="shared" si="47"/>
        <v/>
      </c>
    </row>
    <row r="256" spans="1:46" ht="40" customHeight="1" x14ac:dyDescent="0.35">
      <c r="A256" s="18"/>
      <c r="B256" s="37"/>
      <c r="C256" s="18"/>
      <c r="D256" s="15"/>
      <c r="E256" s="15"/>
      <c r="F256" s="15"/>
      <c r="G256" s="24"/>
      <c r="H256" s="24"/>
      <c r="I256" s="15"/>
      <c r="J256" s="17"/>
      <c r="K256" s="17"/>
      <c r="L256" s="17"/>
      <c r="M256" s="15"/>
      <c r="N256" s="15"/>
      <c r="O256" s="15"/>
      <c r="P256" s="15"/>
      <c r="Q256" s="15"/>
      <c r="R256" s="15"/>
      <c r="S256" s="18"/>
      <c r="T256" s="18"/>
      <c r="U256" s="18" t="str">
        <f>IF(A256="","",IFERROR(IF(LEN(INDEX(Suppliers!$B$9:$B$508,MATCH(C256,Suppliers!$A$9:$A$508,0))&amp;"")=0,"",INDEX(Suppliers!$B$9:$B$508,MATCH(C256,Suppliers!$A$9:$A$508,0))),""))</f>
        <v/>
      </c>
      <c r="V256" s="18" t="str">
        <f>IF(A256="","",IFERROR(IF(LEN(INDEX(Suppliers!$E$9:$E$508,MATCH(D256,Suppliers!$D$9:$D$508,0))&amp;"")=0,"",INDEX(Suppliers!$E$9:$E$508,MATCH(D256,Suppliers!$D$9:$D$508,0))),""))</f>
        <v/>
      </c>
      <c r="W256" s="18" t="str">
        <f>IF(A256="","",IFERROR(IF(LEN(INDEX(Suppliers!$F$9:$F$508,MATCH(D256,Suppliers!$D$9:$D$508,0))&amp;"")=0,"",INDEX(Suppliers!$F$9:$F$508,MATCH(D256,Suppliers!$D$9:$D$508,0))),""))</f>
        <v/>
      </c>
      <c r="X256" s="18" t="str">
        <f>IF(A256="","",IFERROR(IF(LEN(INDEX(Suppliers!$G$9:$G$508,MATCH(D256,Suppliers!$D$9:$D$508,0))&amp;"")=0,"",INDEX(Suppliers!$G$9:$G$508,MATCH(D256,Suppliers!$D$9:$D$508,0))),""))</f>
        <v/>
      </c>
      <c r="Y256" s="18" t="str">
        <f>IF(A256="","",IFERROR(INDEX(Jobs!$C$9:$C$258,MATCH(B256,Jobs!$A$9:$A$258,0)),""))</f>
        <v/>
      </c>
      <c r="Z256" s="18" t="str">
        <f>IF(A256="","",IFERROR(INDEX(Jobs!$B$9:$B$258,MATCH(B256,Jobs!$A$9:$A$258,0)),""))</f>
        <v/>
      </c>
      <c r="AA256" s="19" t="str">
        <f>IF(A256="","",IFERROR(VLOOKUP(I256,Lists!$E$9:$F$14,2,FALSE),0))</f>
        <v/>
      </c>
      <c r="AB256" s="19" t="str">
        <f t="shared" si="36"/>
        <v/>
      </c>
      <c r="AC256" s="19" t="str">
        <f t="shared" si="37"/>
        <v/>
      </c>
      <c r="AD256" s="19" t="str">
        <f t="shared" si="38"/>
        <v/>
      </c>
      <c r="AE256" s="19" t="str">
        <f t="shared" si="39"/>
        <v/>
      </c>
      <c r="AF256" s="19" t="str">
        <f t="shared" si="40"/>
        <v/>
      </c>
      <c r="AG256" s="27" t="str">
        <f t="shared" si="41"/>
        <v/>
      </c>
      <c r="AH256" s="19" t="str">
        <f t="shared" si="42"/>
        <v/>
      </c>
      <c r="AI256" s="19" t="str">
        <f t="shared" si="43"/>
        <v/>
      </c>
      <c r="AJ256" s="19" t="str">
        <f t="shared" si="44"/>
        <v/>
      </c>
      <c r="AK256" s="18" t="str">
        <f>IF(AND(A256&lt;&gt;"",F256="Selected"),COUNTIF($F$9:F256,"Selected"),"")</f>
        <v/>
      </c>
      <c r="AL256" s="18" t="str">
        <f>IF(A256="","",COUNTIF($B$9:B256,B256))</f>
        <v/>
      </c>
      <c r="AM256" s="18" t="str">
        <f>IF(A256="","",IF(COUNTIF(Jobs!$A$9:$A$258,B256)&lt;&gt;1,"Check JobID",IF(COUNTIF(Suppliers!$D$9:$D$508,D256)&lt;&gt;1,"Check contact",IF(AA256&lt;=0,"Currency / FX missing",IF(NOT(ISNUMBER(G256)),"Original price missing",IF(G256&lt;0,"Invalid original price",IF(AND(H256&lt;&gt;"",NOT(ISNUMBER(H256))),"Invalid final price",IF(AND(ISNUMBER(H256),H256&lt;0),"Invalid final price",IF(AND(F256="Selected",COUNTIFS($B$9:$B$258,B256,$E$9:$E$258,E256,$F$9:$F$258,"Selected")&gt;1),"Selected scope overlap",IF(AND(ISNUMBER(H256),H256&gt;G256),"Price increased",IF(LEN(H256&amp;"")=0,"Final price pending","OK")))))))))))</f>
        <v/>
      </c>
      <c r="AN256" s="19" t="str">
        <f t="shared" si="45"/>
        <v/>
      </c>
      <c r="AO256" s="18" t="str">
        <f>IF(A256="","",IFERROR(IF(INDEX(Suppliers!$A$9:$A$508,MATCH(D256,Suppliers!$D$9:$D$508,0))=C256,"OK","Contact / supplier mismatch"),"Contact missing"))</f>
        <v/>
      </c>
      <c r="AP256" s="18" t="str">
        <f>IF(OR(A256="",IFERROR(INDEX(Jobs!$P$9:$P$258,MATCH(B256,Jobs!$A$9:$A$258,0)),"")=""),"",HYPERLINK("#'"&amp;IFERROR(INDEX(Jobs!$P$9:$P$258,MATCH(B256,Jobs!$A$9:$A$258,0)),"")&amp;"'!A1","OPEN JOB"))</f>
        <v/>
      </c>
      <c r="AQ256" s="18"/>
      <c r="AR256" s="18"/>
      <c r="AS256" t="str">
        <f t="shared" si="46"/>
        <v/>
      </c>
      <c r="AT256" t="str">
        <f t="shared" si="47"/>
        <v/>
      </c>
    </row>
    <row r="257" spans="1:46" ht="40" customHeight="1" x14ac:dyDescent="0.35">
      <c r="A257" s="14"/>
      <c r="B257" s="37"/>
      <c r="C257" s="14"/>
      <c r="D257" s="15"/>
      <c r="E257" s="15"/>
      <c r="F257" s="15"/>
      <c r="G257" s="24"/>
      <c r="H257" s="24"/>
      <c r="I257" s="15"/>
      <c r="J257" s="17"/>
      <c r="K257" s="17"/>
      <c r="L257" s="17"/>
      <c r="M257" s="15"/>
      <c r="N257" s="15"/>
      <c r="O257" s="15"/>
      <c r="P257" s="15"/>
      <c r="Q257" s="15"/>
      <c r="R257" s="15"/>
      <c r="S257" s="14"/>
      <c r="T257" s="14"/>
      <c r="U257" s="14" t="str">
        <f>IF(A257="","",IFERROR(IF(LEN(INDEX(Suppliers!$B$9:$B$508,MATCH(C257,Suppliers!$A$9:$A$508,0))&amp;"")=0,"",INDEX(Suppliers!$B$9:$B$508,MATCH(C257,Suppliers!$A$9:$A$508,0))),""))</f>
        <v/>
      </c>
      <c r="V257" s="14" t="str">
        <f>IF(A257="","",IFERROR(IF(LEN(INDEX(Suppliers!$E$9:$E$508,MATCH(D257,Suppliers!$D$9:$D$508,0))&amp;"")=0,"",INDEX(Suppliers!$E$9:$E$508,MATCH(D257,Suppliers!$D$9:$D$508,0))),""))</f>
        <v/>
      </c>
      <c r="W257" s="14" t="str">
        <f>IF(A257="","",IFERROR(IF(LEN(INDEX(Suppliers!$F$9:$F$508,MATCH(D257,Suppliers!$D$9:$D$508,0))&amp;"")=0,"",INDEX(Suppliers!$F$9:$F$508,MATCH(D257,Suppliers!$D$9:$D$508,0))),""))</f>
        <v/>
      </c>
      <c r="X257" s="14" t="str">
        <f>IF(A257="","",IFERROR(IF(LEN(INDEX(Suppliers!$G$9:$G$508,MATCH(D257,Suppliers!$D$9:$D$508,0))&amp;"")=0,"",INDEX(Suppliers!$G$9:$G$508,MATCH(D257,Suppliers!$D$9:$D$508,0))),""))</f>
        <v/>
      </c>
      <c r="Y257" s="14" t="str">
        <f>IF(A257="","",IFERROR(INDEX(Jobs!$C$9:$C$258,MATCH(B257,Jobs!$A$9:$A$258,0)),""))</f>
        <v/>
      </c>
      <c r="Z257" s="14" t="str">
        <f>IF(A257="","",IFERROR(INDEX(Jobs!$B$9:$B$258,MATCH(B257,Jobs!$A$9:$A$258,0)),""))</f>
        <v/>
      </c>
      <c r="AA257" s="16" t="str">
        <f>IF(A257="","",IFERROR(VLOOKUP(I257,Lists!$E$9:$F$14,2,FALSE),0))</f>
        <v/>
      </c>
      <c r="AB257" s="16" t="str">
        <f t="shared" si="36"/>
        <v/>
      </c>
      <c r="AC257" s="16" t="str">
        <f t="shared" si="37"/>
        <v/>
      </c>
      <c r="AD257" s="16" t="str">
        <f t="shared" si="38"/>
        <v/>
      </c>
      <c r="AE257" s="16" t="str">
        <f t="shared" si="39"/>
        <v/>
      </c>
      <c r="AF257" s="16" t="str">
        <f t="shared" si="40"/>
        <v/>
      </c>
      <c r="AG257" s="26" t="str">
        <f t="shared" si="41"/>
        <v/>
      </c>
      <c r="AH257" s="16" t="str">
        <f t="shared" si="42"/>
        <v/>
      </c>
      <c r="AI257" s="16" t="str">
        <f t="shared" si="43"/>
        <v/>
      </c>
      <c r="AJ257" s="16" t="str">
        <f t="shared" si="44"/>
        <v/>
      </c>
      <c r="AK257" s="14" t="str">
        <f>IF(AND(A257&lt;&gt;"",F257="Selected"),COUNTIF($F$9:F257,"Selected"),"")</f>
        <v/>
      </c>
      <c r="AL257" s="14" t="str">
        <f>IF(A257="","",COUNTIF($B$9:B257,B257))</f>
        <v/>
      </c>
      <c r="AM257" s="14" t="str">
        <f>IF(A257="","",IF(COUNTIF(Jobs!$A$9:$A$258,B257)&lt;&gt;1,"Check JobID",IF(COUNTIF(Suppliers!$D$9:$D$508,D257)&lt;&gt;1,"Check contact",IF(AA257&lt;=0,"Currency / FX missing",IF(NOT(ISNUMBER(G257)),"Original price missing",IF(G257&lt;0,"Invalid original price",IF(AND(H257&lt;&gt;"",NOT(ISNUMBER(H257))),"Invalid final price",IF(AND(ISNUMBER(H257),H257&lt;0),"Invalid final price",IF(AND(F257="Selected",COUNTIFS($B$9:$B$258,B257,$E$9:$E$258,E257,$F$9:$F$258,"Selected")&gt;1),"Selected scope overlap",IF(AND(ISNUMBER(H257),H257&gt;G257),"Price increased",IF(LEN(H257&amp;"")=0,"Final price pending","OK")))))))))))</f>
        <v/>
      </c>
      <c r="AN257" s="16" t="str">
        <f t="shared" si="45"/>
        <v/>
      </c>
      <c r="AO257" s="14" t="str">
        <f>IF(A257="","",IFERROR(IF(INDEX(Suppliers!$A$9:$A$508,MATCH(D257,Suppliers!$D$9:$D$508,0))=C257,"OK","Contact / supplier mismatch"),"Contact missing"))</f>
        <v/>
      </c>
      <c r="AP257" s="14" t="str">
        <f>IF(OR(A257="",IFERROR(INDEX(Jobs!$P$9:$P$258,MATCH(B257,Jobs!$A$9:$A$258,0)),"")=""),"",HYPERLINK("#'"&amp;IFERROR(INDEX(Jobs!$P$9:$P$258,MATCH(B257,Jobs!$A$9:$A$258,0)),"")&amp;"'!A1","OPEN JOB"))</f>
        <v/>
      </c>
      <c r="AQ257" s="14"/>
      <c r="AR257" s="14"/>
      <c r="AS257" t="str">
        <f t="shared" si="46"/>
        <v/>
      </c>
      <c r="AT257" t="str">
        <f t="shared" si="47"/>
        <v/>
      </c>
    </row>
    <row r="258" spans="1:46" ht="40" customHeight="1" x14ac:dyDescent="0.35">
      <c r="A258" s="18"/>
      <c r="B258" s="37"/>
      <c r="C258" s="18"/>
      <c r="D258" s="15"/>
      <c r="E258" s="15"/>
      <c r="F258" s="15"/>
      <c r="G258" s="24"/>
      <c r="H258" s="24"/>
      <c r="I258" s="15"/>
      <c r="J258" s="17"/>
      <c r="K258" s="17"/>
      <c r="L258" s="17"/>
      <c r="M258" s="15"/>
      <c r="N258" s="15"/>
      <c r="O258" s="15"/>
      <c r="P258" s="15"/>
      <c r="Q258" s="15"/>
      <c r="R258" s="15"/>
      <c r="S258" s="18"/>
      <c r="T258" s="18"/>
      <c r="U258" s="18" t="str">
        <f>IF(A258="","",IFERROR(IF(LEN(INDEX(Suppliers!$B$9:$B$508,MATCH(C258,Suppliers!$A$9:$A$508,0))&amp;"")=0,"",INDEX(Suppliers!$B$9:$B$508,MATCH(C258,Suppliers!$A$9:$A$508,0))),""))</f>
        <v/>
      </c>
      <c r="V258" s="18" t="str">
        <f>IF(A258="","",IFERROR(IF(LEN(INDEX(Suppliers!$E$9:$E$508,MATCH(D258,Suppliers!$D$9:$D$508,0))&amp;"")=0,"",INDEX(Suppliers!$E$9:$E$508,MATCH(D258,Suppliers!$D$9:$D$508,0))),""))</f>
        <v/>
      </c>
      <c r="W258" s="18" t="str">
        <f>IF(A258="","",IFERROR(IF(LEN(INDEX(Suppliers!$F$9:$F$508,MATCH(D258,Suppliers!$D$9:$D$508,0))&amp;"")=0,"",INDEX(Suppliers!$F$9:$F$508,MATCH(D258,Suppliers!$D$9:$D$508,0))),""))</f>
        <v/>
      </c>
      <c r="X258" s="18" t="str">
        <f>IF(A258="","",IFERROR(IF(LEN(INDEX(Suppliers!$G$9:$G$508,MATCH(D258,Suppliers!$D$9:$D$508,0))&amp;"")=0,"",INDEX(Suppliers!$G$9:$G$508,MATCH(D258,Suppliers!$D$9:$D$508,0))),""))</f>
        <v/>
      </c>
      <c r="Y258" s="18" t="str">
        <f>IF(A258="","",IFERROR(INDEX(Jobs!$C$9:$C$258,MATCH(B258,Jobs!$A$9:$A$258,0)),""))</f>
        <v/>
      </c>
      <c r="Z258" s="18" t="str">
        <f>IF(A258="","",IFERROR(INDEX(Jobs!$B$9:$B$258,MATCH(B258,Jobs!$A$9:$A$258,0)),""))</f>
        <v/>
      </c>
      <c r="AA258" s="19" t="str">
        <f>IF(A258="","",IFERROR(VLOOKUP(I258,Lists!$E$9:$F$14,2,FALSE),0))</f>
        <v/>
      </c>
      <c r="AB258" s="19" t="str">
        <f t="shared" si="36"/>
        <v/>
      </c>
      <c r="AC258" s="19" t="str">
        <f t="shared" si="37"/>
        <v/>
      </c>
      <c r="AD258" s="19" t="str">
        <f t="shared" si="38"/>
        <v/>
      </c>
      <c r="AE258" s="19" t="str">
        <f t="shared" si="39"/>
        <v/>
      </c>
      <c r="AF258" s="19" t="str">
        <f t="shared" si="40"/>
        <v/>
      </c>
      <c r="AG258" s="27" t="str">
        <f t="shared" si="41"/>
        <v/>
      </c>
      <c r="AH258" s="19" t="str">
        <f t="shared" si="42"/>
        <v/>
      </c>
      <c r="AI258" s="19" t="str">
        <f t="shared" si="43"/>
        <v/>
      </c>
      <c r="AJ258" s="19" t="str">
        <f t="shared" si="44"/>
        <v/>
      </c>
      <c r="AK258" s="18" t="str">
        <f>IF(AND(A258&lt;&gt;"",F258="Selected"),COUNTIF($F$9:F258,"Selected"),"")</f>
        <v/>
      </c>
      <c r="AL258" s="18" t="str">
        <f>IF(A258="","",COUNTIF($B$9:B258,B258))</f>
        <v/>
      </c>
      <c r="AM258" s="18" t="str">
        <f>IF(A258="","",IF(COUNTIF(Jobs!$A$9:$A$258,B258)&lt;&gt;1,"Check JobID",IF(COUNTIF(Suppliers!$D$9:$D$508,D258)&lt;&gt;1,"Check contact",IF(AA258&lt;=0,"Currency / FX missing",IF(NOT(ISNUMBER(G258)),"Original price missing",IF(G258&lt;0,"Invalid original price",IF(AND(H258&lt;&gt;"",NOT(ISNUMBER(H258))),"Invalid final price",IF(AND(ISNUMBER(H258),H258&lt;0),"Invalid final price",IF(AND(F258="Selected",COUNTIFS($B$9:$B$258,B258,$E$9:$E$258,E258,$F$9:$F$258,"Selected")&gt;1),"Selected scope overlap",IF(AND(ISNUMBER(H258),H258&gt;G258),"Price increased",IF(LEN(H258&amp;"")=0,"Final price pending","OK")))))))))))</f>
        <v/>
      </c>
      <c r="AN258" s="19" t="str">
        <f t="shared" si="45"/>
        <v/>
      </c>
      <c r="AO258" s="18" t="str">
        <f>IF(A258="","",IFERROR(IF(INDEX(Suppliers!$A$9:$A$508,MATCH(D258,Suppliers!$D$9:$D$508,0))=C258,"OK","Contact / supplier mismatch"),"Contact missing"))</f>
        <v/>
      </c>
      <c r="AP258" s="18" t="str">
        <f>IF(OR(A258="",IFERROR(INDEX(Jobs!$P$9:$P$258,MATCH(B258,Jobs!$A$9:$A$258,0)),"")=""),"",HYPERLINK("#'"&amp;IFERROR(INDEX(Jobs!$P$9:$P$258,MATCH(B258,Jobs!$A$9:$A$258,0)),"")&amp;"'!A1","OPEN JOB"))</f>
        <v/>
      </c>
      <c r="AQ258" s="18"/>
      <c r="AR258" s="18"/>
      <c r="AS258" t="str">
        <f t="shared" si="46"/>
        <v/>
      </c>
      <c r="AT258" t="str">
        <f t="shared" si="47"/>
        <v/>
      </c>
    </row>
  </sheetData>
  <sheetProtection password="8651" sheet="1" autoFilter="0"/>
  <mergeCells count="5">
    <mergeCell ref="AP6:AR6"/>
    <mergeCell ref="E6:I6"/>
    <mergeCell ref="A1:AR2"/>
    <mergeCell ref="A6:B6"/>
    <mergeCell ref="A3:AR3"/>
  </mergeCells>
  <conditionalFormatting sqref="F9:F258">
    <cfRule type="cellIs" dxfId="13" priority="1" operator="equal">
      <formula>"Selected"</formula>
    </cfRule>
  </conditionalFormatting>
  <dataValidations count="7">
    <dataValidation type="list" allowBlank="1" showErrorMessage="1" errorTitle="Choose a listed value" error="Select one of the shared dropdown values." sqref="B9:B258" xr:uid="{00000000-0002-0000-0500-000000000000}">
      <formula1>lstJobID</formula1>
    </dataValidation>
    <dataValidation type="list" allowBlank="1" showErrorMessage="1" errorTitle="Choose a listed value" error="Select one of the shared dropdown values." sqref="C9:C258" xr:uid="{00000000-0002-0000-0500-000001000000}">
      <formula1>lstSupplierID</formula1>
    </dataValidation>
    <dataValidation type="list" allowBlank="1" showErrorMessage="1" errorTitle="Choose a listed value" error="Select one of the shared dropdown values." sqref="D9:D258" xr:uid="{00000000-0002-0000-0500-000002000000}">
      <formula1>lstContactID</formula1>
    </dataValidation>
    <dataValidation type="list" allowBlank="1" showErrorMessage="1" errorTitle="Choose a listed value" error="Select one of the shared dropdown values." sqref="F9:F258" xr:uid="{00000000-0002-0000-0500-000003000000}">
      <formula1>lstQuoteStatus</formula1>
    </dataValidation>
    <dataValidation type="list" allowBlank="1" showErrorMessage="1" errorTitle="Choose a listed value" error="Select one of the shared dropdown values." sqref="I9:I258" xr:uid="{00000000-0002-0000-0500-000004000000}">
      <formula1>lstCurrency</formula1>
    </dataValidation>
    <dataValidation type="list" allowBlank="1" showErrorMessage="1" errorTitle="Choose a listed value" error="Select one of the shared dropdown values." sqref="R9:R258" xr:uid="{00000000-0002-0000-0500-000005000000}">
      <formula1>lstYesNo</formula1>
    </dataValidation>
    <dataValidation type="decimal" operator="greaterThanOrEqual" allowBlank="1" showErrorMessage="1" error="Enter a number of zero or more." sqref="G9:H258" xr:uid="{00000000-0002-0000-0500-000006000000}">
      <formula1>0</formula1>
    </dataValidation>
  </dataValidations>
  <hyperlinks>
    <hyperlink ref="A4" location="'Overview'!A1" display="Overview" xr:uid="{00000000-0004-0000-0500-000000000000}"/>
    <hyperlink ref="B4" location="'Jobs'!A1" display="Jobs" xr:uid="{00000000-0004-0000-0500-000001000000}"/>
    <hyperlink ref="E4" location="'Suppliers'!A1" display="Suppliers" xr:uid="{00000000-0004-0000-0500-000002000000}"/>
    <hyperlink ref="F4" location="'Budget'!A1" display="Budget" xr:uid="{00000000-0004-0000-0500-000003000000}"/>
    <hyperlink ref="G4" location="'Quotes'!A1" display="Quotes" xr:uid="{00000000-0004-0000-0500-000004000000}"/>
    <hyperlink ref="H4" location="'Print Summary'!A1" display="Print summary" xr:uid="{00000000-0004-0000-0500-000005000000}"/>
    <hyperlink ref="I4" location="'Read Me'!A1" display="Guide" xr:uid="{00000000-0004-0000-0500-000006000000}"/>
    <hyperlink ref="A6" location="'Create Job'!A1" display="+ ADD VIA A JOB" xr:uid="{00000000-0004-0000-0500-000007000000}"/>
    <hyperlink ref="AP6" location="'Negotiation Savings'!A1" display="NEGOTIATION OVERVIEW" xr:uid="{00000000-0004-0000-0500-000008000000}"/>
    <hyperlink ref="N9" r:id="rId1" xr:uid="{00000000-0004-0000-0500-000009000000}"/>
    <hyperlink ref="N10" r:id="rId2" xr:uid="{00000000-0004-0000-0500-00000A000000}"/>
    <hyperlink ref="N11" r:id="rId3" xr:uid="{00000000-0004-0000-0500-00000B000000}"/>
    <hyperlink ref="N12" r:id="rId4" xr:uid="{00000000-0004-0000-0500-00000C000000}"/>
    <hyperlink ref="N14" r:id="rId5" xr:uid="{00000000-0004-0000-0500-00000D000000}"/>
    <hyperlink ref="N15" r:id="rId6" xr:uid="{00000000-0004-0000-0500-00000E000000}"/>
    <hyperlink ref="N16" r:id="rId7" xr:uid="{00000000-0004-0000-0500-00000F000000}"/>
    <hyperlink ref="N17" r:id="rId8" xr:uid="{00000000-0004-0000-0500-000010000000}"/>
    <hyperlink ref="N19" r:id="rId9" xr:uid="{00000000-0004-0000-0500-000011000000}"/>
    <hyperlink ref="N20" r:id="rId10" xr:uid="{00000000-0004-0000-0500-000012000000}"/>
    <hyperlink ref="N21" r:id="rId11" xr:uid="{00000000-0004-0000-0500-000013000000}"/>
    <hyperlink ref="N22" r:id="rId12" xr:uid="{00000000-0004-0000-0500-000014000000}"/>
    <hyperlink ref="N23" r:id="rId13" xr:uid="{00000000-0004-0000-0500-000015000000}"/>
    <hyperlink ref="N24" r:id="rId14" xr:uid="{00000000-0004-0000-0500-000016000000}"/>
    <hyperlink ref="N25" r:id="rId15" xr:uid="{00000000-0004-0000-0500-000017000000}"/>
    <hyperlink ref="N26" r:id="rId16" xr:uid="{00000000-0004-0000-0500-000018000000}"/>
    <hyperlink ref="N27" r:id="rId17" xr:uid="{00000000-0004-0000-0500-000019000000}"/>
    <hyperlink ref="N28" r:id="rId18" xr:uid="{00000000-0004-0000-0500-00001A000000}"/>
    <hyperlink ref="N29" r:id="rId19" xr:uid="{00000000-0004-0000-0500-00001B000000}"/>
  </hyperlinks>
  <pageMargins left="0.25" right="0.25" top="0.4" bottom="0.4" header="0.5" footer="0.5"/>
  <pageSetup paperSize="9" fitToHeight="0" orientation="landscape"/>
  <headerFooter>
    <oddFooter>&amp;LKERRY | DRYDOCK 2027&amp;CKERRY | Drydock 2027&amp;RPage &amp;P of &amp;N</oddFooter>
  </headerFooter>
  <legacyDrawing r:id="rId20"/>
  <tableParts count="1">
    <tablePart r:id="rId2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87F8C"/>
    <pageSetUpPr fitToPage="1"/>
  </sheetPr>
  <dimension ref="A1:V267"/>
  <sheetViews>
    <sheetView showGridLines="0" zoomScale="90" workbookViewId="0">
      <pane xSplit="3" ySplit="17" topLeftCell="D18" activePane="bottomRight" state="frozen"/>
      <selection pane="topRight"/>
      <selection pane="bottomLeft"/>
      <selection pane="bottomRight"/>
    </sheetView>
  </sheetViews>
  <sheetFormatPr defaultRowHeight="14.5" x14ac:dyDescent="0.35"/>
  <cols>
    <col min="1" max="22" width="9.26953125" customWidth="1"/>
  </cols>
  <sheetData>
    <row r="1" spans="1:22" ht="27" customHeight="1" x14ac:dyDescent="0.35">
      <c r="A1" s="50" t="s">
        <v>611</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612</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45" t="s">
        <v>613</v>
      </c>
      <c r="B6" s="39"/>
      <c r="C6" s="39"/>
      <c r="D6" s="39"/>
      <c r="E6" s="39"/>
      <c r="F6" s="39"/>
      <c r="G6" s="8"/>
      <c r="H6" s="53" t="s">
        <v>614</v>
      </c>
      <c r="I6" s="39"/>
      <c r="J6" s="39"/>
      <c r="K6" s="39"/>
      <c r="L6" s="39"/>
      <c r="M6" s="39"/>
      <c r="N6" s="8"/>
      <c r="O6" s="45" t="s">
        <v>11</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56" t="s">
        <v>615</v>
      </c>
      <c r="B9" s="39"/>
      <c r="C9" s="39"/>
      <c r="D9" s="39"/>
      <c r="E9" s="39"/>
      <c r="F9" s="8"/>
      <c r="G9" s="51" t="s">
        <v>616</v>
      </c>
      <c r="H9" s="39"/>
      <c r="I9" s="39"/>
      <c r="J9" s="39"/>
      <c r="K9" s="39"/>
      <c r="L9" s="8"/>
      <c r="M9" s="51" t="s">
        <v>617</v>
      </c>
      <c r="N9" s="39"/>
      <c r="O9" s="39"/>
      <c r="P9" s="39"/>
      <c r="Q9" s="39"/>
      <c r="R9" s="8"/>
      <c r="S9" s="51" t="s">
        <v>618</v>
      </c>
      <c r="T9" s="39"/>
      <c r="U9" s="39"/>
      <c r="V9" s="39"/>
    </row>
    <row r="10" spans="1:22" ht="22" customHeight="1" x14ac:dyDescent="0.35">
      <c r="A10" s="47">
        <f>_Control!B9</f>
        <v>0</v>
      </c>
      <c r="B10" s="39"/>
      <c r="C10" s="39"/>
      <c r="D10" s="39"/>
      <c r="E10" s="39"/>
      <c r="F10" s="8"/>
      <c r="G10" s="79">
        <f>_Control!B11</f>
        <v>0</v>
      </c>
      <c r="H10" s="39"/>
      <c r="I10" s="39"/>
      <c r="J10" s="39"/>
      <c r="K10" s="39"/>
      <c r="L10" s="8"/>
      <c r="M10" s="52">
        <f>_Control!B14</f>
        <v>6</v>
      </c>
      <c r="N10" s="39"/>
      <c r="O10" s="39"/>
      <c r="P10" s="39"/>
      <c r="Q10" s="39"/>
      <c r="R10" s="8"/>
      <c r="S10" s="52">
        <f>_Control!B13</f>
        <v>0</v>
      </c>
      <c r="T10" s="39"/>
      <c r="U10" s="39"/>
      <c r="V10" s="39"/>
    </row>
    <row r="11" spans="1:22" ht="22" customHeight="1" x14ac:dyDescent="0.35">
      <c r="A11" s="39"/>
      <c r="B11" s="39"/>
      <c r="C11" s="39"/>
      <c r="D11" s="39"/>
      <c r="E11" s="39"/>
      <c r="F11" s="8"/>
      <c r="G11" s="39"/>
      <c r="H11" s="39"/>
      <c r="I11" s="39"/>
      <c r="J11" s="39"/>
      <c r="K11" s="39"/>
      <c r="L11" s="8"/>
      <c r="M11" s="39"/>
      <c r="N11" s="39"/>
      <c r="O11" s="39"/>
      <c r="P11" s="39"/>
      <c r="Q11" s="39"/>
      <c r="R11" s="8"/>
      <c r="S11" s="39"/>
      <c r="T11" s="39"/>
      <c r="U11" s="39"/>
      <c r="V11" s="39"/>
    </row>
    <row r="12" spans="1:22" ht="22" customHeight="1" x14ac:dyDescent="0.35">
      <c r="A12" s="39"/>
      <c r="B12" s="39"/>
      <c r="C12" s="39"/>
      <c r="D12" s="39"/>
      <c r="E12" s="39"/>
      <c r="F12" s="8"/>
      <c r="G12" s="39"/>
      <c r="H12" s="39"/>
      <c r="I12" s="39"/>
      <c r="J12" s="39"/>
      <c r="K12" s="39"/>
      <c r="L12" s="8"/>
      <c r="M12" s="39"/>
      <c r="N12" s="39"/>
      <c r="O12" s="39"/>
      <c r="P12" s="39"/>
      <c r="Q12" s="39"/>
      <c r="R12" s="8"/>
      <c r="S12" s="39"/>
      <c r="T12" s="39"/>
      <c r="U12" s="39"/>
      <c r="V12" s="39"/>
    </row>
    <row r="13" spans="1:22" ht="22" customHeight="1" x14ac:dyDescent="0.35">
      <c r="A13" s="46" t="s">
        <v>619</v>
      </c>
      <c r="B13" s="39"/>
      <c r="C13" s="39"/>
      <c r="D13" s="39"/>
      <c r="E13" s="39"/>
      <c r="F13" s="8"/>
      <c r="G13" s="48" t="s">
        <v>620</v>
      </c>
      <c r="H13" s="39"/>
      <c r="I13" s="39"/>
      <c r="J13" s="39"/>
      <c r="K13" s="39"/>
      <c r="L13" s="8"/>
      <c r="M13" s="48" t="s">
        <v>621</v>
      </c>
      <c r="N13" s="39"/>
      <c r="O13" s="39"/>
      <c r="P13" s="39"/>
      <c r="Q13" s="39"/>
      <c r="R13" s="8"/>
      <c r="S13" s="48" t="s">
        <v>622</v>
      </c>
      <c r="T13" s="39"/>
      <c r="U13" s="39"/>
      <c r="V13" s="39"/>
    </row>
    <row r="14" spans="1:22" ht="22" customHeight="1" x14ac:dyDescent="0.35">
      <c r="A14" s="8"/>
      <c r="B14" s="8"/>
      <c r="C14" s="8"/>
      <c r="D14" s="8"/>
      <c r="E14" s="8"/>
      <c r="F14" s="8"/>
      <c r="G14" s="8"/>
      <c r="H14" s="8"/>
      <c r="I14" s="8"/>
      <c r="J14" s="8"/>
      <c r="K14" s="8"/>
      <c r="L14" s="8"/>
      <c r="M14" s="8"/>
      <c r="N14" s="8"/>
      <c r="O14" s="8"/>
      <c r="P14" s="8"/>
      <c r="Q14" s="8"/>
      <c r="R14" s="8"/>
      <c r="S14" s="8"/>
      <c r="T14" s="8"/>
      <c r="U14" s="8"/>
      <c r="V14" s="8"/>
    </row>
    <row r="15" spans="1:22" ht="22" customHeight="1" x14ac:dyDescent="0.35">
      <c r="A15" s="54" t="s">
        <v>623</v>
      </c>
      <c r="B15" s="39"/>
      <c r="C15" s="39"/>
      <c r="D15" s="39"/>
      <c r="E15" s="39"/>
      <c r="F15" s="39"/>
      <c r="G15" s="39"/>
      <c r="H15" s="39"/>
      <c r="I15" s="39"/>
      <c r="J15" s="39"/>
      <c r="K15" s="39"/>
      <c r="L15" s="39"/>
      <c r="M15" s="39"/>
      <c r="N15" s="39"/>
      <c r="O15" s="39"/>
      <c r="P15" s="39"/>
      <c r="Q15" s="39"/>
      <c r="R15" s="39"/>
      <c r="S15" s="39"/>
      <c r="T15" s="39"/>
      <c r="U15" s="39"/>
      <c r="V15" s="39"/>
    </row>
    <row r="16" spans="1:22" ht="22" customHeight="1" x14ac:dyDescent="0.35">
      <c r="A16" s="8"/>
      <c r="B16" s="8"/>
      <c r="C16" s="8"/>
      <c r="D16" s="8"/>
      <c r="E16" s="8"/>
      <c r="F16" s="8"/>
      <c r="G16" s="8"/>
      <c r="H16" s="8"/>
      <c r="I16" s="8"/>
      <c r="J16" s="8"/>
      <c r="K16" s="8"/>
      <c r="L16" s="8"/>
      <c r="M16" s="8"/>
      <c r="N16" s="8"/>
      <c r="O16" s="8"/>
      <c r="P16" s="8"/>
      <c r="Q16" s="8"/>
      <c r="R16" s="8"/>
      <c r="S16" s="8"/>
      <c r="T16" s="8"/>
      <c r="U16" s="8"/>
      <c r="V16" s="8"/>
    </row>
    <row r="17" spans="1:22" ht="22" customHeight="1" x14ac:dyDescent="0.35">
      <c r="A17" s="80" t="s">
        <v>624</v>
      </c>
      <c r="B17" s="39"/>
      <c r="C17" s="39"/>
      <c r="D17" s="80" t="s">
        <v>625</v>
      </c>
      <c r="E17" s="39"/>
      <c r="F17" s="39"/>
      <c r="G17" s="39"/>
      <c r="H17" s="39"/>
      <c r="I17" s="39"/>
      <c r="J17" s="39"/>
      <c r="K17" s="39"/>
      <c r="L17" s="39"/>
      <c r="M17" s="80" t="s">
        <v>25</v>
      </c>
      <c r="N17" s="39"/>
      <c r="O17" s="39"/>
      <c r="P17" s="80" t="s">
        <v>626</v>
      </c>
      <c r="Q17" s="39"/>
      <c r="R17" s="39"/>
      <c r="S17" s="80" t="s">
        <v>627</v>
      </c>
      <c r="T17" s="39"/>
      <c r="U17" s="80" t="s">
        <v>27</v>
      </c>
      <c r="V17" s="39"/>
    </row>
    <row r="18" spans="1:22" ht="42" customHeight="1" x14ac:dyDescent="0.35">
      <c r="A18" s="78" t="str">
        <f>IF(Quotes!A9="","",HYPERLINK("#'Quotes'!A9",Quotes!A9))</f>
        <v>3103.01-Q1</v>
      </c>
      <c r="B18" s="39"/>
      <c r="C18" s="39"/>
      <c r="D18" s="40" t="str">
        <f>IF(Quotes!A9="","",Quotes!U9&amp;" | "&amp;Quotes!Z9)</f>
        <v>RENK | Service of reduction gears STB/PS</v>
      </c>
      <c r="E18" s="39"/>
      <c r="F18" s="39"/>
      <c r="G18" s="39"/>
      <c r="H18" s="39"/>
      <c r="I18" s="39"/>
      <c r="J18" s="39"/>
      <c r="K18" s="39"/>
      <c r="L18" s="39"/>
      <c r="M18" s="77" t="str">
        <f>IF(Quotes!A9="","",IF(Quotes!F9="","",Quotes!F9))</f>
        <v>Selected</v>
      </c>
      <c r="N18" s="39"/>
      <c r="O18" s="39"/>
      <c r="P18" s="76">
        <f>IF(Quotes!A9="","",IF(Quotes!AB9="","",Quotes!AB9))</f>
        <v>44800</v>
      </c>
      <c r="Q18" s="39"/>
      <c r="R18" s="39"/>
      <c r="S18" s="76">
        <f>IF(Quotes!A9="","",IF(Quotes!AD9="","",Quotes!AD9))</f>
        <v>44800</v>
      </c>
      <c r="T18" s="39"/>
      <c r="U18" s="76" t="str">
        <f>IF(Quotes!A9="","",IF(Quotes!AF9="","",Quotes!AF9))</f>
        <v/>
      </c>
      <c r="V18" s="39"/>
    </row>
    <row r="19" spans="1:22" ht="42" customHeight="1" x14ac:dyDescent="0.35">
      <c r="A19" s="78" t="str">
        <f>IF(Quotes!A10="","",HYPERLINK("#'Quotes'!A10",Quotes!A10))</f>
        <v>1001.02-Q1</v>
      </c>
      <c r="B19" s="39"/>
      <c r="C19" s="39"/>
      <c r="D19" s="40" t="str">
        <f>IF(Quotes!A10="","",Quotes!U10&amp;" | "&amp;Quotes!Z10)</f>
        <v>BAC IMPALLOY | Corrosion prevention anodes</v>
      </c>
      <c r="E19" s="39"/>
      <c r="F19" s="39"/>
      <c r="G19" s="39"/>
      <c r="H19" s="39"/>
      <c r="I19" s="39"/>
      <c r="J19" s="39"/>
      <c r="K19" s="39"/>
      <c r="L19" s="39"/>
      <c r="M19" s="77" t="str">
        <f>IF(Quotes!A10="","",IF(Quotes!F10="","",Quotes!F10))</f>
        <v>Selected</v>
      </c>
      <c r="N19" s="39"/>
      <c r="O19" s="39"/>
      <c r="P19" s="76">
        <f>IF(Quotes!A10="","",IF(Quotes!AB10="","",Quotes!AB10))</f>
        <v>8426.7781419303046</v>
      </c>
      <c r="Q19" s="39"/>
      <c r="R19" s="39"/>
      <c r="S19" s="76">
        <f>IF(Quotes!A10="","",IF(Quotes!AD10="","",Quotes!AD10))</f>
        <v>8426.7781419303046</v>
      </c>
      <c r="T19" s="39"/>
      <c r="U19" s="76" t="str">
        <f>IF(Quotes!A10="","",IF(Quotes!AF10="","",Quotes!AF10))</f>
        <v/>
      </c>
      <c r="V19" s="39"/>
    </row>
    <row r="20" spans="1:22" ht="42" customHeight="1" x14ac:dyDescent="0.35">
      <c r="A20" s="78" t="str">
        <f>IF(Quotes!A11="","",HYPERLINK("#'Quotes'!A11",Quotes!A11))</f>
        <v>1001.03-Q1</v>
      </c>
      <c r="B20" s="39"/>
      <c r="C20" s="39"/>
      <c r="D20" s="40" t="str">
        <f>IF(Quotes!A11="","",Quotes!U11&amp;" | "&amp;Quotes!Z11)</f>
        <v>HEMPEL | Bottom treatment and paint</v>
      </c>
      <c r="E20" s="39"/>
      <c r="F20" s="39"/>
      <c r="G20" s="39"/>
      <c r="H20" s="39"/>
      <c r="I20" s="39"/>
      <c r="J20" s="39"/>
      <c r="K20" s="39"/>
      <c r="L20" s="39"/>
      <c r="M20" s="77" t="str">
        <f>IF(Quotes!A11="","",IF(Quotes!F11="","",Quotes!F11))</f>
        <v>Quote received</v>
      </c>
      <c r="N20" s="39"/>
      <c r="O20" s="39"/>
      <c r="P20" s="76">
        <f>IF(Quotes!A11="","",IF(Quotes!AB11="","",Quotes!AB11))</f>
        <v>30832.74</v>
      </c>
      <c r="Q20" s="39"/>
      <c r="R20" s="39"/>
      <c r="S20" s="76">
        <f>IF(Quotes!A11="","",IF(Quotes!AD11="","",Quotes!AD11))</f>
        <v>30832.74</v>
      </c>
      <c r="T20" s="39"/>
      <c r="U20" s="76" t="str">
        <f>IF(Quotes!A11="","",IF(Quotes!AF11="","",Quotes!AF11))</f>
        <v/>
      </c>
      <c r="V20" s="39"/>
    </row>
    <row r="21" spans="1:22" ht="42" customHeight="1" x14ac:dyDescent="0.35">
      <c r="A21" s="78" t="str">
        <f>IF(Quotes!A12="","",HYPERLINK("#'Quotes'!A12",Quotes!A12))</f>
        <v>1001.03-Q2</v>
      </c>
      <c r="B21" s="39"/>
      <c r="C21" s="39"/>
      <c r="D21" s="40" t="str">
        <f>IF(Quotes!A12="","",Quotes!U12&amp;" | "&amp;Quotes!Z12)</f>
        <v>Chugoku paints | Bottom treatment and paint</v>
      </c>
      <c r="E21" s="39"/>
      <c r="F21" s="39"/>
      <c r="G21" s="39"/>
      <c r="H21" s="39"/>
      <c r="I21" s="39"/>
      <c r="J21" s="39"/>
      <c r="K21" s="39"/>
      <c r="L21" s="39"/>
      <c r="M21" s="77" t="str">
        <f>IF(Quotes!A12="","",IF(Quotes!F12="","",Quotes!F12))</f>
        <v>Quote received</v>
      </c>
      <c r="N21" s="39"/>
      <c r="O21" s="39"/>
      <c r="P21" s="76">
        <f>IF(Quotes!A12="","",IF(Quotes!AB12="","",Quotes!AB12))</f>
        <v>66843.320000000007</v>
      </c>
      <c r="Q21" s="39"/>
      <c r="R21" s="39"/>
      <c r="S21" s="76">
        <f>IF(Quotes!A12="","",IF(Quotes!AD12="","",Quotes!AD12))</f>
        <v>66843.320000000007</v>
      </c>
      <c r="T21" s="39"/>
      <c r="U21" s="76" t="str">
        <f>IF(Quotes!A12="","",IF(Quotes!AF12="","",Quotes!AF12))</f>
        <v/>
      </c>
      <c r="V21" s="39"/>
    </row>
    <row r="22" spans="1:22" ht="42" customHeight="1" x14ac:dyDescent="0.35">
      <c r="A22" s="78" t="str">
        <f>IF(Quotes!A13="","",HYPERLINK("#'Quotes'!A13",Quotes!A13))</f>
        <v>3149.01-Q1</v>
      </c>
      <c r="B22" s="39"/>
      <c r="C22" s="39"/>
      <c r="D22" s="40" t="str">
        <f>IF(Quotes!A13="","",Quotes!U13&amp;" | "&amp;Quotes!Z13)</f>
        <v>MAN | Main engine overhaul</v>
      </c>
      <c r="E22" s="39"/>
      <c r="F22" s="39"/>
      <c r="G22" s="39"/>
      <c r="H22" s="39"/>
      <c r="I22" s="39"/>
      <c r="J22" s="39"/>
      <c r="K22" s="39"/>
      <c r="L22" s="39"/>
      <c r="M22" s="77" t="str">
        <f>IF(Quotes!A13="","",IF(Quotes!F13="","",Quotes!F13))</f>
        <v>RFQ sent</v>
      </c>
      <c r="N22" s="39"/>
      <c r="O22" s="39"/>
      <c r="P22" s="76" t="str">
        <f>IF(Quotes!A13="","",IF(Quotes!AB13="","",Quotes!AB13))</f>
        <v/>
      </c>
      <c r="Q22" s="39"/>
      <c r="R22" s="39"/>
      <c r="S22" s="76" t="str">
        <f>IF(Quotes!A13="","",IF(Quotes!AD13="","",Quotes!AD13))</f>
        <v/>
      </c>
      <c r="T22" s="39"/>
      <c r="U22" s="76" t="str">
        <f>IF(Quotes!A13="","",IF(Quotes!AF13="","",Quotes!AF13))</f>
        <v/>
      </c>
      <c r="V22" s="39"/>
    </row>
    <row r="23" spans="1:22" ht="42" customHeight="1" x14ac:dyDescent="0.35">
      <c r="A23" s="78" t="str">
        <f>IF(Quotes!A14="","",HYPERLINK("#'Quotes'!A14",Quotes!A14))</f>
        <v>3812.01-Q1</v>
      </c>
      <c r="B23" s="39"/>
      <c r="C23" s="39"/>
      <c r="D23" s="40" t="str">
        <f>IF(Quotes!A14="","",Quotes!U14&amp;" | "&amp;Quotes!Z14)</f>
        <v>PINNFABB | Stabilizers</v>
      </c>
      <c r="E23" s="39"/>
      <c r="F23" s="39"/>
      <c r="G23" s="39"/>
      <c r="H23" s="39"/>
      <c r="I23" s="39"/>
      <c r="J23" s="39"/>
      <c r="K23" s="39"/>
      <c r="L23" s="39"/>
      <c r="M23" s="77" t="str">
        <f>IF(Quotes!A14="","",IF(Quotes!F14="","",Quotes!F14))</f>
        <v>Selected</v>
      </c>
      <c r="N23" s="39"/>
      <c r="O23" s="39"/>
      <c r="P23" s="76">
        <f>IF(Quotes!A14="","",IF(Quotes!AB14="","",Quotes!AB14))</f>
        <v>250000</v>
      </c>
      <c r="Q23" s="39"/>
      <c r="R23" s="39"/>
      <c r="S23" s="76">
        <f>IF(Quotes!A14="","",IF(Quotes!AD14="","",Quotes!AD14))</f>
        <v>250000</v>
      </c>
      <c r="T23" s="39"/>
      <c r="U23" s="76" t="str">
        <f>IF(Quotes!A14="","",IF(Quotes!AF14="","",Quotes!AF14))</f>
        <v/>
      </c>
      <c r="V23" s="39"/>
    </row>
    <row r="24" spans="1:22" ht="42" customHeight="1" x14ac:dyDescent="0.35">
      <c r="A24" s="78" t="str">
        <f>IF(Quotes!A15="","",HYPERLINK("#'Quotes'!A15",Quotes!A15))</f>
        <v>3149.02-Q1</v>
      </c>
      <c r="B24" s="39"/>
      <c r="C24" s="39"/>
      <c r="D24" s="40" t="str">
        <f>IF(Quotes!A15="","",Quotes!U15&amp;" | "&amp;Quotes!Z15)</f>
        <v>PJCircular | Governor overhaul</v>
      </c>
      <c r="E24" s="39"/>
      <c r="F24" s="39"/>
      <c r="G24" s="39"/>
      <c r="H24" s="39"/>
      <c r="I24" s="39"/>
      <c r="J24" s="39"/>
      <c r="K24" s="39"/>
      <c r="L24" s="39"/>
      <c r="M24" s="77" t="str">
        <f>IF(Quotes!A15="","",IF(Quotes!F15="","",Quotes!F15))</f>
        <v>Quote received</v>
      </c>
      <c r="N24" s="39"/>
      <c r="O24" s="39"/>
      <c r="P24" s="76">
        <f>IF(Quotes!A15="","",IF(Quotes!AB15="","",Quotes!AB15))</f>
        <v>5970</v>
      </c>
      <c r="Q24" s="39"/>
      <c r="R24" s="39"/>
      <c r="S24" s="76">
        <f>IF(Quotes!A15="","",IF(Quotes!AD15="","",Quotes!AD15))</f>
        <v>5970</v>
      </c>
      <c r="T24" s="39"/>
      <c r="U24" s="76" t="str">
        <f>IF(Quotes!A15="","",IF(Quotes!AF15="","",Quotes!AF15))</f>
        <v/>
      </c>
      <c r="V24" s="39"/>
    </row>
    <row r="25" spans="1:22" ht="42" customHeight="1" x14ac:dyDescent="0.35">
      <c r="A25" s="78" t="str">
        <f>IF(Quotes!A16="","",HYPERLINK("#'Quotes'!A16",Quotes!A16))</f>
        <v>3149.02-Q2</v>
      </c>
      <c r="B25" s="39"/>
      <c r="C25" s="39"/>
      <c r="D25" s="40" t="str">
        <f>IF(Quotes!A16="","",Quotes!U16&amp;" | "&amp;Quotes!Z16)</f>
        <v>TURNER  | Governor overhaul</v>
      </c>
      <c r="E25" s="39"/>
      <c r="F25" s="39"/>
      <c r="G25" s="39"/>
      <c r="H25" s="39"/>
      <c r="I25" s="39"/>
      <c r="J25" s="39"/>
      <c r="K25" s="39"/>
      <c r="L25" s="39"/>
      <c r="M25" s="77" t="str">
        <f>IF(Quotes!A16="","",IF(Quotes!F16="","",Quotes!F16))</f>
        <v>Quote received</v>
      </c>
      <c r="N25" s="39"/>
      <c r="O25" s="39"/>
      <c r="P25" s="76">
        <f>IF(Quotes!A16="","",IF(Quotes!AB16="","",Quotes!AB16))</f>
        <v>9195.52</v>
      </c>
      <c r="Q25" s="39"/>
      <c r="R25" s="39"/>
      <c r="S25" s="76">
        <f>IF(Quotes!A16="","",IF(Quotes!AD16="","",Quotes!AD16))</f>
        <v>9195.52</v>
      </c>
      <c r="T25" s="39"/>
      <c r="U25" s="76" t="str">
        <f>IF(Quotes!A16="","",IF(Quotes!AF16="","",Quotes!AF16))</f>
        <v/>
      </c>
      <c r="V25" s="39"/>
    </row>
    <row r="26" spans="1:22" ht="42" customHeight="1" x14ac:dyDescent="0.35">
      <c r="A26" s="78" t="str">
        <f>IF(Quotes!A17="","",HYPERLINK("#'Quotes'!A17",Quotes!A17))</f>
        <v>1500.01-Q1</v>
      </c>
      <c r="B26" s="39"/>
      <c r="C26" s="39"/>
      <c r="D26" s="40" t="str">
        <f>IF(Quotes!A17="","",Quotes!U17&amp;" | "&amp;Quotes!Z17)</f>
        <v>Autronica Fire and Security AS | Fire detection system</v>
      </c>
      <c r="E26" s="39"/>
      <c r="F26" s="39"/>
      <c r="G26" s="39"/>
      <c r="H26" s="39"/>
      <c r="I26" s="39"/>
      <c r="J26" s="39"/>
      <c r="K26" s="39"/>
      <c r="L26" s="39"/>
      <c r="M26" s="77" t="str">
        <f>IF(Quotes!A17="","",IF(Quotes!F17="","",Quotes!F17))</f>
        <v>Quote received</v>
      </c>
      <c r="N26" s="39"/>
      <c r="O26" s="39"/>
      <c r="P26" s="76">
        <f>IF(Quotes!A17="","",IF(Quotes!AB17="","",Quotes!AB17))</f>
        <v>79618</v>
      </c>
      <c r="Q26" s="39"/>
      <c r="R26" s="39"/>
      <c r="S26" s="76">
        <f>IF(Quotes!A17="","",IF(Quotes!AD17="","",Quotes!AD17))</f>
        <v>79618</v>
      </c>
      <c r="T26" s="39"/>
      <c r="U26" s="76" t="str">
        <f>IF(Quotes!A17="","",IF(Quotes!AF17="","",Quotes!AF17))</f>
        <v/>
      </c>
      <c r="V26" s="39"/>
    </row>
    <row r="27" spans="1:22" ht="42" customHeight="1" x14ac:dyDescent="0.35">
      <c r="A27" s="78" t="str">
        <f>IF(Quotes!A18="","",HYPERLINK("#'Quotes'!A18",Quotes!A18))</f>
        <v>1500.01-Q2</v>
      </c>
      <c r="B27" s="39"/>
      <c r="C27" s="39"/>
      <c r="D27" s="40" t="str">
        <f>IF(Quotes!A18="","",Quotes!U18&amp;" | "&amp;Quotes!Z18)</f>
        <v>Consillium | Fire detection system</v>
      </c>
      <c r="E27" s="39"/>
      <c r="F27" s="39"/>
      <c r="G27" s="39"/>
      <c r="H27" s="39"/>
      <c r="I27" s="39"/>
      <c r="J27" s="39"/>
      <c r="K27" s="39"/>
      <c r="L27" s="39"/>
      <c r="M27" s="77" t="str">
        <f>IF(Quotes!A18="","",IF(Quotes!F18="","",Quotes!F18))</f>
        <v>Clarification</v>
      </c>
      <c r="N27" s="39"/>
      <c r="O27" s="39"/>
      <c r="P27" s="76" t="str">
        <f>IF(Quotes!A18="","",IF(Quotes!AB18="","",Quotes!AB18))</f>
        <v/>
      </c>
      <c r="Q27" s="39"/>
      <c r="R27" s="39"/>
      <c r="S27" s="76" t="str">
        <f>IF(Quotes!A18="","",IF(Quotes!AD18="","",Quotes!AD18))</f>
        <v/>
      </c>
      <c r="T27" s="39"/>
      <c r="U27" s="76" t="str">
        <f>IF(Quotes!A18="","",IF(Quotes!AF18="","",Quotes!AF18))</f>
        <v/>
      </c>
      <c r="V27" s="39"/>
    </row>
    <row r="28" spans="1:22" ht="42" customHeight="1" x14ac:dyDescent="0.35">
      <c r="A28" s="78" t="str">
        <f>IF(Quotes!A19="","",HYPERLINK("#'Quotes'!A19",Quotes!A19))</f>
        <v>3811.02-Q1</v>
      </c>
      <c r="B28" s="39"/>
      <c r="C28" s="39"/>
      <c r="D28" s="40" t="str">
        <f>IF(Quotes!A19="","",Quotes!U19&amp;" | "&amp;Quotes!Z19)</f>
        <v>BRUNVOLL | Thruster PLC upgrade - YARD INFO ONLY</v>
      </c>
      <c r="E28" s="39"/>
      <c r="F28" s="39"/>
      <c r="G28" s="39"/>
      <c r="H28" s="39"/>
      <c r="I28" s="39"/>
      <c r="J28" s="39"/>
      <c r="K28" s="39"/>
      <c r="L28" s="39"/>
      <c r="M28" s="77" t="str">
        <f>IF(Quotes!A19="","",IF(Quotes!F19="","",Quotes!F19))</f>
        <v>Quote received</v>
      </c>
      <c r="N28" s="39"/>
      <c r="O28" s="39"/>
      <c r="P28" s="76">
        <f>IF(Quotes!A19="","",IF(Quotes!AB19="","",Quotes!AB19))</f>
        <v>48495.571955719555</v>
      </c>
      <c r="Q28" s="39"/>
      <c r="R28" s="39"/>
      <c r="S28" s="76">
        <f>IF(Quotes!A19="","",IF(Quotes!AD19="","",Quotes!AD19))</f>
        <v>48495.571955719555</v>
      </c>
      <c r="T28" s="39"/>
      <c r="U28" s="76" t="str">
        <f>IF(Quotes!A19="","",IF(Quotes!AF19="","",Quotes!AF19))</f>
        <v/>
      </c>
      <c r="V28" s="39"/>
    </row>
    <row r="29" spans="1:22" ht="42" customHeight="1" x14ac:dyDescent="0.35">
      <c r="A29" s="78" t="str">
        <f>IF(Quotes!A20="","",HYPERLINK("#'Quotes'!A20",Quotes!A20))</f>
        <v>3811.01-Q1</v>
      </c>
      <c r="B29" s="39"/>
      <c r="C29" s="39"/>
      <c r="D29" s="40" t="str">
        <f>IF(Quotes!A20="","",Quotes!U20&amp;" | "&amp;Quotes!Z20)</f>
        <v>BRUNVOLL | Bow thrusters overhaul</v>
      </c>
      <c r="E29" s="39"/>
      <c r="F29" s="39"/>
      <c r="G29" s="39"/>
      <c r="H29" s="39"/>
      <c r="I29" s="39"/>
      <c r="J29" s="39"/>
      <c r="K29" s="39"/>
      <c r="L29" s="39"/>
      <c r="M29" s="77" t="str">
        <f>IF(Quotes!A20="","",IF(Quotes!F20="","",Quotes!F20))</f>
        <v>Selected</v>
      </c>
      <c r="N29" s="39"/>
      <c r="O29" s="39"/>
      <c r="P29" s="76">
        <f>IF(Quotes!A20="","",IF(Quotes!AB20="","",Quotes!AB20))</f>
        <v>36181.734317343173</v>
      </c>
      <c r="Q29" s="39"/>
      <c r="R29" s="39"/>
      <c r="S29" s="76">
        <f>IF(Quotes!A20="","",IF(Quotes!AD20="","",Quotes!AD20))</f>
        <v>36181.734317343173</v>
      </c>
      <c r="T29" s="39"/>
      <c r="U29" s="76" t="str">
        <f>IF(Quotes!A20="","",IF(Quotes!AF20="","",Quotes!AF20))</f>
        <v/>
      </c>
      <c r="V29" s="39"/>
    </row>
    <row r="30" spans="1:22" ht="42" customHeight="1" x14ac:dyDescent="0.35">
      <c r="A30" s="78" t="str">
        <f>IF(Quotes!A21="","",HYPERLINK("#'Quotes'!A21",Quotes!A21))</f>
        <v>1303.01-Q1</v>
      </c>
      <c r="B30" s="39"/>
      <c r="C30" s="39"/>
      <c r="D30" s="40" t="str">
        <f>IF(Quotes!A21="","",Quotes!U21&amp;" | "&amp;Quotes!Z21)</f>
        <v>Neuver maritime  | Steering gears overhaul</v>
      </c>
      <c r="E30" s="39"/>
      <c r="F30" s="39"/>
      <c r="G30" s="39"/>
      <c r="H30" s="39"/>
      <c r="I30" s="39"/>
      <c r="J30" s="39"/>
      <c r="K30" s="39"/>
      <c r="L30" s="39"/>
      <c r="M30" s="77" t="str">
        <f>IF(Quotes!A21="","",IF(Quotes!F21="","",Quotes!F21))</f>
        <v>Selected</v>
      </c>
      <c r="N30" s="39"/>
      <c r="O30" s="39"/>
      <c r="P30" s="76">
        <f>IF(Quotes!A21="","",IF(Quotes!AB21="","",Quotes!AB21))</f>
        <v>42681</v>
      </c>
      <c r="Q30" s="39"/>
      <c r="R30" s="39"/>
      <c r="S30" s="76">
        <f>IF(Quotes!A21="","",IF(Quotes!AD21="","",Quotes!AD21))</f>
        <v>42681</v>
      </c>
      <c r="T30" s="39"/>
      <c r="U30" s="76" t="str">
        <f>IF(Quotes!A21="","",IF(Quotes!AF21="","",Quotes!AF21))</f>
        <v/>
      </c>
      <c r="V30" s="39"/>
    </row>
    <row r="31" spans="1:22" ht="42" customHeight="1" x14ac:dyDescent="0.35">
      <c r="A31" s="78" t="str">
        <f>IF(Quotes!A22="","",HYPERLINK("#'Quotes'!A22",Quotes!A22))</f>
        <v>1303.01-Q2</v>
      </c>
      <c r="B31" s="39"/>
      <c r="C31" s="39"/>
      <c r="D31" s="40" t="str">
        <f>IF(Quotes!A22="","",Quotes!U22&amp;" | "&amp;Quotes!Z22)</f>
        <v>Neuver maritime  | Steering gears overhaul</v>
      </c>
      <c r="E31" s="39"/>
      <c r="F31" s="39"/>
      <c r="G31" s="39"/>
      <c r="H31" s="39"/>
      <c r="I31" s="39"/>
      <c r="J31" s="39"/>
      <c r="K31" s="39"/>
      <c r="L31" s="39"/>
      <c r="M31" s="77" t="str">
        <f>IF(Quotes!A22="","",IF(Quotes!F22="","",Quotes!F22))</f>
        <v>Quote received</v>
      </c>
      <c r="N31" s="39"/>
      <c r="O31" s="39"/>
      <c r="P31" s="76">
        <f>IF(Quotes!A22="","",IF(Quotes!AB22="","",Quotes!AB22))</f>
        <v>54778.2</v>
      </c>
      <c r="Q31" s="39"/>
      <c r="R31" s="39"/>
      <c r="S31" s="76">
        <f>IF(Quotes!A22="","",IF(Quotes!AD22="","",Quotes!AD22))</f>
        <v>54778.2</v>
      </c>
      <c r="T31" s="39"/>
      <c r="U31" s="76" t="str">
        <f>IF(Quotes!A22="","",IF(Quotes!AF22="","",Quotes!AF22))</f>
        <v/>
      </c>
      <c r="V31" s="39"/>
    </row>
    <row r="32" spans="1:22" ht="42" customHeight="1" x14ac:dyDescent="0.35">
      <c r="A32" s="78" t="str">
        <f>IF(Quotes!A23="","",HYPERLINK("#'Quotes'!A23",Quotes!A23))</f>
        <v>3811.01-Q2</v>
      </c>
      <c r="B32" s="39"/>
      <c r="C32" s="39"/>
      <c r="D32" s="40" t="str">
        <f>IF(Quotes!A23="","",Quotes!U23&amp;" | "&amp;Quotes!Z23)</f>
        <v>BRUNVOLL | Bow thrusters overhaul</v>
      </c>
      <c r="E32" s="39"/>
      <c r="F32" s="39"/>
      <c r="G32" s="39"/>
      <c r="H32" s="39"/>
      <c r="I32" s="39"/>
      <c r="J32" s="39"/>
      <c r="K32" s="39"/>
      <c r="L32" s="39"/>
      <c r="M32" s="77" t="str">
        <f>IF(Quotes!A23="","",IF(Quotes!F23="","",Quotes!F23))</f>
        <v>Selected</v>
      </c>
      <c r="N32" s="39"/>
      <c r="O32" s="39"/>
      <c r="P32" s="76">
        <f>IF(Quotes!A23="","",IF(Quotes!AB23="","",Quotes!AB23))</f>
        <v>108047.73062730627</v>
      </c>
      <c r="Q32" s="39"/>
      <c r="R32" s="39"/>
      <c r="S32" s="76">
        <f>IF(Quotes!A23="","",IF(Quotes!AD23="","",Quotes!AD23))</f>
        <v>108047.73062730627</v>
      </c>
      <c r="T32" s="39"/>
      <c r="U32" s="76" t="str">
        <f>IF(Quotes!A23="","",IF(Quotes!AF23="","",Quotes!AF23))</f>
        <v/>
      </c>
      <c r="V32" s="39"/>
    </row>
    <row r="33" spans="1:22" ht="42" customHeight="1" x14ac:dyDescent="0.35">
      <c r="A33" s="78" t="str">
        <f>IF(Quotes!A24="","",HYPERLINK("#'Quotes'!A24",Quotes!A24))</f>
        <v>3802.01-Q1</v>
      </c>
      <c r="B33" s="39"/>
      <c r="C33" s="39"/>
      <c r="D33" s="40" t="str">
        <f>IF(Quotes!A24="","",Quotes!U24&amp;" | "&amp;Quotes!Z24)</f>
        <v>WÀRTSILA | Stern tube seals</v>
      </c>
      <c r="E33" s="39"/>
      <c r="F33" s="39"/>
      <c r="G33" s="39"/>
      <c r="H33" s="39"/>
      <c r="I33" s="39"/>
      <c r="J33" s="39"/>
      <c r="K33" s="39"/>
      <c r="L33" s="39"/>
      <c r="M33" s="77" t="str">
        <f>IF(Quotes!A24="","",IF(Quotes!F24="","",Quotes!F24))</f>
        <v>Quote received</v>
      </c>
      <c r="N33" s="39"/>
      <c r="O33" s="39"/>
      <c r="P33" s="76">
        <f>IF(Quotes!A24="","",IF(Quotes!AB24="","",Quotes!AB24))</f>
        <v>38878.681024680627</v>
      </c>
      <c r="Q33" s="39"/>
      <c r="R33" s="39"/>
      <c r="S33" s="76">
        <f>IF(Quotes!A24="","",IF(Quotes!AD24="","",Quotes!AD24))</f>
        <v>38878.681024680627</v>
      </c>
      <c r="T33" s="39"/>
      <c r="U33" s="76" t="str">
        <f>IF(Quotes!A24="","",IF(Quotes!AF24="","",Quotes!AF24))</f>
        <v/>
      </c>
      <c r="V33" s="39"/>
    </row>
    <row r="34" spans="1:22" ht="42" customHeight="1" x14ac:dyDescent="0.35">
      <c r="A34" s="78" t="str">
        <f>IF(Quotes!A25="","",HYPERLINK("#'Quotes'!A25",Quotes!A25))</f>
        <v>3802.01-Q2</v>
      </c>
      <c r="B34" s="39"/>
      <c r="C34" s="39"/>
      <c r="D34" s="40" t="str">
        <f>IF(Quotes!A25="","",Quotes!U25&amp;" | "&amp;Quotes!Z25)</f>
        <v>WÀRTSILA | Stern tube seals</v>
      </c>
      <c r="E34" s="39"/>
      <c r="F34" s="39"/>
      <c r="G34" s="39"/>
      <c r="H34" s="39"/>
      <c r="I34" s="39"/>
      <c r="J34" s="39"/>
      <c r="K34" s="39"/>
      <c r="L34" s="39"/>
      <c r="M34" s="77" t="str">
        <f>IF(Quotes!A25="","",IF(Quotes!F25="","",Quotes!F25))</f>
        <v>Quote received</v>
      </c>
      <c r="N34" s="39"/>
      <c r="O34" s="39"/>
      <c r="P34" s="76">
        <f>IF(Quotes!A25="","",IF(Quotes!AB25="","",Quotes!AB25))</f>
        <v>34420</v>
      </c>
      <c r="Q34" s="39"/>
      <c r="R34" s="39"/>
      <c r="S34" s="76">
        <f>IF(Quotes!A25="","",IF(Quotes!AD25="","",Quotes!AD25))</f>
        <v>34420</v>
      </c>
      <c r="T34" s="39"/>
      <c r="U34" s="76" t="str">
        <f>IF(Quotes!A25="","",IF(Quotes!AF25="","",Quotes!AF25))</f>
        <v/>
      </c>
      <c r="V34" s="39"/>
    </row>
    <row r="35" spans="1:22" ht="42" customHeight="1" x14ac:dyDescent="0.35">
      <c r="A35" s="78" t="str">
        <f>IF(Quotes!A26="","",HYPERLINK("#'Quotes'!A26",Quotes!A26))</f>
        <v>3805.02-Q1</v>
      </c>
      <c r="B35" s="39"/>
      <c r="C35" s="39"/>
      <c r="D35" s="40" t="str">
        <f>IF(Quotes!A26="","",Quotes!U26&amp;" | "&amp;Quotes!Z26)</f>
        <v>WÀRTSILA | Main propeller OD box overhaul</v>
      </c>
      <c r="E35" s="39"/>
      <c r="F35" s="39"/>
      <c r="G35" s="39"/>
      <c r="H35" s="39"/>
      <c r="I35" s="39"/>
      <c r="J35" s="39"/>
      <c r="K35" s="39"/>
      <c r="L35" s="39"/>
      <c r="M35" s="77" t="str">
        <f>IF(Quotes!A26="","",IF(Quotes!F26="","",Quotes!F26))</f>
        <v>Quote received</v>
      </c>
      <c r="N35" s="39"/>
      <c r="O35" s="39"/>
      <c r="P35" s="76">
        <f>IF(Quotes!A26="","",IF(Quotes!AB26="","",Quotes!AB26))</f>
        <v>401719.08</v>
      </c>
      <c r="Q35" s="39"/>
      <c r="R35" s="39"/>
      <c r="S35" s="76">
        <f>IF(Quotes!A26="","",IF(Quotes!AD26="","",Quotes!AD26))</f>
        <v>401719.08</v>
      </c>
      <c r="T35" s="39"/>
      <c r="U35" s="76" t="str">
        <f>IF(Quotes!A26="","",IF(Quotes!AF26="","",Quotes!AF26))</f>
        <v/>
      </c>
      <c r="V35" s="39"/>
    </row>
    <row r="36" spans="1:22" ht="42" customHeight="1" x14ac:dyDescent="0.35">
      <c r="A36" s="78" t="str">
        <f>IF(Quotes!A27="","",HYPERLINK("#'Quotes'!A27",Quotes!A27))</f>
        <v>3812.01-Q2</v>
      </c>
      <c r="B36" s="39"/>
      <c r="C36" s="39"/>
      <c r="D36" s="40" t="str">
        <f>IF(Quotes!A27="","",Quotes!U27&amp;" | "&amp;Quotes!Z27)</f>
        <v>PINNFABB | Stabilizers</v>
      </c>
      <c r="E36" s="39"/>
      <c r="F36" s="39"/>
      <c r="G36" s="39"/>
      <c r="H36" s="39"/>
      <c r="I36" s="39"/>
      <c r="J36" s="39"/>
      <c r="K36" s="39"/>
      <c r="L36" s="39"/>
      <c r="M36" s="77" t="str">
        <f>IF(Quotes!A27="","",IF(Quotes!F27="","",Quotes!F27))</f>
        <v>Quote received</v>
      </c>
      <c r="N36" s="39"/>
      <c r="O36" s="39"/>
      <c r="P36" s="76">
        <f>IF(Quotes!A27="","",IF(Quotes!AB27="","",Quotes!AB27))</f>
        <v>57705</v>
      </c>
      <c r="Q36" s="39"/>
      <c r="R36" s="39"/>
      <c r="S36" s="76">
        <f>IF(Quotes!A27="","",IF(Quotes!AD27="","",Quotes!AD27))</f>
        <v>57705</v>
      </c>
      <c r="T36" s="39"/>
      <c r="U36" s="76" t="str">
        <f>IF(Quotes!A27="","",IF(Quotes!AF27="","",Quotes!AF27))</f>
        <v/>
      </c>
      <c r="V36" s="39"/>
    </row>
    <row r="37" spans="1:22" ht="42" customHeight="1" x14ac:dyDescent="0.35">
      <c r="A37" s="78" t="str">
        <f>IF(Quotes!A28="","",HYPERLINK("#'Quotes'!A28",Quotes!A28))</f>
        <v>3812.01-Q3</v>
      </c>
      <c r="B37" s="39"/>
      <c r="C37" s="39"/>
      <c r="D37" s="40" t="str">
        <f>IF(Quotes!A28="","",Quotes!U28&amp;" | "&amp;Quotes!Z28)</f>
        <v>PINNFABB | Stabilizers</v>
      </c>
      <c r="E37" s="39"/>
      <c r="F37" s="39"/>
      <c r="G37" s="39"/>
      <c r="H37" s="39"/>
      <c r="I37" s="39"/>
      <c r="J37" s="39"/>
      <c r="K37" s="39"/>
      <c r="L37" s="39"/>
      <c r="M37" s="77" t="str">
        <f>IF(Quotes!A28="","",IF(Quotes!F28="","",Quotes!F28))</f>
        <v>Quote received</v>
      </c>
      <c r="N37" s="39"/>
      <c r="O37" s="39"/>
      <c r="P37" s="76">
        <f>IF(Quotes!A28="","",IF(Quotes!AB28="","",Quotes!AB28))</f>
        <v>95922</v>
      </c>
      <c r="Q37" s="39"/>
      <c r="R37" s="39"/>
      <c r="S37" s="76">
        <f>IF(Quotes!A28="","",IF(Quotes!AD28="","",Quotes!AD28))</f>
        <v>95922</v>
      </c>
      <c r="T37" s="39"/>
      <c r="U37" s="76" t="str">
        <f>IF(Quotes!A28="","",IF(Quotes!AF28="","",Quotes!AF28))</f>
        <v/>
      </c>
      <c r="V37" s="39"/>
    </row>
    <row r="38" spans="1:22" ht="42" customHeight="1" x14ac:dyDescent="0.35">
      <c r="A38" s="78" t="str">
        <f>IF(Quotes!A29="","",HYPERLINK("#'Quotes'!A29",Quotes!A29))</f>
        <v>1001.03-Q3</v>
      </c>
      <c r="B38" s="39"/>
      <c r="C38" s="39"/>
      <c r="D38" s="40" t="str">
        <f>IF(Quotes!A29="","",Quotes!U29&amp;" | "&amp;Quotes!Z29)</f>
        <v>NIPPON | Bottom treatment and paint</v>
      </c>
      <c r="E38" s="39"/>
      <c r="F38" s="39"/>
      <c r="G38" s="39"/>
      <c r="H38" s="39"/>
      <c r="I38" s="39"/>
      <c r="J38" s="39"/>
      <c r="K38" s="39"/>
      <c r="L38" s="39"/>
      <c r="M38" s="77" t="str">
        <f>IF(Quotes!A29="","",IF(Quotes!F29="","",Quotes!F29))</f>
        <v>Quote received</v>
      </c>
      <c r="N38" s="39"/>
      <c r="O38" s="39"/>
      <c r="P38" s="76">
        <f>IF(Quotes!A29="","",IF(Quotes!AB29="","",Quotes!AB29))</f>
        <v>92498.47</v>
      </c>
      <c r="Q38" s="39"/>
      <c r="R38" s="39"/>
      <c r="S38" s="76">
        <f>IF(Quotes!A29="","",IF(Quotes!AD29="","",Quotes!AD29))</f>
        <v>92498.47</v>
      </c>
      <c r="T38" s="39"/>
      <c r="U38" s="76" t="str">
        <f>IF(Quotes!A29="","",IF(Quotes!AF29="","",Quotes!AF29))</f>
        <v/>
      </c>
      <c r="V38" s="39"/>
    </row>
    <row r="39" spans="1:22" ht="42" customHeight="1" x14ac:dyDescent="0.35">
      <c r="A39" s="78" t="str">
        <f>IF(Quotes!A30="","",HYPERLINK("#'Quotes'!A30",Quotes!A30))</f>
        <v>3812.01-Q4</v>
      </c>
      <c r="B39" s="39"/>
      <c r="C39" s="39"/>
      <c r="D39" s="40" t="str">
        <f>IF(Quotes!A30="","",Quotes!U30&amp;" | "&amp;Quotes!Z30)</f>
        <v>PINNFABB | Stabilizers</v>
      </c>
      <c r="E39" s="39"/>
      <c r="F39" s="39"/>
      <c r="G39" s="39"/>
      <c r="H39" s="39"/>
      <c r="I39" s="39"/>
      <c r="J39" s="39"/>
      <c r="K39" s="39"/>
      <c r="L39" s="39"/>
      <c r="M39" s="77" t="str">
        <f>IF(Quotes!A30="","",IF(Quotes!F30="","",Quotes!F30))</f>
        <v/>
      </c>
      <c r="N39" s="39"/>
      <c r="O39" s="39"/>
      <c r="P39" s="76" t="str">
        <f>IF(Quotes!A30="","",IF(Quotes!AB30="","",Quotes!AB30))</f>
        <v/>
      </c>
      <c r="Q39" s="39"/>
      <c r="R39" s="39"/>
      <c r="S39" s="76" t="str">
        <f>IF(Quotes!A30="","",IF(Quotes!AD30="","",Quotes!AD30))</f>
        <v/>
      </c>
      <c r="T39" s="39"/>
      <c r="U39" s="76" t="str">
        <f>IF(Quotes!A30="","",IF(Quotes!AF30="","",Quotes!AF30))</f>
        <v/>
      </c>
      <c r="V39" s="39"/>
    </row>
    <row r="40" spans="1:22" ht="42" hidden="1" customHeight="1" x14ac:dyDescent="0.35">
      <c r="A40" s="78" t="str">
        <f>IF(Quotes!A31="","",HYPERLINK("#'Quotes'!A31",Quotes!A31))</f>
        <v/>
      </c>
      <c r="B40" s="39"/>
      <c r="C40" s="39"/>
      <c r="D40" s="40" t="str">
        <f>IF(Quotes!A31="","",Quotes!U31&amp;" | "&amp;Quotes!Z31)</f>
        <v/>
      </c>
      <c r="E40" s="39"/>
      <c r="F40" s="39"/>
      <c r="G40" s="39"/>
      <c r="H40" s="39"/>
      <c r="I40" s="39"/>
      <c r="J40" s="39"/>
      <c r="K40" s="39"/>
      <c r="L40" s="39"/>
      <c r="M40" s="77" t="str">
        <f>IF(Quotes!A31="","",IF(Quotes!F31="","",Quotes!F31))</f>
        <v/>
      </c>
      <c r="N40" s="39"/>
      <c r="O40" s="39"/>
      <c r="P40" s="76" t="str">
        <f>IF(Quotes!A31="","",IF(Quotes!AB31="","",Quotes!AB31))</f>
        <v/>
      </c>
      <c r="Q40" s="39"/>
      <c r="R40" s="39"/>
      <c r="S40" s="76" t="str">
        <f>IF(Quotes!A31="","",IF(Quotes!AD31="","",Quotes!AD31))</f>
        <v/>
      </c>
      <c r="T40" s="39"/>
      <c r="U40" s="76" t="str">
        <f>IF(Quotes!A31="","",IF(Quotes!AF31="","",Quotes!AF31))</f>
        <v/>
      </c>
      <c r="V40" s="39"/>
    </row>
    <row r="41" spans="1:22" ht="42" hidden="1" customHeight="1" x14ac:dyDescent="0.35">
      <c r="A41" s="78" t="str">
        <f>IF(Quotes!A32="","",HYPERLINK("#'Quotes'!A32",Quotes!A32))</f>
        <v/>
      </c>
      <c r="B41" s="39"/>
      <c r="C41" s="39"/>
      <c r="D41" s="40" t="str">
        <f>IF(Quotes!A32="","",Quotes!U32&amp;" | "&amp;Quotes!Z32)</f>
        <v/>
      </c>
      <c r="E41" s="39"/>
      <c r="F41" s="39"/>
      <c r="G41" s="39"/>
      <c r="H41" s="39"/>
      <c r="I41" s="39"/>
      <c r="J41" s="39"/>
      <c r="K41" s="39"/>
      <c r="L41" s="39"/>
      <c r="M41" s="77" t="str">
        <f>IF(Quotes!A32="","",IF(Quotes!F32="","",Quotes!F32))</f>
        <v/>
      </c>
      <c r="N41" s="39"/>
      <c r="O41" s="39"/>
      <c r="P41" s="76" t="str">
        <f>IF(Quotes!A32="","",IF(Quotes!AB32="","",Quotes!AB32))</f>
        <v/>
      </c>
      <c r="Q41" s="39"/>
      <c r="R41" s="39"/>
      <c r="S41" s="76" t="str">
        <f>IF(Quotes!A32="","",IF(Quotes!AD32="","",Quotes!AD32))</f>
        <v/>
      </c>
      <c r="T41" s="39"/>
      <c r="U41" s="76" t="str">
        <f>IF(Quotes!A32="","",IF(Quotes!AF32="","",Quotes!AF32))</f>
        <v/>
      </c>
      <c r="V41" s="39"/>
    </row>
    <row r="42" spans="1:22" ht="42" hidden="1" customHeight="1" x14ac:dyDescent="0.35">
      <c r="A42" s="78" t="str">
        <f>IF(Quotes!A33="","",HYPERLINK("#'Quotes'!A33",Quotes!A33))</f>
        <v/>
      </c>
      <c r="B42" s="39"/>
      <c r="C42" s="39"/>
      <c r="D42" s="40" t="str">
        <f>IF(Quotes!A33="","",Quotes!U33&amp;" | "&amp;Quotes!Z33)</f>
        <v/>
      </c>
      <c r="E42" s="39"/>
      <c r="F42" s="39"/>
      <c r="G42" s="39"/>
      <c r="H42" s="39"/>
      <c r="I42" s="39"/>
      <c r="J42" s="39"/>
      <c r="K42" s="39"/>
      <c r="L42" s="39"/>
      <c r="M42" s="77" t="str">
        <f>IF(Quotes!A33="","",IF(Quotes!F33="","",Quotes!F33))</f>
        <v/>
      </c>
      <c r="N42" s="39"/>
      <c r="O42" s="39"/>
      <c r="P42" s="76" t="str">
        <f>IF(Quotes!A33="","",IF(Quotes!AB33="","",Quotes!AB33))</f>
        <v/>
      </c>
      <c r="Q42" s="39"/>
      <c r="R42" s="39"/>
      <c r="S42" s="76" t="str">
        <f>IF(Quotes!A33="","",IF(Quotes!AD33="","",Quotes!AD33))</f>
        <v/>
      </c>
      <c r="T42" s="39"/>
      <c r="U42" s="76" t="str">
        <f>IF(Quotes!A33="","",IF(Quotes!AF33="","",Quotes!AF33))</f>
        <v/>
      </c>
      <c r="V42" s="39"/>
    </row>
    <row r="43" spans="1:22" ht="42" hidden="1" customHeight="1" x14ac:dyDescent="0.35">
      <c r="A43" s="78" t="str">
        <f>IF(Quotes!A34="","",HYPERLINK("#'Quotes'!A34",Quotes!A34))</f>
        <v/>
      </c>
      <c r="B43" s="39"/>
      <c r="C43" s="39"/>
      <c r="D43" s="40" t="str">
        <f>IF(Quotes!A34="","",Quotes!U34&amp;" | "&amp;Quotes!Z34)</f>
        <v/>
      </c>
      <c r="E43" s="39"/>
      <c r="F43" s="39"/>
      <c r="G43" s="39"/>
      <c r="H43" s="39"/>
      <c r="I43" s="39"/>
      <c r="J43" s="39"/>
      <c r="K43" s="39"/>
      <c r="L43" s="39"/>
      <c r="M43" s="77" t="str">
        <f>IF(Quotes!A34="","",IF(Quotes!F34="","",Quotes!F34))</f>
        <v/>
      </c>
      <c r="N43" s="39"/>
      <c r="O43" s="39"/>
      <c r="P43" s="76" t="str">
        <f>IF(Quotes!A34="","",IF(Quotes!AB34="","",Quotes!AB34))</f>
        <v/>
      </c>
      <c r="Q43" s="39"/>
      <c r="R43" s="39"/>
      <c r="S43" s="76" t="str">
        <f>IF(Quotes!A34="","",IF(Quotes!AD34="","",Quotes!AD34))</f>
        <v/>
      </c>
      <c r="T43" s="39"/>
      <c r="U43" s="76" t="str">
        <f>IF(Quotes!A34="","",IF(Quotes!AF34="","",Quotes!AF34))</f>
        <v/>
      </c>
      <c r="V43" s="39"/>
    </row>
    <row r="44" spans="1:22" ht="42" hidden="1" customHeight="1" x14ac:dyDescent="0.35">
      <c r="A44" s="78" t="str">
        <f>IF(Quotes!A35="","",HYPERLINK("#'Quotes'!A35",Quotes!A35))</f>
        <v/>
      </c>
      <c r="B44" s="39"/>
      <c r="C44" s="39"/>
      <c r="D44" s="40" t="str">
        <f>IF(Quotes!A35="","",Quotes!U35&amp;" | "&amp;Quotes!Z35)</f>
        <v/>
      </c>
      <c r="E44" s="39"/>
      <c r="F44" s="39"/>
      <c r="G44" s="39"/>
      <c r="H44" s="39"/>
      <c r="I44" s="39"/>
      <c r="J44" s="39"/>
      <c r="K44" s="39"/>
      <c r="L44" s="39"/>
      <c r="M44" s="77" t="str">
        <f>IF(Quotes!A35="","",IF(Quotes!F35="","",Quotes!F35))</f>
        <v/>
      </c>
      <c r="N44" s="39"/>
      <c r="O44" s="39"/>
      <c r="P44" s="76" t="str">
        <f>IF(Quotes!A35="","",IF(Quotes!AB35="","",Quotes!AB35))</f>
        <v/>
      </c>
      <c r="Q44" s="39"/>
      <c r="R44" s="39"/>
      <c r="S44" s="76" t="str">
        <f>IF(Quotes!A35="","",IF(Quotes!AD35="","",Quotes!AD35))</f>
        <v/>
      </c>
      <c r="T44" s="39"/>
      <c r="U44" s="76" t="str">
        <f>IF(Quotes!A35="","",IF(Quotes!AF35="","",Quotes!AF35))</f>
        <v/>
      </c>
      <c r="V44" s="39"/>
    </row>
    <row r="45" spans="1:22" ht="42" hidden="1" customHeight="1" x14ac:dyDescent="0.35">
      <c r="A45" s="78" t="str">
        <f>IF(Quotes!A36="","",HYPERLINK("#'Quotes'!A36",Quotes!A36))</f>
        <v/>
      </c>
      <c r="B45" s="39"/>
      <c r="C45" s="39"/>
      <c r="D45" s="40" t="str">
        <f>IF(Quotes!A36="","",Quotes!U36&amp;" | "&amp;Quotes!Z36)</f>
        <v/>
      </c>
      <c r="E45" s="39"/>
      <c r="F45" s="39"/>
      <c r="G45" s="39"/>
      <c r="H45" s="39"/>
      <c r="I45" s="39"/>
      <c r="J45" s="39"/>
      <c r="K45" s="39"/>
      <c r="L45" s="39"/>
      <c r="M45" s="77" t="str">
        <f>IF(Quotes!A36="","",IF(Quotes!F36="","",Quotes!F36))</f>
        <v/>
      </c>
      <c r="N45" s="39"/>
      <c r="O45" s="39"/>
      <c r="P45" s="76" t="str">
        <f>IF(Quotes!A36="","",IF(Quotes!AB36="","",Quotes!AB36))</f>
        <v/>
      </c>
      <c r="Q45" s="39"/>
      <c r="R45" s="39"/>
      <c r="S45" s="76" t="str">
        <f>IF(Quotes!A36="","",IF(Quotes!AD36="","",Quotes!AD36))</f>
        <v/>
      </c>
      <c r="T45" s="39"/>
      <c r="U45" s="76" t="str">
        <f>IF(Quotes!A36="","",IF(Quotes!AF36="","",Quotes!AF36))</f>
        <v/>
      </c>
      <c r="V45" s="39"/>
    </row>
    <row r="46" spans="1:22" ht="42" hidden="1" customHeight="1" x14ac:dyDescent="0.35">
      <c r="A46" s="78" t="str">
        <f>IF(Quotes!A37="","",HYPERLINK("#'Quotes'!A37",Quotes!A37))</f>
        <v/>
      </c>
      <c r="B46" s="39"/>
      <c r="C46" s="39"/>
      <c r="D46" s="40" t="str">
        <f>IF(Quotes!A37="","",Quotes!U37&amp;" | "&amp;Quotes!Z37)</f>
        <v/>
      </c>
      <c r="E46" s="39"/>
      <c r="F46" s="39"/>
      <c r="G46" s="39"/>
      <c r="H46" s="39"/>
      <c r="I46" s="39"/>
      <c r="J46" s="39"/>
      <c r="K46" s="39"/>
      <c r="L46" s="39"/>
      <c r="M46" s="77" t="str">
        <f>IF(Quotes!A37="","",IF(Quotes!F37="","",Quotes!F37))</f>
        <v/>
      </c>
      <c r="N46" s="39"/>
      <c r="O46" s="39"/>
      <c r="P46" s="76" t="str">
        <f>IF(Quotes!A37="","",IF(Quotes!AB37="","",Quotes!AB37))</f>
        <v/>
      </c>
      <c r="Q46" s="39"/>
      <c r="R46" s="39"/>
      <c r="S46" s="76" t="str">
        <f>IF(Quotes!A37="","",IF(Quotes!AD37="","",Quotes!AD37))</f>
        <v/>
      </c>
      <c r="T46" s="39"/>
      <c r="U46" s="76" t="str">
        <f>IF(Quotes!A37="","",IF(Quotes!AF37="","",Quotes!AF37))</f>
        <v/>
      </c>
      <c r="V46" s="39"/>
    </row>
    <row r="47" spans="1:22" ht="42" hidden="1" customHeight="1" x14ac:dyDescent="0.35">
      <c r="A47" s="78" t="str">
        <f>IF(Quotes!A38="","",HYPERLINK("#'Quotes'!A38",Quotes!A38))</f>
        <v/>
      </c>
      <c r="B47" s="39"/>
      <c r="C47" s="39"/>
      <c r="D47" s="40" t="str">
        <f>IF(Quotes!A38="","",Quotes!U38&amp;" | "&amp;Quotes!Z38)</f>
        <v/>
      </c>
      <c r="E47" s="39"/>
      <c r="F47" s="39"/>
      <c r="G47" s="39"/>
      <c r="H47" s="39"/>
      <c r="I47" s="39"/>
      <c r="J47" s="39"/>
      <c r="K47" s="39"/>
      <c r="L47" s="39"/>
      <c r="M47" s="77" t="str">
        <f>IF(Quotes!A38="","",IF(Quotes!F38="","",Quotes!F38))</f>
        <v/>
      </c>
      <c r="N47" s="39"/>
      <c r="O47" s="39"/>
      <c r="P47" s="76" t="str">
        <f>IF(Quotes!A38="","",IF(Quotes!AB38="","",Quotes!AB38))</f>
        <v/>
      </c>
      <c r="Q47" s="39"/>
      <c r="R47" s="39"/>
      <c r="S47" s="76" t="str">
        <f>IF(Quotes!A38="","",IF(Quotes!AD38="","",Quotes!AD38))</f>
        <v/>
      </c>
      <c r="T47" s="39"/>
      <c r="U47" s="76" t="str">
        <f>IF(Quotes!A38="","",IF(Quotes!AF38="","",Quotes!AF38))</f>
        <v/>
      </c>
      <c r="V47" s="39"/>
    </row>
    <row r="48" spans="1:22" ht="42" hidden="1" customHeight="1" x14ac:dyDescent="0.35">
      <c r="A48" s="78" t="str">
        <f>IF(Quotes!A39="","",HYPERLINK("#'Quotes'!A39",Quotes!A39))</f>
        <v/>
      </c>
      <c r="B48" s="39"/>
      <c r="C48" s="39"/>
      <c r="D48" s="40" t="str">
        <f>IF(Quotes!A39="","",Quotes!U39&amp;" | "&amp;Quotes!Z39)</f>
        <v/>
      </c>
      <c r="E48" s="39"/>
      <c r="F48" s="39"/>
      <c r="G48" s="39"/>
      <c r="H48" s="39"/>
      <c r="I48" s="39"/>
      <c r="J48" s="39"/>
      <c r="K48" s="39"/>
      <c r="L48" s="39"/>
      <c r="M48" s="77" t="str">
        <f>IF(Quotes!A39="","",IF(Quotes!F39="","",Quotes!F39))</f>
        <v/>
      </c>
      <c r="N48" s="39"/>
      <c r="O48" s="39"/>
      <c r="P48" s="76" t="str">
        <f>IF(Quotes!A39="","",IF(Quotes!AB39="","",Quotes!AB39))</f>
        <v/>
      </c>
      <c r="Q48" s="39"/>
      <c r="R48" s="39"/>
      <c r="S48" s="76" t="str">
        <f>IF(Quotes!A39="","",IF(Quotes!AD39="","",Quotes!AD39))</f>
        <v/>
      </c>
      <c r="T48" s="39"/>
      <c r="U48" s="76" t="str">
        <f>IF(Quotes!A39="","",IF(Quotes!AF39="","",Quotes!AF39))</f>
        <v/>
      </c>
      <c r="V48" s="39"/>
    </row>
    <row r="49" spans="1:22" ht="42" hidden="1" customHeight="1" x14ac:dyDescent="0.35">
      <c r="A49" s="78" t="str">
        <f>IF(Quotes!A40="","",HYPERLINK("#'Quotes'!A40",Quotes!A40))</f>
        <v/>
      </c>
      <c r="B49" s="39"/>
      <c r="C49" s="39"/>
      <c r="D49" s="40" t="str">
        <f>IF(Quotes!A40="","",Quotes!U40&amp;" | "&amp;Quotes!Z40)</f>
        <v/>
      </c>
      <c r="E49" s="39"/>
      <c r="F49" s="39"/>
      <c r="G49" s="39"/>
      <c r="H49" s="39"/>
      <c r="I49" s="39"/>
      <c r="J49" s="39"/>
      <c r="K49" s="39"/>
      <c r="L49" s="39"/>
      <c r="M49" s="77" t="str">
        <f>IF(Quotes!A40="","",IF(Quotes!F40="","",Quotes!F40))</f>
        <v/>
      </c>
      <c r="N49" s="39"/>
      <c r="O49" s="39"/>
      <c r="P49" s="76" t="str">
        <f>IF(Quotes!A40="","",IF(Quotes!AB40="","",Quotes!AB40))</f>
        <v/>
      </c>
      <c r="Q49" s="39"/>
      <c r="R49" s="39"/>
      <c r="S49" s="76" t="str">
        <f>IF(Quotes!A40="","",IF(Quotes!AD40="","",Quotes!AD40))</f>
        <v/>
      </c>
      <c r="T49" s="39"/>
      <c r="U49" s="76" t="str">
        <f>IF(Quotes!A40="","",IF(Quotes!AF40="","",Quotes!AF40))</f>
        <v/>
      </c>
      <c r="V49" s="39"/>
    </row>
    <row r="50" spans="1:22" ht="42" hidden="1" customHeight="1" x14ac:dyDescent="0.35">
      <c r="A50" s="78" t="str">
        <f>IF(Quotes!A41="","",HYPERLINK("#'Quotes'!A41",Quotes!A41))</f>
        <v/>
      </c>
      <c r="B50" s="39"/>
      <c r="C50" s="39"/>
      <c r="D50" s="40" t="str">
        <f>IF(Quotes!A41="","",Quotes!U41&amp;" | "&amp;Quotes!Z41)</f>
        <v/>
      </c>
      <c r="E50" s="39"/>
      <c r="F50" s="39"/>
      <c r="G50" s="39"/>
      <c r="H50" s="39"/>
      <c r="I50" s="39"/>
      <c r="J50" s="39"/>
      <c r="K50" s="39"/>
      <c r="L50" s="39"/>
      <c r="M50" s="77" t="str">
        <f>IF(Quotes!A41="","",IF(Quotes!F41="","",Quotes!F41))</f>
        <v/>
      </c>
      <c r="N50" s="39"/>
      <c r="O50" s="39"/>
      <c r="P50" s="76" t="str">
        <f>IF(Quotes!A41="","",IF(Quotes!AB41="","",Quotes!AB41))</f>
        <v/>
      </c>
      <c r="Q50" s="39"/>
      <c r="R50" s="39"/>
      <c r="S50" s="76" t="str">
        <f>IF(Quotes!A41="","",IF(Quotes!AD41="","",Quotes!AD41))</f>
        <v/>
      </c>
      <c r="T50" s="39"/>
      <c r="U50" s="76" t="str">
        <f>IF(Quotes!A41="","",IF(Quotes!AF41="","",Quotes!AF41))</f>
        <v/>
      </c>
      <c r="V50" s="39"/>
    </row>
    <row r="51" spans="1:22" ht="42" hidden="1" customHeight="1" x14ac:dyDescent="0.35">
      <c r="A51" s="78" t="str">
        <f>IF(Quotes!A42="","",HYPERLINK("#'Quotes'!A42",Quotes!A42))</f>
        <v/>
      </c>
      <c r="B51" s="39"/>
      <c r="C51" s="39"/>
      <c r="D51" s="40" t="str">
        <f>IF(Quotes!A42="","",Quotes!U42&amp;" | "&amp;Quotes!Z42)</f>
        <v/>
      </c>
      <c r="E51" s="39"/>
      <c r="F51" s="39"/>
      <c r="G51" s="39"/>
      <c r="H51" s="39"/>
      <c r="I51" s="39"/>
      <c r="J51" s="39"/>
      <c r="K51" s="39"/>
      <c r="L51" s="39"/>
      <c r="M51" s="77" t="str">
        <f>IF(Quotes!A42="","",IF(Quotes!F42="","",Quotes!F42))</f>
        <v/>
      </c>
      <c r="N51" s="39"/>
      <c r="O51" s="39"/>
      <c r="P51" s="76" t="str">
        <f>IF(Quotes!A42="","",IF(Quotes!AB42="","",Quotes!AB42))</f>
        <v/>
      </c>
      <c r="Q51" s="39"/>
      <c r="R51" s="39"/>
      <c r="S51" s="76" t="str">
        <f>IF(Quotes!A42="","",IF(Quotes!AD42="","",Quotes!AD42))</f>
        <v/>
      </c>
      <c r="T51" s="39"/>
      <c r="U51" s="76" t="str">
        <f>IF(Quotes!A42="","",IF(Quotes!AF42="","",Quotes!AF42))</f>
        <v/>
      </c>
      <c r="V51" s="39"/>
    </row>
    <row r="52" spans="1:22" ht="42" hidden="1" customHeight="1" x14ac:dyDescent="0.35">
      <c r="A52" s="78" t="str">
        <f>IF(Quotes!A43="","",HYPERLINK("#'Quotes'!A43",Quotes!A43))</f>
        <v/>
      </c>
      <c r="B52" s="39"/>
      <c r="C52" s="39"/>
      <c r="D52" s="40" t="str">
        <f>IF(Quotes!A43="","",Quotes!U43&amp;" | "&amp;Quotes!Z43)</f>
        <v/>
      </c>
      <c r="E52" s="39"/>
      <c r="F52" s="39"/>
      <c r="G52" s="39"/>
      <c r="H52" s="39"/>
      <c r="I52" s="39"/>
      <c r="J52" s="39"/>
      <c r="K52" s="39"/>
      <c r="L52" s="39"/>
      <c r="M52" s="77" t="str">
        <f>IF(Quotes!A43="","",IF(Quotes!F43="","",Quotes!F43))</f>
        <v/>
      </c>
      <c r="N52" s="39"/>
      <c r="O52" s="39"/>
      <c r="P52" s="76" t="str">
        <f>IF(Quotes!A43="","",IF(Quotes!AB43="","",Quotes!AB43))</f>
        <v/>
      </c>
      <c r="Q52" s="39"/>
      <c r="R52" s="39"/>
      <c r="S52" s="76" t="str">
        <f>IF(Quotes!A43="","",IF(Quotes!AD43="","",Quotes!AD43))</f>
        <v/>
      </c>
      <c r="T52" s="39"/>
      <c r="U52" s="76" t="str">
        <f>IF(Quotes!A43="","",IF(Quotes!AF43="","",Quotes!AF43))</f>
        <v/>
      </c>
      <c r="V52" s="39"/>
    </row>
    <row r="53" spans="1:22" ht="42" hidden="1" customHeight="1" x14ac:dyDescent="0.35">
      <c r="A53" s="78" t="str">
        <f>IF(Quotes!A44="","",HYPERLINK("#'Quotes'!A44",Quotes!A44))</f>
        <v/>
      </c>
      <c r="B53" s="39"/>
      <c r="C53" s="39"/>
      <c r="D53" s="40" t="str">
        <f>IF(Quotes!A44="","",Quotes!U44&amp;" | "&amp;Quotes!Z44)</f>
        <v/>
      </c>
      <c r="E53" s="39"/>
      <c r="F53" s="39"/>
      <c r="G53" s="39"/>
      <c r="H53" s="39"/>
      <c r="I53" s="39"/>
      <c r="J53" s="39"/>
      <c r="K53" s="39"/>
      <c r="L53" s="39"/>
      <c r="M53" s="77" t="str">
        <f>IF(Quotes!A44="","",IF(Quotes!F44="","",Quotes!F44))</f>
        <v/>
      </c>
      <c r="N53" s="39"/>
      <c r="O53" s="39"/>
      <c r="P53" s="76" t="str">
        <f>IF(Quotes!A44="","",IF(Quotes!AB44="","",Quotes!AB44))</f>
        <v/>
      </c>
      <c r="Q53" s="39"/>
      <c r="R53" s="39"/>
      <c r="S53" s="76" t="str">
        <f>IF(Quotes!A44="","",IF(Quotes!AD44="","",Quotes!AD44))</f>
        <v/>
      </c>
      <c r="T53" s="39"/>
      <c r="U53" s="76" t="str">
        <f>IF(Quotes!A44="","",IF(Quotes!AF44="","",Quotes!AF44))</f>
        <v/>
      </c>
      <c r="V53" s="39"/>
    </row>
    <row r="54" spans="1:22" ht="42" hidden="1" customHeight="1" x14ac:dyDescent="0.35">
      <c r="A54" s="78" t="str">
        <f>IF(Quotes!A45="","",HYPERLINK("#'Quotes'!A45",Quotes!A45))</f>
        <v/>
      </c>
      <c r="B54" s="39"/>
      <c r="C54" s="39"/>
      <c r="D54" s="40" t="str">
        <f>IF(Quotes!A45="","",Quotes!U45&amp;" | "&amp;Quotes!Z45)</f>
        <v/>
      </c>
      <c r="E54" s="39"/>
      <c r="F54" s="39"/>
      <c r="G54" s="39"/>
      <c r="H54" s="39"/>
      <c r="I54" s="39"/>
      <c r="J54" s="39"/>
      <c r="K54" s="39"/>
      <c r="L54" s="39"/>
      <c r="M54" s="77" t="str">
        <f>IF(Quotes!A45="","",IF(Quotes!F45="","",Quotes!F45))</f>
        <v/>
      </c>
      <c r="N54" s="39"/>
      <c r="O54" s="39"/>
      <c r="P54" s="76" t="str">
        <f>IF(Quotes!A45="","",IF(Quotes!AB45="","",Quotes!AB45))</f>
        <v/>
      </c>
      <c r="Q54" s="39"/>
      <c r="R54" s="39"/>
      <c r="S54" s="76" t="str">
        <f>IF(Quotes!A45="","",IF(Quotes!AD45="","",Quotes!AD45))</f>
        <v/>
      </c>
      <c r="T54" s="39"/>
      <c r="U54" s="76" t="str">
        <f>IF(Quotes!A45="","",IF(Quotes!AF45="","",Quotes!AF45))</f>
        <v/>
      </c>
      <c r="V54" s="39"/>
    </row>
    <row r="55" spans="1:22" ht="42" hidden="1" customHeight="1" x14ac:dyDescent="0.35">
      <c r="A55" s="78" t="str">
        <f>IF(Quotes!A46="","",HYPERLINK("#'Quotes'!A46",Quotes!A46))</f>
        <v/>
      </c>
      <c r="B55" s="39"/>
      <c r="C55" s="39"/>
      <c r="D55" s="40" t="str">
        <f>IF(Quotes!A46="","",Quotes!U46&amp;" | "&amp;Quotes!Z46)</f>
        <v/>
      </c>
      <c r="E55" s="39"/>
      <c r="F55" s="39"/>
      <c r="G55" s="39"/>
      <c r="H55" s="39"/>
      <c r="I55" s="39"/>
      <c r="J55" s="39"/>
      <c r="K55" s="39"/>
      <c r="L55" s="39"/>
      <c r="M55" s="77" t="str">
        <f>IF(Quotes!A46="","",IF(Quotes!F46="","",Quotes!F46))</f>
        <v/>
      </c>
      <c r="N55" s="39"/>
      <c r="O55" s="39"/>
      <c r="P55" s="76" t="str">
        <f>IF(Quotes!A46="","",IF(Quotes!AB46="","",Quotes!AB46))</f>
        <v/>
      </c>
      <c r="Q55" s="39"/>
      <c r="R55" s="39"/>
      <c r="S55" s="76" t="str">
        <f>IF(Quotes!A46="","",IF(Quotes!AD46="","",Quotes!AD46))</f>
        <v/>
      </c>
      <c r="T55" s="39"/>
      <c r="U55" s="76" t="str">
        <f>IF(Quotes!A46="","",IF(Quotes!AF46="","",Quotes!AF46))</f>
        <v/>
      </c>
      <c r="V55" s="39"/>
    </row>
    <row r="56" spans="1:22" ht="42" hidden="1" customHeight="1" x14ac:dyDescent="0.35">
      <c r="A56" s="78" t="str">
        <f>IF(Quotes!A47="","",HYPERLINK("#'Quotes'!A47",Quotes!A47))</f>
        <v/>
      </c>
      <c r="B56" s="39"/>
      <c r="C56" s="39"/>
      <c r="D56" s="40" t="str">
        <f>IF(Quotes!A47="","",Quotes!U47&amp;" | "&amp;Quotes!Z47)</f>
        <v/>
      </c>
      <c r="E56" s="39"/>
      <c r="F56" s="39"/>
      <c r="G56" s="39"/>
      <c r="H56" s="39"/>
      <c r="I56" s="39"/>
      <c r="J56" s="39"/>
      <c r="K56" s="39"/>
      <c r="L56" s="39"/>
      <c r="M56" s="77" t="str">
        <f>IF(Quotes!A47="","",IF(Quotes!F47="","",Quotes!F47))</f>
        <v/>
      </c>
      <c r="N56" s="39"/>
      <c r="O56" s="39"/>
      <c r="P56" s="76" t="str">
        <f>IF(Quotes!A47="","",IF(Quotes!AB47="","",Quotes!AB47))</f>
        <v/>
      </c>
      <c r="Q56" s="39"/>
      <c r="R56" s="39"/>
      <c r="S56" s="76" t="str">
        <f>IF(Quotes!A47="","",IF(Quotes!AD47="","",Quotes!AD47))</f>
        <v/>
      </c>
      <c r="T56" s="39"/>
      <c r="U56" s="76" t="str">
        <f>IF(Quotes!A47="","",IF(Quotes!AF47="","",Quotes!AF47))</f>
        <v/>
      </c>
      <c r="V56" s="39"/>
    </row>
    <row r="57" spans="1:22" ht="42" hidden="1" customHeight="1" x14ac:dyDescent="0.35">
      <c r="A57" s="78" t="str">
        <f>IF(Quotes!A48="","",HYPERLINK("#'Quotes'!A48",Quotes!A48))</f>
        <v/>
      </c>
      <c r="B57" s="39"/>
      <c r="C57" s="39"/>
      <c r="D57" s="40" t="str">
        <f>IF(Quotes!A48="","",Quotes!U48&amp;" | "&amp;Quotes!Z48)</f>
        <v/>
      </c>
      <c r="E57" s="39"/>
      <c r="F57" s="39"/>
      <c r="G57" s="39"/>
      <c r="H57" s="39"/>
      <c r="I57" s="39"/>
      <c r="J57" s="39"/>
      <c r="K57" s="39"/>
      <c r="L57" s="39"/>
      <c r="M57" s="77" t="str">
        <f>IF(Quotes!A48="","",IF(Quotes!F48="","",Quotes!F48))</f>
        <v/>
      </c>
      <c r="N57" s="39"/>
      <c r="O57" s="39"/>
      <c r="P57" s="76" t="str">
        <f>IF(Quotes!A48="","",IF(Quotes!AB48="","",Quotes!AB48))</f>
        <v/>
      </c>
      <c r="Q57" s="39"/>
      <c r="R57" s="39"/>
      <c r="S57" s="76" t="str">
        <f>IF(Quotes!A48="","",IF(Quotes!AD48="","",Quotes!AD48))</f>
        <v/>
      </c>
      <c r="T57" s="39"/>
      <c r="U57" s="76" t="str">
        <f>IF(Quotes!A48="","",IF(Quotes!AF48="","",Quotes!AF48))</f>
        <v/>
      </c>
      <c r="V57" s="39"/>
    </row>
    <row r="58" spans="1:22" ht="42" hidden="1" customHeight="1" x14ac:dyDescent="0.35">
      <c r="A58" s="78" t="str">
        <f>IF(Quotes!A49="","",HYPERLINK("#'Quotes'!A49",Quotes!A49))</f>
        <v/>
      </c>
      <c r="B58" s="39"/>
      <c r="C58" s="39"/>
      <c r="D58" s="40" t="str">
        <f>IF(Quotes!A49="","",Quotes!U49&amp;" | "&amp;Quotes!Z49)</f>
        <v/>
      </c>
      <c r="E58" s="39"/>
      <c r="F58" s="39"/>
      <c r="G58" s="39"/>
      <c r="H58" s="39"/>
      <c r="I58" s="39"/>
      <c r="J58" s="39"/>
      <c r="K58" s="39"/>
      <c r="L58" s="39"/>
      <c r="M58" s="77" t="str">
        <f>IF(Quotes!A49="","",IF(Quotes!F49="","",Quotes!F49))</f>
        <v/>
      </c>
      <c r="N58" s="39"/>
      <c r="O58" s="39"/>
      <c r="P58" s="76" t="str">
        <f>IF(Quotes!A49="","",IF(Quotes!AB49="","",Quotes!AB49))</f>
        <v/>
      </c>
      <c r="Q58" s="39"/>
      <c r="R58" s="39"/>
      <c r="S58" s="76" t="str">
        <f>IF(Quotes!A49="","",IF(Quotes!AD49="","",Quotes!AD49))</f>
        <v/>
      </c>
      <c r="T58" s="39"/>
      <c r="U58" s="76" t="str">
        <f>IF(Quotes!A49="","",IF(Quotes!AF49="","",Quotes!AF49))</f>
        <v/>
      </c>
      <c r="V58" s="39"/>
    </row>
    <row r="59" spans="1:22" ht="42" hidden="1" customHeight="1" x14ac:dyDescent="0.35">
      <c r="A59" s="78" t="str">
        <f>IF(Quotes!A50="","",HYPERLINK("#'Quotes'!A50",Quotes!A50))</f>
        <v/>
      </c>
      <c r="B59" s="39"/>
      <c r="C59" s="39"/>
      <c r="D59" s="40" t="str">
        <f>IF(Quotes!A50="","",Quotes!U50&amp;" | "&amp;Quotes!Z50)</f>
        <v/>
      </c>
      <c r="E59" s="39"/>
      <c r="F59" s="39"/>
      <c r="G59" s="39"/>
      <c r="H59" s="39"/>
      <c r="I59" s="39"/>
      <c r="J59" s="39"/>
      <c r="K59" s="39"/>
      <c r="L59" s="39"/>
      <c r="M59" s="77" t="str">
        <f>IF(Quotes!A50="","",IF(Quotes!F50="","",Quotes!F50))</f>
        <v/>
      </c>
      <c r="N59" s="39"/>
      <c r="O59" s="39"/>
      <c r="P59" s="76" t="str">
        <f>IF(Quotes!A50="","",IF(Quotes!AB50="","",Quotes!AB50))</f>
        <v/>
      </c>
      <c r="Q59" s="39"/>
      <c r="R59" s="39"/>
      <c r="S59" s="76" t="str">
        <f>IF(Quotes!A50="","",IF(Quotes!AD50="","",Quotes!AD50))</f>
        <v/>
      </c>
      <c r="T59" s="39"/>
      <c r="U59" s="76" t="str">
        <f>IF(Quotes!A50="","",IF(Quotes!AF50="","",Quotes!AF50))</f>
        <v/>
      </c>
      <c r="V59" s="39"/>
    </row>
    <row r="60" spans="1:22" ht="42" hidden="1" customHeight="1" x14ac:dyDescent="0.35">
      <c r="A60" s="78" t="str">
        <f>IF(Quotes!A51="","",HYPERLINK("#'Quotes'!A51",Quotes!A51))</f>
        <v/>
      </c>
      <c r="B60" s="39"/>
      <c r="C60" s="39"/>
      <c r="D60" s="40" t="str">
        <f>IF(Quotes!A51="","",Quotes!U51&amp;" | "&amp;Quotes!Z51)</f>
        <v/>
      </c>
      <c r="E60" s="39"/>
      <c r="F60" s="39"/>
      <c r="G60" s="39"/>
      <c r="H60" s="39"/>
      <c r="I60" s="39"/>
      <c r="J60" s="39"/>
      <c r="K60" s="39"/>
      <c r="L60" s="39"/>
      <c r="M60" s="77" t="str">
        <f>IF(Quotes!A51="","",IF(Quotes!F51="","",Quotes!F51))</f>
        <v/>
      </c>
      <c r="N60" s="39"/>
      <c r="O60" s="39"/>
      <c r="P60" s="76" t="str">
        <f>IF(Quotes!A51="","",IF(Quotes!AB51="","",Quotes!AB51))</f>
        <v/>
      </c>
      <c r="Q60" s="39"/>
      <c r="R60" s="39"/>
      <c r="S60" s="76" t="str">
        <f>IF(Quotes!A51="","",IF(Quotes!AD51="","",Quotes!AD51))</f>
        <v/>
      </c>
      <c r="T60" s="39"/>
      <c r="U60" s="76" t="str">
        <f>IF(Quotes!A51="","",IF(Quotes!AF51="","",Quotes!AF51))</f>
        <v/>
      </c>
      <c r="V60" s="39"/>
    </row>
    <row r="61" spans="1:22" ht="42" hidden="1" customHeight="1" x14ac:dyDescent="0.35">
      <c r="A61" s="78" t="str">
        <f>IF(Quotes!A52="","",HYPERLINK("#'Quotes'!A52",Quotes!A52))</f>
        <v/>
      </c>
      <c r="B61" s="39"/>
      <c r="C61" s="39"/>
      <c r="D61" s="40" t="str">
        <f>IF(Quotes!A52="","",Quotes!U52&amp;" | "&amp;Quotes!Z52)</f>
        <v/>
      </c>
      <c r="E61" s="39"/>
      <c r="F61" s="39"/>
      <c r="G61" s="39"/>
      <c r="H61" s="39"/>
      <c r="I61" s="39"/>
      <c r="J61" s="39"/>
      <c r="K61" s="39"/>
      <c r="L61" s="39"/>
      <c r="M61" s="77" t="str">
        <f>IF(Quotes!A52="","",IF(Quotes!F52="","",Quotes!F52))</f>
        <v/>
      </c>
      <c r="N61" s="39"/>
      <c r="O61" s="39"/>
      <c r="P61" s="76" t="str">
        <f>IF(Quotes!A52="","",IF(Quotes!AB52="","",Quotes!AB52))</f>
        <v/>
      </c>
      <c r="Q61" s="39"/>
      <c r="R61" s="39"/>
      <c r="S61" s="76" t="str">
        <f>IF(Quotes!A52="","",IF(Quotes!AD52="","",Quotes!AD52))</f>
        <v/>
      </c>
      <c r="T61" s="39"/>
      <c r="U61" s="76" t="str">
        <f>IF(Quotes!A52="","",IF(Quotes!AF52="","",Quotes!AF52))</f>
        <v/>
      </c>
      <c r="V61" s="39"/>
    </row>
    <row r="62" spans="1:22" ht="42" hidden="1" customHeight="1" x14ac:dyDescent="0.35">
      <c r="A62" s="78" t="str">
        <f>IF(Quotes!A53="","",HYPERLINK("#'Quotes'!A53",Quotes!A53))</f>
        <v/>
      </c>
      <c r="B62" s="39"/>
      <c r="C62" s="39"/>
      <c r="D62" s="40" t="str">
        <f>IF(Quotes!A53="","",Quotes!U53&amp;" | "&amp;Quotes!Z53)</f>
        <v/>
      </c>
      <c r="E62" s="39"/>
      <c r="F62" s="39"/>
      <c r="G62" s="39"/>
      <c r="H62" s="39"/>
      <c r="I62" s="39"/>
      <c r="J62" s="39"/>
      <c r="K62" s="39"/>
      <c r="L62" s="39"/>
      <c r="M62" s="77" t="str">
        <f>IF(Quotes!A53="","",IF(Quotes!F53="","",Quotes!F53))</f>
        <v/>
      </c>
      <c r="N62" s="39"/>
      <c r="O62" s="39"/>
      <c r="P62" s="76" t="str">
        <f>IF(Quotes!A53="","",IF(Quotes!AB53="","",Quotes!AB53))</f>
        <v/>
      </c>
      <c r="Q62" s="39"/>
      <c r="R62" s="39"/>
      <c r="S62" s="76" t="str">
        <f>IF(Quotes!A53="","",IF(Quotes!AD53="","",Quotes!AD53))</f>
        <v/>
      </c>
      <c r="T62" s="39"/>
      <c r="U62" s="76" t="str">
        <f>IF(Quotes!A53="","",IF(Quotes!AF53="","",Quotes!AF53))</f>
        <v/>
      </c>
      <c r="V62" s="39"/>
    </row>
    <row r="63" spans="1:22" ht="42" hidden="1" customHeight="1" x14ac:dyDescent="0.35">
      <c r="A63" s="78" t="str">
        <f>IF(Quotes!A54="","",HYPERLINK("#'Quotes'!A54",Quotes!A54))</f>
        <v/>
      </c>
      <c r="B63" s="39"/>
      <c r="C63" s="39"/>
      <c r="D63" s="40" t="str">
        <f>IF(Quotes!A54="","",Quotes!U54&amp;" | "&amp;Quotes!Z54)</f>
        <v/>
      </c>
      <c r="E63" s="39"/>
      <c r="F63" s="39"/>
      <c r="G63" s="39"/>
      <c r="H63" s="39"/>
      <c r="I63" s="39"/>
      <c r="J63" s="39"/>
      <c r="K63" s="39"/>
      <c r="L63" s="39"/>
      <c r="M63" s="77" t="str">
        <f>IF(Quotes!A54="","",IF(Quotes!F54="","",Quotes!F54))</f>
        <v/>
      </c>
      <c r="N63" s="39"/>
      <c r="O63" s="39"/>
      <c r="P63" s="76" t="str">
        <f>IF(Quotes!A54="","",IF(Quotes!AB54="","",Quotes!AB54))</f>
        <v/>
      </c>
      <c r="Q63" s="39"/>
      <c r="R63" s="39"/>
      <c r="S63" s="76" t="str">
        <f>IF(Quotes!A54="","",IF(Quotes!AD54="","",Quotes!AD54))</f>
        <v/>
      </c>
      <c r="T63" s="39"/>
      <c r="U63" s="76" t="str">
        <f>IF(Quotes!A54="","",IF(Quotes!AF54="","",Quotes!AF54))</f>
        <v/>
      </c>
      <c r="V63" s="39"/>
    </row>
    <row r="64" spans="1:22" ht="42" hidden="1" customHeight="1" x14ac:dyDescent="0.35">
      <c r="A64" s="78" t="str">
        <f>IF(Quotes!A55="","",HYPERLINK("#'Quotes'!A55",Quotes!A55))</f>
        <v/>
      </c>
      <c r="B64" s="39"/>
      <c r="C64" s="39"/>
      <c r="D64" s="40" t="str">
        <f>IF(Quotes!A55="","",Quotes!U55&amp;" | "&amp;Quotes!Z55)</f>
        <v/>
      </c>
      <c r="E64" s="39"/>
      <c r="F64" s="39"/>
      <c r="G64" s="39"/>
      <c r="H64" s="39"/>
      <c r="I64" s="39"/>
      <c r="J64" s="39"/>
      <c r="K64" s="39"/>
      <c r="L64" s="39"/>
      <c r="M64" s="77" t="str">
        <f>IF(Quotes!A55="","",IF(Quotes!F55="","",Quotes!F55))</f>
        <v/>
      </c>
      <c r="N64" s="39"/>
      <c r="O64" s="39"/>
      <c r="P64" s="76" t="str">
        <f>IF(Quotes!A55="","",IF(Quotes!AB55="","",Quotes!AB55))</f>
        <v/>
      </c>
      <c r="Q64" s="39"/>
      <c r="R64" s="39"/>
      <c r="S64" s="76" t="str">
        <f>IF(Quotes!A55="","",IF(Quotes!AD55="","",Quotes!AD55))</f>
        <v/>
      </c>
      <c r="T64" s="39"/>
      <c r="U64" s="76" t="str">
        <f>IF(Quotes!A55="","",IF(Quotes!AF55="","",Quotes!AF55))</f>
        <v/>
      </c>
      <c r="V64" s="39"/>
    </row>
    <row r="65" spans="1:22" ht="42" hidden="1" customHeight="1" x14ac:dyDescent="0.35">
      <c r="A65" s="78" t="str">
        <f>IF(Quotes!A56="","",HYPERLINK("#'Quotes'!A56",Quotes!A56))</f>
        <v/>
      </c>
      <c r="B65" s="39"/>
      <c r="C65" s="39"/>
      <c r="D65" s="40" t="str">
        <f>IF(Quotes!A56="","",Quotes!U56&amp;" | "&amp;Quotes!Z56)</f>
        <v/>
      </c>
      <c r="E65" s="39"/>
      <c r="F65" s="39"/>
      <c r="G65" s="39"/>
      <c r="H65" s="39"/>
      <c r="I65" s="39"/>
      <c r="J65" s="39"/>
      <c r="K65" s="39"/>
      <c r="L65" s="39"/>
      <c r="M65" s="77" t="str">
        <f>IF(Quotes!A56="","",IF(Quotes!F56="","",Quotes!F56))</f>
        <v/>
      </c>
      <c r="N65" s="39"/>
      <c r="O65" s="39"/>
      <c r="P65" s="76" t="str">
        <f>IF(Quotes!A56="","",IF(Quotes!AB56="","",Quotes!AB56))</f>
        <v/>
      </c>
      <c r="Q65" s="39"/>
      <c r="R65" s="39"/>
      <c r="S65" s="76" t="str">
        <f>IF(Quotes!A56="","",IF(Quotes!AD56="","",Quotes!AD56))</f>
        <v/>
      </c>
      <c r="T65" s="39"/>
      <c r="U65" s="76" t="str">
        <f>IF(Quotes!A56="","",IF(Quotes!AF56="","",Quotes!AF56))</f>
        <v/>
      </c>
      <c r="V65" s="39"/>
    </row>
    <row r="66" spans="1:22" ht="42" hidden="1" customHeight="1" x14ac:dyDescent="0.35">
      <c r="A66" s="78" t="str">
        <f>IF(Quotes!A57="","",HYPERLINK("#'Quotes'!A57",Quotes!A57))</f>
        <v/>
      </c>
      <c r="B66" s="39"/>
      <c r="C66" s="39"/>
      <c r="D66" s="40" t="str">
        <f>IF(Quotes!A57="","",Quotes!U57&amp;" | "&amp;Quotes!Z57)</f>
        <v/>
      </c>
      <c r="E66" s="39"/>
      <c r="F66" s="39"/>
      <c r="G66" s="39"/>
      <c r="H66" s="39"/>
      <c r="I66" s="39"/>
      <c r="J66" s="39"/>
      <c r="K66" s="39"/>
      <c r="L66" s="39"/>
      <c r="M66" s="77" t="str">
        <f>IF(Quotes!A57="","",IF(Quotes!F57="","",Quotes!F57))</f>
        <v/>
      </c>
      <c r="N66" s="39"/>
      <c r="O66" s="39"/>
      <c r="P66" s="76" t="str">
        <f>IF(Quotes!A57="","",IF(Quotes!AB57="","",Quotes!AB57))</f>
        <v/>
      </c>
      <c r="Q66" s="39"/>
      <c r="R66" s="39"/>
      <c r="S66" s="76" t="str">
        <f>IF(Quotes!A57="","",IF(Quotes!AD57="","",Quotes!AD57))</f>
        <v/>
      </c>
      <c r="T66" s="39"/>
      <c r="U66" s="76" t="str">
        <f>IF(Quotes!A57="","",IF(Quotes!AF57="","",Quotes!AF57))</f>
        <v/>
      </c>
      <c r="V66" s="39"/>
    </row>
    <row r="67" spans="1:22" ht="42" hidden="1" customHeight="1" x14ac:dyDescent="0.35">
      <c r="A67" s="78" t="str">
        <f>IF(Quotes!A58="","",HYPERLINK("#'Quotes'!A58",Quotes!A58))</f>
        <v/>
      </c>
      <c r="B67" s="39"/>
      <c r="C67" s="39"/>
      <c r="D67" s="40" t="str">
        <f>IF(Quotes!A58="","",Quotes!U58&amp;" | "&amp;Quotes!Z58)</f>
        <v/>
      </c>
      <c r="E67" s="39"/>
      <c r="F67" s="39"/>
      <c r="G67" s="39"/>
      <c r="H67" s="39"/>
      <c r="I67" s="39"/>
      <c r="J67" s="39"/>
      <c r="K67" s="39"/>
      <c r="L67" s="39"/>
      <c r="M67" s="77" t="str">
        <f>IF(Quotes!A58="","",IF(Quotes!F58="","",Quotes!F58))</f>
        <v/>
      </c>
      <c r="N67" s="39"/>
      <c r="O67" s="39"/>
      <c r="P67" s="76" t="str">
        <f>IF(Quotes!A58="","",IF(Quotes!AB58="","",Quotes!AB58))</f>
        <v/>
      </c>
      <c r="Q67" s="39"/>
      <c r="R67" s="39"/>
      <c r="S67" s="76" t="str">
        <f>IF(Quotes!A58="","",IF(Quotes!AD58="","",Quotes!AD58))</f>
        <v/>
      </c>
      <c r="T67" s="39"/>
      <c r="U67" s="76" t="str">
        <f>IF(Quotes!A58="","",IF(Quotes!AF58="","",Quotes!AF58))</f>
        <v/>
      </c>
      <c r="V67" s="39"/>
    </row>
    <row r="68" spans="1:22" ht="42" hidden="1" customHeight="1" x14ac:dyDescent="0.35">
      <c r="A68" s="78" t="str">
        <f>IF(Quotes!A59="","",HYPERLINK("#'Quotes'!A59",Quotes!A59))</f>
        <v/>
      </c>
      <c r="B68" s="39"/>
      <c r="C68" s="39"/>
      <c r="D68" s="40" t="str">
        <f>IF(Quotes!A59="","",Quotes!U59&amp;" | "&amp;Quotes!Z59)</f>
        <v/>
      </c>
      <c r="E68" s="39"/>
      <c r="F68" s="39"/>
      <c r="G68" s="39"/>
      <c r="H68" s="39"/>
      <c r="I68" s="39"/>
      <c r="J68" s="39"/>
      <c r="K68" s="39"/>
      <c r="L68" s="39"/>
      <c r="M68" s="77" t="str">
        <f>IF(Quotes!A59="","",IF(Quotes!F59="","",Quotes!F59))</f>
        <v/>
      </c>
      <c r="N68" s="39"/>
      <c r="O68" s="39"/>
      <c r="P68" s="76" t="str">
        <f>IF(Quotes!A59="","",IF(Quotes!AB59="","",Quotes!AB59))</f>
        <v/>
      </c>
      <c r="Q68" s="39"/>
      <c r="R68" s="39"/>
      <c r="S68" s="76" t="str">
        <f>IF(Quotes!A59="","",IF(Quotes!AD59="","",Quotes!AD59))</f>
        <v/>
      </c>
      <c r="T68" s="39"/>
      <c r="U68" s="76" t="str">
        <f>IF(Quotes!A59="","",IF(Quotes!AF59="","",Quotes!AF59))</f>
        <v/>
      </c>
      <c r="V68" s="39"/>
    </row>
    <row r="69" spans="1:22" ht="42" hidden="1" customHeight="1" x14ac:dyDescent="0.35">
      <c r="A69" s="78" t="str">
        <f>IF(Quotes!A60="","",HYPERLINK("#'Quotes'!A60",Quotes!A60))</f>
        <v/>
      </c>
      <c r="B69" s="39"/>
      <c r="C69" s="39"/>
      <c r="D69" s="40" t="str">
        <f>IF(Quotes!A60="","",Quotes!U60&amp;" | "&amp;Quotes!Z60)</f>
        <v/>
      </c>
      <c r="E69" s="39"/>
      <c r="F69" s="39"/>
      <c r="G69" s="39"/>
      <c r="H69" s="39"/>
      <c r="I69" s="39"/>
      <c r="J69" s="39"/>
      <c r="K69" s="39"/>
      <c r="L69" s="39"/>
      <c r="M69" s="77" t="str">
        <f>IF(Quotes!A60="","",IF(Quotes!F60="","",Quotes!F60))</f>
        <v/>
      </c>
      <c r="N69" s="39"/>
      <c r="O69" s="39"/>
      <c r="P69" s="76" t="str">
        <f>IF(Quotes!A60="","",IF(Quotes!AB60="","",Quotes!AB60))</f>
        <v/>
      </c>
      <c r="Q69" s="39"/>
      <c r="R69" s="39"/>
      <c r="S69" s="76" t="str">
        <f>IF(Quotes!A60="","",IF(Quotes!AD60="","",Quotes!AD60))</f>
        <v/>
      </c>
      <c r="T69" s="39"/>
      <c r="U69" s="76" t="str">
        <f>IF(Quotes!A60="","",IF(Quotes!AF60="","",Quotes!AF60))</f>
        <v/>
      </c>
      <c r="V69" s="39"/>
    </row>
    <row r="70" spans="1:22" ht="42" hidden="1" customHeight="1" x14ac:dyDescent="0.35">
      <c r="A70" s="78" t="str">
        <f>IF(Quotes!A61="","",HYPERLINK("#'Quotes'!A61",Quotes!A61))</f>
        <v/>
      </c>
      <c r="B70" s="39"/>
      <c r="C70" s="39"/>
      <c r="D70" s="40" t="str">
        <f>IF(Quotes!A61="","",Quotes!U61&amp;" | "&amp;Quotes!Z61)</f>
        <v/>
      </c>
      <c r="E70" s="39"/>
      <c r="F70" s="39"/>
      <c r="G70" s="39"/>
      <c r="H70" s="39"/>
      <c r="I70" s="39"/>
      <c r="J70" s="39"/>
      <c r="K70" s="39"/>
      <c r="L70" s="39"/>
      <c r="M70" s="77" t="str">
        <f>IF(Quotes!A61="","",IF(Quotes!F61="","",Quotes!F61))</f>
        <v/>
      </c>
      <c r="N70" s="39"/>
      <c r="O70" s="39"/>
      <c r="P70" s="76" t="str">
        <f>IF(Quotes!A61="","",IF(Quotes!AB61="","",Quotes!AB61))</f>
        <v/>
      </c>
      <c r="Q70" s="39"/>
      <c r="R70" s="39"/>
      <c r="S70" s="76" t="str">
        <f>IF(Quotes!A61="","",IF(Quotes!AD61="","",Quotes!AD61))</f>
        <v/>
      </c>
      <c r="T70" s="39"/>
      <c r="U70" s="76" t="str">
        <f>IF(Quotes!A61="","",IF(Quotes!AF61="","",Quotes!AF61))</f>
        <v/>
      </c>
      <c r="V70" s="39"/>
    </row>
    <row r="71" spans="1:22" ht="42" hidden="1" customHeight="1" x14ac:dyDescent="0.35">
      <c r="A71" s="78" t="str">
        <f>IF(Quotes!A62="","",HYPERLINK("#'Quotes'!A62",Quotes!A62))</f>
        <v/>
      </c>
      <c r="B71" s="39"/>
      <c r="C71" s="39"/>
      <c r="D71" s="40" t="str">
        <f>IF(Quotes!A62="","",Quotes!U62&amp;" | "&amp;Quotes!Z62)</f>
        <v/>
      </c>
      <c r="E71" s="39"/>
      <c r="F71" s="39"/>
      <c r="G71" s="39"/>
      <c r="H71" s="39"/>
      <c r="I71" s="39"/>
      <c r="J71" s="39"/>
      <c r="K71" s="39"/>
      <c r="L71" s="39"/>
      <c r="M71" s="77" t="str">
        <f>IF(Quotes!A62="","",IF(Quotes!F62="","",Quotes!F62))</f>
        <v/>
      </c>
      <c r="N71" s="39"/>
      <c r="O71" s="39"/>
      <c r="P71" s="76" t="str">
        <f>IF(Quotes!A62="","",IF(Quotes!AB62="","",Quotes!AB62))</f>
        <v/>
      </c>
      <c r="Q71" s="39"/>
      <c r="R71" s="39"/>
      <c r="S71" s="76" t="str">
        <f>IF(Quotes!A62="","",IF(Quotes!AD62="","",Quotes!AD62))</f>
        <v/>
      </c>
      <c r="T71" s="39"/>
      <c r="U71" s="76" t="str">
        <f>IF(Quotes!A62="","",IF(Quotes!AF62="","",Quotes!AF62))</f>
        <v/>
      </c>
      <c r="V71" s="39"/>
    </row>
    <row r="72" spans="1:22" ht="42" hidden="1" customHeight="1" x14ac:dyDescent="0.35">
      <c r="A72" s="78" t="str">
        <f>IF(Quotes!A63="","",HYPERLINK("#'Quotes'!A63",Quotes!A63))</f>
        <v/>
      </c>
      <c r="B72" s="39"/>
      <c r="C72" s="39"/>
      <c r="D72" s="40" t="str">
        <f>IF(Quotes!A63="","",Quotes!U63&amp;" | "&amp;Quotes!Z63)</f>
        <v/>
      </c>
      <c r="E72" s="39"/>
      <c r="F72" s="39"/>
      <c r="G72" s="39"/>
      <c r="H72" s="39"/>
      <c r="I72" s="39"/>
      <c r="J72" s="39"/>
      <c r="K72" s="39"/>
      <c r="L72" s="39"/>
      <c r="M72" s="77" t="str">
        <f>IF(Quotes!A63="","",IF(Quotes!F63="","",Quotes!F63))</f>
        <v/>
      </c>
      <c r="N72" s="39"/>
      <c r="O72" s="39"/>
      <c r="P72" s="76" t="str">
        <f>IF(Quotes!A63="","",IF(Quotes!AB63="","",Quotes!AB63))</f>
        <v/>
      </c>
      <c r="Q72" s="39"/>
      <c r="R72" s="39"/>
      <c r="S72" s="76" t="str">
        <f>IF(Quotes!A63="","",IF(Quotes!AD63="","",Quotes!AD63))</f>
        <v/>
      </c>
      <c r="T72" s="39"/>
      <c r="U72" s="76" t="str">
        <f>IF(Quotes!A63="","",IF(Quotes!AF63="","",Quotes!AF63))</f>
        <v/>
      </c>
      <c r="V72" s="39"/>
    </row>
    <row r="73" spans="1:22" ht="42" hidden="1" customHeight="1" x14ac:dyDescent="0.35">
      <c r="A73" s="78" t="str">
        <f>IF(Quotes!A64="","",HYPERLINK("#'Quotes'!A64",Quotes!A64))</f>
        <v/>
      </c>
      <c r="B73" s="39"/>
      <c r="C73" s="39"/>
      <c r="D73" s="40" t="str">
        <f>IF(Quotes!A64="","",Quotes!U64&amp;" | "&amp;Quotes!Z64)</f>
        <v/>
      </c>
      <c r="E73" s="39"/>
      <c r="F73" s="39"/>
      <c r="G73" s="39"/>
      <c r="H73" s="39"/>
      <c r="I73" s="39"/>
      <c r="J73" s="39"/>
      <c r="K73" s="39"/>
      <c r="L73" s="39"/>
      <c r="M73" s="77" t="str">
        <f>IF(Quotes!A64="","",IF(Quotes!F64="","",Quotes!F64))</f>
        <v/>
      </c>
      <c r="N73" s="39"/>
      <c r="O73" s="39"/>
      <c r="P73" s="76" t="str">
        <f>IF(Quotes!A64="","",IF(Quotes!AB64="","",Quotes!AB64))</f>
        <v/>
      </c>
      <c r="Q73" s="39"/>
      <c r="R73" s="39"/>
      <c r="S73" s="76" t="str">
        <f>IF(Quotes!A64="","",IF(Quotes!AD64="","",Quotes!AD64))</f>
        <v/>
      </c>
      <c r="T73" s="39"/>
      <c r="U73" s="76" t="str">
        <f>IF(Quotes!A64="","",IF(Quotes!AF64="","",Quotes!AF64))</f>
        <v/>
      </c>
      <c r="V73" s="39"/>
    </row>
    <row r="74" spans="1:22" ht="42" hidden="1" customHeight="1" x14ac:dyDescent="0.35">
      <c r="A74" s="78" t="str">
        <f>IF(Quotes!A65="","",HYPERLINK("#'Quotes'!A65",Quotes!A65))</f>
        <v/>
      </c>
      <c r="B74" s="39"/>
      <c r="C74" s="39"/>
      <c r="D74" s="40" t="str">
        <f>IF(Quotes!A65="","",Quotes!U65&amp;" | "&amp;Quotes!Z65)</f>
        <v/>
      </c>
      <c r="E74" s="39"/>
      <c r="F74" s="39"/>
      <c r="G74" s="39"/>
      <c r="H74" s="39"/>
      <c r="I74" s="39"/>
      <c r="J74" s="39"/>
      <c r="K74" s="39"/>
      <c r="L74" s="39"/>
      <c r="M74" s="77" t="str">
        <f>IF(Quotes!A65="","",IF(Quotes!F65="","",Quotes!F65))</f>
        <v/>
      </c>
      <c r="N74" s="39"/>
      <c r="O74" s="39"/>
      <c r="P74" s="76" t="str">
        <f>IF(Quotes!A65="","",IF(Quotes!AB65="","",Quotes!AB65))</f>
        <v/>
      </c>
      <c r="Q74" s="39"/>
      <c r="R74" s="39"/>
      <c r="S74" s="76" t="str">
        <f>IF(Quotes!A65="","",IF(Quotes!AD65="","",Quotes!AD65))</f>
        <v/>
      </c>
      <c r="T74" s="39"/>
      <c r="U74" s="76" t="str">
        <f>IF(Quotes!A65="","",IF(Quotes!AF65="","",Quotes!AF65))</f>
        <v/>
      </c>
      <c r="V74" s="39"/>
    </row>
    <row r="75" spans="1:22" ht="42" hidden="1" customHeight="1" x14ac:dyDescent="0.35">
      <c r="A75" s="78" t="str">
        <f>IF(Quotes!A66="","",HYPERLINK("#'Quotes'!A66",Quotes!A66))</f>
        <v/>
      </c>
      <c r="B75" s="39"/>
      <c r="C75" s="39"/>
      <c r="D75" s="40" t="str">
        <f>IF(Quotes!A66="","",Quotes!U66&amp;" | "&amp;Quotes!Z66)</f>
        <v/>
      </c>
      <c r="E75" s="39"/>
      <c r="F75" s="39"/>
      <c r="G75" s="39"/>
      <c r="H75" s="39"/>
      <c r="I75" s="39"/>
      <c r="J75" s="39"/>
      <c r="K75" s="39"/>
      <c r="L75" s="39"/>
      <c r="M75" s="77" t="str">
        <f>IF(Quotes!A66="","",IF(Quotes!F66="","",Quotes!F66))</f>
        <v/>
      </c>
      <c r="N75" s="39"/>
      <c r="O75" s="39"/>
      <c r="P75" s="76" t="str">
        <f>IF(Quotes!A66="","",IF(Quotes!AB66="","",Quotes!AB66))</f>
        <v/>
      </c>
      <c r="Q75" s="39"/>
      <c r="R75" s="39"/>
      <c r="S75" s="76" t="str">
        <f>IF(Quotes!A66="","",IF(Quotes!AD66="","",Quotes!AD66))</f>
        <v/>
      </c>
      <c r="T75" s="39"/>
      <c r="U75" s="76" t="str">
        <f>IF(Quotes!A66="","",IF(Quotes!AF66="","",Quotes!AF66))</f>
        <v/>
      </c>
      <c r="V75" s="39"/>
    </row>
    <row r="76" spans="1:22" ht="42" hidden="1" customHeight="1" x14ac:dyDescent="0.35">
      <c r="A76" s="78" t="str">
        <f>IF(Quotes!A67="","",HYPERLINK("#'Quotes'!A67",Quotes!A67))</f>
        <v/>
      </c>
      <c r="B76" s="39"/>
      <c r="C76" s="39"/>
      <c r="D76" s="40" t="str">
        <f>IF(Quotes!A67="","",Quotes!U67&amp;" | "&amp;Quotes!Z67)</f>
        <v/>
      </c>
      <c r="E76" s="39"/>
      <c r="F76" s="39"/>
      <c r="G76" s="39"/>
      <c r="H76" s="39"/>
      <c r="I76" s="39"/>
      <c r="J76" s="39"/>
      <c r="K76" s="39"/>
      <c r="L76" s="39"/>
      <c r="M76" s="77" t="str">
        <f>IF(Quotes!A67="","",IF(Quotes!F67="","",Quotes!F67))</f>
        <v/>
      </c>
      <c r="N76" s="39"/>
      <c r="O76" s="39"/>
      <c r="P76" s="76" t="str">
        <f>IF(Quotes!A67="","",IF(Quotes!AB67="","",Quotes!AB67))</f>
        <v/>
      </c>
      <c r="Q76" s="39"/>
      <c r="R76" s="39"/>
      <c r="S76" s="76" t="str">
        <f>IF(Quotes!A67="","",IF(Quotes!AD67="","",Quotes!AD67))</f>
        <v/>
      </c>
      <c r="T76" s="39"/>
      <c r="U76" s="76" t="str">
        <f>IF(Quotes!A67="","",IF(Quotes!AF67="","",Quotes!AF67))</f>
        <v/>
      </c>
      <c r="V76" s="39"/>
    </row>
    <row r="77" spans="1:22" ht="42" hidden="1" customHeight="1" x14ac:dyDescent="0.35">
      <c r="A77" s="78" t="str">
        <f>IF(Quotes!A68="","",HYPERLINK("#'Quotes'!A68",Quotes!A68))</f>
        <v/>
      </c>
      <c r="B77" s="39"/>
      <c r="C77" s="39"/>
      <c r="D77" s="40" t="str">
        <f>IF(Quotes!A68="","",Quotes!U68&amp;" | "&amp;Quotes!Z68)</f>
        <v/>
      </c>
      <c r="E77" s="39"/>
      <c r="F77" s="39"/>
      <c r="G77" s="39"/>
      <c r="H77" s="39"/>
      <c r="I77" s="39"/>
      <c r="J77" s="39"/>
      <c r="K77" s="39"/>
      <c r="L77" s="39"/>
      <c r="M77" s="77" t="str">
        <f>IF(Quotes!A68="","",IF(Quotes!F68="","",Quotes!F68))</f>
        <v/>
      </c>
      <c r="N77" s="39"/>
      <c r="O77" s="39"/>
      <c r="P77" s="76" t="str">
        <f>IF(Quotes!A68="","",IF(Quotes!AB68="","",Quotes!AB68))</f>
        <v/>
      </c>
      <c r="Q77" s="39"/>
      <c r="R77" s="39"/>
      <c r="S77" s="76" t="str">
        <f>IF(Quotes!A68="","",IF(Quotes!AD68="","",Quotes!AD68))</f>
        <v/>
      </c>
      <c r="T77" s="39"/>
      <c r="U77" s="76" t="str">
        <f>IF(Quotes!A68="","",IF(Quotes!AF68="","",Quotes!AF68))</f>
        <v/>
      </c>
      <c r="V77" s="39"/>
    </row>
    <row r="78" spans="1:22" ht="42" hidden="1" customHeight="1" x14ac:dyDescent="0.35">
      <c r="A78" s="78" t="str">
        <f>IF(Quotes!A69="","",HYPERLINK("#'Quotes'!A69",Quotes!A69))</f>
        <v/>
      </c>
      <c r="B78" s="39"/>
      <c r="C78" s="39"/>
      <c r="D78" s="40" t="str">
        <f>IF(Quotes!A69="","",Quotes!U69&amp;" | "&amp;Quotes!Z69)</f>
        <v/>
      </c>
      <c r="E78" s="39"/>
      <c r="F78" s="39"/>
      <c r="G78" s="39"/>
      <c r="H78" s="39"/>
      <c r="I78" s="39"/>
      <c r="J78" s="39"/>
      <c r="K78" s="39"/>
      <c r="L78" s="39"/>
      <c r="M78" s="77" t="str">
        <f>IF(Quotes!A69="","",IF(Quotes!F69="","",Quotes!F69))</f>
        <v/>
      </c>
      <c r="N78" s="39"/>
      <c r="O78" s="39"/>
      <c r="P78" s="76" t="str">
        <f>IF(Quotes!A69="","",IF(Quotes!AB69="","",Quotes!AB69))</f>
        <v/>
      </c>
      <c r="Q78" s="39"/>
      <c r="R78" s="39"/>
      <c r="S78" s="76" t="str">
        <f>IF(Quotes!A69="","",IF(Quotes!AD69="","",Quotes!AD69))</f>
        <v/>
      </c>
      <c r="T78" s="39"/>
      <c r="U78" s="76" t="str">
        <f>IF(Quotes!A69="","",IF(Quotes!AF69="","",Quotes!AF69))</f>
        <v/>
      </c>
      <c r="V78" s="39"/>
    </row>
    <row r="79" spans="1:22" ht="42" hidden="1" customHeight="1" x14ac:dyDescent="0.35">
      <c r="A79" s="78" t="str">
        <f>IF(Quotes!A70="","",HYPERLINK("#'Quotes'!A70",Quotes!A70))</f>
        <v/>
      </c>
      <c r="B79" s="39"/>
      <c r="C79" s="39"/>
      <c r="D79" s="40" t="str">
        <f>IF(Quotes!A70="","",Quotes!U70&amp;" | "&amp;Quotes!Z70)</f>
        <v/>
      </c>
      <c r="E79" s="39"/>
      <c r="F79" s="39"/>
      <c r="G79" s="39"/>
      <c r="H79" s="39"/>
      <c r="I79" s="39"/>
      <c r="J79" s="39"/>
      <c r="K79" s="39"/>
      <c r="L79" s="39"/>
      <c r="M79" s="77" t="str">
        <f>IF(Quotes!A70="","",IF(Quotes!F70="","",Quotes!F70))</f>
        <v/>
      </c>
      <c r="N79" s="39"/>
      <c r="O79" s="39"/>
      <c r="P79" s="76" t="str">
        <f>IF(Quotes!A70="","",IF(Quotes!AB70="","",Quotes!AB70))</f>
        <v/>
      </c>
      <c r="Q79" s="39"/>
      <c r="R79" s="39"/>
      <c r="S79" s="76" t="str">
        <f>IF(Quotes!A70="","",IF(Quotes!AD70="","",Quotes!AD70))</f>
        <v/>
      </c>
      <c r="T79" s="39"/>
      <c r="U79" s="76" t="str">
        <f>IF(Quotes!A70="","",IF(Quotes!AF70="","",Quotes!AF70))</f>
        <v/>
      </c>
      <c r="V79" s="39"/>
    </row>
    <row r="80" spans="1:22" ht="42" hidden="1" customHeight="1" x14ac:dyDescent="0.35">
      <c r="A80" s="78" t="str">
        <f>IF(Quotes!A71="","",HYPERLINK("#'Quotes'!A71",Quotes!A71))</f>
        <v/>
      </c>
      <c r="B80" s="39"/>
      <c r="C80" s="39"/>
      <c r="D80" s="40" t="str">
        <f>IF(Quotes!A71="","",Quotes!U71&amp;" | "&amp;Quotes!Z71)</f>
        <v/>
      </c>
      <c r="E80" s="39"/>
      <c r="F80" s="39"/>
      <c r="G80" s="39"/>
      <c r="H80" s="39"/>
      <c r="I80" s="39"/>
      <c r="J80" s="39"/>
      <c r="K80" s="39"/>
      <c r="L80" s="39"/>
      <c r="M80" s="77" t="str">
        <f>IF(Quotes!A71="","",IF(Quotes!F71="","",Quotes!F71))</f>
        <v/>
      </c>
      <c r="N80" s="39"/>
      <c r="O80" s="39"/>
      <c r="P80" s="76" t="str">
        <f>IF(Quotes!A71="","",IF(Quotes!AB71="","",Quotes!AB71))</f>
        <v/>
      </c>
      <c r="Q80" s="39"/>
      <c r="R80" s="39"/>
      <c r="S80" s="76" t="str">
        <f>IF(Quotes!A71="","",IF(Quotes!AD71="","",Quotes!AD71))</f>
        <v/>
      </c>
      <c r="T80" s="39"/>
      <c r="U80" s="76" t="str">
        <f>IF(Quotes!A71="","",IF(Quotes!AF71="","",Quotes!AF71))</f>
        <v/>
      </c>
      <c r="V80" s="39"/>
    </row>
    <row r="81" spans="1:22" ht="42" hidden="1" customHeight="1" x14ac:dyDescent="0.35">
      <c r="A81" s="78" t="str">
        <f>IF(Quotes!A72="","",HYPERLINK("#'Quotes'!A72",Quotes!A72))</f>
        <v/>
      </c>
      <c r="B81" s="39"/>
      <c r="C81" s="39"/>
      <c r="D81" s="40" t="str">
        <f>IF(Quotes!A72="","",Quotes!U72&amp;" | "&amp;Quotes!Z72)</f>
        <v/>
      </c>
      <c r="E81" s="39"/>
      <c r="F81" s="39"/>
      <c r="G81" s="39"/>
      <c r="H81" s="39"/>
      <c r="I81" s="39"/>
      <c r="J81" s="39"/>
      <c r="K81" s="39"/>
      <c r="L81" s="39"/>
      <c r="M81" s="77" t="str">
        <f>IF(Quotes!A72="","",IF(Quotes!F72="","",Quotes!F72))</f>
        <v/>
      </c>
      <c r="N81" s="39"/>
      <c r="O81" s="39"/>
      <c r="P81" s="76" t="str">
        <f>IF(Quotes!A72="","",IF(Quotes!AB72="","",Quotes!AB72))</f>
        <v/>
      </c>
      <c r="Q81" s="39"/>
      <c r="R81" s="39"/>
      <c r="S81" s="76" t="str">
        <f>IF(Quotes!A72="","",IF(Quotes!AD72="","",Quotes!AD72))</f>
        <v/>
      </c>
      <c r="T81" s="39"/>
      <c r="U81" s="76" t="str">
        <f>IF(Quotes!A72="","",IF(Quotes!AF72="","",Quotes!AF72))</f>
        <v/>
      </c>
      <c r="V81" s="39"/>
    </row>
    <row r="82" spans="1:22" ht="42" hidden="1" customHeight="1" x14ac:dyDescent="0.35">
      <c r="A82" s="78" t="str">
        <f>IF(Quotes!A73="","",HYPERLINK("#'Quotes'!A73",Quotes!A73))</f>
        <v/>
      </c>
      <c r="B82" s="39"/>
      <c r="C82" s="39"/>
      <c r="D82" s="40" t="str">
        <f>IF(Quotes!A73="","",Quotes!U73&amp;" | "&amp;Quotes!Z73)</f>
        <v/>
      </c>
      <c r="E82" s="39"/>
      <c r="F82" s="39"/>
      <c r="G82" s="39"/>
      <c r="H82" s="39"/>
      <c r="I82" s="39"/>
      <c r="J82" s="39"/>
      <c r="K82" s="39"/>
      <c r="L82" s="39"/>
      <c r="M82" s="77" t="str">
        <f>IF(Quotes!A73="","",IF(Quotes!F73="","",Quotes!F73))</f>
        <v/>
      </c>
      <c r="N82" s="39"/>
      <c r="O82" s="39"/>
      <c r="P82" s="76" t="str">
        <f>IF(Quotes!A73="","",IF(Quotes!AB73="","",Quotes!AB73))</f>
        <v/>
      </c>
      <c r="Q82" s="39"/>
      <c r="R82" s="39"/>
      <c r="S82" s="76" t="str">
        <f>IF(Quotes!A73="","",IF(Quotes!AD73="","",Quotes!AD73))</f>
        <v/>
      </c>
      <c r="T82" s="39"/>
      <c r="U82" s="76" t="str">
        <f>IF(Quotes!A73="","",IF(Quotes!AF73="","",Quotes!AF73))</f>
        <v/>
      </c>
      <c r="V82" s="39"/>
    </row>
    <row r="83" spans="1:22" ht="42" hidden="1" customHeight="1" x14ac:dyDescent="0.35">
      <c r="A83" s="78" t="str">
        <f>IF(Quotes!A74="","",HYPERLINK("#'Quotes'!A74",Quotes!A74))</f>
        <v/>
      </c>
      <c r="B83" s="39"/>
      <c r="C83" s="39"/>
      <c r="D83" s="40" t="str">
        <f>IF(Quotes!A74="","",Quotes!U74&amp;" | "&amp;Quotes!Z74)</f>
        <v/>
      </c>
      <c r="E83" s="39"/>
      <c r="F83" s="39"/>
      <c r="G83" s="39"/>
      <c r="H83" s="39"/>
      <c r="I83" s="39"/>
      <c r="J83" s="39"/>
      <c r="K83" s="39"/>
      <c r="L83" s="39"/>
      <c r="M83" s="77" t="str">
        <f>IF(Quotes!A74="","",IF(Quotes!F74="","",Quotes!F74))</f>
        <v/>
      </c>
      <c r="N83" s="39"/>
      <c r="O83" s="39"/>
      <c r="P83" s="76" t="str">
        <f>IF(Quotes!A74="","",IF(Quotes!AB74="","",Quotes!AB74))</f>
        <v/>
      </c>
      <c r="Q83" s="39"/>
      <c r="R83" s="39"/>
      <c r="S83" s="76" t="str">
        <f>IF(Quotes!A74="","",IF(Quotes!AD74="","",Quotes!AD74))</f>
        <v/>
      </c>
      <c r="T83" s="39"/>
      <c r="U83" s="76" t="str">
        <f>IF(Quotes!A74="","",IF(Quotes!AF74="","",Quotes!AF74))</f>
        <v/>
      </c>
      <c r="V83" s="39"/>
    </row>
    <row r="84" spans="1:22" ht="42" hidden="1" customHeight="1" x14ac:dyDescent="0.35">
      <c r="A84" s="78" t="str">
        <f>IF(Quotes!A75="","",HYPERLINK("#'Quotes'!A75",Quotes!A75))</f>
        <v/>
      </c>
      <c r="B84" s="39"/>
      <c r="C84" s="39"/>
      <c r="D84" s="40" t="str">
        <f>IF(Quotes!A75="","",Quotes!U75&amp;" | "&amp;Quotes!Z75)</f>
        <v/>
      </c>
      <c r="E84" s="39"/>
      <c r="F84" s="39"/>
      <c r="G84" s="39"/>
      <c r="H84" s="39"/>
      <c r="I84" s="39"/>
      <c r="J84" s="39"/>
      <c r="K84" s="39"/>
      <c r="L84" s="39"/>
      <c r="M84" s="77" t="str">
        <f>IF(Quotes!A75="","",IF(Quotes!F75="","",Quotes!F75))</f>
        <v/>
      </c>
      <c r="N84" s="39"/>
      <c r="O84" s="39"/>
      <c r="P84" s="76" t="str">
        <f>IF(Quotes!A75="","",IF(Quotes!AB75="","",Quotes!AB75))</f>
        <v/>
      </c>
      <c r="Q84" s="39"/>
      <c r="R84" s="39"/>
      <c r="S84" s="76" t="str">
        <f>IF(Quotes!A75="","",IF(Quotes!AD75="","",Quotes!AD75))</f>
        <v/>
      </c>
      <c r="T84" s="39"/>
      <c r="U84" s="76" t="str">
        <f>IF(Quotes!A75="","",IF(Quotes!AF75="","",Quotes!AF75))</f>
        <v/>
      </c>
      <c r="V84" s="39"/>
    </row>
    <row r="85" spans="1:22" ht="42" hidden="1" customHeight="1" x14ac:dyDescent="0.35">
      <c r="A85" s="78" t="str">
        <f>IF(Quotes!A76="","",HYPERLINK("#'Quotes'!A76",Quotes!A76))</f>
        <v/>
      </c>
      <c r="B85" s="39"/>
      <c r="C85" s="39"/>
      <c r="D85" s="40" t="str">
        <f>IF(Quotes!A76="","",Quotes!U76&amp;" | "&amp;Quotes!Z76)</f>
        <v/>
      </c>
      <c r="E85" s="39"/>
      <c r="F85" s="39"/>
      <c r="G85" s="39"/>
      <c r="H85" s="39"/>
      <c r="I85" s="39"/>
      <c r="J85" s="39"/>
      <c r="K85" s="39"/>
      <c r="L85" s="39"/>
      <c r="M85" s="77" t="str">
        <f>IF(Quotes!A76="","",IF(Quotes!F76="","",Quotes!F76))</f>
        <v/>
      </c>
      <c r="N85" s="39"/>
      <c r="O85" s="39"/>
      <c r="P85" s="76" t="str">
        <f>IF(Quotes!A76="","",IF(Quotes!AB76="","",Quotes!AB76))</f>
        <v/>
      </c>
      <c r="Q85" s="39"/>
      <c r="R85" s="39"/>
      <c r="S85" s="76" t="str">
        <f>IF(Quotes!A76="","",IF(Quotes!AD76="","",Quotes!AD76))</f>
        <v/>
      </c>
      <c r="T85" s="39"/>
      <c r="U85" s="76" t="str">
        <f>IF(Quotes!A76="","",IF(Quotes!AF76="","",Quotes!AF76))</f>
        <v/>
      </c>
      <c r="V85" s="39"/>
    </row>
    <row r="86" spans="1:22" ht="42" hidden="1" customHeight="1" x14ac:dyDescent="0.35">
      <c r="A86" s="78" t="str">
        <f>IF(Quotes!A77="","",HYPERLINK("#'Quotes'!A77",Quotes!A77))</f>
        <v/>
      </c>
      <c r="B86" s="39"/>
      <c r="C86" s="39"/>
      <c r="D86" s="40" t="str">
        <f>IF(Quotes!A77="","",Quotes!U77&amp;" | "&amp;Quotes!Z77)</f>
        <v/>
      </c>
      <c r="E86" s="39"/>
      <c r="F86" s="39"/>
      <c r="G86" s="39"/>
      <c r="H86" s="39"/>
      <c r="I86" s="39"/>
      <c r="J86" s="39"/>
      <c r="K86" s="39"/>
      <c r="L86" s="39"/>
      <c r="M86" s="77" t="str">
        <f>IF(Quotes!A77="","",IF(Quotes!F77="","",Quotes!F77))</f>
        <v/>
      </c>
      <c r="N86" s="39"/>
      <c r="O86" s="39"/>
      <c r="P86" s="76" t="str">
        <f>IF(Quotes!A77="","",IF(Quotes!AB77="","",Quotes!AB77))</f>
        <v/>
      </c>
      <c r="Q86" s="39"/>
      <c r="R86" s="39"/>
      <c r="S86" s="76" t="str">
        <f>IF(Quotes!A77="","",IF(Quotes!AD77="","",Quotes!AD77))</f>
        <v/>
      </c>
      <c r="T86" s="39"/>
      <c r="U86" s="76" t="str">
        <f>IF(Quotes!A77="","",IF(Quotes!AF77="","",Quotes!AF77))</f>
        <v/>
      </c>
      <c r="V86" s="39"/>
    </row>
    <row r="87" spans="1:22" ht="42" hidden="1" customHeight="1" x14ac:dyDescent="0.35">
      <c r="A87" s="78" t="str">
        <f>IF(Quotes!A78="","",HYPERLINK("#'Quotes'!A78",Quotes!A78))</f>
        <v/>
      </c>
      <c r="B87" s="39"/>
      <c r="C87" s="39"/>
      <c r="D87" s="40" t="str">
        <f>IF(Quotes!A78="","",Quotes!U78&amp;" | "&amp;Quotes!Z78)</f>
        <v/>
      </c>
      <c r="E87" s="39"/>
      <c r="F87" s="39"/>
      <c r="G87" s="39"/>
      <c r="H87" s="39"/>
      <c r="I87" s="39"/>
      <c r="J87" s="39"/>
      <c r="K87" s="39"/>
      <c r="L87" s="39"/>
      <c r="M87" s="77" t="str">
        <f>IF(Quotes!A78="","",IF(Quotes!F78="","",Quotes!F78))</f>
        <v/>
      </c>
      <c r="N87" s="39"/>
      <c r="O87" s="39"/>
      <c r="P87" s="76" t="str">
        <f>IF(Quotes!A78="","",IF(Quotes!AB78="","",Quotes!AB78))</f>
        <v/>
      </c>
      <c r="Q87" s="39"/>
      <c r="R87" s="39"/>
      <c r="S87" s="76" t="str">
        <f>IF(Quotes!A78="","",IF(Quotes!AD78="","",Quotes!AD78))</f>
        <v/>
      </c>
      <c r="T87" s="39"/>
      <c r="U87" s="76" t="str">
        <f>IF(Quotes!A78="","",IF(Quotes!AF78="","",Quotes!AF78))</f>
        <v/>
      </c>
      <c r="V87" s="39"/>
    </row>
    <row r="88" spans="1:22" ht="42" hidden="1" customHeight="1" x14ac:dyDescent="0.35">
      <c r="A88" s="78" t="str">
        <f>IF(Quotes!A79="","",HYPERLINK("#'Quotes'!A79",Quotes!A79))</f>
        <v/>
      </c>
      <c r="B88" s="39"/>
      <c r="C88" s="39"/>
      <c r="D88" s="40" t="str">
        <f>IF(Quotes!A79="","",Quotes!U79&amp;" | "&amp;Quotes!Z79)</f>
        <v/>
      </c>
      <c r="E88" s="39"/>
      <c r="F88" s="39"/>
      <c r="G88" s="39"/>
      <c r="H88" s="39"/>
      <c r="I88" s="39"/>
      <c r="J88" s="39"/>
      <c r="K88" s="39"/>
      <c r="L88" s="39"/>
      <c r="M88" s="77" t="str">
        <f>IF(Quotes!A79="","",IF(Quotes!F79="","",Quotes!F79))</f>
        <v/>
      </c>
      <c r="N88" s="39"/>
      <c r="O88" s="39"/>
      <c r="P88" s="76" t="str">
        <f>IF(Quotes!A79="","",IF(Quotes!AB79="","",Quotes!AB79))</f>
        <v/>
      </c>
      <c r="Q88" s="39"/>
      <c r="R88" s="39"/>
      <c r="S88" s="76" t="str">
        <f>IF(Quotes!A79="","",IF(Quotes!AD79="","",Quotes!AD79))</f>
        <v/>
      </c>
      <c r="T88" s="39"/>
      <c r="U88" s="76" t="str">
        <f>IF(Quotes!A79="","",IF(Quotes!AF79="","",Quotes!AF79))</f>
        <v/>
      </c>
      <c r="V88" s="39"/>
    </row>
    <row r="89" spans="1:22" ht="42" hidden="1" customHeight="1" x14ac:dyDescent="0.35">
      <c r="A89" s="78" t="str">
        <f>IF(Quotes!A80="","",HYPERLINK("#'Quotes'!A80",Quotes!A80))</f>
        <v/>
      </c>
      <c r="B89" s="39"/>
      <c r="C89" s="39"/>
      <c r="D89" s="40" t="str">
        <f>IF(Quotes!A80="","",Quotes!U80&amp;" | "&amp;Quotes!Z80)</f>
        <v/>
      </c>
      <c r="E89" s="39"/>
      <c r="F89" s="39"/>
      <c r="G89" s="39"/>
      <c r="H89" s="39"/>
      <c r="I89" s="39"/>
      <c r="J89" s="39"/>
      <c r="K89" s="39"/>
      <c r="L89" s="39"/>
      <c r="M89" s="77" t="str">
        <f>IF(Quotes!A80="","",IF(Quotes!F80="","",Quotes!F80))</f>
        <v/>
      </c>
      <c r="N89" s="39"/>
      <c r="O89" s="39"/>
      <c r="P89" s="76" t="str">
        <f>IF(Quotes!A80="","",IF(Quotes!AB80="","",Quotes!AB80))</f>
        <v/>
      </c>
      <c r="Q89" s="39"/>
      <c r="R89" s="39"/>
      <c r="S89" s="76" t="str">
        <f>IF(Quotes!A80="","",IF(Quotes!AD80="","",Quotes!AD80))</f>
        <v/>
      </c>
      <c r="T89" s="39"/>
      <c r="U89" s="76" t="str">
        <f>IF(Quotes!A80="","",IF(Quotes!AF80="","",Quotes!AF80))</f>
        <v/>
      </c>
      <c r="V89" s="39"/>
    </row>
    <row r="90" spans="1:22" ht="42" hidden="1" customHeight="1" x14ac:dyDescent="0.35">
      <c r="A90" s="78" t="str">
        <f>IF(Quotes!A81="","",HYPERLINK("#'Quotes'!A81",Quotes!A81))</f>
        <v/>
      </c>
      <c r="B90" s="39"/>
      <c r="C90" s="39"/>
      <c r="D90" s="40" t="str">
        <f>IF(Quotes!A81="","",Quotes!U81&amp;" | "&amp;Quotes!Z81)</f>
        <v/>
      </c>
      <c r="E90" s="39"/>
      <c r="F90" s="39"/>
      <c r="G90" s="39"/>
      <c r="H90" s="39"/>
      <c r="I90" s="39"/>
      <c r="J90" s="39"/>
      <c r="K90" s="39"/>
      <c r="L90" s="39"/>
      <c r="M90" s="77" t="str">
        <f>IF(Quotes!A81="","",IF(Quotes!F81="","",Quotes!F81))</f>
        <v/>
      </c>
      <c r="N90" s="39"/>
      <c r="O90" s="39"/>
      <c r="P90" s="76" t="str">
        <f>IF(Quotes!A81="","",IF(Quotes!AB81="","",Quotes!AB81))</f>
        <v/>
      </c>
      <c r="Q90" s="39"/>
      <c r="R90" s="39"/>
      <c r="S90" s="76" t="str">
        <f>IF(Quotes!A81="","",IF(Quotes!AD81="","",Quotes!AD81))</f>
        <v/>
      </c>
      <c r="T90" s="39"/>
      <c r="U90" s="76" t="str">
        <f>IF(Quotes!A81="","",IF(Quotes!AF81="","",Quotes!AF81))</f>
        <v/>
      </c>
      <c r="V90" s="39"/>
    </row>
    <row r="91" spans="1:22" ht="42" hidden="1" customHeight="1" x14ac:dyDescent="0.35">
      <c r="A91" s="78" t="str">
        <f>IF(Quotes!A82="","",HYPERLINK("#'Quotes'!A82",Quotes!A82))</f>
        <v/>
      </c>
      <c r="B91" s="39"/>
      <c r="C91" s="39"/>
      <c r="D91" s="40" t="str">
        <f>IF(Quotes!A82="","",Quotes!U82&amp;" | "&amp;Quotes!Z82)</f>
        <v/>
      </c>
      <c r="E91" s="39"/>
      <c r="F91" s="39"/>
      <c r="G91" s="39"/>
      <c r="H91" s="39"/>
      <c r="I91" s="39"/>
      <c r="J91" s="39"/>
      <c r="K91" s="39"/>
      <c r="L91" s="39"/>
      <c r="M91" s="77" t="str">
        <f>IF(Quotes!A82="","",IF(Quotes!F82="","",Quotes!F82))</f>
        <v/>
      </c>
      <c r="N91" s="39"/>
      <c r="O91" s="39"/>
      <c r="P91" s="76" t="str">
        <f>IF(Quotes!A82="","",IF(Quotes!AB82="","",Quotes!AB82))</f>
        <v/>
      </c>
      <c r="Q91" s="39"/>
      <c r="R91" s="39"/>
      <c r="S91" s="76" t="str">
        <f>IF(Quotes!A82="","",IF(Quotes!AD82="","",Quotes!AD82))</f>
        <v/>
      </c>
      <c r="T91" s="39"/>
      <c r="U91" s="76" t="str">
        <f>IF(Quotes!A82="","",IF(Quotes!AF82="","",Quotes!AF82))</f>
        <v/>
      </c>
      <c r="V91" s="39"/>
    </row>
    <row r="92" spans="1:22" ht="42" hidden="1" customHeight="1" x14ac:dyDescent="0.35">
      <c r="A92" s="78" t="str">
        <f>IF(Quotes!A83="","",HYPERLINK("#'Quotes'!A83",Quotes!A83))</f>
        <v/>
      </c>
      <c r="B92" s="39"/>
      <c r="C92" s="39"/>
      <c r="D92" s="40" t="str">
        <f>IF(Quotes!A83="","",Quotes!U83&amp;" | "&amp;Quotes!Z83)</f>
        <v/>
      </c>
      <c r="E92" s="39"/>
      <c r="F92" s="39"/>
      <c r="G92" s="39"/>
      <c r="H92" s="39"/>
      <c r="I92" s="39"/>
      <c r="J92" s="39"/>
      <c r="K92" s="39"/>
      <c r="L92" s="39"/>
      <c r="M92" s="77" t="str">
        <f>IF(Quotes!A83="","",IF(Quotes!F83="","",Quotes!F83))</f>
        <v/>
      </c>
      <c r="N92" s="39"/>
      <c r="O92" s="39"/>
      <c r="P92" s="76" t="str">
        <f>IF(Quotes!A83="","",IF(Quotes!AB83="","",Quotes!AB83))</f>
        <v/>
      </c>
      <c r="Q92" s="39"/>
      <c r="R92" s="39"/>
      <c r="S92" s="76" t="str">
        <f>IF(Quotes!A83="","",IF(Quotes!AD83="","",Quotes!AD83))</f>
        <v/>
      </c>
      <c r="T92" s="39"/>
      <c r="U92" s="76" t="str">
        <f>IF(Quotes!A83="","",IF(Quotes!AF83="","",Quotes!AF83))</f>
        <v/>
      </c>
      <c r="V92" s="39"/>
    </row>
    <row r="93" spans="1:22" ht="42" hidden="1" customHeight="1" x14ac:dyDescent="0.35">
      <c r="A93" s="78" t="str">
        <f>IF(Quotes!A84="","",HYPERLINK("#'Quotes'!A84",Quotes!A84))</f>
        <v/>
      </c>
      <c r="B93" s="39"/>
      <c r="C93" s="39"/>
      <c r="D93" s="40" t="str">
        <f>IF(Quotes!A84="","",Quotes!U84&amp;" | "&amp;Quotes!Z84)</f>
        <v/>
      </c>
      <c r="E93" s="39"/>
      <c r="F93" s="39"/>
      <c r="G93" s="39"/>
      <c r="H93" s="39"/>
      <c r="I93" s="39"/>
      <c r="J93" s="39"/>
      <c r="K93" s="39"/>
      <c r="L93" s="39"/>
      <c r="M93" s="77" t="str">
        <f>IF(Quotes!A84="","",IF(Quotes!F84="","",Quotes!F84))</f>
        <v/>
      </c>
      <c r="N93" s="39"/>
      <c r="O93" s="39"/>
      <c r="P93" s="76" t="str">
        <f>IF(Quotes!A84="","",IF(Quotes!AB84="","",Quotes!AB84))</f>
        <v/>
      </c>
      <c r="Q93" s="39"/>
      <c r="R93" s="39"/>
      <c r="S93" s="76" t="str">
        <f>IF(Quotes!A84="","",IF(Quotes!AD84="","",Quotes!AD84))</f>
        <v/>
      </c>
      <c r="T93" s="39"/>
      <c r="U93" s="76" t="str">
        <f>IF(Quotes!A84="","",IF(Quotes!AF84="","",Quotes!AF84))</f>
        <v/>
      </c>
      <c r="V93" s="39"/>
    </row>
    <row r="94" spans="1:22" ht="42" hidden="1" customHeight="1" x14ac:dyDescent="0.35">
      <c r="A94" s="78" t="str">
        <f>IF(Quotes!A85="","",HYPERLINK("#'Quotes'!A85",Quotes!A85))</f>
        <v/>
      </c>
      <c r="B94" s="39"/>
      <c r="C94" s="39"/>
      <c r="D94" s="40" t="str">
        <f>IF(Quotes!A85="","",Quotes!U85&amp;" | "&amp;Quotes!Z85)</f>
        <v/>
      </c>
      <c r="E94" s="39"/>
      <c r="F94" s="39"/>
      <c r="G94" s="39"/>
      <c r="H94" s="39"/>
      <c r="I94" s="39"/>
      <c r="J94" s="39"/>
      <c r="K94" s="39"/>
      <c r="L94" s="39"/>
      <c r="M94" s="77" t="str">
        <f>IF(Quotes!A85="","",IF(Quotes!F85="","",Quotes!F85))</f>
        <v/>
      </c>
      <c r="N94" s="39"/>
      <c r="O94" s="39"/>
      <c r="P94" s="76" t="str">
        <f>IF(Quotes!A85="","",IF(Quotes!AB85="","",Quotes!AB85))</f>
        <v/>
      </c>
      <c r="Q94" s="39"/>
      <c r="R94" s="39"/>
      <c r="S94" s="76" t="str">
        <f>IF(Quotes!A85="","",IF(Quotes!AD85="","",Quotes!AD85))</f>
        <v/>
      </c>
      <c r="T94" s="39"/>
      <c r="U94" s="76" t="str">
        <f>IF(Quotes!A85="","",IF(Quotes!AF85="","",Quotes!AF85))</f>
        <v/>
      </c>
      <c r="V94" s="39"/>
    </row>
    <row r="95" spans="1:22" ht="42" hidden="1" customHeight="1" x14ac:dyDescent="0.35">
      <c r="A95" s="78" t="str">
        <f>IF(Quotes!A86="","",HYPERLINK("#'Quotes'!A86",Quotes!A86))</f>
        <v/>
      </c>
      <c r="B95" s="39"/>
      <c r="C95" s="39"/>
      <c r="D95" s="40" t="str">
        <f>IF(Quotes!A86="","",Quotes!U86&amp;" | "&amp;Quotes!Z86)</f>
        <v/>
      </c>
      <c r="E95" s="39"/>
      <c r="F95" s="39"/>
      <c r="G95" s="39"/>
      <c r="H95" s="39"/>
      <c r="I95" s="39"/>
      <c r="J95" s="39"/>
      <c r="K95" s="39"/>
      <c r="L95" s="39"/>
      <c r="M95" s="77" t="str">
        <f>IF(Quotes!A86="","",IF(Quotes!F86="","",Quotes!F86))</f>
        <v/>
      </c>
      <c r="N95" s="39"/>
      <c r="O95" s="39"/>
      <c r="P95" s="76" t="str">
        <f>IF(Quotes!A86="","",IF(Quotes!AB86="","",Quotes!AB86))</f>
        <v/>
      </c>
      <c r="Q95" s="39"/>
      <c r="R95" s="39"/>
      <c r="S95" s="76" t="str">
        <f>IF(Quotes!A86="","",IF(Quotes!AD86="","",Quotes!AD86))</f>
        <v/>
      </c>
      <c r="T95" s="39"/>
      <c r="U95" s="76" t="str">
        <f>IF(Quotes!A86="","",IF(Quotes!AF86="","",Quotes!AF86))</f>
        <v/>
      </c>
      <c r="V95" s="39"/>
    </row>
    <row r="96" spans="1:22" ht="42" hidden="1" customHeight="1" x14ac:dyDescent="0.35">
      <c r="A96" s="78" t="str">
        <f>IF(Quotes!A87="","",HYPERLINK("#'Quotes'!A87",Quotes!A87))</f>
        <v/>
      </c>
      <c r="B96" s="39"/>
      <c r="C96" s="39"/>
      <c r="D96" s="40" t="str">
        <f>IF(Quotes!A87="","",Quotes!U87&amp;" | "&amp;Quotes!Z87)</f>
        <v/>
      </c>
      <c r="E96" s="39"/>
      <c r="F96" s="39"/>
      <c r="G96" s="39"/>
      <c r="H96" s="39"/>
      <c r="I96" s="39"/>
      <c r="J96" s="39"/>
      <c r="K96" s="39"/>
      <c r="L96" s="39"/>
      <c r="M96" s="77" t="str">
        <f>IF(Quotes!A87="","",IF(Quotes!F87="","",Quotes!F87))</f>
        <v/>
      </c>
      <c r="N96" s="39"/>
      <c r="O96" s="39"/>
      <c r="P96" s="76" t="str">
        <f>IF(Quotes!A87="","",IF(Quotes!AB87="","",Quotes!AB87))</f>
        <v/>
      </c>
      <c r="Q96" s="39"/>
      <c r="R96" s="39"/>
      <c r="S96" s="76" t="str">
        <f>IF(Quotes!A87="","",IF(Quotes!AD87="","",Quotes!AD87))</f>
        <v/>
      </c>
      <c r="T96" s="39"/>
      <c r="U96" s="76" t="str">
        <f>IF(Quotes!A87="","",IF(Quotes!AF87="","",Quotes!AF87))</f>
        <v/>
      </c>
      <c r="V96" s="39"/>
    </row>
    <row r="97" spans="1:22" ht="42" hidden="1" customHeight="1" x14ac:dyDescent="0.35">
      <c r="A97" s="78" t="str">
        <f>IF(Quotes!A88="","",HYPERLINK("#'Quotes'!A88",Quotes!A88))</f>
        <v/>
      </c>
      <c r="B97" s="39"/>
      <c r="C97" s="39"/>
      <c r="D97" s="40" t="str">
        <f>IF(Quotes!A88="","",Quotes!U88&amp;" | "&amp;Quotes!Z88)</f>
        <v/>
      </c>
      <c r="E97" s="39"/>
      <c r="F97" s="39"/>
      <c r="G97" s="39"/>
      <c r="H97" s="39"/>
      <c r="I97" s="39"/>
      <c r="J97" s="39"/>
      <c r="K97" s="39"/>
      <c r="L97" s="39"/>
      <c r="M97" s="77" t="str">
        <f>IF(Quotes!A88="","",IF(Quotes!F88="","",Quotes!F88))</f>
        <v/>
      </c>
      <c r="N97" s="39"/>
      <c r="O97" s="39"/>
      <c r="P97" s="76" t="str">
        <f>IF(Quotes!A88="","",IF(Quotes!AB88="","",Quotes!AB88))</f>
        <v/>
      </c>
      <c r="Q97" s="39"/>
      <c r="R97" s="39"/>
      <c r="S97" s="76" t="str">
        <f>IF(Quotes!A88="","",IF(Quotes!AD88="","",Quotes!AD88))</f>
        <v/>
      </c>
      <c r="T97" s="39"/>
      <c r="U97" s="76" t="str">
        <f>IF(Quotes!A88="","",IF(Quotes!AF88="","",Quotes!AF88))</f>
        <v/>
      </c>
      <c r="V97" s="39"/>
    </row>
    <row r="98" spans="1:22" ht="42" hidden="1" customHeight="1" x14ac:dyDescent="0.35">
      <c r="A98" s="78" t="str">
        <f>IF(Quotes!A89="","",HYPERLINK("#'Quotes'!A89",Quotes!A89))</f>
        <v/>
      </c>
      <c r="B98" s="39"/>
      <c r="C98" s="39"/>
      <c r="D98" s="40" t="str">
        <f>IF(Quotes!A89="","",Quotes!U89&amp;" | "&amp;Quotes!Z89)</f>
        <v/>
      </c>
      <c r="E98" s="39"/>
      <c r="F98" s="39"/>
      <c r="G98" s="39"/>
      <c r="H98" s="39"/>
      <c r="I98" s="39"/>
      <c r="J98" s="39"/>
      <c r="K98" s="39"/>
      <c r="L98" s="39"/>
      <c r="M98" s="77" t="str">
        <f>IF(Quotes!A89="","",IF(Quotes!F89="","",Quotes!F89))</f>
        <v/>
      </c>
      <c r="N98" s="39"/>
      <c r="O98" s="39"/>
      <c r="P98" s="76" t="str">
        <f>IF(Quotes!A89="","",IF(Quotes!AB89="","",Quotes!AB89))</f>
        <v/>
      </c>
      <c r="Q98" s="39"/>
      <c r="R98" s="39"/>
      <c r="S98" s="76" t="str">
        <f>IF(Quotes!A89="","",IF(Quotes!AD89="","",Quotes!AD89))</f>
        <v/>
      </c>
      <c r="T98" s="39"/>
      <c r="U98" s="76" t="str">
        <f>IF(Quotes!A89="","",IF(Quotes!AF89="","",Quotes!AF89))</f>
        <v/>
      </c>
      <c r="V98" s="39"/>
    </row>
    <row r="99" spans="1:22" ht="42" hidden="1" customHeight="1" x14ac:dyDescent="0.35">
      <c r="A99" s="78" t="str">
        <f>IF(Quotes!A90="","",HYPERLINK("#'Quotes'!A90",Quotes!A90))</f>
        <v/>
      </c>
      <c r="B99" s="39"/>
      <c r="C99" s="39"/>
      <c r="D99" s="40" t="str">
        <f>IF(Quotes!A90="","",Quotes!U90&amp;" | "&amp;Quotes!Z90)</f>
        <v/>
      </c>
      <c r="E99" s="39"/>
      <c r="F99" s="39"/>
      <c r="G99" s="39"/>
      <c r="H99" s="39"/>
      <c r="I99" s="39"/>
      <c r="J99" s="39"/>
      <c r="K99" s="39"/>
      <c r="L99" s="39"/>
      <c r="M99" s="77" t="str">
        <f>IF(Quotes!A90="","",IF(Quotes!F90="","",Quotes!F90))</f>
        <v/>
      </c>
      <c r="N99" s="39"/>
      <c r="O99" s="39"/>
      <c r="P99" s="76" t="str">
        <f>IF(Quotes!A90="","",IF(Quotes!AB90="","",Quotes!AB90))</f>
        <v/>
      </c>
      <c r="Q99" s="39"/>
      <c r="R99" s="39"/>
      <c r="S99" s="76" t="str">
        <f>IF(Quotes!A90="","",IF(Quotes!AD90="","",Quotes!AD90))</f>
        <v/>
      </c>
      <c r="T99" s="39"/>
      <c r="U99" s="76" t="str">
        <f>IF(Quotes!A90="","",IF(Quotes!AF90="","",Quotes!AF90))</f>
        <v/>
      </c>
      <c r="V99" s="39"/>
    </row>
    <row r="100" spans="1:22" ht="42" hidden="1" customHeight="1" x14ac:dyDescent="0.35">
      <c r="A100" s="78" t="str">
        <f>IF(Quotes!A91="","",HYPERLINK("#'Quotes'!A91",Quotes!A91))</f>
        <v/>
      </c>
      <c r="B100" s="39"/>
      <c r="C100" s="39"/>
      <c r="D100" s="40" t="str">
        <f>IF(Quotes!A91="","",Quotes!U91&amp;" | "&amp;Quotes!Z91)</f>
        <v/>
      </c>
      <c r="E100" s="39"/>
      <c r="F100" s="39"/>
      <c r="G100" s="39"/>
      <c r="H100" s="39"/>
      <c r="I100" s="39"/>
      <c r="J100" s="39"/>
      <c r="K100" s="39"/>
      <c r="L100" s="39"/>
      <c r="M100" s="77" t="str">
        <f>IF(Quotes!A91="","",IF(Quotes!F91="","",Quotes!F91))</f>
        <v/>
      </c>
      <c r="N100" s="39"/>
      <c r="O100" s="39"/>
      <c r="P100" s="76" t="str">
        <f>IF(Quotes!A91="","",IF(Quotes!AB91="","",Quotes!AB91))</f>
        <v/>
      </c>
      <c r="Q100" s="39"/>
      <c r="R100" s="39"/>
      <c r="S100" s="76" t="str">
        <f>IF(Quotes!A91="","",IF(Quotes!AD91="","",Quotes!AD91))</f>
        <v/>
      </c>
      <c r="T100" s="39"/>
      <c r="U100" s="76" t="str">
        <f>IF(Quotes!A91="","",IF(Quotes!AF91="","",Quotes!AF91))</f>
        <v/>
      </c>
      <c r="V100" s="39"/>
    </row>
    <row r="101" spans="1:22" ht="42" hidden="1" customHeight="1" x14ac:dyDescent="0.35">
      <c r="A101" s="78" t="str">
        <f>IF(Quotes!A92="","",HYPERLINK("#'Quotes'!A92",Quotes!A92))</f>
        <v/>
      </c>
      <c r="B101" s="39"/>
      <c r="C101" s="39"/>
      <c r="D101" s="40" t="str">
        <f>IF(Quotes!A92="","",Quotes!U92&amp;" | "&amp;Quotes!Z92)</f>
        <v/>
      </c>
      <c r="E101" s="39"/>
      <c r="F101" s="39"/>
      <c r="G101" s="39"/>
      <c r="H101" s="39"/>
      <c r="I101" s="39"/>
      <c r="J101" s="39"/>
      <c r="K101" s="39"/>
      <c r="L101" s="39"/>
      <c r="M101" s="77" t="str">
        <f>IF(Quotes!A92="","",IF(Quotes!F92="","",Quotes!F92))</f>
        <v/>
      </c>
      <c r="N101" s="39"/>
      <c r="O101" s="39"/>
      <c r="P101" s="76" t="str">
        <f>IF(Quotes!A92="","",IF(Quotes!AB92="","",Quotes!AB92))</f>
        <v/>
      </c>
      <c r="Q101" s="39"/>
      <c r="R101" s="39"/>
      <c r="S101" s="76" t="str">
        <f>IF(Quotes!A92="","",IF(Quotes!AD92="","",Quotes!AD92))</f>
        <v/>
      </c>
      <c r="T101" s="39"/>
      <c r="U101" s="76" t="str">
        <f>IF(Quotes!A92="","",IF(Quotes!AF92="","",Quotes!AF92))</f>
        <v/>
      </c>
      <c r="V101" s="39"/>
    </row>
    <row r="102" spans="1:22" ht="42" hidden="1" customHeight="1" x14ac:dyDescent="0.35">
      <c r="A102" s="78" t="str">
        <f>IF(Quotes!A93="","",HYPERLINK("#'Quotes'!A93",Quotes!A93))</f>
        <v/>
      </c>
      <c r="B102" s="39"/>
      <c r="C102" s="39"/>
      <c r="D102" s="40" t="str">
        <f>IF(Quotes!A93="","",Quotes!U93&amp;" | "&amp;Quotes!Z93)</f>
        <v/>
      </c>
      <c r="E102" s="39"/>
      <c r="F102" s="39"/>
      <c r="G102" s="39"/>
      <c r="H102" s="39"/>
      <c r="I102" s="39"/>
      <c r="J102" s="39"/>
      <c r="K102" s="39"/>
      <c r="L102" s="39"/>
      <c r="M102" s="77" t="str">
        <f>IF(Quotes!A93="","",IF(Quotes!F93="","",Quotes!F93))</f>
        <v/>
      </c>
      <c r="N102" s="39"/>
      <c r="O102" s="39"/>
      <c r="P102" s="76" t="str">
        <f>IF(Quotes!A93="","",IF(Quotes!AB93="","",Quotes!AB93))</f>
        <v/>
      </c>
      <c r="Q102" s="39"/>
      <c r="R102" s="39"/>
      <c r="S102" s="76" t="str">
        <f>IF(Quotes!A93="","",IF(Quotes!AD93="","",Quotes!AD93))</f>
        <v/>
      </c>
      <c r="T102" s="39"/>
      <c r="U102" s="76" t="str">
        <f>IF(Quotes!A93="","",IF(Quotes!AF93="","",Quotes!AF93))</f>
        <v/>
      </c>
      <c r="V102" s="39"/>
    </row>
    <row r="103" spans="1:22" ht="42" hidden="1" customHeight="1" x14ac:dyDescent="0.35">
      <c r="A103" s="78" t="str">
        <f>IF(Quotes!A94="","",HYPERLINK("#'Quotes'!A94",Quotes!A94))</f>
        <v/>
      </c>
      <c r="B103" s="39"/>
      <c r="C103" s="39"/>
      <c r="D103" s="40" t="str">
        <f>IF(Quotes!A94="","",Quotes!U94&amp;" | "&amp;Quotes!Z94)</f>
        <v/>
      </c>
      <c r="E103" s="39"/>
      <c r="F103" s="39"/>
      <c r="G103" s="39"/>
      <c r="H103" s="39"/>
      <c r="I103" s="39"/>
      <c r="J103" s="39"/>
      <c r="K103" s="39"/>
      <c r="L103" s="39"/>
      <c r="M103" s="77" t="str">
        <f>IF(Quotes!A94="","",IF(Quotes!F94="","",Quotes!F94))</f>
        <v/>
      </c>
      <c r="N103" s="39"/>
      <c r="O103" s="39"/>
      <c r="P103" s="76" t="str">
        <f>IF(Quotes!A94="","",IF(Quotes!AB94="","",Quotes!AB94))</f>
        <v/>
      </c>
      <c r="Q103" s="39"/>
      <c r="R103" s="39"/>
      <c r="S103" s="76" t="str">
        <f>IF(Quotes!A94="","",IF(Quotes!AD94="","",Quotes!AD94))</f>
        <v/>
      </c>
      <c r="T103" s="39"/>
      <c r="U103" s="76" t="str">
        <f>IF(Quotes!A94="","",IF(Quotes!AF94="","",Quotes!AF94))</f>
        <v/>
      </c>
      <c r="V103" s="39"/>
    </row>
    <row r="104" spans="1:22" ht="42" hidden="1" customHeight="1" x14ac:dyDescent="0.35">
      <c r="A104" s="78" t="str">
        <f>IF(Quotes!A95="","",HYPERLINK("#'Quotes'!A95",Quotes!A95))</f>
        <v/>
      </c>
      <c r="B104" s="39"/>
      <c r="C104" s="39"/>
      <c r="D104" s="40" t="str">
        <f>IF(Quotes!A95="","",Quotes!U95&amp;" | "&amp;Quotes!Z95)</f>
        <v/>
      </c>
      <c r="E104" s="39"/>
      <c r="F104" s="39"/>
      <c r="G104" s="39"/>
      <c r="H104" s="39"/>
      <c r="I104" s="39"/>
      <c r="J104" s="39"/>
      <c r="K104" s="39"/>
      <c r="L104" s="39"/>
      <c r="M104" s="77" t="str">
        <f>IF(Quotes!A95="","",IF(Quotes!F95="","",Quotes!F95))</f>
        <v/>
      </c>
      <c r="N104" s="39"/>
      <c r="O104" s="39"/>
      <c r="P104" s="76" t="str">
        <f>IF(Quotes!A95="","",IF(Quotes!AB95="","",Quotes!AB95))</f>
        <v/>
      </c>
      <c r="Q104" s="39"/>
      <c r="R104" s="39"/>
      <c r="S104" s="76" t="str">
        <f>IF(Quotes!A95="","",IF(Quotes!AD95="","",Quotes!AD95))</f>
        <v/>
      </c>
      <c r="T104" s="39"/>
      <c r="U104" s="76" t="str">
        <f>IF(Quotes!A95="","",IF(Quotes!AF95="","",Quotes!AF95))</f>
        <v/>
      </c>
      <c r="V104" s="39"/>
    </row>
    <row r="105" spans="1:22" ht="42" hidden="1" customHeight="1" x14ac:dyDescent="0.35">
      <c r="A105" s="78" t="str">
        <f>IF(Quotes!A96="","",HYPERLINK("#'Quotes'!A96",Quotes!A96))</f>
        <v/>
      </c>
      <c r="B105" s="39"/>
      <c r="C105" s="39"/>
      <c r="D105" s="40" t="str">
        <f>IF(Quotes!A96="","",Quotes!U96&amp;" | "&amp;Quotes!Z96)</f>
        <v/>
      </c>
      <c r="E105" s="39"/>
      <c r="F105" s="39"/>
      <c r="G105" s="39"/>
      <c r="H105" s="39"/>
      <c r="I105" s="39"/>
      <c r="J105" s="39"/>
      <c r="K105" s="39"/>
      <c r="L105" s="39"/>
      <c r="M105" s="77" t="str">
        <f>IF(Quotes!A96="","",IF(Quotes!F96="","",Quotes!F96))</f>
        <v/>
      </c>
      <c r="N105" s="39"/>
      <c r="O105" s="39"/>
      <c r="P105" s="76" t="str">
        <f>IF(Quotes!A96="","",IF(Quotes!AB96="","",Quotes!AB96))</f>
        <v/>
      </c>
      <c r="Q105" s="39"/>
      <c r="R105" s="39"/>
      <c r="S105" s="76" t="str">
        <f>IF(Quotes!A96="","",IF(Quotes!AD96="","",Quotes!AD96))</f>
        <v/>
      </c>
      <c r="T105" s="39"/>
      <c r="U105" s="76" t="str">
        <f>IF(Quotes!A96="","",IF(Quotes!AF96="","",Quotes!AF96))</f>
        <v/>
      </c>
      <c r="V105" s="39"/>
    </row>
    <row r="106" spans="1:22" ht="42" hidden="1" customHeight="1" x14ac:dyDescent="0.35">
      <c r="A106" s="78" t="str">
        <f>IF(Quotes!A97="","",HYPERLINK("#'Quotes'!A97",Quotes!A97))</f>
        <v/>
      </c>
      <c r="B106" s="39"/>
      <c r="C106" s="39"/>
      <c r="D106" s="40" t="str">
        <f>IF(Quotes!A97="","",Quotes!U97&amp;" | "&amp;Quotes!Z97)</f>
        <v/>
      </c>
      <c r="E106" s="39"/>
      <c r="F106" s="39"/>
      <c r="G106" s="39"/>
      <c r="H106" s="39"/>
      <c r="I106" s="39"/>
      <c r="J106" s="39"/>
      <c r="K106" s="39"/>
      <c r="L106" s="39"/>
      <c r="M106" s="77" t="str">
        <f>IF(Quotes!A97="","",IF(Quotes!F97="","",Quotes!F97))</f>
        <v/>
      </c>
      <c r="N106" s="39"/>
      <c r="O106" s="39"/>
      <c r="P106" s="76" t="str">
        <f>IF(Quotes!A97="","",IF(Quotes!AB97="","",Quotes!AB97))</f>
        <v/>
      </c>
      <c r="Q106" s="39"/>
      <c r="R106" s="39"/>
      <c r="S106" s="76" t="str">
        <f>IF(Quotes!A97="","",IF(Quotes!AD97="","",Quotes!AD97))</f>
        <v/>
      </c>
      <c r="T106" s="39"/>
      <c r="U106" s="76" t="str">
        <f>IF(Quotes!A97="","",IF(Quotes!AF97="","",Quotes!AF97))</f>
        <v/>
      </c>
      <c r="V106" s="39"/>
    </row>
    <row r="107" spans="1:22" ht="42" hidden="1" customHeight="1" x14ac:dyDescent="0.35">
      <c r="A107" s="78" t="str">
        <f>IF(Quotes!A98="","",HYPERLINK("#'Quotes'!A98",Quotes!A98))</f>
        <v/>
      </c>
      <c r="B107" s="39"/>
      <c r="C107" s="39"/>
      <c r="D107" s="40" t="str">
        <f>IF(Quotes!A98="","",Quotes!U98&amp;" | "&amp;Quotes!Z98)</f>
        <v/>
      </c>
      <c r="E107" s="39"/>
      <c r="F107" s="39"/>
      <c r="G107" s="39"/>
      <c r="H107" s="39"/>
      <c r="I107" s="39"/>
      <c r="J107" s="39"/>
      <c r="K107" s="39"/>
      <c r="L107" s="39"/>
      <c r="M107" s="77" t="str">
        <f>IF(Quotes!A98="","",IF(Quotes!F98="","",Quotes!F98))</f>
        <v/>
      </c>
      <c r="N107" s="39"/>
      <c r="O107" s="39"/>
      <c r="P107" s="76" t="str">
        <f>IF(Quotes!A98="","",IF(Quotes!AB98="","",Quotes!AB98))</f>
        <v/>
      </c>
      <c r="Q107" s="39"/>
      <c r="R107" s="39"/>
      <c r="S107" s="76" t="str">
        <f>IF(Quotes!A98="","",IF(Quotes!AD98="","",Quotes!AD98))</f>
        <v/>
      </c>
      <c r="T107" s="39"/>
      <c r="U107" s="76" t="str">
        <f>IF(Quotes!A98="","",IF(Quotes!AF98="","",Quotes!AF98))</f>
        <v/>
      </c>
      <c r="V107" s="39"/>
    </row>
    <row r="108" spans="1:22" ht="42" hidden="1" customHeight="1" x14ac:dyDescent="0.35">
      <c r="A108" s="78" t="str">
        <f>IF(Quotes!A99="","",HYPERLINK("#'Quotes'!A99",Quotes!A99))</f>
        <v/>
      </c>
      <c r="B108" s="39"/>
      <c r="C108" s="39"/>
      <c r="D108" s="40" t="str">
        <f>IF(Quotes!A99="","",Quotes!U99&amp;" | "&amp;Quotes!Z99)</f>
        <v/>
      </c>
      <c r="E108" s="39"/>
      <c r="F108" s="39"/>
      <c r="G108" s="39"/>
      <c r="H108" s="39"/>
      <c r="I108" s="39"/>
      <c r="J108" s="39"/>
      <c r="K108" s="39"/>
      <c r="L108" s="39"/>
      <c r="M108" s="77" t="str">
        <f>IF(Quotes!A99="","",IF(Quotes!F99="","",Quotes!F99))</f>
        <v/>
      </c>
      <c r="N108" s="39"/>
      <c r="O108" s="39"/>
      <c r="P108" s="76" t="str">
        <f>IF(Quotes!A99="","",IF(Quotes!AB99="","",Quotes!AB99))</f>
        <v/>
      </c>
      <c r="Q108" s="39"/>
      <c r="R108" s="39"/>
      <c r="S108" s="76" t="str">
        <f>IF(Quotes!A99="","",IF(Quotes!AD99="","",Quotes!AD99))</f>
        <v/>
      </c>
      <c r="T108" s="39"/>
      <c r="U108" s="76" t="str">
        <f>IF(Quotes!A99="","",IF(Quotes!AF99="","",Quotes!AF99))</f>
        <v/>
      </c>
      <c r="V108" s="39"/>
    </row>
    <row r="109" spans="1:22" ht="42" hidden="1" customHeight="1" x14ac:dyDescent="0.35">
      <c r="A109" s="78" t="str">
        <f>IF(Quotes!A100="","",HYPERLINK("#'Quotes'!A100",Quotes!A100))</f>
        <v/>
      </c>
      <c r="B109" s="39"/>
      <c r="C109" s="39"/>
      <c r="D109" s="40" t="str">
        <f>IF(Quotes!A100="","",Quotes!U100&amp;" | "&amp;Quotes!Z100)</f>
        <v/>
      </c>
      <c r="E109" s="39"/>
      <c r="F109" s="39"/>
      <c r="G109" s="39"/>
      <c r="H109" s="39"/>
      <c r="I109" s="39"/>
      <c r="J109" s="39"/>
      <c r="K109" s="39"/>
      <c r="L109" s="39"/>
      <c r="M109" s="77" t="str">
        <f>IF(Quotes!A100="","",IF(Quotes!F100="","",Quotes!F100))</f>
        <v/>
      </c>
      <c r="N109" s="39"/>
      <c r="O109" s="39"/>
      <c r="P109" s="76" t="str">
        <f>IF(Quotes!A100="","",IF(Quotes!AB100="","",Quotes!AB100))</f>
        <v/>
      </c>
      <c r="Q109" s="39"/>
      <c r="R109" s="39"/>
      <c r="S109" s="76" t="str">
        <f>IF(Quotes!A100="","",IF(Quotes!AD100="","",Quotes!AD100))</f>
        <v/>
      </c>
      <c r="T109" s="39"/>
      <c r="U109" s="76" t="str">
        <f>IF(Quotes!A100="","",IF(Quotes!AF100="","",Quotes!AF100))</f>
        <v/>
      </c>
      <c r="V109" s="39"/>
    </row>
    <row r="110" spans="1:22" ht="42" hidden="1" customHeight="1" x14ac:dyDescent="0.35">
      <c r="A110" s="78" t="str">
        <f>IF(Quotes!A101="","",HYPERLINK("#'Quotes'!A101",Quotes!A101))</f>
        <v/>
      </c>
      <c r="B110" s="39"/>
      <c r="C110" s="39"/>
      <c r="D110" s="40" t="str">
        <f>IF(Quotes!A101="","",Quotes!U101&amp;" | "&amp;Quotes!Z101)</f>
        <v/>
      </c>
      <c r="E110" s="39"/>
      <c r="F110" s="39"/>
      <c r="G110" s="39"/>
      <c r="H110" s="39"/>
      <c r="I110" s="39"/>
      <c r="J110" s="39"/>
      <c r="K110" s="39"/>
      <c r="L110" s="39"/>
      <c r="M110" s="77" t="str">
        <f>IF(Quotes!A101="","",IF(Quotes!F101="","",Quotes!F101))</f>
        <v/>
      </c>
      <c r="N110" s="39"/>
      <c r="O110" s="39"/>
      <c r="P110" s="76" t="str">
        <f>IF(Quotes!A101="","",IF(Quotes!AB101="","",Quotes!AB101))</f>
        <v/>
      </c>
      <c r="Q110" s="39"/>
      <c r="R110" s="39"/>
      <c r="S110" s="76" t="str">
        <f>IF(Quotes!A101="","",IF(Quotes!AD101="","",Quotes!AD101))</f>
        <v/>
      </c>
      <c r="T110" s="39"/>
      <c r="U110" s="76" t="str">
        <f>IF(Quotes!A101="","",IF(Quotes!AF101="","",Quotes!AF101))</f>
        <v/>
      </c>
      <c r="V110" s="39"/>
    </row>
    <row r="111" spans="1:22" ht="42" hidden="1" customHeight="1" x14ac:dyDescent="0.35">
      <c r="A111" s="78" t="str">
        <f>IF(Quotes!A102="","",HYPERLINK("#'Quotes'!A102",Quotes!A102))</f>
        <v/>
      </c>
      <c r="B111" s="39"/>
      <c r="C111" s="39"/>
      <c r="D111" s="40" t="str">
        <f>IF(Quotes!A102="","",Quotes!U102&amp;" | "&amp;Quotes!Z102)</f>
        <v/>
      </c>
      <c r="E111" s="39"/>
      <c r="F111" s="39"/>
      <c r="G111" s="39"/>
      <c r="H111" s="39"/>
      <c r="I111" s="39"/>
      <c r="J111" s="39"/>
      <c r="K111" s="39"/>
      <c r="L111" s="39"/>
      <c r="M111" s="77" t="str">
        <f>IF(Quotes!A102="","",IF(Quotes!F102="","",Quotes!F102))</f>
        <v/>
      </c>
      <c r="N111" s="39"/>
      <c r="O111" s="39"/>
      <c r="P111" s="76" t="str">
        <f>IF(Quotes!A102="","",IF(Quotes!AB102="","",Quotes!AB102))</f>
        <v/>
      </c>
      <c r="Q111" s="39"/>
      <c r="R111" s="39"/>
      <c r="S111" s="76" t="str">
        <f>IF(Quotes!A102="","",IF(Quotes!AD102="","",Quotes!AD102))</f>
        <v/>
      </c>
      <c r="T111" s="39"/>
      <c r="U111" s="76" t="str">
        <f>IF(Quotes!A102="","",IF(Quotes!AF102="","",Quotes!AF102))</f>
        <v/>
      </c>
      <c r="V111" s="39"/>
    </row>
    <row r="112" spans="1:22" ht="42" hidden="1" customHeight="1" x14ac:dyDescent="0.35">
      <c r="A112" s="78" t="str">
        <f>IF(Quotes!A103="","",HYPERLINK("#'Quotes'!A103",Quotes!A103))</f>
        <v/>
      </c>
      <c r="B112" s="39"/>
      <c r="C112" s="39"/>
      <c r="D112" s="40" t="str">
        <f>IF(Quotes!A103="","",Quotes!U103&amp;" | "&amp;Quotes!Z103)</f>
        <v/>
      </c>
      <c r="E112" s="39"/>
      <c r="F112" s="39"/>
      <c r="G112" s="39"/>
      <c r="H112" s="39"/>
      <c r="I112" s="39"/>
      <c r="J112" s="39"/>
      <c r="K112" s="39"/>
      <c r="L112" s="39"/>
      <c r="M112" s="77" t="str">
        <f>IF(Quotes!A103="","",IF(Quotes!F103="","",Quotes!F103))</f>
        <v/>
      </c>
      <c r="N112" s="39"/>
      <c r="O112" s="39"/>
      <c r="P112" s="76" t="str">
        <f>IF(Quotes!A103="","",IF(Quotes!AB103="","",Quotes!AB103))</f>
        <v/>
      </c>
      <c r="Q112" s="39"/>
      <c r="R112" s="39"/>
      <c r="S112" s="76" t="str">
        <f>IF(Quotes!A103="","",IF(Quotes!AD103="","",Quotes!AD103))</f>
        <v/>
      </c>
      <c r="T112" s="39"/>
      <c r="U112" s="76" t="str">
        <f>IF(Quotes!A103="","",IF(Quotes!AF103="","",Quotes!AF103))</f>
        <v/>
      </c>
      <c r="V112" s="39"/>
    </row>
    <row r="113" spans="1:22" ht="42" hidden="1" customHeight="1" x14ac:dyDescent="0.35">
      <c r="A113" s="78" t="str">
        <f>IF(Quotes!A104="","",HYPERLINK("#'Quotes'!A104",Quotes!A104))</f>
        <v/>
      </c>
      <c r="B113" s="39"/>
      <c r="C113" s="39"/>
      <c r="D113" s="40" t="str">
        <f>IF(Quotes!A104="","",Quotes!U104&amp;" | "&amp;Quotes!Z104)</f>
        <v/>
      </c>
      <c r="E113" s="39"/>
      <c r="F113" s="39"/>
      <c r="G113" s="39"/>
      <c r="H113" s="39"/>
      <c r="I113" s="39"/>
      <c r="J113" s="39"/>
      <c r="K113" s="39"/>
      <c r="L113" s="39"/>
      <c r="M113" s="77" t="str">
        <f>IF(Quotes!A104="","",IF(Quotes!F104="","",Quotes!F104))</f>
        <v/>
      </c>
      <c r="N113" s="39"/>
      <c r="O113" s="39"/>
      <c r="P113" s="76" t="str">
        <f>IF(Quotes!A104="","",IF(Quotes!AB104="","",Quotes!AB104))</f>
        <v/>
      </c>
      <c r="Q113" s="39"/>
      <c r="R113" s="39"/>
      <c r="S113" s="76" t="str">
        <f>IF(Quotes!A104="","",IF(Quotes!AD104="","",Quotes!AD104))</f>
        <v/>
      </c>
      <c r="T113" s="39"/>
      <c r="U113" s="76" t="str">
        <f>IF(Quotes!A104="","",IF(Quotes!AF104="","",Quotes!AF104))</f>
        <v/>
      </c>
      <c r="V113" s="39"/>
    </row>
    <row r="114" spans="1:22" ht="42" hidden="1" customHeight="1" x14ac:dyDescent="0.35">
      <c r="A114" s="78" t="str">
        <f>IF(Quotes!A105="","",HYPERLINK("#'Quotes'!A105",Quotes!A105))</f>
        <v/>
      </c>
      <c r="B114" s="39"/>
      <c r="C114" s="39"/>
      <c r="D114" s="40" t="str">
        <f>IF(Quotes!A105="","",Quotes!U105&amp;" | "&amp;Quotes!Z105)</f>
        <v/>
      </c>
      <c r="E114" s="39"/>
      <c r="F114" s="39"/>
      <c r="G114" s="39"/>
      <c r="H114" s="39"/>
      <c r="I114" s="39"/>
      <c r="J114" s="39"/>
      <c r="K114" s="39"/>
      <c r="L114" s="39"/>
      <c r="M114" s="77" t="str">
        <f>IF(Quotes!A105="","",IF(Quotes!F105="","",Quotes!F105))</f>
        <v/>
      </c>
      <c r="N114" s="39"/>
      <c r="O114" s="39"/>
      <c r="P114" s="76" t="str">
        <f>IF(Quotes!A105="","",IF(Quotes!AB105="","",Quotes!AB105))</f>
        <v/>
      </c>
      <c r="Q114" s="39"/>
      <c r="R114" s="39"/>
      <c r="S114" s="76" t="str">
        <f>IF(Quotes!A105="","",IF(Quotes!AD105="","",Quotes!AD105))</f>
        <v/>
      </c>
      <c r="T114" s="39"/>
      <c r="U114" s="76" t="str">
        <f>IF(Quotes!A105="","",IF(Quotes!AF105="","",Quotes!AF105))</f>
        <v/>
      </c>
      <c r="V114" s="39"/>
    </row>
    <row r="115" spans="1:22" ht="42" hidden="1" customHeight="1" x14ac:dyDescent="0.35">
      <c r="A115" s="78" t="str">
        <f>IF(Quotes!A106="","",HYPERLINK("#'Quotes'!A106",Quotes!A106))</f>
        <v/>
      </c>
      <c r="B115" s="39"/>
      <c r="C115" s="39"/>
      <c r="D115" s="40" t="str">
        <f>IF(Quotes!A106="","",Quotes!U106&amp;" | "&amp;Quotes!Z106)</f>
        <v/>
      </c>
      <c r="E115" s="39"/>
      <c r="F115" s="39"/>
      <c r="G115" s="39"/>
      <c r="H115" s="39"/>
      <c r="I115" s="39"/>
      <c r="J115" s="39"/>
      <c r="K115" s="39"/>
      <c r="L115" s="39"/>
      <c r="M115" s="77" t="str">
        <f>IF(Quotes!A106="","",IF(Quotes!F106="","",Quotes!F106))</f>
        <v/>
      </c>
      <c r="N115" s="39"/>
      <c r="O115" s="39"/>
      <c r="P115" s="76" t="str">
        <f>IF(Quotes!A106="","",IF(Quotes!AB106="","",Quotes!AB106))</f>
        <v/>
      </c>
      <c r="Q115" s="39"/>
      <c r="R115" s="39"/>
      <c r="S115" s="76" t="str">
        <f>IF(Quotes!A106="","",IF(Quotes!AD106="","",Quotes!AD106))</f>
        <v/>
      </c>
      <c r="T115" s="39"/>
      <c r="U115" s="76" t="str">
        <f>IF(Quotes!A106="","",IF(Quotes!AF106="","",Quotes!AF106))</f>
        <v/>
      </c>
      <c r="V115" s="39"/>
    </row>
    <row r="116" spans="1:22" ht="42" hidden="1" customHeight="1" x14ac:dyDescent="0.35">
      <c r="A116" s="78" t="str">
        <f>IF(Quotes!A107="","",HYPERLINK("#'Quotes'!A107",Quotes!A107))</f>
        <v/>
      </c>
      <c r="B116" s="39"/>
      <c r="C116" s="39"/>
      <c r="D116" s="40" t="str">
        <f>IF(Quotes!A107="","",Quotes!U107&amp;" | "&amp;Quotes!Z107)</f>
        <v/>
      </c>
      <c r="E116" s="39"/>
      <c r="F116" s="39"/>
      <c r="G116" s="39"/>
      <c r="H116" s="39"/>
      <c r="I116" s="39"/>
      <c r="J116" s="39"/>
      <c r="K116" s="39"/>
      <c r="L116" s="39"/>
      <c r="M116" s="77" t="str">
        <f>IF(Quotes!A107="","",IF(Quotes!F107="","",Quotes!F107))</f>
        <v/>
      </c>
      <c r="N116" s="39"/>
      <c r="O116" s="39"/>
      <c r="P116" s="76" t="str">
        <f>IF(Quotes!A107="","",IF(Quotes!AB107="","",Quotes!AB107))</f>
        <v/>
      </c>
      <c r="Q116" s="39"/>
      <c r="R116" s="39"/>
      <c r="S116" s="76" t="str">
        <f>IF(Quotes!A107="","",IF(Quotes!AD107="","",Quotes!AD107))</f>
        <v/>
      </c>
      <c r="T116" s="39"/>
      <c r="U116" s="76" t="str">
        <f>IF(Quotes!A107="","",IF(Quotes!AF107="","",Quotes!AF107))</f>
        <v/>
      </c>
      <c r="V116" s="39"/>
    </row>
    <row r="117" spans="1:22" ht="42" hidden="1" customHeight="1" x14ac:dyDescent="0.35">
      <c r="A117" s="78" t="str">
        <f>IF(Quotes!A108="","",HYPERLINK("#'Quotes'!A108",Quotes!A108))</f>
        <v/>
      </c>
      <c r="B117" s="39"/>
      <c r="C117" s="39"/>
      <c r="D117" s="40" t="str">
        <f>IF(Quotes!A108="","",Quotes!U108&amp;" | "&amp;Quotes!Z108)</f>
        <v/>
      </c>
      <c r="E117" s="39"/>
      <c r="F117" s="39"/>
      <c r="G117" s="39"/>
      <c r="H117" s="39"/>
      <c r="I117" s="39"/>
      <c r="J117" s="39"/>
      <c r="K117" s="39"/>
      <c r="L117" s="39"/>
      <c r="M117" s="77" t="str">
        <f>IF(Quotes!A108="","",IF(Quotes!F108="","",Quotes!F108))</f>
        <v/>
      </c>
      <c r="N117" s="39"/>
      <c r="O117" s="39"/>
      <c r="P117" s="76" t="str">
        <f>IF(Quotes!A108="","",IF(Quotes!AB108="","",Quotes!AB108))</f>
        <v/>
      </c>
      <c r="Q117" s="39"/>
      <c r="R117" s="39"/>
      <c r="S117" s="76" t="str">
        <f>IF(Quotes!A108="","",IF(Quotes!AD108="","",Quotes!AD108))</f>
        <v/>
      </c>
      <c r="T117" s="39"/>
      <c r="U117" s="76" t="str">
        <f>IF(Quotes!A108="","",IF(Quotes!AF108="","",Quotes!AF108))</f>
        <v/>
      </c>
      <c r="V117" s="39"/>
    </row>
    <row r="118" spans="1:22" ht="42" hidden="1" customHeight="1" x14ac:dyDescent="0.35">
      <c r="A118" s="78" t="str">
        <f>IF(Quotes!A109="","",HYPERLINK("#'Quotes'!A109",Quotes!A109))</f>
        <v/>
      </c>
      <c r="B118" s="39"/>
      <c r="C118" s="39"/>
      <c r="D118" s="40" t="str">
        <f>IF(Quotes!A109="","",Quotes!U109&amp;" | "&amp;Quotes!Z109)</f>
        <v/>
      </c>
      <c r="E118" s="39"/>
      <c r="F118" s="39"/>
      <c r="G118" s="39"/>
      <c r="H118" s="39"/>
      <c r="I118" s="39"/>
      <c r="J118" s="39"/>
      <c r="K118" s="39"/>
      <c r="L118" s="39"/>
      <c r="M118" s="77" t="str">
        <f>IF(Quotes!A109="","",IF(Quotes!F109="","",Quotes!F109))</f>
        <v/>
      </c>
      <c r="N118" s="39"/>
      <c r="O118" s="39"/>
      <c r="P118" s="76" t="str">
        <f>IF(Quotes!A109="","",IF(Quotes!AB109="","",Quotes!AB109))</f>
        <v/>
      </c>
      <c r="Q118" s="39"/>
      <c r="R118" s="39"/>
      <c r="S118" s="76" t="str">
        <f>IF(Quotes!A109="","",IF(Quotes!AD109="","",Quotes!AD109))</f>
        <v/>
      </c>
      <c r="T118" s="39"/>
      <c r="U118" s="76" t="str">
        <f>IF(Quotes!A109="","",IF(Quotes!AF109="","",Quotes!AF109))</f>
        <v/>
      </c>
      <c r="V118" s="39"/>
    </row>
    <row r="119" spans="1:22" ht="42" hidden="1" customHeight="1" x14ac:dyDescent="0.35">
      <c r="A119" s="78" t="str">
        <f>IF(Quotes!A110="","",HYPERLINK("#'Quotes'!A110",Quotes!A110))</f>
        <v/>
      </c>
      <c r="B119" s="39"/>
      <c r="C119" s="39"/>
      <c r="D119" s="40" t="str">
        <f>IF(Quotes!A110="","",Quotes!U110&amp;" | "&amp;Quotes!Z110)</f>
        <v/>
      </c>
      <c r="E119" s="39"/>
      <c r="F119" s="39"/>
      <c r="G119" s="39"/>
      <c r="H119" s="39"/>
      <c r="I119" s="39"/>
      <c r="J119" s="39"/>
      <c r="K119" s="39"/>
      <c r="L119" s="39"/>
      <c r="M119" s="77" t="str">
        <f>IF(Quotes!A110="","",IF(Quotes!F110="","",Quotes!F110))</f>
        <v/>
      </c>
      <c r="N119" s="39"/>
      <c r="O119" s="39"/>
      <c r="P119" s="76" t="str">
        <f>IF(Quotes!A110="","",IF(Quotes!AB110="","",Quotes!AB110))</f>
        <v/>
      </c>
      <c r="Q119" s="39"/>
      <c r="R119" s="39"/>
      <c r="S119" s="76" t="str">
        <f>IF(Quotes!A110="","",IF(Quotes!AD110="","",Quotes!AD110))</f>
        <v/>
      </c>
      <c r="T119" s="39"/>
      <c r="U119" s="76" t="str">
        <f>IF(Quotes!A110="","",IF(Quotes!AF110="","",Quotes!AF110))</f>
        <v/>
      </c>
      <c r="V119" s="39"/>
    </row>
    <row r="120" spans="1:22" ht="42" hidden="1" customHeight="1" x14ac:dyDescent="0.35">
      <c r="A120" s="78" t="str">
        <f>IF(Quotes!A111="","",HYPERLINK("#'Quotes'!A111",Quotes!A111))</f>
        <v/>
      </c>
      <c r="B120" s="39"/>
      <c r="C120" s="39"/>
      <c r="D120" s="40" t="str">
        <f>IF(Quotes!A111="","",Quotes!U111&amp;" | "&amp;Quotes!Z111)</f>
        <v/>
      </c>
      <c r="E120" s="39"/>
      <c r="F120" s="39"/>
      <c r="G120" s="39"/>
      <c r="H120" s="39"/>
      <c r="I120" s="39"/>
      <c r="J120" s="39"/>
      <c r="K120" s="39"/>
      <c r="L120" s="39"/>
      <c r="M120" s="77" t="str">
        <f>IF(Quotes!A111="","",IF(Quotes!F111="","",Quotes!F111))</f>
        <v/>
      </c>
      <c r="N120" s="39"/>
      <c r="O120" s="39"/>
      <c r="P120" s="76" t="str">
        <f>IF(Quotes!A111="","",IF(Quotes!AB111="","",Quotes!AB111))</f>
        <v/>
      </c>
      <c r="Q120" s="39"/>
      <c r="R120" s="39"/>
      <c r="S120" s="76" t="str">
        <f>IF(Quotes!A111="","",IF(Quotes!AD111="","",Quotes!AD111))</f>
        <v/>
      </c>
      <c r="T120" s="39"/>
      <c r="U120" s="76" t="str">
        <f>IF(Quotes!A111="","",IF(Quotes!AF111="","",Quotes!AF111))</f>
        <v/>
      </c>
      <c r="V120" s="39"/>
    </row>
    <row r="121" spans="1:22" ht="42" hidden="1" customHeight="1" x14ac:dyDescent="0.35">
      <c r="A121" s="78" t="str">
        <f>IF(Quotes!A112="","",HYPERLINK("#'Quotes'!A112",Quotes!A112))</f>
        <v/>
      </c>
      <c r="B121" s="39"/>
      <c r="C121" s="39"/>
      <c r="D121" s="40" t="str">
        <f>IF(Quotes!A112="","",Quotes!U112&amp;" | "&amp;Quotes!Z112)</f>
        <v/>
      </c>
      <c r="E121" s="39"/>
      <c r="F121" s="39"/>
      <c r="G121" s="39"/>
      <c r="H121" s="39"/>
      <c r="I121" s="39"/>
      <c r="J121" s="39"/>
      <c r="K121" s="39"/>
      <c r="L121" s="39"/>
      <c r="M121" s="77" t="str">
        <f>IF(Quotes!A112="","",IF(Quotes!F112="","",Quotes!F112))</f>
        <v/>
      </c>
      <c r="N121" s="39"/>
      <c r="O121" s="39"/>
      <c r="P121" s="76" t="str">
        <f>IF(Quotes!A112="","",IF(Quotes!AB112="","",Quotes!AB112))</f>
        <v/>
      </c>
      <c r="Q121" s="39"/>
      <c r="R121" s="39"/>
      <c r="S121" s="76" t="str">
        <f>IF(Quotes!A112="","",IF(Quotes!AD112="","",Quotes!AD112))</f>
        <v/>
      </c>
      <c r="T121" s="39"/>
      <c r="U121" s="76" t="str">
        <f>IF(Quotes!A112="","",IF(Quotes!AF112="","",Quotes!AF112))</f>
        <v/>
      </c>
      <c r="V121" s="39"/>
    </row>
    <row r="122" spans="1:22" ht="42" hidden="1" customHeight="1" x14ac:dyDescent="0.35">
      <c r="A122" s="78" t="str">
        <f>IF(Quotes!A113="","",HYPERLINK("#'Quotes'!A113",Quotes!A113))</f>
        <v/>
      </c>
      <c r="B122" s="39"/>
      <c r="C122" s="39"/>
      <c r="D122" s="40" t="str">
        <f>IF(Quotes!A113="","",Quotes!U113&amp;" | "&amp;Quotes!Z113)</f>
        <v/>
      </c>
      <c r="E122" s="39"/>
      <c r="F122" s="39"/>
      <c r="G122" s="39"/>
      <c r="H122" s="39"/>
      <c r="I122" s="39"/>
      <c r="J122" s="39"/>
      <c r="K122" s="39"/>
      <c r="L122" s="39"/>
      <c r="M122" s="77" t="str">
        <f>IF(Quotes!A113="","",IF(Quotes!F113="","",Quotes!F113))</f>
        <v/>
      </c>
      <c r="N122" s="39"/>
      <c r="O122" s="39"/>
      <c r="P122" s="76" t="str">
        <f>IF(Quotes!A113="","",IF(Quotes!AB113="","",Quotes!AB113))</f>
        <v/>
      </c>
      <c r="Q122" s="39"/>
      <c r="R122" s="39"/>
      <c r="S122" s="76" t="str">
        <f>IF(Quotes!A113="","",IF(Quotes!AD113="","",Quotes!AD113))</f>
        <v/>
      </c>
      <c r="T122" s="39"/>
      <c r="U122" s="76" t="str">
        <f>IF(Quotes!A113="","",IF(Quotes!AF113="","",Quotes!AF113))</f>
        <v/>
      </c>
      <c r="V122" s="39"/>
    </row>
    <row r="123" spans="1:22" ht="42" hidden="1" customHeight="1" x14ac:dyDescent="0.35">
      <c r="A123" s="78" t="str">
        <f>IF(Quotes!A114="","",HYPERLINK("#'Quotes'!A114",Quotes!A114))</f>
        <v/>
      </c>
      <c r="B123" s="39"/>
      <c r="C123" s="39"/>
      <c r="D123" s="40" t="str">
        <f>IF(Quotes!A114="","",Quotes!U114&amp;" | "&amp;Quotes!Z114)</f>
        <v/>
      </c>
      <c r="E123" s="39"/>
      <c r="F123" s="39"/>
      <c r="G123" s="39"/>
      <c r="H123" s="39"/>
      <c r="I123" s="39"/>
      <c r="J123" s="39"/>
      <c r="K123" s="39"/>
      <c r="L123" s="39"/>
      <c r="M123" s="77" t="str">
        <f>IF(Quotes!A114="","",IF(Quotes!F114="","",Quotes!F114))</f>
        <v/>
      </c>
      <c r="N123" s="39"/>
      <c r="O123" s="39"/>
      <c r="P123" s="76" t="str">
        <f>IF(Quotes!A114="","",IF(Quotes!AB114="","",Quotes!AB114))</f>
        <v/>
      </c>
      <c r="Q123" s="39"/>
      <c r="R123" s="39"/>
      <c r="S123" s="76" t="str">
        <f>IF(Quotes!A114="","",IF(Quotes!AD114="","",Quotes!AD114))</f>
        <v/>
      </c>
      <c r="T123" s="39"/>
      <c r="U123" s="76" t="str">
        <f>IF(Quotes!A114="","",IF(Quotes!AF114="","",Quotes!AF114))</f>
        <v/>
      </c>
      <c r="V123" s="39"/>
    </row>
    <row r="124" spans="1:22" ht="42" hidden="1" customHeight="1" x14ac:dyDescent="0.35">
      <c r="A124" s="78" t="str">
        <f>IF(Quotes!A115="","",HYPERLINK("#'Quotes'!A115",Quotes!A115))</f>
        <v/>
      </c>
      <c r="B124" s="39"/>
      <c r="C124" s="39"/>
      <c r="D124" s="40" t="str">
        <f>IF(Quotes!A115="","",Quotes!U115&amp;" | "&amp;Quotes!Z115)</f>
        <v/>
      </c>
      <c r="E124" s="39"/>
      <c r="F124" s="39"/>
      <c r="G124" s="39"/>
      <c r="H124" s="39"/>
      <c r="I124" s="39"/>
      <c r="J124" s="39"/>
      <c r="K124" s="39"/>
      <c r="L124" s="39"/>
      <c r="M124" s="77" t="str">
        <f>IF(Quotes!A115="","",IF(Quotes!F115="","",Quotes!F115))</f>
        <v/>
      </c>
      <c r="N124" s="39"/>
      <c r="O124" s="39"/>
      <c r="P124" s="76" t="str">
        <f>IF(Quotes!A115="","",IF(Quotes!AB115="","",Quotes!AB115))</f>
        <v/>
      </c>
      <c r="Q124" s="39"/>
      <c r="R124" s="39"/>
      <c r="S124" s="76" t="str">
        <f>IF(Quotes!A115="","",IF(Quotes!AD115="","",Quotes!AD115))</f>
        <v/>
      </c>
      <c r="T124" s="39"/>
      <c r="U124" s="76" t="str">
        <f>IF(Quotes!A115="","",IF(Quotes!AF115="","",Quotes!AF115))</f>
        <v/>
      </c>
      <c r="V124" s="39"/>
    </row>
    <row r="125" spans="1:22" ht="42" hidden="1" customHeight="1" x14ac:dyDescent="0.35">
      <c r="A125" s="78" t="str">
        <f>IF(Quotes!A116="","",HYPERLINK("#'Quotes'!A116",Quotes!A116))</f>
        <v/>
      </c>
      <c r="B125" s="39"/>
      <c r="C125" s="39"/>
      <c r="D125" s="40" t="str">
        <f>IF(Quotes!A116="","",Quotes!U116&amp;" | "&amp;Quotes!Z116)</f>
        <v/>
      </c>
      <c r="E125" s="39"/>
      <c r="F125" s="39"/>
      <c r="G125" s="39"/>
      <c r="H125" s="39"/>
      <c r="I125" s="39"/>
      <c r="J125" s="39"/>
      <c r="K125" s="39"/>
      <c r="L125" s="39"/>
      <c r="M125" s="77" t="str">
        <f>IF(Quotes!A116="","",IF(Quotes!F116="","",Quotes!F116))</f>
        <v/>
      </c>
      <c r="N125" s="39"/>
      <c r="O125" s="39"/>
      <c r="P125" s="76" t="str">
        <f>IF(Quotes!A116="","",IF(Quotes!AB116="","",Quotes!AB116))</f>
        <v/>
      </c>
      <c r="Q125" s="39"/>
      <c r="R125" s="39"/>
      <c r="S125" s="76" t="str">
        <f>IF(Quotes!A116="","",IF(Quotes!AD116="","",Quotes!AD116))</f>
        <v/>
      </c>
      <c r="T125" s="39"/>
      <c r="U125" s="76" t="str">
        <f>IF(Quotes!A116="","",IF(Quotes!AF116="","",Quotes!AF116))</f>
        <v/>
      </c>
      <c r="V125" s="39"/>
    </row>
    <row r="126" spans="1:22" ht="42" hidden="1" customHeight="1" x14ac:dyDescent="0.35">
      <c r="A126" s="78" t="str">
        <f>IF(Quotes!A117="","",HYPERLINK("#'Quotes'!A117",Quotes!A117))</f>
        <v/>
      </c>
      <c r="B126" s="39"/>
      <c r="C126" s="39"/>
      <c r="D126" s="40" t="str">
        <f>IF(Quotes!A117="","",Quotes!U117&amp;" | "&amp;Quotes!Z117)</f>
        <v/>
      </c>
      <c r="E126" s="39"/>
      <c r="F126" s="39"/>
      <c r="G126" s="39"/>
      <c r="H126" s="39"/>
      <c r="I126" s="39"/>
      <c r="J126" s="39"/>
      <c r="K126" s="39"/>
      <c r="L126" s="39"/>
      <c r="M126" s="77" t="str">
        <f>IF(Quotes!A117="","",IF(Quotes!F117="","",Quotes!F117))</f>
        <v/>
      </c>
      <c r="N126" s="39"/>
      <c r="O126" s="39"/>
      <c r="P126" s="76" t="str">
        <f>IF(Quotes!A117="","",IF(Quotes!AB117="","",Quotes!AB117))</f>
        <v/>
      </c>
      <c r="Q126" s="39"/>
      <c r="R126" s="39"/>
      <c r="S126" s="76" t="str">
        <f>IF(Quotes!A117="","",IF(Quotes!AD117="","",Quotes!AD117))</f>
        <v/>
      </c>
      <c r="T126" s="39"/>
      <c r="U126" s="76" t="str">
        <f>IF(Quotes!A117="","",IF(Quotes!AF117="","",Quotes!AF117))</f>
        <v/>
      </c>
      <c r="V126" s="39"/>
    </row>
    <row r="127" spans="1:22" ht="42" hidden="1" customHeight="1" x14ac:dyDescent="0.35">
      <c r="A127" s="78" t="str">
        <f>IF(Quotes!A118="","",HYPERLINK("#'Quotes'!A118",Quotes!A118))</f>
        <v/>
      </c>
      <c r="B127" s="39"/>
      <c r="C127" s="39"/>
      <c r="D127" s="40" t="str">
        <f>IF(Quotes!A118="","",Quotes!U118&amp;" | "&amp;Quotes!Z118)</f>
        <v/>
      </c>
      <c r="E127" s="39"/>
      <c r="F127" s="39"/>
      <c r="G127" s="39"/>
      <c r="H127" s="39"/>
      <c r="I127" s="39"/>
      <c r="J127" s="39"/>
      <c r="K127" s="39"/>
      <c r="L127" s="39"/>
      <c r="M127" s="77" t="str">
        <f>IF(Quotes!A118="","",IF(Quotes!F118="","",Quotes!F118))</f>
        <v/>
      </c>
      <c r="N127" s="39"/>
      <c r="O127" s="39"/>
      <c r="P127" s="76" t="str">
        <f>IF(Quotes!A118="","",IF(Quotes!AB118="","",Quotes!AB118))</f>
        <v/>
      </c>
      <c r="Q127" s="39"/>
      <c r="R127" s="39"/>
      <c r="S127" s="76" t="str">
        <f>IF(Quotes!A118="","",IF(Quotes!AD118="","",Quotes!AD118))</f>
        <v/>
      </c>
      <c r="T127" s="39"/>
      <c r="U127" s="76" t="str">
        <f>IF(Quotes!A118="","",IF(Quotes!AF118="","",Quotes!AF118))</f>
        <v/>
      </c>
      <c r="V127" s="39"/>
    </row>
    <row r="128" spans="1:22" ht="42" hidden="1" customHeight="1" x14ac:dyDescent="0.35">
      <c r="A128" s="78" t="str">
        <f>IF(Quotes!A119="","",HYPERLINK("#'Quotes'!A119",Quotes!A119))</f>
        <v/>
      </c>
      <c r="B128" s="39"/>
      <c r="C128" s="39"/>
      <c r="D128" s="40" t="str">
        <f>IF(Quotes!A119="","",Quotes!U119&amp;" | "&amp;Quotes!Z119)</f>
        <v/>
      </c>
      <c r="E128" s="39"/>
      <c r="F128" s="39"/>
      <c r="G128" s="39"/>
      <c r="H128" s="39"/>
      <c r="I128" s="39"/>
      <c r="J128" s="39"/>
      <c r="K128" s="39"/>
      <c r="L128" s="39"/>
      <c r="M128" s="77" t="str">
        <f>IF(Quotes!A119="","",IF(Quotes!F119="","",Quotes!F119))</f>
        <v/>
      </c>
      <c r="N128" s="39"/>
      <c r="O128" s="39"/>
      <c r="P128" s="76" t="str">
        <f>IF(Quotes!A119="","",IF(Quotes!AB119="","",Quotes!AB119))</f>
        <v/>
      </c>
      <c r="Q128" s="39"/>
      <c r="R128" s="39"/>
      <c r="S128" s="76" t="str">
        <f>IF(Quotes!A119="","",IF(Quotes!AD119="","",Quotes!AD119))</f>
        <v/>
      </c>
      <c r="T128" s="39"/>
      <c r="U128" s="76" t="str">
        <f>IF(Quotes!A119="","",IF(Quotes!AF119="","",Quotes!AF119))</f>
        <v/>
      </c>
      <c r="V128" s="39"/>
    </row>
    <row r="129" spans="1:22" ht="42" hidden="1" customHeight="1" x14ac:dyDescent="0.35">
      <c r="A129" s="78" t="str">
        <f>IF(Quotes!A120="","",HYPERLINK("#'Quotes'!A120",Quotes!A120))</f>
        <v/>
      </c>
      <c r="B129" s="39"/>
      <c r="C129" s="39"/>
      <c r="D129" s="40" t="str">
        <f>IF(Quotes!A120="","",Quotes!U120&amp;" | "&amp;Quotes!Z120)</f>
        <v/>
      </c>
      <c r="E129" s="39"/>
      <c r="F129" s="39"/>
      <c r="G129" s="39"/>
      <c r="H129" s="39"/>
      <c r="I129" s="39"/>
      <c r="J129" s="39"/>
      <c r="K129" s="39"/>
      <c r="L129" s="39"/>
      <c r="M129" s="77" t="str">
        <f>IF(Quotes!A120="","",IF(Quotes!F120="","",Quotes!F120))</f>
        <v/>
      </c>
      <c r="N129" s="39"/>
      <c r="O129" s="39"/>
      <c r="P129" s="76" t="str">
        <f>IF(Quotes!A120="","",IF(Quotes!AB120="","",Quotes!AB120))</f>
        <v/>
      </c>
      <c r="Q129" s="39"/>
      <c r="R129" s="39"/>
      <c r="S129" s="76" t="str">
        <f>IF(Quotes!A120="","",IF(Quotes!AD120="","",Quotes!AD120))</f>
        <v/>
      </c>
      <c r="T129" s="39"/>
      <c r="U129" s="76" t="str">
        <f>IF(Quotes!A120="","",IF(Quotes!AF120="","",Quotes!AF120))</f>
        <v/>
      </c>
      <c r="V129" s="39"/>
    </row>
    <row r="130" spans="1:22" ht="42" hidden="1" customHeight="1" x14ac:dyDescent="0.35">
      <c r="A130" s="78" t="str">
        <f>IF(Quotes!A121="","",HYPERLINK("#'Quotes'!A121",Quotes!A121))</f>
        <v/>
      </c>
      <c r="B130" s="39"/>
      <c r="C130" s="39"/>
      <c r="D130" s="40" t="str">
        <f>IF(Quotes!A121="","",Quotes!U121&amp;" | "&amp;Quotes!Z121)</f>
        <v/>
      </c>
      <c r="E130" s="39"/>
      <c r="F130" s="39"/>
      <c r="G130" s="39"/>
      <c r="H130" s="39"/>
      <c r="I130" s="39"/>
      <c r="J130" s="39"/>
      <c r="K130" s="39"/>
      <c r="L130" s="39"/>
      <c r="M130" s="77" t="str">
        <f>IF(Quotes!A121="","",IF(Quotes!F121="","",Quotes!F121))</f>
        <v/>
      </c>
      <c r="N130" s="39"/>
      <c r="O130" s="39"/>
      <c r="P130" s="76" t="str">
        <f>IF(Quotes!A121="","",IF(Quotes!AB121="","",Quotes!AB121))</f>
        <v/>
      </c>
      <c r="Q130" s="39"/>
      <c r="R130" s="39"/>
      <c r="S130" s="76" t="str">
        <f>IF(Quotes!A121="","",IF(Quotes!AD121="","",Quotes!AD121))</f>
        <v/>
      </c>
      <c r="T130" s="39"/>
      <c r="U130" s="76" t="str">
        <f>IF(Quotes!A121="","",IF(Quotes!AF121="","",Quotes!AF121))</f>
        <v/>
      </c>
      <c r="V130" s="39"/>
    </row>
    <row r="131" spans="1:22" ht="42" hidden="1" customHeight="1" x14ac:dyDescent="0.35">
      <c r="A131" s="78" t="str">
        <f>IF(Quotes!A122="","",HYPERLINK("#'Quotes'!A122",Quotes!A122))</f>
        <v/>
      </c>
      <c r="B131" s="39"/>
      <c r="C131" s="39"/>
      <c r="D131" s="40" t="str">
        <f>IF(Quotes!A122="","",Quotes!U122&amp;" | "&amp;Quotes!Z122)</f>
        <v/>
      </c>
      <c r="E131" s="39"/>
      <c r="F131" s="39"/>
      <c r="G131" s="39"/>
      <c r="H131" s="39"/>
      <c r="I131" s="39"/>
      <c r="J131" s="39"/>
      <c r="K131" s="39"/>
      <c r="L131" s="39"/>
      <c r="M131" s="77" t="str">
        <f>IF(Quotes!A122="","",IF(Quotes!F122="","",Quotes!F122))</f>
        <v/>
      </c>
      <c r="N131" s="39"/>
      <c r="O131" s="39"/>
      <c r="P131" s="76" t="str">
        <f>IF(Quotes!A122="","",IF(Quotes!AB122="","",Quotes!AB122))</f>
        <v/>
      </c>
      <c r="Q131" s="39"/>
      <c r="R131" s="39"/>
      <c r="S131" s="76" t="str">
        <f>IF(Quotes!A122="","",IF(Quotes!AD122="","",Quotes!AD122))</f>
        <v/>
      </c>
      <c r="T131" s="39"/>
      <c r="U131" s="76" t="str">
        <f>IF(Quotes!A122="","",IF(Quotes!AF122="","",Quotes!AF122))</f>
        <v/>
      </c>
      <c r="V131" s="39"/>
    </row>
    <row r="132" spans="1:22" ht="42" hidden="1" customHeight="1" x14ac:dyDescent="0.35">
      <c r="A132" s="78" t="str">
        <f>IF(Quotes!A123="","",HYPERLINK("#'Quotes'!A123",Quotes!A123))</f>
        <v/>
      </c>
      <c r="B132" s="39"/>
      <c r="C132" s="39"/>
      <c r="D132" s="40" t="str">
        <f>IF(Quotes!A123="","",Quotes!U123&amp;" | "&amp;Quotes!Z123)</f>
        <v/>
      </c>
      <c r="E132" s="39"/>
      <c r="F132" s="39"/>
      <c r="G132" s="39"/>
      <c r="H132" s="39"/>
      <c r="I132" s="39"/>
      <c r="J132" s="39"/>
      <c r="K132" s="39"/>
      <c r="L132" s="39"/>
      <c r="M132" s="77" t="str">
        <f>IF(Quotes!A123="","",IF(Quotes!F123="","",Quotes!F123))</f>
        <v/>
      </c>
      <c r="N132" s="39"/>
      <c r="O132" s="39"/>
      <c r="P132" s="76" t="str">
        <f>IF(Quotes!A123="","",IF(Quotes!AB123="","",Quotes!AB123))</f>
        <v/>
      </c>
      <c r="Q132" s="39"/>
      <c r="R132" s="39"/>
      <c r="S132" s="76" t="str">
        <f>IF(Quotes!A123="","",IF(Quotes!AD123="","",Quotes!AD123))</f>
        <v/>
      </c>
      <c r="T132" s="39"/>
      <c r="U132" s="76" t="str">
        <f>IF(Quotes!A123="","",IF(Quotes!AF123="","",Quotes!AF123))</f>
        <v/>
      </c>
      <c r="V132" s="39"/>
    </row>
    <row r="133" spans="1:22" ht="42" hidden="1" customHeight="1" x14ac:dyDescent="0.35">
      <c r="A133" s="78" t="str">
        <f>IF(Quotes!A124="","",HYPERLINK("#'Quotes'!A124",Quotes!A124))</f>
        <v/>
      </c>
      <c r="B133" s="39"/>
      <c r="C133" s="39"/>
      <c r="D133" s="40" t="str">
        <f>IF(Quotes!A124="","",Quotes!U124&amp;" | "&amp;Quotes!Z124)</f>
        <v/>
      </c>
      <c r="E133" s="39"/>
      <c r="F133" s="39"/>
      <c r="G133" s="39"/>
      <c r="H133" s="39"/>
      <c r="I133" s="39"/>
      <c r="J133" s="39"/>
      <c r="K133" s="39"/>
      <c r="L133" s="39"/>
      <c r="M133" s="77" t="str">
        <f>IF(Quotes!A124="","",IF(Quotes!F124="","",Quotes!F124))</f>
        <v/>
      </c>
      <c r="N133" s="39"/>
      <c r="O133" s="39"/>
      <c r="P133" s="76" t="str">
        <f>IF(Quotes!A124="","",IF(Quotes!AB124="","",Quotes!AB124))</f>
        <v/>
      </c>
      <c r="Q133" s="39"/>
      <c r="R133" s="39"/>
      <c r="S133" s="76" t="str">
        <f>IF(Quotes!A124="","",IF(Quotes!AD124="","",Quotes!AD124))</f>
        <v/>
      </c>
      <c r="T133" s="39"/>
      <c r="U133" s="76" t="str">
        <f>IF(Quotes!A124="","",IF(Quotes!AF124="","",Quotes!AF124))</f>
        <v/>
      </c>
      <c r="V133" s="39"/>
    </row>
    <row r="134" spans="1:22" ht="42" hidden="1" customHeight="1" x14ac:dyDescent="0.35">
      <c r="A134" s="78" t="str">
        <f>IF(Quotes!A125="","",HYPERLINK("#'Quotes'!A125",Quotes!A125))</f>
        <v/>
      </c>
      <c r="B134" s="39"/>
      <c r="C134" s="39"/>
      <c r="D134" s="40" t="str">
        <f>IF(Quotes!A125="","",Quotes!U125&amp;" | "&amp;Quotes!Z125)</f>
        <v/>
      </c>
      <c r="E134" s="39"/>
      <c r="F134" s="39"/>
      <c r="G134" s="39"/>
      <c r="H134" s="39"/>
      <c r="I134" s="39"/>
      <c r="J134" s="39"/>
      <c r="K134" s="39"/>
      <c r="L134" s="39"/>
      <c r="M134" s="77" t="str">
        <f>IF(Quotes!A125="","",IF(Quotes!F125="","",Quotes!F125))</f>
        <v/>
      </c>
      <c r="N134" s="39"/>
      <c r="O134" s="39"/>
      <c r="P134" s="76" t="str">
        <f>IF(Quotes!A125="","",IF(Quotes!AB125="","",Quotes!AB125))</f>
        <v/>
      </c>
      <c r="Q134" s="39"/>
      <c r="R134" s="39"/>
      <c r="S134" s="76" t="str">
        <f>IF(Quotes!A125="","",IF(Quotes!AD125="","",Quotes!AD125))</f>
        <v/>
      </c>
      <c r="T134" s="39"/>
      <c r="U134" s="76" t="str">
        <f>IF(Quotes!A125="","",IF(Quotes!AF125="","",Quotes!AF125))</f>
        <v/>
      </c>
      <c r="V134" s="39"/>
    </row>
    <row r="135" spans="1:22" ht="42" hidden="1" customHeight="1" x14ac:dyDescent="0.35">
      <c r="A135" s="78" t="str">
        <f>IF(Quotes!A126="","",HYPERLINK("#'Quotes'!A126",Quotes!A126))</f>
        <v/>
      </c>
      <c r="B135" s="39"/>
      <c r="C135" s="39"/>
      <c r="D135" s="40" t="str">
        <f>IF(Quotes!A126="","",Quotes!U126&amp;" | "&amp;Quotes!Z126)</f>
        <v/>
      </c>
      <c r="E135" s="39"/>
      <c r="F135" s="39"/>
      <c r="G135" s="39"/>
      <c r="H135" s="39"/>
      <c r="I135" s="39"/>
      <c r="J135" s="39"/>
      <c r="K135" s="39"/>
      <c r="L135" s="39"/>
      <c r="M135" s="77" t="str">
        <f>IF(Quotes!A126="","",IF(Quotes!F126="","",Quotes!F126))</f>
        <v/>
      </c>
      <c r="N135" s="39"/>
      <c r="O135" s="39"/>
      <c r="P135" s="76" t="str">
        <f>IF(Quotes!A126="","",IF(Quotes!AB126="","",Quotes!AB126))</f>
        <v/>
      </c>
      <c r="Q135" s="39"/>
      <c r="R135" s="39"/>
      <c r="S135" s="76" t="str">
        <f>IF(Quotes!A126="","",IF(Quotes!AD126="","",Quotes!AD126))</f>
        <v/>
      </c>
      <c r="T135" s="39"/>
      <c r="U135" s="76" t="str">
        <f>IF(Quotes!A126="","",IF(Quotes!AF126="","",Quotes!AF126))</f>
        <v/>
      </c>
      <c r="V135" s="39"/>
    </row>
    <row r="136" spans="1:22" ht="42" hidden="1" customHeight="1" x14ac:dyDescent="0.35">
      <c r="A136" s="78" t="str">
        <f>IF(Quotes!A127="","",HYPERLINK("#'Quotes'!A127",Quotes!A127))</f>
        <v/>
      </c>
      <c r="B136" s="39"/>
      <c r="C136" s="39"/>
      <c r="D136" s="40" t="str">
        <f>IF(Quotes!A127="","",Quotes!U127&amp;" | "&amp;Quotes!Z127)</f>
        <v/>
      </c>
      <c r="E136" s="39"/>
      <c r="F136" s="39"/>
      <c r="G136" s="39"/>
      <c r="H136" s="39"/>
      <c r="I136" s="39"/>
      <c r="J136" s="39"/>
      <c r="K136" s="39"/>
      <c r="L136" s="39"/>
      <c r="M136" s="77" t="str">
        <f>IF(Quotes!A127="","",IF(Quotes!F127="","",Quotes!F127))</f>
        <v/>
      </c>
      <c r="N136" s="39"/>
      <c r="O136" s="39"/>
      <c r="P136" s="76" t="str">
        <f>IF(Quotes!A127="","",IF(Quotes!AB127="","",Quotes!AB127))</f>
        <v/>
      </c>
      <c r="Q136" s="39"/>
      <c r="R136" s="39"/>
      <c r="S136" s="76" t="str">
        <f>IF(Quotes!A127="","",IF(Quotes!AD127="","",Quotes!AD127))</f>
        <v/>
      </c>
      <c r="T136" s="39"/>
      <c r="U136" s="76" t="str">
        <f>IF(Quotes!A127="","",IF(Quotes!AF127="","",Quotes!AF127))</f>
        <v/>
      </c>
      <c r="V136" s="39"/>
    </row>
    <row r="137" spans="1:22" ht="42" hidden="1" customHeight="1" x14ac:dyDescent="0.35">
      <c r="A137" s="78" t="str">
        <f>IF(Quotes!A128="","",HYPERLINK("#'Quotes'!A128",Quotes!A128))</f>
        <v/>
      </c>
      <c r="B137" s="39"/>
      <c r="C137" s="39"/>
      <c r="D137" s="40" t="str">
        <f>IF(Quotes!A128="","",Quotes!U128&amp;" | "&amp;Quotes!Z128)</f>
        <v/>
      </c>
      <c r="E137" s="39"/>
      <c r="F137" s="39"/>
      <c r="G137" s="39"/>
      <c r="H137" s="39"/>
      <c r="I137" s="39"/>
      <c r="J137" s="39"/>
      <c r="K137" s="39"/>
      <c r="L137" s="39"/>
      <c r="M137" s="77" t="str">
        <f>IF(Quotes!A128="","",IF(Quotes!F128="","",Quotes!F128))</f>
        <v/>
      </c>
      <c r="N137" s="39"/>
      <c r="O137" s="39"/>
      <c r="P137" s="76" t="str">
        <f>IF(Quotes!A128="","",IF(Quotes!AB128="","",Quotes!AB128))</f>
        <v/>
      </c>
      <c r="Q137" s="39"/>
      <c r="R137" s="39"/>
      <c r="S137" s="76" t="str">
        <f>IF(Quotes!A128="","",IF(Quotes!AD128="","",Quotes!AD128))</f>
        <v/>
      </c>
      <c r="T137" s="39"/>
      <c r="U137" s="76" t="str">
        <f>IF(Quotes!A128="","",IF(Quotes!AF128="","",Quotes!AF128))</f>
        <v/>
      </c>
      <c r="V137" s="39"/>
    </row>
    <row r="138" spans="1:22" ht="42" hidden="1" customHeight="1" x14ac:dyDescent="0.35">
      <c r="A138" s="78" t="str">
        <f>IF(Quotes!A129="","",HYPERLINK("#'Quotes'!A129",Quotes!A129))</f>
        <v/>
      </c>
      <c r="B138" s="39"/>
      <c r="C138" s="39"/>
      <c r="D138" s="40" t="str">
        <f>IF(Quotes!A129="","",Quotes!U129&amp;" | "&amp;Quotes!Z129)</f>
        <v/>
      </c>
      <c r="E138" s="39"/>
      <c r="F138" s="39"/>
      <c r="G138" s="39"/>
      <c r="H138" s="39"/>
      <c r="I138" s="39"/>
      <c r="J138" s="39"/>
      <c r="K138" s="39"/>
      <c r="L138" s="39"/>
      <c r="M138" s="77" t="str">
        <f>IF(Quotes!A129="","",IF(Quotes!F129="","",Quotes!F129))</f>
        <v/>
      </c>
      <c r="N138" s="39"/>
      <c r="O138" s="39"/>
      <c r="P138" s="76" t="str">
        <f>IF(Quotes!A129="","",IF(Quotes!AB129="","",Quotes!AB129))</f>
        <v/>
      </c>
      <c r="Q138" s="39"/>
      <c r="R138" s="39"/>
      <c r="S138" s="76" t="str">
        <f>IF(Quotes!A129="","",IF(Quotes!AD129="","",Quotes!AD129))</f>
        <v/>
      </c>
      <c r="T138" s="39"/>
      <c r="U138" s="76" t="str">
        <f>IF(Quotes!A129="","",IF(Quotes!AF129="","",Quotes!AF129))</f>
        <v/>
      </c>
      <c r="V138" s="39"/>
    </row>
    <row r="139" spans="1:22" ht="42" hidden="1" customHeight="1" x14ac:dyDescent="0.35">
      <c r="A139" s="78" t="str">
        <f>IF(Quotes!A130="","",HYPERLINK("#'Quotes'!A130",Quotes!A130))</f>
        <v/>
      </c>
      <c r="B139" s="39"/>
      <c r="C139" s="39"/>
      <c r="D139" s="40" t="str">
        <f>IF(Quotes!A130="","",Quotes!U130&amp;" | "&amp;Quotes!Z130)</f>
        <v/>
      </c>
      <c r="E139" s="39"/>
      <c r="F139" s="39"/>
      <c r="G139" s="39"/>
      <c r="H139" s="39"/>
      <c r="I139" s="39"/>
      <c r="J139" s="39"/>
      <c r="K139" s="39"/>
      <c r="L139" s="39"/>
      <c r="M139" s="77" t="str">
        <f>IF(Quotes!A130="","",IF(Quotes!F130="","",Quotes!F130))</f>
        <v/>
      </c>
      <c r="N139" s="39"/>
      <c r="O139" s="39"/>
      <c r="P139" s="76" t="str">
        <f>IF(Quotes!A130="","",IF(Quotes!AB130="","",Quotes!AB130))</f>
        <v/>
      </c>
      <c r="Q139" s="39"/>
      <c r="R139" s="39"/>
      <c r="S139" s="76" t="str">
        <f>IF(Quotes!A130="","",IF(Quotes!AD130="","",Quotes!AD130))</f>
        <v/>
      </c>
      <c r="T139" s="39"/>
      <c r="U139" s="76" t="str">
        <f>IF(Quotes!A130="","",IF(Quotes!AF130="","",Quotes!AF130))</f>
        <v/>
      </c>
      <c r="V139" s="39"/>
    </row>
    <row r="140" spans="1:22" ht="42" hidden="1" customHeight="1" x14ac:dyDescent="0.35">
      <c r="A140" s="78" t="str">
        <f>IF(Quotes!A131="","",HYPERLINK("#'Quotes'!A131",Quotes!A131))</f>
        <v/>
      </c>
      <c r="B140" s="39"/>
      <c r="C140" s="39"/>
      <c r="D140" s="40" t="str">
        <f>IF(Quotes!A131="","",Quotes!U131&amp;" | "&amp;Quotes!Z131)</f>
        <v/>
      </c>
      <c r="E140" s="39"/>
      <c r="F140" s="39"/>
      <c r="G140" s="39"/>
      <c r="H140" s="39"/>
      <c r="I140" s="39"/>
      <c r="J140" s="39"/>
      <c r="K140" s="39"/>
      <c r="L140" s="39"/>
      <c r="M140" s="77" t="str">
        <f>IF(Quotes!A131="","",IF(Quotes!F131="","",Quotes!F131))</f>
        <v/>
      </c>
      <c r="N140" s="39"/>
      <c r="O140" s="39"/>
      <c r="P140" s="76" t="str">
        <f>IF(Quotes!A131="","",IF(Quotes!AB131="","",Quotes!AB131))</f>
        <v/>
      </c>
      <c r="Q140" s="39"/>
      <c r="R140" s="39"/>
      <c r="S140" s="76" t="str">
        <f>IF(Quotes!A131="","",IF(Quotes!AD131="","",Quotes!AD131))</f>
        <v/>
      </c>
      <c r="T140" s="39"/>
      <c r="U140" s="76" t="str">
        <f>IF(Quotes!A131="","",IF(Quotes!AF131="","",Quotes!AF131))</f>
        <v/>
      </c>
      <c r="V140" s="39"/>
    </row>
    <row r="141" spans="1:22" ht="42" hidden="1" customHeight="1" x14ac:dyDescent="0.35">
      <c r="A141" s="78" t="str">
        <f>IF(Quotes!A132="","",HYPERLINK("#'Quotes'!A132",Quotes!A132))</f>
        <v/>
      </c>
      <c r="B141" s="39"/>
      <c r="C141" s="39"/>
      <c r="D141" s="40" t="str">
        <f>IF(Quotes!A132="","",Quotes!U132&amp;" | "&amp;Quotes!Z132)</f>
        <v/>
      </c>
      <c r="E141" s="39"/>
      <c r="F141" s="39"/>
      <c r="G141" s="39"/>
      <c r="H141" s="39"/>
      <c r="I141" s="39"/>
      <c r="J141" s="39"/>
      <c r="K141" s="39"/>
      <c r="L141" s="39"/>
      <c r="M141" s="77" t="str">
        <f>IF(Quotes!A132="","",IF(Quotes!F132="","",Quotes!F132))</f>
        <v/>
      </c>
      <c r="N141" s="39"/>
      <c r="O141" s="39"/>
      <c r="P141" s="76" t="str">
        <f>IF(Quotes!A132="","",IF(Quotes!AB132="","",Quotes!AB132))</f>
        <v/>
      </c>
      <c r="Q141" s="39"/>
      <c r="R141" s="39"/>
      <c r="S141" s="76" t="str">
        <f>IF(Quotes!A132="","",IF(Quotes!AD132="","",Quotes!AD132))</f>
        <v/>
      </c>
      <c r="T141" s="39"/>
      <c r="U141" s="76" t="str">
        <f>IF(Quotes!A132="","",IF(Quotes!AF132="","",Quotes!AF132))</f>
        <v/>
      </c>
      <c r="V141" s="39"/>
    </row>
    <row r="142" spans="1:22" ht="42" hidden="1" customHeight="1" x14ac:dyDescent="0.35">
      <c r="A142" s="78" t="str">
        <f>IF(Quotes!A133="","",HYPERLINK("#'Quotes'!A133",Quotes!A133))</f>
        <v/>
      </c>
      <c r="B142" s="39"/>
      <c r="C142" s="39"/>
      <c r="D142" s="40" t="str">
        <f>IF(Quotes!A133="","",Quotes!U133&amp;" | "&amp;Quotes!Z133)</f>
        <v/>
      </c>
      <c r="E142" s="39"/>
      <c r="F142" s="39"/>
      <c r="G142" s="39"/>
      <c r="H142" s="39"/>
      <c r="I142" s="39"/>
      <c r="J142" s="39"/>
      <c r="K142" s="39"/>
      <c r="L142" s="39"/>
      <c r="M142" s="77" t="str">
        <f>IF(Quotes!A133="","",IF(Quotes!F133="","",Quotes!F133))</f>
        <v/>
      </c>
      <c r="N142" s="39"/>
      <c r="O142" s="39"/>
      <c r="P142" s="76" t="str">
        <f>IF(Quotes!A133="","",IF(Quotes!AB133="","",Quotes!AB133))</f>
        <v/>
      </c>
      <c r="Q142" s="39"/>
      <c r="R142" s="39"/>
      <c r="S142" s="76" t="str">
        <f>IF(Quotes!A133="","",IF(Quotes!AD133="","",Quotes!AD133))</f>
        <v/>
      </c>
      <c r="T142" s="39"/>
      <c r="U142" s="76" t="str">
        <f>IF(Quotes!A133="","",IF(Quotes!AF133="","",Quotes!AF133))</f>
        <v/>
      </c>
      <c r="V142" s="39"/>
    </row>
    <row r="143" spans="1:22" ht="42" hidden="1" customHeight="1" x14ac:dyDescent="0.35">
      <c r="A143" s="78" t="str">
        <f>IF(Quotes!A134="","",HYPERLINK("#'Quotes'!A134",Quotes!A134))</f>
        <v/>
      </c>
      <c r="B143" s="39"/>
      <c r="C143" s="39"/>
      <c r="D143" s="40" t="str">
        <f>IF(Quotes!A134="","",Quotes!U134&amp;" | "&amp;Quotes!Z134)</f>
        <v/>
      </c>
      <c r="E143" s="39"/>
      <c r="F143" s="39"/>
      <c r="G143" s="39"/>
      <c r="H143" s="39"/>
      <c r="I143" s="39"/>
      <c r="J143" s="39"/>
      <c r="K143" s="39"/>
      <c r="L143" s="39"/>
      <c r="M143" s="77" t="str">
        <f>IF(Quotes!A134="","",IF(Quotes!F134="","",Quotes!F134))</f>
        <v/>
      </c>
      <c r="N143" s="39"/>
      <c r="O143" s="39"/>
      <c r="P143" s="76" t="str">
        <f>IF(Quotes!A134="","",IF(Quotes!AB134="","",Quotes!AB134))</f>
        <v/>
      </c>
      <c r="Q143" s="39"/>
      <c r="R143" s="39"/>
      <c r="S143" s="76" t="str">
        <f>IF(Quotes!A134="","",IF(Quotes!AD134="","",Quotes!AD134))</f>
        <v/>
      </c>
      <c r="T143" s="39"/>
      <c r="U143" s="76" t="str">
        <f>IF(Quotes!A134="","",IF(Quotes!AF134="","",Quotes!AF134))</f>
        <v/>
      </c>
      <c r="V143" s="39"/>
    </row>
    <row r="144" spans="1:22" ht="42" hidden="1" customHeight="1" x14ac:dyDescent="0.35">
      <c r="A144" s="78" t="str">
        <f>IF(Quotes!A135="","",HYPERLINK("#'Quotes'!A135",Quotes!A135))</f>
        <v/>
      </c>
      <c r="B144" s="39"/>
      <c r="C144" s="39"/>
      <c r="D144" s="40" t="str">
        <f>IF(Quotes!A135="","",Quotes!U135&amp;" | "&amp;Quotes!Z135)</f>
        <v/>
      </c>
      <c r="E144" s="39"/>
      <c r="F144" s="39"/>
      <c r="G144" s="39"/>
      <c r="H144" s="39"/>
      <c r="I144" s="39"/>
      <c r="J144" s="39"/>
      <c r="K144" s="39"/>
      <c r="L144" s="39"/>
      <c r="M144" s="77" t="str">
        <f>IF(Quotes!A135="","",IF(Quotes!F135="","",Quotes!F135))</f>
        <v/>
      </c>
      <c r="N144" s="39"/>
      <c r="O144" s="39"/>
      <c r="P144" s="76" t="str">
        <f>IF(Quotes!A135="","",IF(Quotes!AB135="","",Quotes!AB135))</f>
        <v/>
      </c>
      <c r="Q144" s="39"/>
      <c r="R144" s="39"/>
      <c r="S144" s="76" t="str">
        <f>IF(Quotes!A135="","",IF(Quotes!AD135="","",Quotes!AD135))</f>
        <v/>
      </c>
      <c r="T144" s="39"/>
      <c r="U144" s="76" t="str">
        <f>IF(Quotes!A135="","",IF(Quotes!AF135="","",Quotes!AF135))</f>
        <v/>
      </c>
      <c r="V144" s="39"/>
    </row>
    <row r="145" spans="1:22" ht="42" hidden="1" customHeight="1" x14ac:dyDescent="0.35">
      <c r="A145" s="78" t="str">
        <f>IF(Quotes!A136="","",HYPERLINK("#'Quotes'!A136",Quotes!A136))</f>
        <v/>
      </c>
      <c r="B145" s="39"/>
      <c r="C145" s="39"/>
      <c r="D145" s="40" t="str">
        <f>IF(Quotes!A136="","",Quotes!U136&amp;" | "&amp;Quotes!Z136)</f>
        <v/>
      </c>
      <c r="E145" s="39"/>
      <c r="F145" s="39"/>
      <c r="G145" s="39"/>
      <c r="H145" s="39"/>
      <c r="I145" s="39"/>
      <c r="J145" s="39"/>
      <c r="K145" s="39"/>
      <c r="L145" s="39"/>
      <c r="M145" s="77" t="str">
        <f>IF(Quotes!A136="","",IF(Quotes!F136="","",Quotes!F136))</f>
        <v/>
      </c>
      <c r="N145" s="39"/>
      <c r="O145" s="39"/>
      <c r="P145" s="76" t="str">
        <f>IF(Quotes!A136="","",IF(Quotes!AB136="","",Quotes!AB136))</f>
        <v/>
      </c>
      <c r="Q145" s="39"/>
      <c r="R145" s="39"/>
      <c r="S145" s="76" t="str">
        <f>IF(Quotes!A136="","",IF(Quotes!AD136="","",Quotes!AD136))</f>
        <v/>
      </c>
      <c r="T145" s="39"/>
      <c r="U145" s="76" t="str">
        <f>IF(Quotes!A136="","",IF(Quotes!AF136="","",Quotes!AF136))</f>
        <v/>
      </c>
      <c r="V145" s="39"/>
    </row>
    <row r="146" spans="1:22" ht="42" hidden="1" customHeight="1" x14ac:dyDescent="0.35">
      <c r="A146" s="78" t="str">
        <f>IF(Quotes!A137="","",HYPERLINK("#'Quotes'!A137",Quotes!A137))</f>
        <v/>
      </c>
      <c r="B146" s="39"/>
      <c r="C146" s="39"/>
      <c r="D146" s="40" t="str">
        <f>IF(Quotes!A137="","",Quotes!U137&amp;" | "&amp;Quotes!Z137)</f>
        <v/>
      </c>
      <c r="E146" s="39"/>
      <c r="F146" s="39"/>
      <c r="G146" s="39"/>
      <c r="H146" s="39"/>
      <c r="I146" s="39"/>
      <c r="J146" s="39"/>
      <c r="K146" s="39"/>
      <c r="L146" s="39"/>
      <c r="M146" s="77" t="str">
        <f>IF(Quotes!A137="","",IF(Quotes!F137="","",Quotes!F137))</f>
        <v/>
      </c>
      <c r="N146" s="39"/>
      <c r="O146" s="39"/>
      <c r="P146" s="76" t="str">
        <f>IF(Quotes!A137="","",IF(Quotes!AB137="","",Quotes!AB137))</f>
        <v/>
      </c>
      <c r="Q146" s="39"/>
      <c r="R146" s="39"/>
      <c r="S146" s="76" t="str">
        <f>IF(Quotes!A137="","",IF(Quotes!AD137="","",Quotes!AD137))</f>
        <v/>
      </c>
      <c r="T146" s="39"/>
      <c r="U146" s="76" t="str">
        <f>IF(Quotes!A137="","",IF(Quotes!AF137="","",Quotes!AF137))</f>
        <v/>
      </c>
      <c r="V146" s="39"/>
    </row>
    <row r="147" spans="1:22" ht="42" hidden="1" customHeight="1" x14ac:dyDescent="0.35">
      <c r="A147" s="78" t="str">
        <f>IF(Quotes!A138="","",HYPERLINK("#'Quotes'!A138",Quotes!A138))</f>
        <v/>
      </c>
      <c r="B147" s="39"/>
      <c r="C147" s="39"/>
      <c r="D147" s="40" t="str">
        <f>IF(Quotes!A138="","",Quotes!U138&amp;" | "&amp;Quotes!Z138)</f>
        <v/>
      </c>
      <c r="E147" s="39"/>
      <c r="F147" s="39"/>
      <c r="G147" s="39"/>
      <c r="H147" s="39"/>
      <c r="I147" s="39"/>
      <c r="J147" s="39"/>
      <c r="K147" s="39"/>
      <c r="L147" s="39"/>
      <c r="M147" s="77" t="str">
        <f>IF(Quotes!A138="","",IF(Quotes!F138="","",Quotes!F138))</f>
        <v/>
      </c>
      <c r="N147" s="39"/>
      <c r="O147" s="39"/>
      <c r="P147" s="76" t="str">
        <f>IF(Quotes!A138="","",IF(Quotes!AB138="","",Quotes!AB138))</f>
        <v/>
      </c>
      <c r="Q147" s="39"/>
      <c r="R147" s="39"/>
      <c r="S147" s="76" t="str">
        <f>IF(Quotes!A138="","",IF(Quotes!AD138="","",Quotes!AD138))</f>
        <v/>
      </c>
      <c r="T147" s="39"/>
      <c r="U147" s="76" t="str">
        <f>IF(Quotes!A138="","",IF(Quotes!AF138="","",Quotes!AF138))</f>
        <v/>
      </c>
      <c r="V147" s="39"/>
    </row>
    <row r="148" spans="1:22" ht="42" hidden="1" customHeight="1" x14ac:dyDescent="0.35">
      <c r="A148" s="78" t="str">
        <f>IF(Quotes!A139="","",HYPERLINK("#'Quotes'!A139",Quotes!A139))</f>
        <v/>
      </c>
      <c r="B148" s="39"/>
      <c r="C148" s="39"/>
      <c r="D148" s="40" t="str">
        <f>IF(Quotes!A139="","",Quotes!U139&amp;" | "&amp;Quotes!Z139)</f>
        <v/>
      </c>
      <c r="E148" s="39"/>
      <c r="F148" s="39"/>
      <c r="G148" s="39"/>
      <c r="H148" s="39"/>
      <c r="I148" s="39"/>
      <c r="J148" s="39"/>
      <c r="K148" s="39"/>
      <c r="L148" s="39"/>
      <c r="M148" s="77" t="str">
        <f>IF(Quotes!A139="","",IF(Quotes!F139="","",Quotes!F139))</f>
        <v/>
      </c>
      <c r="N148" s="39"/>
      <c r="O148" s="39"/>
      <c r="P148" s="76" t="str">
        <f>IF(Quotes!A139="","",IF(Quotes!AB139="","",Quotes!AB139))</f>
        <v/>
      </c>
      <c r="Q148" s="39"/>
      <c r="R148" s="39"/>
      <c r="S148" s="76" t="str">
        <f>IF(Quotes!A139="","",IF(Quotes!AD139="","",Quotes!AD139))</f>
        <v/>
      </c>
      <c r="T148" s="39"/>
      <c r="U148" s="76" t="str">
        <f>IF(Quotes!A139="","",IF(Quotes!AF139="","",Quotes!AF139))</f>
        <v/>
      </c>
      <c r="V148" s="39"/>
    </row>
    <row r="149" spans="1:22" ht="42" hidden="1" customHeight="1" x14ac:dyDescent="0.35">
      <c r="A149" s="78" t="str">
        <f>IF(Quotes!A140="","",HYPERLINK("#'Quotes'!A140",Quotes!A140))</f>
        <v/>
      </c>
      <c r="B149" s="39"/>
      <c r="C149" s="39"/>
      <c r="D149" s="40" t="str">
        <f>IF(Quotes!A140="","",Quotes!U140&amp;" | "&amp;Quotes!Z140)</f>
        <v/>
      </c>
      <c r="E149" s="39"/>
      <c r="F149" s="39"/>
      <c r="G149" s="39"/>
      <c r="H149" s="39"/>
      <c r="I149" s="39"/>
      <c r="J149" s="39"/>
      <c r="K149" s="39"/>
      <c r="L149" s="39"/>
      <c r="M149" s="77" t="str">
        <f>IF(Quotes!A140="","",IF(Quotes!F140="","",Quotes!F140))</f>
        <v/>
      </c>
      <c r="N149" s="39"/>
      <c r="O149" s="39"/>
      <c r="P149" s="76" t="str">
        <f>IF(Quotes!A140="","",IF(Quotes!AB140="","",Quotes!AB140))</f>
        <v/>
      </c>
      <c r="Q149" s="39"/>
      <c r="R149" s="39"/>
      <c r="S149" s="76" t="str">
        <f>IF(Quotes!A140="","",IF(Quotes!AD140="","",Quotes!AD140))</f>
        <v/>
      </c>
      <c r="T149" s="39"/>
      <c r="U149" s="76" t="str">
        <f>IF(Quotes!A140="","",IF(Quotes!AF140="","",Quotes!AF140))</f>
        <v/>
      </c>
      <c r="V149" s="39"/>
    </row>
    <row r="150" spans="1:22" ht="42" hidden="1" customHeight="1" x14ac:dyDescent="0.35">
      <c r="A150" s="78" t="str">
        <f>IF(Quotes!A141="","",HYPERLINK("#'Quotes'!A141",Quotes!A141))</f>
        <v/>
      </c>
      <c r="B150" s="39"/>
      <c r="C150" s="39"/>
      <c r="D150" s="40" t="str">
        <f>IF(Quotes!A141="","",Quotes!U141&amp;" | "&amp;Quotes!Z141)</f>
        <v/>
      </c>
      <c r="E150" s="39"/>
      <c r="F150" s="39"/>
      <c r="G150" s="39"/>
      <c r="H150" s="39"/>
      <c r="I150" s="39"/>
      <c r="J150" s="39"/>
      <c r="K150" s="39"/>
      <c r="L150" s="39"/>
      <c r="M150" s="77" t="str">
        <f>IF(Quotes!A141="","",IF(Quotes!F141="","",Quotes!F141))</f>
        <v/>
      </c>
      <c r="N150" s="39"/>
      <c r="O150" s="39"/>
      <c r="P150" s="76" t="str">
        <f>IF(Quotes!A141="","",IF(Quotes!AB141="","",Quotes!AB141))</f>
        <v/>
      </c>
      <c r="Q150" s="39"/>
      <c r="R150" s="39"/>
      <c r="S150" s="76" t="str">
        <f>IF(Quotes!A141="","",IF(Quotes!AD141="","",Quotes!AD141))</f>
        <v/>
      </c>
      <c r="T150" s="39"/>
      <c r="U150" s="76" t="str">
        <f>IF(Quotes!A141="","",IF(Quotes!AF141="","",Quotes!AF141))</f>
        <v/>
      </c>
      <c r="V150" s="39"/>
    </row>
    <row r="151" spans="1:22" ht="42" hidden="1" customHeight="1" x14ac:dyDescent="0.35">
      <c r="A151" s="78" t="str">
        <f>IF(Quotes!A142="","",HYPERLINK("#'Quotes'!A142",Quotes!A142))</f>
        <v/>
      </c>
      <c r="B151" s="39"/>
      <c r="C151" s="39"/>
      <c r="D151" s="40" t="str">
        <f>IF(Quotes!A142="","",Quotes!U142&amp;" | "&amp;Quotes!Z142)</f>
        <v/>
      </c>
      <c r="E151" s="39"/>
      <c r="F151" s="39"/>
      <c r="G151" s="39"/>
      <c r="H151" s="39"/>
      <c r="I151" s="39"/>
      <c r="J151" s="39"/>
      <c r="K151" s="39"/>
      <c r="L151" s="39"/>
      <c r="M151" s="77" t="str">
        <f>IF(Quotes!A142="","",IF(Quotes!F142="","",Quotes!F142))</f>
        <v/>
      </c>
      <c r="N151" s="39"/>
      <c r="O151" s="39"/>
      <c r="P151" s="76" t="str">
        <f>IF(Quotes!A142="","",IF(Quotes!AB142="","",Quotes!AB142))</f>
        <v/>
      </c>
      <c r="Q151" s="39"/>
      <c r="R151" s="39"/>
      <c r="S151" s="76" t="str">
        <f>IF(Quotes!A142="","",IF(Quotes!AD142="","",Quotes!AD142))</f>
        <v/>
      </c>
      <c r="T151" s="39"/>
      <c r="U151" s="76" t="str">
        <f>IF(Quotes!A142="","",IF(Quotes!AF142="","",Quotes!AF142))</f>
        <v/>
      </c>
      <c r="V151" s="39"/>
    </row>
    <row r="152" spans="1:22" ht="42" hidden="1" customHeight="1" x14ac:dyDescent="0.35">
      <c r="A152" s="78" t="str">
        <f>IF(Quotes!A143="","",HYPERLINK("#'Quotes'!A143",Quotes!A143))</f>
        <v/>
      </c>
      <c r="B152" s="39"/>
      <c r="C152" s="39"/>
      <c r="D152" s="40" t="str">
        <f>IF(Quotes!A143="","",Quotes!U143&amp;" | "&amp;Quotes!Z143)</f>
        <v/>
      </c>
      <c r="E152" s="39"/>
      <c r="F152" s="39"/>
      <c r="G152" s="39"/>
      <c r="H152" s="39"/>
      <c r="I152" s="39"/>
      <c r="J152" s="39"/>
      <c r="K152" s="39"/>
      <c r="L152" s="39"/>
      <c r="M152" s="77" t="str">
        <f>IF(Quotes!A143="","",IF(Quotes!F143="","",Quotes!F143))</f>
        <v/>
      </c>
      <c r="N152" s="39"/>
      <c r="O152" s="39"/>
      <c r="P152" s="76" t="str">
        <f>IF(Quotes!A143="","",IF(Quotes!AB143="","",Quotes!AB143))</f>
        <v/>
      </c>
      <c r="Q152" s="39"/>
      <c r="R152" s="39"/>
      <c r="S152" s="76" t="str">
        <f>IF(Quotes!A143="","",IF(Quotes!AD143="","",Quotes!AD143))</f>
        <v/>
      </c>
      <c r="T152" s="39"/>
      <c r="U152" s="76" t="str">
        <f>IF(Quotes!A143="","",IF(Quotes!AF143="","",Quotes!AF143))</f>
        <v/>
      </c>
      <c r="V152" s="39"/>
    </row>
    <row r="153" spans="1:22" ht="42" hidden="1" customHeight="1" x14ac:dyDescent="0.35">
      <c r="A153" s="78" t="str">
        <f>IF(Quotes!A144="","",HYPERLINK("#'Quotes'!A144",Quotes!A144))</f>
        <v/>
      </c>
      <c r="B153" s="39"/>
      <c r="C153" s="39"/>
      <c r="D153" s="40" t="str">
        <f>IF(Quotes!A144="","",Quotes!U144&amp;" | "&amp;Quotes!Z144)</f>
        <v/>
      </c>
      <c r="E153" s="39"/>
      <c r="F153" s="39"/>
      <c r="G153" s="39"/>
      <c r="H153" s="39"/>
      <c r="I153" s="39"/>
      <c r="J153" s="39"/>
      <c r="K153" s="39"/>
      <c r="L153" s="39"/>
      <c r="M153" s="77" t="str">
        <f>IF(Quotes!A144="","",IF(Quotes!F144="","",Quotes!F144))</f>
        <v/>
      </c>
      <c r="N153" s="39"/>
      <c r="O153" s="39"/>
      <c r="P153" s="76" t="str">
        <f>IF(Quotes!A144="","",IF(Quotes!AB144="","",Quotes!AB144))</f>
        <v/>
      </c>
      <c r="Q153" s="39"/>
      <c r="R153" s="39"/>
      <c r="S153" s="76" t="str">
        <f>IF(Quotes!A144="","",IF(Quotes!AD144="","",Quotes!AD144))</f>
        <v/>
      </c>
      <c r="T153" s="39"/>
      <c r="U153" s="76" t="str">
        <f>IF(Quotes!A144="","",IF(Quotes!AF144="","",Quotes!AF144))</f>
        <v/>
      </c>
      <c r="V153" s="39"/>
    </row>
    <row r="154" spans="1:22" ht="42" hidden="1" customHeight="1" x14ac:dyDescent="0.35">
      <c r="A154" s="78" t="str">
        <f>IF(Quotes!A145="","",HYPERLINK("#'Quotes'!A145",Quotes!A145))</f>
        <v/>
      </c>
      <c r="B154" s="39"/>
      <c r="C154" s="39"/>
      <c r="D154" s="40" t="str">
        <f>IF(Quotes!A145="","",Quotes!U145&amp;" | "&amp;Quotes!Z145)</f>
        <v/>
      </c>
      <c r="E154" s="39"/>
      <c r="F154" s="39"/>
      <c r="G154" s="39"/>
      <c r="H154" s="39"/>
      <c r="I154" s="39"/>
      <c r="J154" s="39"/>
      <c r="K154" s="39"/>
      <c r="L154" s="39"/>
      <c r="M154" s="77" t="str">
        <f>IF(Quotes!A145="","",IF(Quotes!F145="","",Quotes!F145))</f>
        <v/>
      </c>
      <c r="N154" s="39"/>
      <c r="O154" s="39"/>
      <c r="P154" s="76" t="str">
        <f>IF(Quotes!A145="","",IF(Quotes!AB145="","",Quotes!AB145))</f>
        <v/>
      </c>
      <c r="Q154" s="39"/>
      <c r="R154" s="39"/>
      <c r="S154" s="76" t="str">
        <f>IF(Quotes!A145="","",IF(Quotes!AD145="","",Quotes!AD145))</f>
        <v/>
      </c>
      <c r="T154" s="39"/>
      <c r="U154" s="76" t="str">
        <f>IF(Quotes!A145="","",IF(Quotes!AF145="","",Quotes!AF145))</f>
        <v/>
      </c>
      <c r="V154" s="39"/>
    </row>
    <row r="155" spans="1:22" ht="42" hidden="1" customHeight="1" x14ac:dyDescent="0.35">
      <c r="A155" s="78" t="str">
        <f>IF(Quotes!A146="","",HYPERLINK("#'Quotes'!A146",Quotes!A146))</f>
        <v/>
      </c>
      <c r="B155" s="39"/>
      <c r="C155" s="39"/>
      <c r="D155" s="40" t="str">
        <f>IF(Quotes!A146="","",Quotes!U146&amp;" | "&amp;Quotes!Z146)</f>
        <v/>
      </c>
      <c r="E155" s="39"/>
      <c r="F155" s="39"/>
      <c r="G155" s="39"/>
      <c r="H155" s="39"/>
      <c r="I155" s="39"/>
      <c r="J155" s="39"/>
      <c r="K155" s="39"/>
      <c r="L155" s="39"/>
      <c r="M155" s="77" t="str">
        <f>IF(Quotes!A146="","",IF(Quotes!F146="","",Quotes!F146))</f>
        <v/>
      </c>
      <c r="N155" s="39"/>
      <c r="O155" s="39"/>
      <c r="P155" s="76" t="str">
        <f>IF(Quotes!A146="","",IF(Quotes!AB146="","",Quotes!AB146))</f>
        <v/>
      </c>
      <c r="Q155" s="39"/>
      <c r="R155" s="39"/>
      <c r="S155" s="76" t="str">
        <f>IF(Quotes!A146="","",IF(Quotes!AD146="","",Quotes!AD146))</f>
        <v/>
      </c>
      <c r="T155" s="39"/>
      <c r="U155" s="76" t="str">
        <f>IF(Quotes!A146="","",IF(Quotes!AF146="","",Quotes!AF146))</f>
        <v/>
      </c>
      <c r="V155" s="39"/>
    </row>
    <row r="156" spans="1:22" ht="42" hidden="1" customHeight="1" x14ac:dyDescent="0.35">
      <c r="A156" s="78" t="str">
        <f>IF(Quotes!A147="","",HYPERLINK("#'Quotes'!A147",Quotes!A147))</f>
        <v/>
      </c>
      <c r="B156" s="39"/>
      <c r="C156" s="39"/>
      <c r="D156" s="40" t="str">
        <f>IF(Quotes!A147="","",Quotes!U147&amp;" | "&amp;Quotes!Z147)</f>
        <v/>
      </c>
      <c r="E156" s="39"/>
      <c r="F156" s="39"/>
      <c r="G156" s="39"/>
      <c r="H156" s="39"/>
      <c r="I156" s="39"/>
      <c r="J156" s="39"/>
      <c r="K156" s="39"/>
      <c r="L156" s="39"/>
      <c r="M156" s="77" t="str">
        <f>IF(Quotes!A147="","",IF(Quotes!F147="","",Quotes!F147))</f>
        <v/>
      </c>
      <c r="N156" s="39"/>
      <c r="O156" s="39"/>
      <c r="P156" s="76" t="str">
        <f>IF(Quotes!A147="","",IF(Quotes!AB147="","",Quotes!AB147))</f>
        <v/>
      </c>
      <c r="Q156" s="39"/>
      <c r="R156" s="39"/>
      <c r="S156" s="76" t="str">
        <f>IF(Quotes!A147="","",IF(Quotes!AD147="","",Quotes!AD147))</f>
        <v/>
      </c>
      <c r="T156" s="39"/>
      <c r="U156" s="76" t="str">
        <f>IF(Quotes!A147="","",IF(Quotes!AF147="","",Quotes!AF147))</f>
        <v/>
      </c>
      <c r="V156" s="39"/>
    </row>
    <row r="157" spans="1:22" ht="42" hidden="1" customHeight="1" x14ac:dyDescent="0.35">
      <c r="A157" s="78" t="str">
        <f>IF(Quotes!A148="","",HYPERLINK("#'Quotes'!A148",Quotes!A148))</f>
        <v/>
      </c>
      <c r="B157" s="39"/>
      <c r="C157" s="39"/>
      <c r="D157" s="40" t="str">
        <f>IF(Quotes!A148="","",Quotes!U148&amp;" | "&amp;Quotes!Z148)</f>
        <v/>
      </c>
      <c r="E157" s="39"/>
      <c r="F157" s="39"/>
      <c r="G157" s="39"/>
      <c r="H157" s="39"/>
      <c r="I157" s="39"/>
      <c r="J157" s="39"/>
      <c r="K157" s="39"/>
      <c r="L157" s="39"/>
      <c r="M157" s="77" t="str">
        <f>IF(Quotes!A148="","",IF(Quotes!F148="","",Quotes!F148))</f>
        <v/>
      </c>
      <c r="N157" s="39"/>
      <c r="O157" s="39"/>
      <c r="P157" s="76" t="str">
        <f>IF(Quotes!A148="","",IF(Quotes!AB148="","",Quotes!AB148))</f>
        <v/>
      </c>
      <c r="Q157" s="39"/>
      <c r="R157" s="39"/>
      <c r="S157" s="76" t="str">
        <f>IF(Quotes!A148="","",IF(Quotes!AD148="","",Quotes!AD148))</f>
        <v/>
      </c>
      <c r="T157" s="39"/>
      <c r="U157" s="76" t="str">
        <f>IF(Quotes!A148="","",IF(Quotes!AF148="","",Quotes!AF148))</f>
        <v/>
      </c>
      <c r="V157" s="39"/>
    </row>
    <row r="158" spans="1:22" ht="42" hidden="1" customHeight="1" x14ac:dyDescent="0.35">
      <c r="A158" s="78" t="str">
        <f>IF(Quotes!A149="","",HYPERLINK("#'Quotes'!A149",Quotes!A149))</f>
        <v/>
      </c>
      <c r="B158" s="39"/>
      <c r="C158" s="39"/>
      <c r="D158" s="40" t="str">
        <f>IF(Quotes!A149="","",Quotes!U149&amp;" | "&amp;Quotes!Z149)</f>
        <v/>
      </c>
      <c r="E158" s="39"/>
      <c r="F158" s="39"/>
      <c r="G158" s="39"/>
      <c r="H158" s="39"/>
      <c r="I158" s="39"/>
      <c r="J158" s="39"/>
      <c r="K158" s="39"/>
      <c r="L158" s="39"/>
      <c r="M158" s="77" t="str">
        <f>IF(Quotes!A149="","",IF(Quotes!F149="","",Quotes!F149))</f>
        <v/>
      </c>
      <c r="N158" s="39"/>
      <c r="O158" s="39"/>
      <c r="P158" s="76" t="str">
        <f>IF(Quotes!A149="","",IF(Quotes!AB149="","",Quotes!AB149))</f>
        <v/>
      </c>
      <c r="Q158" s="39"/>
      <c r="R158" s="39"/>
      <c r="S158" s="76" t="str">
        <f>IF(Quotes!A149="","",IF(Quotes!AD149="","",Quotes!AD149))</f>
        <v/>
      </c>
      <c r="T158" s="39"/>
      <c r="U158" s="76" t="str">
        <f>IF(Quotes!A149="","",IF(Quotes!AF149="","",Quotes!AF149))</f>
        <v/>
      </c>
      <c r="V158" s="39"/>
    </row>
    <row r="159" spans="1:22" ht="42" hidden="1" customHeight="1" x14ac:dyDescent="0.35">
      <c r="A159" s="78" t="str">
        <f>IF(Quotes!A150="","",HYPERLINK("#'Quotes'!A150",Quotes!A150))</f>
        <v/>
      </c>
      <c r="B159" s="39"/>
      <c r="C159" s="39"/>
      <c r="D159" s="40" t="str">
        <f>IF(Quotes!A150="","",Quotes!U150&amp;" | "&amp;Quotes!Z150)</f>
        <v/>
      </c>
      <c r="E159" s="39"/>
      <c r="F159" s="39"/>
      <c r="G159" s="39"/>
      <c r="H159" s="39"/>
      <c r="I159" s="39"/>
      <c r="J159" s="39"/>
      <c r="K159" s="39"/>
      <c r="L159" s="39"/>
      <c r="M159" s="77" t="str">
        <f>IF(Quotes!A150="","",IF(Quotes!F150="","",Quotes!F150))</f>
        <v/>
      </c>
      <c r="N159" s="39"/>
      <c r="O159" s="39"/>
      <c r="P159" s="76" t="str">
        <f>IF(Quotes!A150="","",IF(Quotes!AB150="","",Quotes!AB150))</f>
        <v/>
      </c>
      <c r="Q159" s="39"/>
      <c r="R159" s="39"/>
      <c r="S159" s="76" t="str">
        <f>IF(Quotes!A150="","",IF(Quotes!AD150="","",Quotes!AD150))</f>
        <v/>
      </c>
      <c r="T159" s="39"/>
      <c r="U159" s="76" t="str">
        <f>IF(Quotes!A150="","",IF(Quotes!AF150="","",Quotes!AF150))</f>
        <v/>
      </c>
      <c r="V159" s="39"/>
    </row>
    <row r="160" spans="1:22" ht="42" hidden="1" customHeight="1" x14ac:dyDescent="0.35">
      <c r="A160" s="78" t="str">
        <f>IF(Quotes!A151="","",HYPERLINK("#'Quotes'!A151",Quotes!A151))</f>
        <v/>
      </c>
      <c r="B160" s="39"/>
      <c r="C160" s="39"/>
      <c r="D160" s="40" t="str">
        <f>IF(Quotes!A151="","",Quotes!U151&amp;" | "&amp;Quotes!Z151)</f>
        <v/>
      </c>
      <c r="E160" s="39"/>
      <c r="F160" s="39"/>
      <c r="G160" s="39"/>
      <c r="H160" s="39"/>
      <c r="I160" s="39"/>
      <c r="J160" s="39"/>
      <c r="K160" s="39"/>
      <c r="L160" s="39"/>
      <c r="M160" s="77" t="str">
        <f>IF(Quotes!A151="","",IF(Quotes!F151="","",Quotes!F151))</f>
        <v/>
      </c>
      <c r="N160" s="39"/>
      <c r="O160" s="39"/>
      <c r="P160" s="76" t="str">
        <f>IF(Quotes!A151="","",IF(Quotes!AB151="","",Quotes!AB151))</f>
        <v/>
      </c>
      <c r="Q160" s="39"/>
      <c r="R160" s="39"/>
      <c r="S160" s="76" t="str">
        <f>IF(Quotes!A151="","",IF(Quotes!AD151="","",Quotes!AD151))</f>
        <v/>
      </c>
      <c r="T160" s="39"/>
      <c r="U160" s="76" t="str">
        <f>IF(Quotes!A151="","",IF(Quotes!AF151="","",Quotes!AF151))</f>
        <v/>
      </c>
      <c r="V160" s="39"/>
    </row>
    <row r="161" spans="1:22" ht="42" hidden="1" customHeight="1" x14ac:dyDescent="0.35">
      <c r="A161" s="78" t="str">
        <f>IF(Quotes!A152="","",HYPERLINK("#'Quotes'!A152",Quotes!A152))</f>
        <v/>
      </c>
      <c r="B161" s="39"/>
      <c r="C161" s="39"/>
      <c r="D161" s="40" t="str">
        <f>IF(Quotes!A152="","",Quotes!U152&amp;" | "&amp;Quotes!Z152)</f>
        <v/>
      </c>
      <c r="E161" s="39"/>
      <c r="F161" s="39"/>
      <c r="G161" s="39"/>
      <c r="H161" s="39"/>
      <c r="I161" s="39"/>
      <c r="J161" s="39"/>
      <c r="K161" s="39"/>
      <c r="L161" s="39"/>
      <c r="M161" s="77" t="str">
        <f>IF(Quotes!A152="","",IF(Quotes!F152="","",Quotes!F152))</f>
        <v/>
      </c>
      <c r="N161" s="39"/>
      <c r="O161" s="39"/>
      <c r="P161" s="76" t="str">
        <f>IF(Quotes!A152="","",IF(Quotes!AB152="","",Quotes!AB152))</f>
        <v/>
      </c>
      <c r="Q161" s="39"/>
      <c r="R161" s="39"/>
      <c r="S161" s="76" t="str">
        <f>IF(Quotes!A152="","",IF(Quotes!AD152="","",Quotes!AD152))</f>
        <v/>
      </c>
      <c r="T161" s="39"/>
      <c r="U161" s="76" t="str">
        <f>IF(Quotes!A152="","",IF(Quotes!AF152="","",Quotes!AF152))</f>
        <v/>
      </c>
      <c r="V161" s="39"/>
    </row>
    <row r="162" spans="1:22" ht="42" hidden="1" customHeight="1" x14ac:dyDescent="0.35">
      <c r="A162" s="78" t="str">
        <f>IF(Quotes!A153="","",HYPERLINK("#'Quotes'!A153",Quotes!A153))</f>
        <v/>
      </c>
      <c r="B162" s="39"/>
      <c r="C162" s="39"/>
      <c r="D162" s="40" t="str">
        <f>IF(Quotes!A153="","",Quotes!U153&amp;" | "&amp;Quotes!Z153)</f>
        <v/>
      </c>
      <c r="E162" s="39"/>
      <c r="F162" s="39"/>
      <c r="G162" s="39"/>
      <c r="H162" s="39"/>
      <c r="I162" s="39"/>
      <c r="J162" s="39"/>
      <c r="K162" s="39"/>
      <c r="L162" s="39"/>
      <c r="M162" s="77" t="str">
        <f>IF(Quotes!A153="","",IF(Quotes!F153="","",Quotes!F153))</f>
        <v/>
      </c>
      <c r="N162" s="39"/>
      <c r="O162" s="39"/>
      <c r="P162" s="76" t="str">
        <f>IF(Quotes!A153="","",IF(Quotes!AB153="","",Quotes!AB153))</f>
        <v/>
      </c>
      <c r="Q162" s="39"/>
      <c r="R162" s="39"/>
      <c r="S162" s="76" t="str">
        <f>IF(Quotes!A153="","",IF(Quotes!AD153="","",Quotes!AD153))</f>
        <v/>
      </c>
      <c r="T162" s="39"/>
      <c r="U162" s="76" t="str">
        <f>IF(Quotes!A153="","",IF(Quotes!AF153="","",Quotes!AF153))</f>
        <v/>
      </c>
      <c r="V162" s="39"/>
    </row>
    <row r="163" spans="1:22" ht="42" hidden="1" customHeight="1" x14ac:dyDescent="0.35">
      <c r="A163" s="78" t="str">
        <f>IF(Quotes!A154="","",HYPERLINK("#'Quotes'!A154",Quotes!A154))</f>
        <v/>
      </c>
      <c r="B163" s="39"/>
      <c r="C163" s="39"/>
      <c r="D163" s="40" t="str">
        <f>IF(Quotes!A154="","",Quotes!U154&amp;" | "&amp;Quotes!Z154)</f>
        <v/>
      </c>
      <c r="E163" s="39"/>
      <c r="F163" s="39"/>
      <c r="G163" s="39"/>
      <c r="H163" s="39"/>
      <c r="I163" s="39"/>
      <c r="J163" s="39"/>
      <c r="K163" s="39"/>
      <c r="L163" s="39"/>
      <c r="M163" s="77" t="str">
        <f>IF(Quotes!A154="","",IF(Quotes!F154="","",Quotes!F154))</f>
        <v/>
      </c>
      <c r="N163" s="39"/>
      <c r="O163" s="39"/>
      <c r="P163" s="76" t="str">
        <f>IF(Quotes!A154="","",IF(Quotes!AB154="","",Quotes!AB154))</f>
        <v/>
      </c>
      <c r="Q163" s="39"/>
      <c r="R163" s="39"/>
      <c r="S163" s="76" t="str">
        <f>IF(Quotes!A154="","",IF(Quotes!AD154="","",Quotes!AD154))</f>
        <v/>
      </c>
      <c r="T163" s="39"/>
      <c r="U163" s="76" t="str">
        <f>IF(Quotes!A154="","",IF(Quotes!AF154="","",Quotes!AF154))</f>
        <v/>
      </c>
      <c r="V163" s="39"/>
    </row>
    <row r="164" spans="1:22" ht="42" hidden="1" customHeight="1" x14ac:dyDescent="0.35">
      <c r="A164" s="78" t="str">
        <f>IF(Quotes!A155="","",HYPERLINK("#'Quotes'!A155",Quotes!A155))</f>
        <v/>
      </c>
      <c r="B164" s="39"/>
      <c r="C164" s="39"/>
      <c r="D164" s="40" t="str">
        <f>IF(Quotes!A155="","",Quotes!U155&amp;" | "&amp;Quotes!Z155)</f>
        <v/>
      </c>
      <c r="E164" s="39"/>
      <c r="F164" s="39"/>
      <c r="G164" s="39"/>
      <c r="H164" s="39"/>
      <c r="I164" s="39"/>
      <c r="J164" s="39"/>
      <c r="K164" s="39"/>
      <c r="L164" s="39"/>
      <c r="M164" s="77" t="str">
        <f>IF(Quotes!A155="","",IF(Quotes!F155="","",Quotes!F155))</f>
        <v/>
      </c>
      <c r="N164" s="39"/>
      <c r="O164" s="39"/>
      <c r="P164" s="76" t="str">
        <f>IF(Quotes!A155="","",IF(Quotes!AB155="","",Quotes!AB155))</f>
        <v/>
      </c>
      <c r="Q164" s="39"/>
      <c r="R164" s="39"/>
      <c r="S164" s="76" t="str">
        <f>IF(Quotes!A155="","",IF(Quotes!AD155="","",Quotes!AD155))</f>
        <v/>
      </c>
      <c r="T164" s="39"/>
      <c r="U164" s="76" t="str">
        <f>IF(Quotes!A155="","",IF(Quotes!AF155="","",Quotes!AF155))</f>
        <v/>
      </c>
      <c r="V164" s="39"/>
    </row>
    <row r="165" spans="1:22" ht="42" hidden="1" customHeight="1" x14ac:dyDescent="0.35">
      <c r="A165" s="78" t="str">
        <f>IF(Quotes!A156="","",HYPERLINK("#'Quotes'!A156",Quotes!A156))</f>
        <v/>
      </c>
      <c r="B165" s="39"/>
      <c r="C165" s="39"/>
      <c r="D165" s="40" t="str">
        <f>IF(Quotes!A156="","",Quotes!U156&amp;" | "&amp;Quotes!Z156)</f>
        <v/>
      </c>
      <c r="E165" s="39"/>
      <c r="F165" s="39"/>
      <c r="G165" s="39"/>
      <c r="H165" s="39"/>
      <c r="I165" s="39"/>
      <c r="J165" s="39"/>
      <c r="K165" s="39"/>
      <c r="L165" s="39"/>
      <c r="M165" s="77" t="str">
        <f>IF(Quotes!A156="","",IF(Quotes!F156="","",Quotes!F156))</f>
        <v/>
      </c>
      <c r="N165" s="39"/>
      <c r="O165" s="39"/>
      <c r="P165" s="76" t="str">
        <f>IF(Quotes!A156="","",IF(Quotes!AB156="","",Quotes!AB156))</f>
        <v/>
      </c>
      <c r="Q165" s="39"/>
      <c r="R165" s="39"/>
      <c r="S165" s="76" t="str">
        <f>IF(Quotes!A156="","",IF(Quotes!AD156="","",Quotes!AD156))</f>
        <v/>
      </c>
      <c r="T165" s="39"/>
      <c r="U165" s="76" t="str">
        <f>IF(Quotes!A156="","",IF(Quotes!AF156="","",Quotes!AF156))</f>
        <v/>
      </c>
      <c r="V165" s="39"/>
    </row>
    <row r="166" spans="1:22" ht="42" hidden="1" customHeight="1" x14ac:dyDescent="0.35">
      <c r="A166" s="78" t="str">
        <f>IF(Quotes!A157="","",HYPERLINK("#'Quotes'!A157",Quotes!A157))</f>
        <v/>
      </c>
      <c r="B166" s="39"/>
      <c r="C166" s="39"/>
      <c r="D166" s="40" t="str">
        <f>IF(Quotes!A157="","",Quotes!U157&amp;" | "&amp;Quotes!Z157)</f>
        <v/>
      </c>
      <c r="E166" s="39"/>
      <c r="F166" s="39"/>
      <c r="G166" s="39"/>
      <c r="H166" s="39"/>
      <c r="I166" s="39"/>
      <c r="J166" s="39"/>
      <c r="K166" s="39"/>
      <c r="L166" s="39"/>
      <c r="M166" s="77" t="str">
        <f>IF(Quotes!A157="","",IF(Quotes!F157="","",Quotes!F157))</f>
        <v/>
      </c>
      <c r="N166" s="39"/>
      <c r="O166" s="39"/>
      <c r="P166" s="76" t="str">
        <f>IF(Quotes!A157="","",IF(Quotes!AB157="","",Quotes!AB157))</f>
        <v/>
      </c>
      <c r="Q166" s="39"/>
      <c r="R166" s="39"/>
      <c r="S166" s="76" t="str">
        <f>IF(Quotes!A157="","",IF(Quotes!AD157="","",Quotes!AD157))</f>
        <v/>
      </c>
      <c r="T166" s="39"/>
      <c r="U166" s="76" t="str">
        <f>IF(Quotes!A157="","",IF(Quotes!AF157="","",Quotes!AF157))</f>
        <v/>
      </c>
      <c r="V166" s="39"/>
    </row>
    <row r="167" spans="1:22" ht="42" hidden="1" customHeight="1" x14ac:dyDescent="0.35">
      <c r="A167" s="78" t="str">
        <f>IF(Quotes!A158="","",HYPERLINK("#'Quotes'!A158",Quotes!A158))</f>
        <v/>
      </c>
      <c r="B167" s="39"/>
      <c r="C167" s="39"/>
      <c r="D167" s="40" t="str">
        <f>IF(Quotes!A158="","",Quotes!U158&amp;" | "&amp;Quotes!Z158)</f>
        <v/>
      </c>
      <c r="E167" s="39"/>
      <c r="F167" s="39"/>
      <c r="G167" s="39"/>
      <c r="H167" s="39"/>
      <c r="I167" s="39"/>
      <c r="J167" s="39"/>
      <c r="K167" s="39"/>
      <c r="L167" s="39"/>
      <c r="M167" s="77" t="str">
        <f>IF(Quotes!A158="","",IF(Quotes!F158="","",Quotes!F158))</f>
        <v/>
      </c>
      <c r="N167" s="39"/>
      <c r="O167" s="39"/>
      <c r="P167" s="76" t="str">
        <f>IF(Quotes!A158="","",IF(Quotes!AB158="","",Quotes!AB158))</f>
        <v/>
      </c>
      <c r="Q167" s="39"/>
      <c r="R167" s="39"/>
      <c r="S167" s="76" t="str">
        <f>IF(Quotes!A158="","",IF(Quotes!AD158="","",Quotes!AD158))</f>
        <v/>
      </c>
      <c r="T167" s="39"/>
      <c r="U167" s="76" t="str">
        <f>IF(Quotes!A158="","",IF(Quotes!AF158="","",Quotes!AF158))</f>
        <v/>
      </c>
      <c r="V167" s="39"/>
    </row>
    <row r="168" spans="1:22" ht="42" hidden="1" customHeight="1" x14ac:dyDescent="0.35">
      <c r="A168" s="78" t="str">
        <f>IF(Quotes!A159="","",HYPERLINK("#'Quotes'!A159",Quotes!A159))</f>
        <v/>
      </c>
      <c r="B168" s="39"/>
      <c r="C168" s="39"/>
      <c r="D168" s="40" t="str">
        <f>IF(Quotes!A159="","",Quotes!U159&amp;" | "&amp;Quotes!Z159)</f>
        <v/>
      </c>
      <c r="E168" s="39"/>
      <c r="F168" s="39"/>
      <c r="G168" s="39"/>
      <c r="H168" s="39"/>
      <c r="I168" s="39"/>
      <c r="J168" s="39"/>
      <c r="K168" s="39"/>
      <c r="L168" s="39"/>
      <c r="M168" s="77" t="str">
        <f>IF(Quotes!A159="","",IF(Quotes!F159="","",Quotes!F159))</f>
        <v/>
      </c>
      <c r="N168" s="39"/>
      <c r="O168" s="39"/>
      <c r="P168" s="76" t="str">
        <f>IF(Quotes!A159="","",IF(Quotes!AB159="","",Quotes!AB159))</f>
        <v/>
      </c>
      <c r="Q168" s="39"/>
      <c r="R168" s="39"/>
      <c r="S168" s="76" t="str">
        <f>IF(Quotes!A159="","",IF(Quotes!AD159="","",Quotes!AD159))</f>
        <v/>
      </c>
      <c r="T168" s="39"/>
      <c r="U168" s="76" t="str">
        <f>IF(Quotes!A159="","",IF(Quotes!AF159="","",Quotes!AF159))</f>
        <v/>
      </c>
      <c r="V168" s="39"/>
    </row>
    <row r="169" spans="1:22" ht="42" hidden="1" customHeight="1" x14ac:dyDescent="0.35">
      <c r="A169" s="78" t="str">
        <f>IF(Quotes!A160="","",HYPERLINK("#'Quotes'!A160",Quotes!A160))</f>
        <v/>
      </c>
      <c r="B169" s="39"/>
      <c r="C169" s="39"/>
      <c r="D169" s="40" t="str">
        <f>IF(Quotes!A160="","",Quotes!U160&amp;" | "&amp;Quotes!Z160)</f>
        <v/>
      </c>
      <c r="E169" s="39"/>
      <c r="F169" s="39"/>
      <c r="G169" s="39"/>
      <c r="H169" s="39"/>
      <c r="I169" s="39"/>
      <c r="J169" s="39"/>
      <c r="K169" s="39"/>
      <c r="L169" s="39"/>
      <c r="M169" s="77" t="str">
        <f>IF(Quotes!A160="","",IF(Quotes!F160="","",Quotes!F160))</f>
        <v/>
      </c>
      <c r="N169" s="39"/>
      <c r="O169" s="39"/>
      <c r="P169" s="76" t="str">
        <f>IF(Quotes!A160="","",IF(Quotes!AB160="","",Quotes!AB160))</f>
        <v/>
      </c>
      <c r="Q169" s="39"/>
      <c r="R169" s="39"/>
      <c r="S169" s="76" t="str">
        <f>IF(Quotes!A160="","",IF(Quotes!AD160="","",Quotes!AD160))</f>
        <v/>
      </c>
      <c r="T169" s="39"/>
      <c r="U169" s="76" t="str">
        <f>IF(Quotes!A160="","",IF(Quotes!AF160="","",Quotes!AF160))</f>
        <v/>
      </c>
      <c r="V169" s="39"/>
    </row>
    <row r="170" spans="1:22" ht="42" hidden="1" customHeight="1" x14ac:dyDescent="0.35">
      <c r="A170" s="78" t="str">
        <f>IF(Quotes!A161="","",HYPERLINK("#'Quotes'!A161",Quotes!A161))</f>
        <v/>
      </c>
      <c r="B170" s="39"/>
      <c r="C170" s="39"/>
      <c r="D170" s="40" t="str">
        <f>IF(Quotes!A161="","",Quotes!U161&amp;" | "&amp;Quotes!Z161)</f>
        <v/>
      </c>
      <c r="E170" s="39"/>
      <c r="F170" s="39"/>
      <c r="G170" s="39"/>
      <c r="H170" s="39"/>
      <c r="I170" s="39"/>
      <c r="J170" s="39"/>
      <c r="K170" s="39"/>
      <c r="L170" s="39"/>
      <c r="M170" s="77" t="str">
        <f>IF(Quotes!A161="","",IF(Quotes!F161="","",Quotes!F161))</f>
        <v/>
      </c>
      <c r="N170" s="39"/>
      <c r="O170" s="39"/>
      <c r="P170" s="76" t="str">
        <f>IF(Quotes!A161="","",IF(Quotes!AB161="","",Quotes!AB161))</f>
        <v/>
      </c>
      <c r="Q170" s="39"/>
      <c r="R170" s="39"/>
      <c r="S170" s="76" t="str">
        <f>IF(Quotes!A161="","",IF(Quotes!AD161="","",Quotes!AD161))</f>
        <v/>
      </c>
      <c r="T170" s="39"/>
      <c r="U170" s="76" t="str">
        <f>IF(Quotes!A161="","",IF(Quotes!AF161="","",Quotes!AF161))</f>
        <v/>
      </c>
      <c r="V170" s="39"/>
    </row>
    <row r="171" spans="1:22" ht="42" hidden="1" customHeight="1" x14ac:dyDescent="0.35">
      <c r="A171" s="78" t="str">
        <f>IF(Quotes!A162="","",HYPERLINK("#'Quotes'!A162",Quotes!A162))</f>
        <v/>
      </c>
      <c r="B171" s="39"/>
      <c r="C171" s="39"/>
      <c r="D171" s="40" t="str">
        <f>IF(Quotes!A162="","",Quotes!U162&amp;" | "&amp;Quotes!Z162)</f>
        <v/>
      </c>
      <c r="E171" s="39"/>
      <c r="F171" s="39"/>
      <c r="G171" s="39"/>
      <c r="H171" s="39"/>
      <c r="I171" s="39"/>
      <c r="J171" s="39"/>
      <c r="K171" s="39"/>
      <c r="L171" s="39"/>
      <c r="M171" s="77" t="str">
        <f>IF(Quotes!A162="","",IF(Quotes!F162="","",Quotes!F162))</f>
        <v/>
      </c>
      <c r="N171" s="39"/>
      <c r="O171" s="39"/>
      <c r="P171" s="76" t="str">
        <f>IF(Quotes!A162="","",IF(Quotes!AB162="","",Quotes!AB162))</f>
        <v/>
      </c>
      <c r="Q171" s="39"/>
      <c r="R171" s="39"/>
      <c r="S171" s="76" t="str">
        <f>IF(Quotes!A162="","",IF(Quotes!AD162="","",Quotes!AD162))</f>
        <v/>
      </c>
      <c r="T171" s="39"/>
      <c r="U171" s="76" t="str">
        <f>IF(Quotes!A162="","",IF(Quotes!AF162="","",Quotes!AF162))</f>
        <v/>
      </c>
      <c r="V171" s="39"/>
    </row>
    <row r="172" spans="1:22" ht="42" hidden="1" customHeight="1" x14ac:dyDescent="0.35">
      <c r="A172" s="78" t="str">
        <f>IF(Quotes!A163="","",HYPERLINK("#'Quotes'!A163",Quotes!A163))</f>
        <v/>
      </c>
      <c r="B172" s="39"/>
      <c r="C172" s="39"/>
      <c r="D172" s="40" t="str">
        <f>IF(Quotes!A163="","",Quotes!U163&amp;" | "&amp;Quotes!Z163)</f>
        <v/>
      </c>
      <c r="E172" s="39"/>
      <c r="F172" s="39"/>
      <c r="G172" s="39"/>
      <c r="H172" s="39"/>
      <c r="I172" s="39"/>
      <c r="J172" s="39"/>
      <c r="K172" s="39"/>
      <c r="L172" s="39"/>
      <c r="M172" s="77" t="str">
        <f>IF(Quotes!A163="","",IF(Quotes!F163="","",Quotes!F163))</f>
        <v/>
      </c>
      <c r="N172" s="39"/>
      <c r="O172" s="39"/>
      <c r="P172" s="76" t="str">
        <f>IF(Quotes!A163="","",IF(Quotes!AB163="","",Quotes!AB163))</f>
        <v/>
      </c>
      <c r="Q172" s="39"/>
      <c r="R172" s="39"/>
      <c r="S172" s="76" t="str">
        <f>IF(Quotes!A163="","",IF(Quotes!AD163="","",Quotes!AD163))</f>
        <v/>
      </c>
      <c r="T172" s="39"/>
      <c r="U172" s="76" t="str">
        <f>IF(Quotes!A163="","",IF(Quotes!AF163="","",Quotes!AF163))</f>
        <v/>
      </c>
      <c r="V172" s="39"/>
    </row>
    <row r="173" spans="1:22" ht="42" hidden="1" customHeight="1" x14ac:dyDescent="0.35">
      <c r="A173" s="78" t="str">
        <f>IF(Quotes!A164="","",HYPERLINK("#'Quotes'!A164",Quotes!A164))</f>
        <v/>
      </c>
      <c r="B173" s="39"/>
      <c r="C173" s="39"/>
      <c r="D173" s="40" t="str">
        <f>IF(Quotes!A164="","",Quotes!U164&amp;" | "&amp;Quotes!Z164)</f>
        <v/>
      </c>
      <c r="E173" s="39"/>
      <c r="F173" s="39"/>
      <c r="G173" s="39"/>
      <c r="H173" s="39"/>
      <c r="I173" s="39"/>
      <c r="J173" s="39"/>
      <c r="K173" s="39"/>
      <c r="L173" s="39"/>
      <c r="M173" s="77" t="str">
        <f>IF(Quotes!A164="","",IF(Quotes!F164="","",Quotes!F164))</f>
        <v/>
      </c>
      <c r="N173" s="39"/>
      <c r="O173" s="39"/>
      <c r="P173" s="76" t="str">
        <f>IF(Quotes!A164="","",IF(Quotes!AB164="","",Quotes!AB164))</f>
        <v/>
      </c>
      <c r="Q173" s="39"/>
      <c r="R173" s="39"/>
      <c r="S173" s="76" t="str">
        <f>IF(Quotes!A164="","",IF(Quotes!AD164="","",Quotes!AD164))</f>
        <v/>
      </c>
      <c r="T173" s="39"/>
      <c r="U173" s="76" t="str">
        <f>IF(Quotes!A164="","",IF(Quotes!AF164="","",Quotes!AF164))</f>
        <v/>
      </c>
      <c r="V173" s="39"/>
    </row>
    <row r="174" spans="1:22" ht="42" hidden="1" customHeight="1" x14ac:dyDescent="0.35">
      <c r="A174" s="78" t="str">
        <f>IF(Quotes!A165="","",HYPERLINK("#'Quotes'!A165",Quotes!A165))</f>
        <v/>
      </c>
      <c r="B174" s="39"/>
      <c r="C174" s="39"/>
      <c r="D174" s="40" t="str">
        <f>IF(Quotes!A165="","",Quotes!U165&amp;" | "&amp;Quotes!Z165)</f>
        <v/>
      </c>
      <c r="E174" s="39"/>
      <c r="F174" s="39"/>
      <c r="G174" s="39"/>
      <c r="H174" s="39"/>
      <c r="I174" s="39"/>
      <c r="J174" s="39"/>
      <c r="K174" s="39"/>
      <c r="L174" s="39"/>
      <c r="M174" s="77" t="str">
        <f>IF(Quotes!A165="","",IF(Quotes!F165="","",Quotes!F165))</f>
        <v/>
      </c>
      <c r="N174" s="39"/>
      <c r="O174" s="39"/>
      <c r="P174" s="76" t="str">
        <f>IF(Quotes!A165="","",IF(Quotes!AB165="","",Quotes!AB165))</f>
        <v/>
      </c>
      <c r="Q174" s="39"/>
      <c r="R174" s="39"/>
      <c r="S174" s="76" t="str">
        <f>IF(Quotes!A165="","",IF(Quotes!AD165="","",Quotes!AD165))</f>
        <v/>
      </c>
      <c r="T174" s="39"/>
      <c r="U174" s="76" t="str">
        <f>IF(Quotes!A165="","",IF(Quotes!AF165="","",Quotes!AF165))</f>
        <v/>
      </c>
      <c r="V174" s="39"/>
    </row>
    <row r="175" spans="1:22" ht="42" hidden="1" customHeight="1" x14ac:dyDescent="0.35">
      <c r="A175" s="78" t="str">
        <f>IF(Quotes!A166="","",HYPERLINK("#'Quotes'!A166",Quotes!A166))</f>
        <v/>
      </c>
      <c r="B175" s="39"/>
      <c r="C175" s="39"/>
      <c r="D175" s="40" t="str">
        <f>IF(Quotes!A166="","",Quotes!U166&amp;" | "&amp;Quotes!Z166)</f>
        <v/>
      </c>
      <c r="E175" s="39"/>
      <c r="F175" s="39"/>
      <c r="G175" s="39"/>
      <c r="H175" s="39"/>
      <c r="I175" s="39"/>
      <c r="J175" s="39"/>
      <c r="K175" s="39"/>
      <c r="L175" s="39"/>
      <c r="M175" s="77" t="str">
        <f>IF(Quotes!A166="","",IF(Quotes!F166="","",Quotes!F166))</f>
        <v/>
      </c>
      <c r="N175" s="39"/>
      <c r="O175" s="39"/>
      <c r="P175" s="76" t="str">
        <f>IF(Quotes!A166="","",IF(Quotes!AB166="","",Quotes!AB166))</f>
        <v/>
      </c>
      <c r="Q175" s="39"/>
      <c r="R175" s="39"/>
      <c r="S175" s="76" t="str">
        <f>IF(Quotes!A166="","",IF(Quotes!AD166="","",Quotes!AD166))</f>
        <v/>
      </c>
      <c r="T175" s="39"/>
      <c r="U175" s="76" t="str">
        <f>IF(Quotes!A166="","",IF(Quotes!AF166="","",Quotes!AF166))</f>
        <v/>
      </c>
      <c r="V175" s="39"/>
    </row>
    <row r="176" spans="1:22" ht="42" hidden="1" customHeight="1" x14ac:dyDescent="0.35">
      <c r="A176" s="78" t="str">
        <f>IF(Quotes!A167="","",HYPERLINK("#'Quotes'!A167",Quotes!A167))</f>
        <v/>
      </c>
      <c r="B176" s="39"/>
      <c r="C176" s="39"/>
      <c r="D176" s="40" t="str">
        <f>IF(Quotes!A167="","",Quotes!U167&amp;" | "&amp;Quotes!Z167)</f>
        <v/>
      </c>
      <c r="E176" s="39"/>
      <c r="F176" s="39"/>
      <c r="G176" s="39"/>
      <c r="H176" s="39"/>
      <c r="I176" s="39"/>
      <c r="J176" s="39"/>
      <c r="K176" s="39"/>
      <c r="L176" s="39"/>
      <c r="M176" s="77" t="str">
        <f>IF(Quotes!A167="","",IF(Quotes!F167="","",Quotes!F167))</f>
        <v/>
      </c>
      <c r="N176" s="39"/>
      <c r="O176" s="39"/>
      <c r="P176" s="76" t="str">
        <f>IF(Quotes!A167="","",IF(Quotes!AB167="","",Quotes!AB167))</f>
        <v/>
      </c>
      <c r="Q176" s="39"/>
      <c r="R176" s="39"/>
      <c r="S176" s="76" t="str">
        <f>IF(Quotes!A167="","",IF(Quotes!AD167="","",Quotes!AD167))</f>
        <v/>
      </c>
      <c r="T176" s="39"/>
      <c r="U176" s="76" t="str">
        <f>IF(Quotes!A167="","",IF(Quotes!AF167="","",Quotes!AF167))</f>
        <v/>
      </c>
      <c r="V176" s="39"/>
    </row>
    <row r="177" spans="1:22" ht="42" hidden="1" customHeight="1" x14ac:dyDescent="0.35">
      <c r="A177" s="78" t="str">
        <f>IF(Quotes!A168="","",HYPERLINK("#'Quotes'!A168",Quotes!A168))</f>
        <v/>
      </c>
      <c r="B177" s="39"/>
      <c r="C177" s="39"/>
      <c r="D177" s="40" t="str">
        <f>IF(Quotes!A168="","",Quotes!U168&amp;" | "&amp;Quotes!Z168)</f>
        <v/>
      </c>
      <c r="E177" s="39"/>
      <c r="F177" s="39"/>
      <c r="G177" s="39"/>
      <c r="H177" s="39"/>
      <c r="I177" s="39"/>
      <c r="J177" s="39"/>
      <c r="K177" s="39"/>
      <c r="L177" s="39"/>
      <c r="M177" s="77" t="str">
        <f>IF(Quotes!A168="","",IF(Quotes!F168="","",Quotes!F168))</f>
        <v/>
      </c>
      <c r="N177" s="39"/>
      <c r="O177" s="39"/>
      <c r="P177" s="76" t="str">
        <f>IF(Quotes!A168="","",IF(Quotes!AB168="","",Quotes!AB168))</f>
        <v/>
      </c>
      <c r="Q177" s="39"/>
      <c r="R177" s="39"/>
      <c r="S177" s="76" t="str">
        <f>IF(Quotes!A168="","",IF(Quotes!AD168="","",Quotes!AD168))</f>
        <v/>
      </c>
      <c r="T177" s="39"/>
      <c r="U177" s="76" t="str">
        <f>IF(Quotes!A168="","",IF(Quotes!AF168="","",Quotes!AF168))</f>
        <v/>
      </c>
      <c r="V177" s="39"/>
    </row>
    <row r="178" spans="1:22" ht="42" hidden="1" customHeight="1" x14ac:dyDescent="0.35">
      <c r="A178" s="78" t="str">
        <f>IF(Quotes!A169="","",HYPERLINK("#'Quotes'!A169",Quotes!A169))</f>
        <v/>
      </c>
      <c r="B178" s="39"/>
      <c r="C178" s="39"/>
      <c r="D178" s="40" t="str">
        <f>IF(Quotes!A169="","",Quotes!U169&amp;" | "&amp;Quotes!Z169)</f>
        <v/>
      </c>
      <c r="E178" s="39"/>
      <c r="F178" s="39"/>
      <c r="G178" s="39"/>
      <c r="H178" s="39"/>
      <c r="I178" s="39"/>
      <c r="J178" s="39"/>
      <c r="K178" s="39"/>
      <c r="L178" s="39"/>
      <c r="M178" s="77" t="str">
        <f>IF(Quotes!A169="","",IF(Quotes!F169="","",Quotes!F169))</f>
        <v/>
      </c>
      <c r="N178" s="39"/>
      <c r="O178" s="39"/>
      <c r="P178" s="76" t="str">
        <f>IF(Quotes!A169="","",IF(Quotes!AB169="","",Quotes!AB169))</f>
        <v/>
      </c>
      <c r="Q178" s="39"/>
      <c r="R178" s="39"/>
      <c r="S178" s="76" t="str">
        <f>IF(Quotes!A169="","",IF(Quotes!AD169="","",Quotes!AD169))</f>
        <v/>
      </c>
      <c r="T178" s="39"/>
      <c r="U178" s="76" t="str">
        <f>IF(Quotes!A169="","",IF(Quotes!AF169="","",Quotes!AF169))</f>
        <v/>
      </c>
      <c r="V178" s="39"/>
    </row>
    <row r="179" spans="1:22" ht="42" hidden="1" customHeight="1" x14ac:dyDescent="0.35">
      <c r="A179" s="78" t="str">
        <f>IF(Quotes!A170="","",HYPERLINK("#'Quotes'!A170",Quotes!A170))</f>
        <v/>
      </c>
      <c r="B179" s="39"/>
      <c r="C179" s="39"/>
      <c r="D179" s="40" t="str">
        <f>IF(Quotes!A170="","",Quotes!U170&amp;" | "&amp;Quotes!Z170)</f>
        <v/>
      </c>
      <c r="E179" s="39"/>
      <c r="F179" s="39"/>
      <c r="G179" s="39"/>
      <c r="H179" s="39"/>
      <c r="I179" s="39"/>
      <c r="J179" s="39"/>
      <c r="K179" s="39"/>
      <c r="L179" s="39"/>
      <c r="M179" s="77" t="str">
        <f>IF(Quotes!A170="","",IF(Quotes!F170="","",Quotes!F170))</f>
        <v/>
      </c>
      <c r="N179" s="39"/>
      <c r="O179" s="39"/>
      <c r="P179" s="76" t="str">
        <f>IF(Quotes!A170="","",IF(Quotes!AB170="","",Quotes!AB170))</f>
        <v/>
      </c>
      <c r="Q179" s="39"/>
      <c r="R179" s="39"/>
      <c r="S179" s="76" t="str">
        <f>IF(Quotes!A170="","",IF(Quotes!AD170="","",Quotes!AD170))</f>
        <v/>
      </c>
      <c r="T179" s="39"/>
      <c r="U179" s="76" t="str">
        <f>IF(Quotes!A170="","",IF(Quotes!AF170="","",Quotes!AF170))</f>
        <v/>
      </c>
      <c r="V179" s="39"/>
    </row>
    <row r="180" spans="1:22" ht="42" hidden="1" customHeight="1" x14ac:dyDescent="0.35">
      <c r="A180" s="78" t="str">
        <f>IF(Quotes!A171="","",HYPERLINK("#'Quotes'!A171",Quotes!A171))</f>
        <v/>
      </c>
      <c r="B180" s="39"/>
      <c r="C180" s="39"/>
      <c r="D180" s="40" t="str">
        <f>IF(Quotes!A171="","",Quotes!U171&amp;" | "&amp;Quotes!Z171)</f>
        <v/>
      </c>
      <c r="E180" s="39"/>
      <c r="F180" s="39"/>
      <c r="G180" s="39"/>
      <c r="H180" s="39"/>
      <c r="I180" s="39"/>
      <c r="J180" s="39"/>
      <c r="K180" s="39"/>
      <c r="L180" s="39"/>
      <c r="M180" s="77" t="str">
        <f>IF(Quotes!A171="","",IF(Quotes!F171="","",Quotes!F171))</f>
        <v/>
      </c>
      <c r="N180" s="39"/>
      <c r="O180" s="39"/>
      <c r="P180" s="76" t="str">
        <f>IF(Quotes!A171="","",IF(Quotes!AB171="","",Quotes!AB171))</f>
        <v/>
      </c>
      <c r="Q180" s="39"/>
      <c r="R180" s="39"/>
      <c r="S180" s="76" t="str">
        <f>IF(Quotes!A171="","",IF(Quotes!AD171="","",Quotes!AD171))</f>
        <v/>
      </c>
      <c r="T180" s="39"/>
      <c r="U180" s="76" t="str">
        <f>IF(Quotes!A171="","",IF(Quotes!AF171="","",Quotes!AF171))</f>
        <v/>
      </c>
      <c r="V180" s="39"/>
    </row>
    <row r="181" spans="1:22" ht="42" hidden="1" customHeight="1" x14ac:dyDescent="0.35">
      <c r="A181" s="78" t="str">
        <f>IF(Quotes!A172="","",HYPERLINK("#'Quotes'!A172",Quotes!A172))</f>
        <v/>
      </c>
      <c r="B181" s="39"/>
      <c r="C181" s="39"/>
      <c r="D181" s="40" t="str">
        <f>IF(Quotes!A172="","",Quotes!U172&amp;" | "&amp;Quotes!Z172)</f>
        <v/>
      </c>
      <c r="E181" s="39"/>
      <c r="F181" s="39"/>
      <c r="G181" s="39"/>
      <c r="H181" s="39"/>
      <c r="I181" s="39"/>
      <c r="J181" s="39"/>
      <c r="K181" s="39"/>
      <c r="L181" s="39"/>
      <c r="M181" s="77" t="str">
        <f>IF(Quotes!A172="","",IF(Quotes!F172="","",Quotes!F172))</f>
        <v/>
      </c>
      <c r="N181" s="39"/>
      <c r="O181" s="39"/>
      <c r="P181" s="76" t="str">
        <f>IF(Quotes!A172="","",IF(Quotes!AB172="","",Quotes!AB172))</f>
        <v/>
      </c>
      <c r="Q181" s="39"/>
      <c r="R181" s="39"/>
      <c r="S181" s="76" t="str">
        <f>IF(Quotes!A172="","",IF(Quotes!AD172="","",Quotes!AD172))</f>
        <v/>
      </c>
      <c r="T181" s="39"/>
      <c r="U181" s="76" t="str">
        <f>IF(Quotes!A172="","",IF(Quotes!AF172="","",Quotes!AF172))</f>
        <v/>
      </c>
      <c r="V181" s="39"/>
    </row>
    <row r="182" spans="1:22" ht="42" hidden="1" customHeight="1" x14ac:dyDescent="0.35">
      <c r="A182" s="78" t="str">
        <f>IF(Quotes!A173="","",HYPERLINK("#'Quotes'!A173",Quotes!A173))</f>
        <v/>
      </c>
      <c r="B182" s="39"/>
      <c r="C182" s="39"/>
      <c r="D182" s="40" t="str">
        <f>IF(Quotes!A173="","",Quotes!U173&amp;" | "&amp;Quotes!Z173)</f>
        <v/>
      </c>
      <c r="E182" s="39"/>
      <c r="F182" s="39"/>
      <c r="G182" s="39"/>
      <c r="H182" s="39"/>
      <c r="I182" s="39"/>
      <c r="J182" s="39"/>
      <c r="K182" s="39"/>
      <c r="L182" s="39"/>
      <c r="M182" s="77" t="str">
        <f>IF(Quotes!A173="","",IF(Quotes!F173="","",Quotes!F173))</f>
        <v/>
      </c>
      <c r="N182" s="39"/>
      <c r="O182" s="39"/>
      <c r="P182" s="76" t="str">
        <f>IF(Quotes!A173="","",IF(Quotes!AB173="","",Quotes!AB173))</f>
        <v/>
      </c>
      <c r="Q182" s="39"/>
      <c r="R182" s="39"/>
      <c r="S182" s="76" t="str">
        <f>IF(Quotes!A173="","",IF(Quotes!AD173="","",Quotes!AD173))</f>
        <v/>
      </c>
      <c r="T182" s="39"/>
      <c r="U182" s="76" t="str">
        <f>IF(Quotes!A173="","",IF(Quotes!AF173="","",Quotes!AF173))</f>
        <v/>
      </c>
      <c r="V182" s="39"/>
    </row>
    <row r="183" spans="1:22" ht="42" hidden="1" customHeight="1" x14ac:dyDescent="0.35">
      <c r="A183" s="78" t="str">
        <f>IF(Quotes!A174="","",HYPERLINK("#'Quotes'!A174",Quotes!A174))</f>
        <v/>
      </c>
      <c r="B183" s="39"/>
      <c r="C183" s="39"/>
      <c r="D183" s="40" t="str">
        <f>IF(Quotes!A174="","",Quotes!U174&amp;" | "&amp;Quotes!Z174)</f>
        <v/>
      </c>
      <c r="E183" s="39"/>
      <c r="F183" s="39"/>
      <c r="G183" s="39"/>
      <c r="H183" s="39"/>
      <c r="I183" s="39"/>
      <c r="J183" s="39"/>
      <c r="K183" s="39"/>
      <c r="L183" s="39"/>
      <c r="M183" s="77" t="str">
        <f>IF(Quotes!A174="","",IF(Quotes!F174="","",Quotes!F174))</f>
        <v/>
      </c>
      <c r="N183" s="39"/>
      <c r="O183" s="39"/>
      <c r="P183" s="76" t="str">
        <f>IF(Quotes!A174="","",IF(Quotes!AB174="","",Quotes!AB174))</f>
        <v/>
      </c>
      <c r="Q183" s="39"/>
      <c r="R183" s="39"/>
      <c r="S183" s="76" t="str">
        <f>IF(Quotes!A174="","",IF(Quotes!AD174="","",Quotes!AD174))</f>
        <v/>
      </c>
      <c r="T183" s="39"/>
      <c r="U183" s="76" t="str">
        <f>IF(Quotes!A174="","",IF(Quotes!AF174="","",Quotes!AF174))</f>
        <v/>
      </c>
      <c r="V183" s="39"/>
    </row>
    <row r="184" spans="1:22" ht="42" hidden="1" customHeight="1" x14ac:dyDescent="0.35">
      <c r="A184" s="78" t="str">
        <f>IF(Quotes!A175="","",HYPERLINK("#'Quotes'!A175",Quotes!A175))</f>
        <v/>
      </c>
      <c r="B184" s="39"/>
      <c r="C184" s="39"/>
      <c r="D184" s="40" t="str">
        <f>IF(Quotes!A175="","",Quotes!U175&amp;" | "&amp;Quotes!Z175)</f>
        <v/>
      </c>
      <c r="E184" s="39"/>
      <c r="F184" s="39"/>
      <c r="G184" s="39"/>
      <c r="H184" s="39"/>
      <c r="I184" s="39"/>
      <c r="J184" s="39"/>
      <c r="K184" s="39"/>
      <c r="L184" s="39"/>
      <c r="M184" s="77" t="str">
        <f>IF(Quotes!A175="","",IF(Quotes!F175="","",Quotes!F175))</f>
        <v/>
      </c>
      <c r="N184" s="39"/>
      <c r="O184" s="39"/>
      <c r="P184" s="76" t="str">
        <f>IF(Quotes!A175="","",IF(Quotes!AB175="","",Quotes!AB175))</f>
        <v/>
      </c>
      <c r="Q184" s="39"/>
      <c r="R184" s="39"/>
      <c r="S184" s="76" t="str">
        <f>IF(Quotes!A175="","",IF(Quotes!AD175="","",Quotes!AD175))</f>
        <v/>
      </c>
      <c r="T184" s="39"/>
      <c r="U184" s="76" t="str">
        <f>IF(Quotes!A175="","",IF(Quotes!AF175="","",Quotes!AF175))</f>
        <v/>
      </c>
      <c r="V184" s="39"/>
    </row>
    <row r="185" spans="1:22" ht="42" hidden="1" customHeight="1" x14ac:dyDescent="0.35">
      <c r="A185" s="78" t="str">
        <f>IF(Quotes!A176="","",HYPERLINK("#'Quotes'!A176",Quotes!A176))</f>
        <v/>
      </c>
      <c r="B185" s="39"/>
      <c r="C185" s="39"/>
      <c r="D185" s="40" t="str">
        <f>IF(Quotes!A176="","",Quotes!U176&amp;" | "&amp;Quotes!Z176)</f>
        <v/>
      </c>
      <c r="E185" s="39"/>
      <c r="F185" s="39"/>
      <c r="G185" s="39"/>
      <c r="H185" s="39"/>
      <c r="I185" s="39"/>
      <c r="J185" s="39"/>
      <c r="K185" s="39"/>
      <c r="L185" s="39"/>
      <c r="M185" s="77" t="str">
        <f>IF(Quotes!A176="","",IF(Quotes!F176="","",Quotes!F176))</f>
        <v/>
      </c>
      <c r="N185" s="39"/>
      <c r="O185" s="39"/>
      <c r="P185" s="76" t="str">
        <f>IF(Quotes!A176="","",IF(Quotes!AB176="","",Quotes!AB176))</f>
        <v/>
      </c>
      <c r="Q185" s="39"/>
      <c r="R185" s="39"/>
      <c r="S185" s="76" t="str">
        <f>IF(Quotes!A176="","",IF(Quotes!AD176="","",Quotes!AD176))</f>
        <v/>
      </c>
      <c r="T185" s="39"/>
      <c r="U185" s="76" t="str">
        <f>IF(Quotes!A176="","",IF(Quotes!AF176="","",Quotes!AF176))</f>
        <v/>
      </c>
      <c r="V185" s="39"/>
    </row>
    <row r="186" spans="1:22" ht="42" hidden="1" customHeight="1" x14ac:dyDescent="0.35">
      <c r="A186" s="78" t="str">
        <f>IF(Quotes!A177="","",HYPERLINK("#'Quotes'!A177",Quotes!A177))</f>
        <v/>
      </c>
      <c r="B186" s="39"/>
      <c r="C186" s="39"/>
      <c r="D186" s="40" t="str">
        <f>IF(Quotes!A177="","",Quotes!U177&amp;" | "&amp;Quotes!Z177)</f>
        <v/>
      </c>
      <c r="E186" s="39"/>
      <c r="F186" s="39"/>
      <c r="G186" s="39"/>
      <c r="H186" s="39"/>
      <c r="I186" s="39"/>
      <c r="J186" s="39"/>
      <c r="K186" s="39"/>
      <c r="L186" s="39"/>
      <c r="M186" s="77" t="str">
        <f>IF(Quotes!A177="","",IF(Quotes!F177="","",Quotes!F177))</f>
        <v/>
      </c>
      <c r="N186" s="39"/>
      <c r="O186" s="39"/>
      <c r="P186" s="76" t="str">
        <f>IF(Quotes!A177="","",IF(Quotes!AB177="","",Quotes!AB177))</f>
        <v/>
      </c>
      <c r="Q186" s="39"/>
      <c r="R186" s="39"/>
      <c r="S186" s="76" t="str">
        <f>IF(Quotes!A177="","",IF(Quotes!AD177="","",Quotes!AD177))</f>
        <v/>
      </c>
      <c r="T186" s="39"/>
      <c r="U186" s="76" t="str">
        <f>IF(Quotes!A177="","",IF(Quotes!AF177="","",Quotes!AF177))</f>
        <v/>
      </c>
      <c r="V186" s="39"/>
    </row>
    <row r="187" spans="1:22" ht="42" hidden="1" customHeight="1" x14ac:dyDescent="0.35">
      <c r="A187" s="78" t="str">
        <f>IF(Quotes!A178="","",HYPERLINK("#'Quotes'!A178",Quotes!A178))</f>
        <v/>
      </c>
      <c r="B187" s="39"/>
      <c r="C187" s="39"/>
      <c r="D187" s="40" t="str">
        <f>IF(Quotes!A178="","",Quotes!U178&amp;" | "&amp;Quotes!Z178)</f>
        <v/>
      </c>
      <c r="E187" s="39"/>
      <c r="F187" s="39"/>
      <c r="G187" s="39"/>
      <c r="H187" s="39"/>
      <c r="I187" s="39"/>
      <c r="J187" s="39"/>
      <c r="K187" s="39"/>
      <c r="L187" s="39"/>
      <c r="M187" s="77" t="str">
        <f>IF(Quotes!A178="","",IF(Quotes!F178="","",Quotes!F178))</f>
        <v/>
      </c>
      <c r="N187" s="39"/>
      <c r="O187" s="39"/>
      <c r="P187" s="76" t="str">
        <f>IF(Quotes!A178="","",IF(Quotes!AB178="","",Quotes!AB178))</f>
        <v/>
      </c>
      <c r="Q187" s="39"/>
      <c r="R187" s="39"/>
      <c r="S187" s="76" t="str">
        <f>IF(Quotes!A178="","",IF(Quotes!AD178="","",Quotes!AD178))</f>
        <v/>
      </c>
      <c r="T187" s="39"/>
      <c r="U187" s="76" t="str">
        <f>IF(Quotes!A178="","",IF(Quotes!AF178="","",Quotes!AF178))</f>
        <v/>
      </c>
      <c r="V187" s="39"/>
    </row>
    <row r="188" spans="1:22" ht="42" hidden="1" customHeight="1" x14ac:dyDescent="0.35">
      <c r="A188" s="78" t="str">
        <f>IF(Quotes!A179="","",HYPERLINK("#'Quotes'!A179",Quotes!A179))</f>
        <v/>
      </c>
      <c r="B188" s="39"/>
      <c r="C188" s="39"/>
      <c r="D188" s="40" t="str">
        <f>IF(Quotes!A179="","",Quotes!U179&amp;" | "&amp;Quotes!Z179)</f>
        <v/>
      </c>
      <c r="E188" s="39"/>
      <c r="F188" s="39"/>
      <c r="G188" s="39"/>
      <c r="H188" s="39"/>
      <c r="I188" s="39"/>
      <c r="J188" s="39"/>
      <c r="K188" s="39"/>
      <c r="L188" s="39"/>
      <c r="M188" s="77" t="str">
        <f>IF(Quotes!A179="","",IF(Quotes!F179="","",Quotes!F179))</f>
        <v/>
      </c>
      <c r="N188" s="39"/>
      <c r="O188" s="39"/>
      <c r="P188" s="76" t="str">
        <f>IF(Quotes!A179="","",IF(Quotes!AB179="","",Quotes!AB179))</f>
        <v/>
      </c>
      <c r="Q188" s="39"/>
      <c r="R188" s="39"/>
      <c r="S188" s="76" t="str">
        <f>IF(Quotes!A179="","",IF(Quotes!AD179="","",Quotes!AD179))</f>
        <v/>
      </c>
      <c r="T188" s="39"/>
      <c r="U188" s="76" t="str">
        <f>IF(Quotes!A179="","",IF(Quotes!AF179="","",Quotes!AF179))</f>
        <v/>
      </c>
      <c r="V188" s="39"/>
    </row>
    <row r="189" spans="1:22" ht="42" hidden="1" customHeight="1" x14ac:dyDescent="0.35">
      <c r="A189" s="78" t="str">
        <f>IF(Quotes!A180="","",HYPERLINK("#'Quotes'!A180",Quotes!A180))</f>
        <v/>
      </c>
      <c r="B189" s="39"/>
      <c r="C189" s="39"/>
      <c r="D189" s="40" t="str">
        <f>IF(Quotes!A180="","",Quotes!U180&amp;" | "&amp;Quotes!Z180)</f>
        <v/>
      </c>
      <c r="E189" s="39"/>
      <c r="F189" s="39"/>
      <c r="G189" s="39"/>
      <c r="H189" s="39"/>
      <c r="I189" s="39"/>
      <c r="J189" s="39"/>
      <c r="K189" s="39"/>
      <c r="L189" s="39"/>
      <c r="M189" s="77" t="str">
        <f>IF(Quotes!A180="","",IF(Quotes!F180="","",Quotes!F180))</f>
        <v/>
      </c>
      <c r="N189" s="39"/>
      <c r="O189" s="39"/>
      <c r="P189" s="76" t="str">
        <f>IF(Quotes!A180="","",IF(Quotes!AB180="","",Quotes!AB180))</f>
        <v/>
      </c>
      <c r="Q189" s="39"/>
      <c r="R189" s="39"/>
      <c r="S189" s="76" t="str">
        <f>IF(Quotes!A180="","",IF(Quotes!AD180="","",Quotes!AD180))</f>
        <v/>
      </c>
      <c r="T189" s="39"/>
      <c r="U189" s="76" t="str">
        <f>IF(Quotes!A180="","",IF(Quotes!AF180="","",Quotes!AF180))</f>
        <v/>
      </c>
      <c r="V189" s="39"/>
    </row>
    <row r="190" spans="1:22" ht="42" hidden="1" customHeight="1" x14ac:dyDescent="0.35">
      <c r="A190" s="78" t="str">
        <f>IF(Quotes!A181="","",HYPERLINK("#'Quotes'!A181",Quotes!A181))</f>
        <v/>
      </c>
      <c r="B190" s="39"/>
      <c r="C190" s="39"/>
      <c r="D190" s="40" t="str">
        <f>IF(Quotes!A181="","",Quotes!U181&amp;" | "&amp;Quotes!Z181)</f>
        <v/>
      </c>
      <c r="E190" s="39"/>
      <c r="F190" s="39"/>
      <c r="G190" s="39"/>
      <c r="H190" s="39"/>
      <c r="I190" s="39"/>
      <c r="J190" s="39"/>
      <c r="K190" s="39"/>
      <c r="L190" s="39"/>
      <c r="M190" s="77" t="str">
        <f>IF(Quotes!A181="","",IF(Quotes!F181="","",Quotes!F181))</f>
        <v/>
      </c>
      <c r="N190" s="39"/>
      <c r="O190" s="39"/>
      <c r="P190" s="76" t="str">
        <f>IF(Quotes!A181="","",IF(Quotes!AB181="","",Quotes!AB181))</f>
        <v/>
      </c>
      <c r="Q190" s="39"/>
      <c r="R190" s="39"/>
      <c r="S190" s="76" t="str">
        <f>IF(Quotes!A181="","",IF(Quotes!AD181="","",Quotes!AD181))</f>
        <v/>
      </c>
      <c r="T190" s="39"/>
      <c r="U190" s="76" t="str">
        <f>IF(Quotes!A181="","",IF(Quotes!AF181="","",Quotes!AF181))</f>
        <v/>
      </c>
      <c r="V190" s="39"/>
    </row>
    <row r="191" spans="1:22" ht="42" hidden="1" customHeight="1" x14ac:dyDescent="0.35">
      <c r="A191" s="78" t="str">
        <f>IF(Quotes!A182="","",HYPERLINK("#'Quotes'!A182",Quotes!A182))</f>
        <v/>
      </c>
      <c r="B191" s="39"/>
      <c r="C191" s="39"/>
      <c r="D191" s="40" t="str">
        <f>IF(Quotes!A182="","",Quotes!U182&amp;" | "&amp;Quotes!Z182)</f>
        <v/>
      </c>
      <c r="E191" s="39"/>
      <c r="F191" s="39"/>
      <c r="G191" s="39"/>
      <c r="H191" s="39"/>
      <c r="I191" s="39"/>
      <c r="J191" s="39"/>
      <c r="K191" s="39"/>
      <c r="L191" s="39"/>
      <c r="M191" s="77" t="str">
        <f>IF(Quotes!A182="","",IF(Quotes!F182="","",Quotes!F182))</f>
        <v/>
      </c>
      <c r="N191" s="39"/>
      <c r="O191" s="39"/>
      <c r="P191" s="76" t="str">
        <f>IF(Quotes!A182="","",IF(Quotes!AB182="","",Quotes!AB182))</f>
        <v/>
      </c>
      <c r="Q191" s="39"/>
      <c r="R191" s="39"/>
      <c r="S191" s="76" t="str">
        <f>IF(Quotes!A182="","",IF(Quotes!AD182="","",Quotes!AD182))</f>
        <v/>
      </c>
      <c r="T191" s="39"/>
      <c r="U191" s="76" t="str">
        <f>IF(Quotes!A182="","",IF(Quotes!AF182="","",Quotes!AF182))</f>
        <v/>
      </c>
      <c r="V191" s="39"/>
    </row>
    <row r="192" spans="1:22" ht="42" hidden="1" customHeight="1" x14ac:dyDescent="0.35">
      <c r="A192" s="78" t="str">
        <f>IF(Quotes!A183="","",HYPERLINK("#'Quotes'!A183",Quotes!A183))</f>
        <v/>
      </c>
      <c r="B192" s="39"/>
      <c r="C192" s="39"/>
      <c r="D192" s="40" t="str">
        <f>IF(Quotes!A183="","",Quotes!U183&amp;" | "&amp;Quotes!Z183)</f>
        <v/>
      </c>
      <c r="E192" s="39"/>
      <c r="F192" s="39"/>
      <c r="G192" s="39"/>
      <c r="H192" s="39"/>
      <c r="I192" s="39"/>
      <c r="J192" s="39"/>
      <c r="K192" s="39"/>
      <c r="L192" s="39"/>
      <c r="M192" s="77" t="str">
        <f>IF(Quotes!A183="","",IF(Quotes!F183="","",Quotes!F183))</f>
        <v/>
      </c>
      <c r="N192" s="39"/>
      <c r="O192" s="39"/>
      <c r="P192" s="76" t="str">
        <f>IF(Quotes!A183="","",IF(Quotes!AB183="","",Quotes!AB183))</f>
        <v/>
      </c>
      <c r="Q192" s="39"/>
      <c r="R192" s="39"/>
      <c r="S192" s="76" t="str">
        <f>IF(Quotes!A183="","",IF(Quotes!AD183="","",Quotes!AD183))</f>
        <v/>
      </c>
      <c r="T192" s="39"/>
      <c r="U192" s="76" t="str">
        <f>IF(Quotes!A183="","",IF(Quotes!AF183="","",Quotes!AF183))</f>
        <v/>
      </c>
      <c r="V192" s="39"/>
    </row>
    <row r="193" spans="1:22" ht="42" hidden="1" customHeight="1" x14ac:dyDescent="0.35">
      <c r="A193" s="78" t="str">
        <f>IF(Quotes!A184="","",HYPERLINK("#'Quotes'!A184",Quotes!A184))</f>
        <v/>
      </c>
      <c r="B193" s="39"/>
      <c r="C193" s="39"/>
      <c r="D193" s="40" t="str">
        <f>IF(Quotes!A184="","",Quotes!U184&amp;" | "&amp;Quotes!Z184)</f>
        <v/>
      </c>
      <c r="E193" s="39"/>
      <c r="F193" s="39"/>
      <c r="G193" s="39"/>
      <c r="H193" s="39"/>
      <c r="I193" s="39"/>
      <c r="J193" s="39"/>
      <c r="K193" s="39"/>
      <c r="L193" s="39"/>
      <c r="M193" s="77" t="str">
        <f>IF(Quotes!A184="","",IF(Quotes!F184="","",Quotes!F184))</f>
        <v/>
      </c>
      <c r="N193" s="39"/>
      <c r="O193" s="39"/>
      <c r="P193" s="76" t="str">
        <f>IF(Quotes!A184="","",IF(Quotes!AB184="","",Quotes!AB184))</f>
        <v/>
      </c>
      <c r="Q193" s="39"/>
      <c r="R193" s="39"/>
      <c r="S193" s="76" t="str">
        <f>IF(Quotes!A184="","",IF(Quotes!AD184="","",Quotes!AD184))</f>
        <v/>
      </c>
      <c r="T193" s="39"/>
      <c r="U193" s="76" t="str">
        <f>IF(Quotes!A184="","",IF(Quotes!AF184="","",Quotes!AF184))</f>
        <v/>
      </c>
      <c r="V193" s="39"/>
    </row>
    <row r="194" spans="1:22" ht="42" hidden="1" customHeight="1" x14ac:dyDescent="0.35">
      <c r="A194" s="78" t="str">
        <f>IF(Quotes!A185="","",HYPERLINK("#'Quotes'!A185",Quotes!A185))</f>
        <v/>
      </c>
      <c r="B194" s="39"/>
      <c r="C194" s="39"/>
      <c r="D194" s="40" t="str">
        <f>IF(Quotes!A185="","",Quotes!U185&amp;" | "&amp;Quotes!Z185)</f>
        <v/>
      </c>
      <c r="E194" s="39"/>
      <c r="F194" s="39"/>
      <c r="G194" s="39"/>
      <c r="H194" s="39"/>
      <c r="I194" s="39"/>
      <c r="J194" s="39"/>
      <c r="K194" s="39"/>
      <c r="L194" s="39"/>
      <c r="M194" s="77" t="str">
        <f>IF(Quotes!A185="","",IF(Quotes!F185="","",Quotes!F185))</f>
        <v/>
      </c>
      <c r="N194" s="39"/>
      <c r="O194" s="39"/>
      <c r="P194" s="76" t="str">
        <f>IF(Quotes!A185="","",IF(Quotes!AB185="","",Quotes!AB185))</f>
        <v/>
      </c>
      <c r="Q194" s="39"/>
      <c r="R194" s="39"/>
      <c r="S194" s="76" t="str">
        <f>IF(Quotes!A185="","",IF(Quotes!AD185="","",Quotes!AD185))</f>
        <v/>
      </c>
      <c r="T194" s="39"/>
      <c r="U194" s="76" t="str">
        <f>IF(Quotes!A185="","",IF(Quotes!AF185="","",Quotes!AF185))</f>
        <v/>
      </c>
      <c r="V194" s="39"/>
    </row>
    <row r="195" spans="1:22" ht="42" hidden="1" customHeight="1" x14ac:dyDescent="0.35">
      <c r="A195" s="78" t="str">
        <f>IF(Quotes!A186="","",HYPERLINK("#'Quotes'!A186",Quotes!A186))</f>
        <v/>
      </c>
      <c r="B195" s="39"/>
      <c r="C195" s="39"/>
      <c r="D195" s="40" t="str">
        <f>IF(Quotes!A186="","",Quotes!U186&amp;" | "&amp;Quotes!Z186)</f>
        <v/>
      </c>
      <c r="E195" s="39"/>
      <c r="F195" s="39"/>
      <c r="G195" s="39"/>
      <c r="H195" s="39"/>
      <c r="I195" s="39"/>
      <c r="J195" s="39"/>
      <c r="K195" s="39"/>
      <c r="L195" s="39"/>
      <c r="M195" s="77" t="str">
        <f>IF(Quotes!A186="","",IF(Quotes!F186="","",Quotes!F186))</f>
        <v/>
      </c>
      <c r="N195" s="39"/>
      <c r="O195" s="39"/>
      <c r="P195" s="76" t="str">
        <f>IF(Quotes!A186="","",IF(Quotes!AB186="","",Quotes!AB186))</f>
        <v/>
      </c>
      <c r="Q195" s="39"/>
      <c r="R195" s="39"/>
      <c r="S195" s="76" t="str">
        <f>IF(Quotes!A186="","",IF(Quotes!AD186="","",Quotes!AD186))</f>
        <v/>
      </c>
      <c r="T195" s="39"/>
      <c r="U195" s="76" t="str">
        <f>IF(Quotes!A186="","",IF(Quotes!AF186="","",Quotes!AF186))</f>
        <v/>
      </c>
      <c r="V195" s="39"/>
    </row>
    <row r="196" spans="1:22" ht="42" hidden="1" customHeight="1" x14ac:dyDescent="0.35">
      <c r="A196" s="78" t="str">
        <f>IF(Quotes!A187="","",HYPERLINK("#'Quotes'!A187",Quotes!A187))</f>
        <v/>
      </c>
      <c r="B196" s="39"/>
      <c r="C196" s="39"/>
      <c r="D196" s="40" t="str">
        <f>IF(Quotes!A187="","",Quotes!U187&amp;" | "&amp;Quotes!Z187)</f>
        <v/>
      </c>
      <c r="E196" s="39"/>
      <c r="F196" s="39"/>
      <c r="G196" s="39"/>
      <c r="H196" s="39"/>
      <c r="I196" s="39"/>
      <c r="J196" s="39"/>
      <c r="K196" s="39"/>
      <c r="L196" s="39"/>
      <c r="M196" s="77" t="str">
        <f>IF(Quotes!A187="","",IF(Quotes!F187="","",Quotes!F187))</f>
        <v/>
      </c>
      <c r="N196" s="39"/>
      <c r="O196" s="39"/>
      <c r="P196" s="76" t="str">
        <f>IF(Quotes!A187="","",IF(Quotes!AB187="","",Quotes!AB187))</f>
        <v/>
      </c>
      <c r="Q196" s="39"/>
      <c r="R196" s="39"/>
      <c r="S196" s="76" t="str">
        <f>IF(Quotes!A187="","",IF(Quotes!AD187="","",Quotes!AD187))</f>
        <v/>
      </c>
      <c r="T196" s="39"/>
      <c r="U196" s="76" t="str">
        <f>IF(Quotes!A187="","",IF(Quotes!AF187="","",Quotes!AF187))</f>
        <v/>
      </c>
      <c r="V196" s="39"/>
    </row>
    <row r="197" spans="1:22" ht="42" hidden="1" customHeight="1" x14ac:dyDescent="0.35">
      <c r="A197" s="78" t="str">
        <f>IF(Quotes!A188="","",HYPERLINK("#'Quotes'!A188",Quotes!A188))</f>
        <v/>
      </c>
      <c r="B197" s="39"/>
      <c r="C197" s="39"/>
      <c r="D197" s="40" t="str">
        <f>IF(Quotes!A188="","",Quotes!U188&amp;" | "&amp;Quotes!Z188)</f>
        <v/>
      </c>
      <c r="E197" s="39"/>
      <c r="F197" s="39"/>
      <c r="G197" s="39"/>
      <c r="H197" s="39"/>
      <c r="I197" s="39"/>
      <c r="J197" s="39"/>
      <c r="K197" s="39"/>
      <c r="L197" s="39"/>
      <c r="M197" s="77" t="str">
        <f>IF(Quotes!A188="","",IF(Quotes!F188="","",Quotes!F188))</f>
        <v/>
      </c>
      <c r="N197" s="39"/>
      <c r="O197" s="39"/>
      <c r="P197" s="76" t="str">
        <f>IF(Quotes!A188="","",IF(Quotes!AB188="","",Quotes!AB188))</f>
        <v/>
      </c>
      <c r="Q197" s="39"/>
      <c r="R197" s="39"/>
      <c r="S197" s="76" t="str">
        <f>IF(Quotes!A188="","",IF(Quotes!AD188="","",Quotes!AD188))</f>
        <v/>
      </c>
      <c r="T197" s="39"/>
      <c r="U197" s="76" t="str">
        <f>IF(Quotes!A188="","",IF(Quotes!AF188="","",Quotes!AF188))</f>
        <v/>
      </c>
      <c r="V197" s="39"/>
    </row>
    <row r="198" spans="1:22" ht="42" hidden="1" customHeight="1" x14ac:dyDescent="0.35">
      <c r="A198" s="78" t="str">
        <f>IF(Quotes!A189="","",HYPERLINK("#'Quotes'!A189",Quotes!A189))</f>
        <v/>
      </c>
      <c r="B198" s="39"/>
      <c r="C198" s="39"/>
      <c r="D198" s="40" t="str">
        <f>IF(Quotes!A189="","",Quotes!U189&amp;" | "&amp;Quotes!Z189)</f>
        <v/>
      </c>
      <c r="E198" s="39"/>
      <c r="F198" s="39"/>
      <c r="G198" s="39"/>
      <c r="H198" s="39"/>
      <c r="I198" s="39"/>
      <c r="J198" s="39"/>
      <c r="K198" s="39"/>
      <c r="L198" s="39"/>
      <c r="M198" s="77" t="str">
        <f>IF(Quotes!A189="","",IF(Quotes!F189="","",Quotes!F189))</f>
        <v/>
      </c>
      <c r="N198" s="39"/>
      <c r="O198" s="39"/>
      <c r="P198" s="76" t="str">
        <f>IF(Quotes!A189="","",IF(Quotes!AB189="","",Quotes!AB189))</f>
        <v/>
      </c>
      <c r="Q198" s="39"/>
      <c r="R198" s="39"/>
      <c r="S198" s="76" t="str">
        <f>IF(Quotes!A189="","",IF(Quotes!AD189="","",Quotes!AD189))</f>
        <v/>
      </c>
      <c r="T198" s="39"/>
      <c r="U198" s="76" t="str">
        <f>IF(Quotes!A189="","",IF(Quotes!AF189="","",Quotes!AF189))</f>
        <v/>
      </c>
      <c r="V198" s="39"/>
    </row>
    <row r="199" spans="1:22" ht="42" hidden="1" customHeight="1" x14ac:dyDescent="0.35">
      <c r="A199" s="78" t="str">
        <f>IF(Quotes!A190="","",HYPERLINK("#'Quotes'!A190",Quotes!A190))</f>
        <v/>
      </c>
      <c r="B199" s="39"/>
      <c r="C199" s="39"/>
      <c r="D199" s="40" t="str">
        <f>IF(Quotes!A190="","",Quotes!U190&amp;" | "&amp;Quotes!Z190)</f>
        <v/>
      </c>
      <c r="E199" s="39"/>
      <c r="F199" s="39"/>
      <c r="G199" s="39"/>
      <c r="H199" s="39"/>
      <c r="I199" s="39"/>
      <c r="J199" s="39"/>
      <c r="K199" s="39"/>
      <c r="L199" s="39"/>
      <c r="M199" s="77" t="str">
        <f>IF(Quotes!A190="","",IF(Quotes!F190="","",Quotes!F190))</f>
        <v/>
      </c>
      <c r="N199" s="39"/>
      <c r="O199" s="39"/>
      <c r="P199" s="76" t="str">
        <f>IF(Quotes!A190="","",IF(Quotes!AB190="","",Quotes!AB190))</f>
        <v/>
      </c>
      <c r="Q199" s="39"/>
      <c r="R199" s="39"/>
      <c r="S199" s="76" t="str">
        <f>IF(Quotes!A190="","",IF(Quotes!AD190="","",Quotes!AD190))</f>
        <v/>
      </c>
      <c r="T199" s="39"/>
      <c r="U199" s="76" t="str">
        <f>IF(Quotes!A190="","",IF(Quotes!AF190="","",Quotes!AF190))</f>
        <v/>
      </c>
      <c r="V199" s="39"/>
    </row>
    <row r="200" spans="1:22" ht="42" hidden="1" customHeight="1" x14ac:dyDescent="0.35">
      <c r="A200" s="78" t="str">
        <f>IF(Quotes!A191="","",HYPERLINK("#'Quotes'!A191",Quotes!A191))</f>
        <v/>
      </c>
      <c r="B200" s="39"/>
      <c r="C200" s="39"/>
      <c r="D200" s="40" t="str">
        <f>IF(Quotes!A191="","",Quotes!U191&amp;" | "&amp;Quotes!Z191)</f>
        <v/>
      </c>
      <c r="E200" s="39"/>
      <c r="F200" s="39"/>
      <c r="G200" s="39"/>
      <c r="H200" s="39"/>
      <c r="I200" s="39"/>
      <c r="J200" s="39"/>
      <c r="K200" s="39"/>
      <c r="L200" s="39"/>
      <c r="M200" s="77" t="str">
        <f>IF(Quotes!A191="","",IF(Quotes!F191="","",Quotes!F191))</f>
        <v/>
      </c>
      <c r="N200" s="39"/>
      <c r="O200" s="39"/>
      <c r="P200" s="76" t="str">
        <f>IF(Quotes!A191="","",IF(Quotes!AB191="","",Quotes!AB191))</f>
        <v/>
      </c>
      <c r="Q200" s="39"/>
      <c r="R200" s="39"/>
      <c r="S200" s="76" t="str">
        <f>IF(Quotes!A191="","",IF(Quotes!AD191="","",Quotes!AD191))</f>
        <v/>
      </c>
      <c r="T200" s="39"/>
      <c r="U200" s="76" t="str">
        <f>IF(Quotes!A191="","",IF(Quotes!AF191="","",Quotes!AF191))</f>
        <v/>
      </c>
      <c r="V200" s="39"/>
    </row>
    <row r="201" spans="1:22" ht="42" hidden="1" customHeight="1" x14ac:dyDescent="0.35">
      <c r="A201" s="78" t="str">
        <f>IF(Quotes!A192="","",HYPERLINK("#'Quotes'!A192",Quotes!A192))</f>
        <v/>
      </c>
      <c r="B201" s="39"/>
      <c r="C201" s="39"/>
      <c r="D201" s="40" t="str">
        <f>IF(Quotes!A192="","",Quotes!U192&amp;" | "&amp;Quotes!Z192)</f>
        <v/>
      </c>
      <c r="E201" s="39"/>
      <c r="F201" s="39"/>
      <c r="G201" s="39"/>
      <c r="H201" s="39"/>
      <c r="I201" s="39"/>
      <c r="J201" s="39"/>
      <c r="K201" s="39"/>
      <c r="L201" s="39"/>
      <c r="M201" s="77" t="str">
        <f>IF(Quotes!A192="","",IF(Quotes!F192="","",Quotes!F192))</f>
        <v/>
      </c>
      <c r="N201" s="39"/>
      <c r="O201" s="39"/>
      <c r="P201" s="76" t="str">
        <f>IF(Quotes!A192="","",IF(Quotes!AB192="","",Quotes!AB192))</f>
        <v/>
      </c>
      <c r="Q201" s="39"/>
      <c r="R201" s="39"/>
      <c r="S201" s="76" t="str">
        <f>IF(Quotes!A192="","",IF(Quotes!AD192="","",Quotes!AD192))</f>
        <v/>
      </c>
      <c r="T201" s="39"/>
      <c r="U201" s="76" t="str">
        <f>IF(Quotes!A192="","",IF(Quotes!AF192="","",Quotes!AF192))</f>
        <v/>
      </c>
      <c r="V201" s="39"/>
    </row>
    <row r="202" spans="1:22" ht="42" hidden="1" customHeight="1" x14ac:dyDescent="0.35">
      <c r="A202" s="78" t="str">
        <f>IF(Quotes!A193="","",HYPERLINK("#'Quotes'!A193",Quotes!A193))</f>
        <v/>
      </c>
      <c r="B202" s="39"/>
      <c r="C202" s="39"/>
      <c r="D202" s="40" t="str">
        <f>IF(Quotes!A193="","",Quotes!U193&amp;" | "&amp;Quotes!Z193)</f>
        <v/>
      </c>
      <c r="E202" s="39"/>
      <c r="F202" s="39"/>
      <c r="G202" s="39"/>
      <c r="H202" s="39"/>
      <c r="I202" s="39"/>
      <c r="J202" s="39"/>
      <c r="K202" s="39"/>
      <c r="L202" s="39"/>
      <c r="M202" s="77" t="str">
        <f>IF(Quotes!A193="","",IF(Quotes!F193="","",Quotes!F193))</f>
        <v/>
      </c>
      <c r="N202" s="39"/>
      <c r="O202" s="39"/>
      <c r="P202" s="76" t="str">
        <f>IF(Quotes!A193="","",IF(Quotes!AB193="","",Quotes!AB193))</f>
        <v/>
      </c>
      <c r="Q202" s="39"/>
      <c r="R202" s="39"/>
      <c r="S202" s="76" t="str">
        <f>IF(Quotes!A193="","",IF(Quotes!AD193="","",Quotes!AD193))</f>
        <v/>
      </c>
      <c r="T202" s="39"/>
      <c r="U202" s="76" t="str">
        <f>IF(Quotes!A193="","",IF(Quotes!AF193="","",Quotes!AF193))</f>
        <v/>
      </c>
      <c r="V202" s="39"/>
    </row>
    <row r="203" spans="1:22" ht="42" hidden="1" customHeight="1" x14ac:dyDescent="0.35">
      <c r="A203" s="78" t="str">
        <f>IF(Quotes!A194="","",HYPERLINK("#'Quotes'!A194",Quotes!A194))</f>
        <v/>
      </c>
      <c r="B203" s="39"/>
      <c r="C203" s="39"/>
      <c r="D203" s="40" t="str">
        <f>IF(Quotes!A194="","",Quotes!U194&amp;" | "&amp;Quotes!Z194)</f>
        <v/>
      </c>
      <c r="E203" s="39"/>
      <c r="F203" s="39"/>
      <c r="G203" s="39"/>
      <c r="H203" s="39"/>
      <c r="I203" s="39"/>
      <c r="J203" s="39"/>
      <c r="K203" s="39"/>
      <c r="L203" s="39"/>
      <c r="M203" s="77" t="str">
        <f>IF(Quotes!A194="","",IF(Quotes!F194="","",Quotes!F194))</f>
        <v/>
      </c>
      <c r="N203" s="39"/>
      <c r="O203" s="39"/>
      <c r="P203" s="76" t="str">
        <f>IF(Quotes!A194="","",IF(Quotes!AB194="","",Quotes!AB194))</f>
        <v/>
      </c>
      <c r="Q203" s="39"/>
      <c r="R203" s="39"/>
      <c r="S203" s="76" t="str">
        <f>IF(Quotes!A194="","",IF(Quotes!AD194="","",Quotes!AD194))</f>
        <v/>
      </c>
      <c r="T203" s="39"/>
      <c r="U203" s="76" t="str">
        <f>IF(Quotes!A194="","",IF(Quotes!AF194="","",Quotes!AF194))</f>
        <v/>
      </c>
      <c r="V203" s="39"/>
    </row>
    <row r="204" spans="1:22" ht="42" hidden="1" customHeight="1" x14ac:dyDescent="0.35">
      <c r="A204" s="78" t="str">
        <f>IF(Quotes!A195="","",HYPERLINK("#'Quotes'!A195",Quotes!A195))</f>
        <v/>
      </c>
      <c r="B204" s="39"/>
      <c r="C204" s="39"/>
      <c r="D204" s="40" t="str">
        <f>IF(Quotes!A195="","",Quotes!U195&amp;" | "&amp;Quotes!Z195)</f>
        <v/>
      </c>
      <c r="E204" s="39"/>
      <c r="F204" s="39"/>
      <c r="G204" s="39"/>
      <c r="H204" s="39"/>
      <c r="I204" s="39"/>
      <c r="J204" s="39"/>
      <c r="K204" s="39"/>
      <c r="L204" s="39"/>
      <c r="M204" s="77" t="str">
        <f>IF(Quotes!A195="","",IF(Quotes!F195="","",Quotes!F195))</f>
        <v/>
      </c>
      <c r="N204" s="39"/>
      <c r="O204" s="39"/>
      <c r="P204" s="76" t="str">
        <f>IF(Quotes!A195="","",IF(Quotes!AB195="","",Quotes!AB195))</f>
        <v/>
      </c>
      <c r="Q204" s="39"/>
      <c r="R204" s="39"/>
      <c r="S204" s="76" t="str">
        <f>IF(Quotes!A195="","",IF(Quotes!AD195="","",Quotes!AD195))</f>
        <v/>
      </c>
      <c r="T204" s="39"/>
      <c r="U204" s="76" t="str">
        <f>IF(Quotes!A195="","",IF(Quotes!AF195="","",Quotes!AF195))</f>
        <v/>
      </c>
      <c r="V204" s="39"/>
    </row>
    <row r="205" spans="1:22" ht="42" hidden="1" customHeight="1" x14ac:dyDescent="0.35">
      <c r="A205" s="78" t="str">
        <f>IF(Quotes!A196="","",HYPERLINK("#'Quotes'!A196",Quotes!A196))</f>
        <v/>
      </c>
      <c r="B205" s="39"/>
      <c r="C205" s="39"/>
      <c r="D205" s="40" t="str">
        <f>IF(Quotes!A196="","",Quotes!U196&amp;" | "&amp;Quotes!Z196)</f>
        <v/>
      </c>
      <c r="E205" s="39"/>
      <c r="F205" s="39"/>
      <c r="G205" s="39"/>
      <c r="H205" s="39"/>
      <c r="I205" s="39"/>
      <c r="J205" s="39"/>
      <c r="K205" s="39"/>
      <c r="L205" s="39"/>
      <c r="M205" s="77" t="str">
        <f>IF(Quotes!A196="","",IF(Quotes!F196="","",Quotes!F196))</f>
        <v/>
      </c>
      <c r="N205" s="39"/>
      <c r="O205" s="39"/>
      <c r="P205" s="76" t="str">
        <f>IF(Quotes!A196="","",IF(Quotes!AB196="","",Quotes!AB196))</f>
        <v/>
      </c>
      <c r="Q205" s="39"/>
      <c r="R205" s="39"/>
      <c r="S205" s="76" t="str">
        <f>IF(Quotes!A196="","",IF(Quotes!AD196="","",Quotes!AD196))</f>
        <v/>
      </c>
      <c r="T205" s="39"/>
      <c r="U205" s="76" t="str">
        <f>IF(Quotes!A196="","",IF(Quotes!AF196="","",Quotes!AF196))</f>
        <v/>
      </c>
      <c r="V205" s="39"/>
    </row>
    <row r="206" spans="1:22" ht="42" hidden="1" customHeight="1" x14ac:dyDescent="0.35">
      <c r="A206" s="78" t="str">
        <f>IF(Quotes!A197="","",HYPERLINK("#'Quotes'!A197",Quotes!A197))</f>
        <v/>
      </c>
      <c r="B206" s="39"/>
      <c r="C206" s="39"/>
      <c r="D206" s="40" t="str">
        <f>IF(Quotes!A197="","",Quotes!U197&amp;" | "&amp;Quotes!Z197)</f>
        <v/>
      </c>
      <c r="E206" s="39"/>
      <c r="F206" s="39"/>
      <c r="G206" s="39"/>
      <c r="H206" s="39"/>
      <c r="I206" s="39"/>
      <c r="J206" s="39"/>
      <c r="K206" s="39"/>
      <c r="L206" s="39"/>
      <c r="M206" s="77" t="str">
        <f>IF(Quotes!A197="","",IF(Quotes!F197="","",Quotes!F197))</f>
        <v/>
      </c>
      <c r="N206" s="39"/>
      <c r="O206" s="39"/>
      <c r="P206" s="76" t="str">
        <f>IF(Quotes!A197="","",IF(Quotes!AB197="","",Quotes!AB197))</f>
        <v/>
      </c>
      <c r="Q206" s="39"/>
      <c r="R206" s="39"/>
      <c r="S206" s="76" t="str">
        <f>IF(Quotes!A197="","",IF(Quotes!AD197="","",Quotes!AD197))</f>
        <v/>
      </c>
      <c r="T206" s="39"/>
      <c r="U206" s="76" t="str">
        <f>IF(Quotes!A197="","",IF(Quotes!AF197="","",Quotes!AF197))</f>
        <v/>
      </c>
      <c r="V206" s="39"/>
    </row>
    <row r="207" spans="1:22" ht="42" hidden="1" customHeight="1" x14ac:dyDescent="0.35">
      <c r="A207" s="78" t="str">
        <f>IF(Quotes!A198="","",HYPERLINK("#'Quotes'!A198",Quotes!A198))</f>
        <v/>
      </c>
      <c r="B207" s="39"/>
      <c r="C207" s="39"/>
      <c r="D207" s="40" t="str">
        <f>IF(Quotes!A198="","",Quotes!U198&amp;" | "&amp;Quotes!Z198)</f>
        <v/>
      </c>
      <c r="E207" s="39"/>
      <c r="F207" s="39"/>
      <c r="G207" s="39"/>
      <c r="H207" s="39"/>
      <c r="I207" s="39"/>
      <c r="J207" s="39"/>
      <c r="K207" s="39"/>
      <c r="L207" s="39"/>
      <c r="M207" s="77" t="str">
        <f>IF(Quotes!A198="","",IF(Quotes!F198="","",Quotes!F198))</f>
        <v/>
      </c>
      <c r="N207" s="39"/>
      <c r="O207" s="39"/>
      <c r="P207" s="76" t="str">
        <f>IF(Quotes!A198="","",IF(Quotes!AB198="","",Quotes!AB198))</f>
        <v/>
      </c>
      <c r="Q207" s="39"/>
      <c r="R207" s="39"/>
      <c r="S207" s="76" t="str">
        <f>IF(Quotes!A198="","",IF(Quotes!AD198="","",Quotes!AD198))</f>
        <v/>
      </c>
      <c r="T207" s="39"/>
      <c r="U207" s="76" t="str">
        <f>IF(Quotes!A198="","",IF(Quotes!AF198="","",Quotes!AF198))</f>
        <v/>
      </c>
      <c r="V207" s="39"/>
    </row>
    <row r="208" spans="1:22" ht="42" hidden="1" customHeight="1" x14ac:dyDescent="0.35">
      <c r="A208" s="78" t="str">
        <f>IF(Quotes!A199="","",HYPERLINK("#'Quotes'!A199",Quotes!A199))</f>
        <v/>
      </c>
      <c r="B208" s="39"/>
      <c r="C208" s="39"/>
      <c r="D208" s="40" t="str">
        <f>IF(Quotes!A199="","",Quotes!U199&amp;" | "&amp;Quotes!Z199)</f>
        <v/>
      </c>
      <c r="E208" s="39"/>
      <c r="F208" s="39"/>
      <c r="G208" s="39"/>
      <c r="H208" s="39"/>
      <c r="I208" s="39"/>
      <c r="J208" s="39"/>
      <c r="K208" s="39"/>
      <c r="L208" s="39"/>
      <c r="M208" s="77" t="str">
        <f>IF(Quotes!A199="","",IF(Quotes!F199="","",Quotes!F199))</f>
        <v/>
      </c>
      <c r="N208" s="39"/>
      <c r="O208" s="39"/>
      <c r="P208" s="76" t="str">
        <f>IF(Quotes!A199="","",IF(Quotes!AB199="","",Quotes!AB199))</f>
        <v/>
      </c>
      <c r="Q208" s="39"/>
      <c r="R208" s="39"/>
      <c r="S208" s="76" t="str">
        <f>IF(Quotes!A199="","",IF(Quotes!AD199="","",Quotes!AD199))</f>
        <v/>
      </c>
      <c r="T208" s="39"/>
      <c r="U208" s="76" t="str">
        <f>IF(Quotes!A199="","",IF(Quotes!AF199="","",Quotes!AF199))</f>
        <v/>
      </c>
      <c r="V208" s="39"/>
    </row>
    <row r="209" spans="1:22" ht="42" hidden="1" customHeight="1" x14ac:dyDescent="0.35">
      <c r="A209" s="78" t="str">
        <f>IF(Quotes!A200="","",HYPERLINK("#'Quotes'!A200",Quotes!A200))</f>
        <v/>
      </c>
      <c r="B209" s="39"/>
      <c r="C209" s="39"/>
      <c r="D209" s="40" t="str">
        <f>IF(Quotes!A200="","",Quotes!U200&amp;" | "&amp;Quotes!Z200)</f>
        <v/>
      </c>
      <c r="E209" s="39"/>
      <c r="F209" s="39"/>
      <c r="G209" s="39"/>
      <c r="H209" s="39"/>
      <c r="I209" s="39"/>
      <c r="J209" s="39"/>
      <c r="K209" s="39"/>
      <c r="L209" s="39"/>
      <c r="M209" s="77" t="str">
        <f>IF(Quotes!A200="","",IF(Quotes!F200="","",Quotes!F200))</f>
        <v/>
      </c>
      <c r="N209" s="39"/>
      <c r="O209" s="39"/>
      <c r="P209" s="76" t="str">
        <f>IF(Quotes!A200="","",IF(Quotes!AB200="","",Quotes!AB200))</f>
        <v/>
      </c>
      <c r="Q209" s="39"/>
      <c r="R209" s="39"/>
      <c r="S209" s="76" t="str">
        <f>IF(Quotes!A200="","",IF(Quotes!AD200="","",Quotes!AD200))</f>
        <v/>
      </c>
      <c r="T209" s="39"/>
      <c r="U209" s="76" t="str">
        <f>IF(Quotes!A200="","",IF(Quotes!AF200="","",Quotes!AF200))</f>
        <v/>
      </c>
      <c r="V209" s="39"/>
    </row>
    <row r="210" spans="1:22" ht="42" hidden="1" customHeight="1" x14ac:dyDescent="0.35">
      <c r="A210" s="78" t="str">
        <f>IF(Quotes!A201="","",HYPERLINK("#'Quotes'!A201",Quotes!A201))</f>
        <v/>
      </c>
      <c r="B210" s="39"/>
      <c r="C210" s="39"/>
      <c r="D210" s="40" t="str">
        <f>IF(Quotes!A201="","",Quotes!U201&amp;" | "&amp;Quotes!Z201)</f>
        <v/>
      </c>
      <c r="E210" s="39"/>
      <c r="F210" s="39"/>
      <c r="G210" s="39"/>
      <c r="H210" s="39"/>
      <c r="I210" s="39"/>
      <c r="J210" s="39"/>
      <c r="K210" s="39"/>
      <c r="L210" s="39"/>
      <c r="M210" s="77" t="str">
        <f>IF(Quotes!A201="","",IF(Quotes!F201="","",Quotes!F201))</f>
        <v/>
      </c>
      <c r="N210" s="39"/>
      <c r="O210" s="39"/>
      <c r="P210" s="76" t="str">
        <f>IF(Quotes!A201="","",IF(Quotes!AB201="","",Quotes!AB201))</f>
        <v/>
      </c>
      <c r="Q210" s="39"/>
      <c r="R210" s="39"/>
      <c r="S210" s="76" t="str">
        <f>IF(Quotes!A201="","",IF(Quotes!AD201="","",Quotes!AD201))</f>
        <v/>
      </c>
      <c r="T210" s="39"/>
      <c r="U210" s="76" t="str">
        <f>IF(Quotes!A201="","",IF(Quotes!AF201="","",Quotes!AF201))</f>
        <v/>
      </c>
      <c r="V210" s="39"/>
    </row>
    <row r="211" spans="1:22" ht="42" hidden="1" customHeight="1" x14ac:dyDescent="0.35">
      <c r="A211" s="78" t="str">
        <f>IF(Quotes!A202="","",HYPERLINK("#'Quotes'!A202",Quotes!A202))</f>
        <v/>
      </c>
      <c r="B211" s="39"/>
      <c r="C211" s="39"/>
      <c r="D211" s="40" t="str">
        <f>IF(Quotes!A202="","",Quotes!U202&amp;" | "&amp;Quotes!Z202)</f>
        <v/>
      </c>
      <c r="E211" s="39"/>
      <c r="F211" s="39"/>
      <c r="G211" s="39"/>
      <c r="H211" s="39"/>
      <c r="I211" s="39"/>
      <c r="J211" s="39"/>
      <c r="K211" s="39"/>
      <c r="L211" s="39"/>
      <c r="M211" s="77" t="str">
        <f>IF(Quotes!A202="","",IF(Quotes!F202="","",Quotes!F202))</f>
        <v/>
      </c>
      <c r="N211" s="39"/>
      <c r="O211" s="39"/>
      <c r="P211" s="76" t="str">
        <f>IF(Quotes!A202="","",IF(Quotes!AB202="","",Quotes!AB202))</f>
        <v/>
      </c>
      <c r="Q211" s="39"/>
      <c r="R211" s="39"/>
      <c r="S211" s="76" t="str">
        <f>IF(Quotes!A202="","",IF(Quotes!AD202="","",Quotes!AD202))</f>
        <v/>
      </c>
      <c r="T211" s="39"/>
      <c r="U211" s="76" t="str">
        <f>IF(Quotes!A202="","",IF(Quotes!AF202="","",Quotes!AF202))</f>
        <v/>
      </c>
      <c r="V211" s="39"/>
    </row>
    <row r="212" spans="1:22" ht="42" hidden="1" customHeight="1" x14ac:dyDescent="0.35">
      <c r="A212" s="78" t="str">
        <f>IF(Quotes!A203="","",HYPERLINK("#'Quotes'!A203",Quotes!A203))</f>
        <v/>
      </c>
      <c r="B212" s="39"/>
      <c r="C212" s="39"/>
      <c r="D212" s="40" t="str">
        <f>IF(Quotes!A203="","",Quotes!U203&amp;" | "&amp;Quotes!Z203)</f>
        <v/>
      </c>
      <c r="E212" s="39"/>
      <c r="F212" s="39"/>
      <c r="G212" s="39"/>
      <c r="H212" s="39"/>
      <c r="I212" s="39"/>
      <c r="J212" s="39"/>
      <c r="K212" s="39"/>
      <c r="L212" s="39"/>
      <c r="M212" s="77" t="str">
        <f>IF(Quotes!A203="","",IF(Quotes!F203="","",Quotes!F203))</f>
        <v/>
      </c>
      <c r="N212" s="39"/>
      <c r="O212" s="39"/>
      <c r="P212" s="76" t="str">
        <f>IF(Quotes!A203="","",IF(Quotes!AB203="","",Quotes!AB203))</f>
        <v/>
      </c>
      <c r="Q212" s="39"/>
      <c r="R212" s="39"/>
      <c r="S212" s="76" t="str">
        <f>IF(Quotes!A203="","",IF(Quotes!AD203="","",Quotes!AD203))</f>
        <v/>
      </c>
      <c r="T212" s="39"/>
      <c r="U212" s="76" t="str">
        <f>IF(Quotes!A203="","",IF(Quotes!AF203="","",Quotes!AF203))</f>
        <v/>
      </c>
      <c r="V212" s="39"/>
    </row>
    <row r="213" spans="1:22" ht="42" hidden="1" customHeight="1" x14ac:dyDescent="0.35">
      <c r="A213" s="78" t="str">
        <f>IF(Quotes!A204="","",HYPERLINK("#'Quotes'!A204",Quotes!A204))</f>
        <v/>
      </c>
      <c r="B213" s="39"/>
      <c r="C213" s="39"/>
      <c r="D213" s="40" t="str">
        <f>IF(Quotes!A204="","",Quotes!U204&amp;" | "&amp;Quotes!Z204)</f>
        <v/>
      </c>
      <c r="E213" s="39"/>
      <c r="F213" s="39"/>
      <c r="G213" s="39"/>
      <c r="H213" s="39"/>
      <c r="I213" s="39"/>
      <c r="J213" s="39"/>
      <c r="K213" s="39"/>
      <c r="L213" s="39"/>
      <c r="M213" s="77" t="str">
        <f>IF(Quotes!A204="","",IF(Quotes!F204="","",Quotes!F204))</f>
        <v/>
      </c>
      <c r="N213" s="39"/>
      <c r="O213" s="39"/>
      <c r="P213" s="76" t="str">
        <f>IF(Quotes!A204="","",IF(Quotes!AB204="","",Quotes!AB204))</f>
        <v/>
      </c>
      <c r="Q213" s="39"/>
      <c r="R213" s="39"/>
      <c r="S213" s="76" t="str">
        <f>IF(Quotes!A204="","",IF(Quotes!AD204="","",Quotes!AD204))</f>
        <v/>
      </c>
      <c r="T213" s="39"/>
      <c r="U213" s="76" t="str">
        <f>IF(Quotes!A204="","",IF(Quotes!AF204="","",Quotes!AF204))</f>
        <v/>
      </c>
      <c r="V213" s="39"/>
    </row>
    <row r="214" spans="1:22" ht="42" hidden="1" customHeight="1" x14ac:dyDescent="0.35">
      <c r="A214" s="78" t="str">
        <f>IF(Quotes!A205="","",HYPERLINK("#'Quotes'!A205",Quotes!A205))</f>
        <v/>
      </c>
      <c r="B214" s="39"/>
      <c r="C214" s="39"/>
      <c r="D214" s="40" t="str">
        <f>IF(Quotes!A205="","",Quotes!U205&amp;" | "&amp;Quotes!Z205)</f>
        <v/>
      </c>
      <c r="E214" s="39"/>
      <c r="F214" s="39"/>
      <c r="G214" s="39"/>
      <c r="H214" s="39"/>
      <c r="I214" s="39"/>
      <c r="J214" s="39"/>
      <c r="K214" s="39"/>
      <c r="L214" s="39"/>
      <c r="M214" s="77" t="str">
        <f>IF(Quotes!A205="","",IF(Quotes!F205="","",Quotes!F205))</f>
        <v/>
      </c>
      <c r="N214" s="39"/>
      <c r="O214" s="39"/>
      <c r="P214" s="76" t="str">
        <f>IF(Quotes!A205="","",IF(Quotes!AB205="","",Quotes!AB205))</f>
        <v/>
      </c>
      <c r="Q214" s="39"/>
      <c r="R214" s="39"/>
      <c r="S214" s="76" t="str">
        <f>IF(Quotes!A205="","",IF(Quotes!AD205="","",Quotes!AD205))</f>
        <v/>
      </c>
      <c r="T214" s="39"/>
      <c r="U214" s="76" t="str">
        <f>IF(Quotes!A205="","",IF(Quotes!AF205="","",Quotes!AF205))</f>
        <v/>
      </c>
      <c r="V214" s="39"/>
    </row>
    <row r="215" spans="1:22" ht="42" hidden="1" customHeight="1" x14ac:dyDescent="0.35">
      <c r="A215" s="78" t="str">
        <f>IF(Quotes!A206="","",HYPERLINK("#'Quotes'!A206",Quotes!A206))</f>
        <v/>
      </c>
      <c r="B215" s="39"/>
      <c r="C215" s="39"/>
      <c r="D215" s="40" t="str">
        <f>IF(Quotes!A206="","",Quotes!U206&amp;" | "&amp;Quotes!Z206)</f>
        <v/>
      </c>
      <c r="E215" s="39"/>
      <c r="F215" s="39"/>
      <c r="G215" s="39"/>
      <c r="H215" s="39"/>
      <c r="I215" s="39"/>
      <c r="J215" s="39"/>
      <c r="K215" s="39"/>
      <c r="L215" s="39"/>
      <c r="M215" s="77" t="str">
        <f>IF(Quotes!A206="","",IF(Quotes!F206="","",Quotes!F206))</f>
        <v/>
      </c>
      <c r="N215" s="39"/>
      <c r="O215" s="39"/>
      <c r="P215" s="76" t="str">
        <f>IF(Quotes!A206="","",IF(Quotes!AB206="","",Quotes!AB206))</f>
        <v/>
      </c>
      <c r="Q215" s="39"/>
      <c r="R215" s="39"/>
      <c r="S215" s="76" t="str">
        <f>IF(Quotes!A206="","",IF(Quotes!AD206="","",Quotes!AD206))</f>
        <v/>
      </c>
      <c r="T215" s="39"/>
      <c r="U215" s="76" t="str">
        <f>IF(Quotes!A206="","",IF(Quotes!AF206="","",Quotes!AF206))</f>
        <v/>
      </c>
      <c r="V215" s="39"/>
    </row>
    <row r="216" spans="1:22" ht="42" hidden="1" customHeight="1" x14ac:dyDescent="0.35">
      <c r="A216" s="78" t="str">
        <f>IF(Quotes!A207="","",HYPERLINK("#'Quotes'!A207",Quotes!A207))</f>
        <v/>
      </c>
      <c r="B216" s="39"/>
      <c r="C216" s="39"/>
      <c r="D216" s="40" t="str">
        <f>IF(Quotes!A207="","",Quotes!U207&amp;" | "&amp;Quotes!Z207)</f>
        <v/>
      </c>
      <c r="E216" s="39"/>
      <c r="F216" s="39"/>
      <c r="G216" s="39"/>
      <c r="H216" s="39"/>
      <c r="I216" s="39"/>
      <c r="J216" s="39"/>
      <c r="K216" s="39"/>
      <c r="L216" s="39"/>
      <c r="M216" s="77" t="str">
        <f>IF(Quotes!A207="","",IF(Quotes!F207="","",Quotes!F207))</f>
        <v/>
      </c>
      <c r="N216" s="39"/>
      <c r="O216" s="39"/>
      <c r="P216" s="76" t="str">
        <f>IF(Quotes!A207="","",IF(Quotes!AB207="","",Quotes!AB207))</f>
        <v/>
      </c>
      <c r="Q216" s="39"/>
      <c r="R216" s="39"/>
      <c r="S216" s="76" t="str">
        <f>IF(Quotes!A207="","",IF(Quotes!AD207="","",Quotes!AD207))</f>
        <v/>
      </c>
      <c r="T216" s="39"/>
      <c r="U216" s="76" t="str">
        <f>IF(Quotes!A207="","",IF(Quotes!AF207="","",Quotes!AF207))</f>
        <v/>
      </c>
      <c r="V216" s="39"/>
    </row>
    <row r="217" spans="1:22" ht="42" hidden="1" customHeight="1" x14ac:dyDescent="0.35">
      <c r="A217" s="78" t="str">
        <f>IF(Quotes!A208="","",HYPERLINK("#'Quotes'!A208",Quotes!A208))</f>
        <v/>
      </c>
      <c r="B217" s="39"/>
      <c r="C217" s="39"/>
      <c r="D217" s="40" t="str">
        <f>IF(Quotes!A208="","",Quotes!U208&amp;" | "&amp;Quotes!Z208)</f>
        <v/>
      </c>
      <c r="E217" s="39"/>
      <c r="F217" s="39"/>
      <c r="G217" s="39"/>
      <c r="H217" s="39"/>
      <c r="I217" s="39"/>
      <c r="J217" s="39"/>
      <c r="K217" s="39"/>
      <c r="L217" s="39"/>
      <c r="M217" s="77" t="str">
        <f>IF(Quotes!A208="","",IF(Quotes!F208="","",Quotes!F208))</f>
        <v/>
      </c>
      <c r="N217" s="39"/>
      <c r="O217" s="39"/>
      <c r="P217" s="76" t="str">
        <f>IF(Quotes!A208="","",IF(Quotes!AB208="","",Quotes!AB208))</f>
        <v/>
      </c>
      <c r="Q217" s="39"/>
      <c r="R217" s="39"/>
      <c r="S217" s="76" t="str">
        <f>IF(Quotes!A208="","",IF(Quotes!AD208="","",Quotes!AD208))</f>
        <v/>
      </c>
      <c r="T217" s="39"/>
      <c r="U217" s="76" t="str">
        <f>IF(Quotes!A208="","",IF(Quotes!AF208="","",Quotes!AF208))</f>
        <v/>
      </c>
      <c r="V217" s="39"/>
    </row>
    <row r="218" spans="1:22" ht="42" hidden="1" customHeight="1" x14ac:dyDescent="0.35">
      <c r="A218" s="78" t="str">
        <f>IF(Quotes!A209="","",HYPERLINK("#'Quotes'!A209",Quotes!A209))</f>
        <v/>
      </c>
      <c r="B218" s="39"/>
      <c r="C218" s="39"/>
      <c r="D218" s="40" t="str">
        <f>IF(Quotes!A209="","",Quotes!U209&amp;" | "&amp;Quotes!Z209)</f>
        <v/>
      </c>
      <c r="E218" s="39"/>
      <c r="F218" s="39"/>
      <c r="G218" s="39"/>
      <c r="H218" s="39"/>
      <c r="I218" s="39"/>
      <c r="J218" s="39"/>
      <c r="K218" s="39"/>
      <c r="L218" s="39"/>
      <c r="M218" s="77" t="str">
        <f>IF(Quotes!A209="","",IF(Quotes!F209="","",Quotes!F209))</f>
        <v/>
      </c>
      <c r="N218" s="39"/>
      <c r="O218" s="39"/>
      <c r="P218" s="76" t="str">
        <f>IF(Quotes!A209="","",IF(Quotes!AB209="","",Quotes!AB209))</f>
        <v/>
      </c>
      <c r="Q218" s="39"/>
      <c r="R218" s="39"/>
      <c r="S218" s="76" t="str">
        <f>IF(Quotes!A209="","",IF(Quotes!AD209="","",Quotes!AD209))</f>
        <v/>
      </c>
      <c r="T218" s="39"/>
      <c r="U218" s="76" t="str">
        <f>IF(Quotes!A209="","",IF(Quotes!AF209="","",Quotes!AF209))</f>
        <v/>
      </c>
      <c r="V218" s="39"/>
    </row>
    <row r="219" spans="1:22" ht="42" hidden="1" customHeight="1" x14ac:dyDescent="0.35">
      <c r="A219" s="78" t="str">
        <f>IF(Quotes!A210="","",HYPERLINK("#'Quotes'!A210",Quotes!A210))</f>
        <v/>
      </c>
      <c r="B219" s="39"/>
      <c r="C219" s="39"/>
      <c r="D219" s="40" t="str">
        <f>IF(Quotes!A210="","",Quotes!U210&amp;" | "&amp;Quotes!Z210)</f>
        <v/>
      </c>
      <c r="E219" s="39"/>
      <c r="F219" s="39"/>
      <c r="G219" s="39"/>
      <c r="H219" s="39"/>
      <c r="I219" s="39"/>
      <c r="J219" s="39"/>
      <c r="K219" s="39"/>
      <c r="L219" s="39"/>
      <c r="M219" s="77" t="str">
        <f>IF(Quotes!A210="","",IF(Quotes!F210="","",Quotes!F210))</f>
        <v/>
      </c>
      <c r="N219" s="39"/>
      <c r="O219" s="39"/>
      <c r="P219" s="76" t="str">
        <f>IF(Quotes!A210="","",IF(Quotes!AB210="","",Quotes!AB210))</f>
        <v/>
      </c>
      <c r="Q219" s="39"/>
      <c r="R219" s="39"/>
      <c r="S219" s="76" t="str">
        <f>IF(Quotes!A210="","",IF(Quotes!AD210="","",Quotes!AD210))</f>
        <v/>
      </c>
      <c r="T219" s="39"/>
      <c r="U219" s="76" t="str">
        <f>IF(Quotes!A210="","",IF(Quotes!AF210="","",Quotes!AF210))</f>
        <v/>
      </c>
      <c r="V219" s="39"/>
    </row>
    <row r="220" spans="1:22" ht="42" hidden="1" customHeight="1" x14ac:dyDescent="0.35">
      <c r="A220" s="78" t="str">
        <f>IF(Quotes!A211="","",HYPERLINK("#'Quotes'!A211",Quotes!A211))</f>
        <v/>
      </c>
      <c r="B220" s="39"/>
      <c r="C220" s="39"/>
      <c r="D220" s="40" t="str">
        <f>IF(Quotes!A211="","",Quotes!U211&amp;" | "&amp;Quotes!Z211)</f>
        <v/>
      </c>
      <c r="E220" s="39"/>
      <c r="F220" s="39"/>
      <c r="G220" s="39"/>
      <c r="H220" s="39"/>
      <c r="I220" s="39"/>
      <c r="J220" s="39"/>
      <c r="K220" s="39"/>
      <c r="L220" s="39"/>
      <c r="M220" s="77" t="str">
        <f>IF(Quotes!A211="","",IF(Quotes!F211="","",Quotes!F211))</f>
        <v/>
      </c>
      <c r="N220" s="39"/>
      <c r="O220" s="39"/>
      <c r="P220" s="76" t="str">
        <f>IF(Quotes!A211="","",IF(Quotes!AB211="","",Quotes!AB211))</f>
        <v/>
      </c>
      <c r="Q220" s="39"/>
      <c r="R220" s="39"/>
      <c r="S220" s="76" t="str">
        <f>IF(Quotes!A211="","",IF(Quotes!AD211="","",Quotes!AD211))</f>
        <v/>
      </c>
      <c r="T220" s="39"/>
      <c r="U220" s="76" t="str">
        <f>IF(Quotes!A211="","",IF(Quotes!AF211="","",Quotes!AF211))</f>
        <v/>
      </c>
      <c r="V220" s="39"/>
    </row>
    <row r="221" spans="1:22" ht="42" hidden="1" customHeight="1" x14ac:dyDescent="0.35">
      <c r="A221" s="78" t="str">
        <f>IF(Quotes!A212="","",HYPERLINK("#'Quotes'!A212",Quotes!A212))</f>
        <v/>
      </c>
      <c r="B221" s="39"/>
      <c r="C221" s="39"/>
      <c r="D221" s="40" t="str">
        <f>IF(Quotes!A212="","",Quotes!U212&amp;" | "&amp;Quotes!Z212)</f>
        <v/>
      </c>
      <c r="E221" s="39"/>
      <c r="F221" s="39"/>
      <c r="G221" s="39"/>
      <c r="H221" s="39"/>
      <c r="I221" s="39"/>
      <c r="J221" s="39"/>
      <c r="K221" s="39"/>
      <c r="L221" s="39"/>
      <c r="M221" s="77" t="str">
        <f>IF(Quotes!A212="","",IF(Quotes!F212="","",Quotes!F212))</f>
        <v/>
      </c>
      <c r="N221" s="39"/>
      <c r="O221" s="39"/>
      <c r="P221" s="76" t="str">
        <f>IF(Quotes!A212="","",IF(Quotes!AB212="","",Quotes!AB212))</f>
        <v/>
      </c>
      <c r="Q221" s="39"/>
      <c r="R221" s="39"/>
      <c r="S221" s="76" t="str">
        <f>IF(Quotes!A212="","",IF(Quotes!AD212="","",Quotes!AD212))</f>
        <v/>
      </c>
      <c r="T221" s="39"/>
      <c r="U221" s="76" t="str">
        <f>IF(Quotes!A212="","",IF(Quotes!AF212="","",Quotes!AF212))</f>
        <v/>
      </c>
      <c r="V221" s="39"/>
    </row>
    <row r="222" spans="1:22" ht="42" hidden="1" customHeight="1" x14ac:dyDescent="0.35">
      <c r="A222" s="78" t="str">
        <f>IF(Quotes!A213="","",HYPERLINK("#'Quotes'!A213",Quotes!A213))</f>
        <v/>
      </c>
      <c r="B222" s="39"/>
      <c r="C222" s="39"/>
      <c r="D222" s="40" t="str">
        <f>IF(Quotes!A213="","",Quotes!U213&amp;" | "&amp;Quotes!Z213)</f>
        <v/>
      </c>
      <c r="E222" s="39"/>
      <c r="F222" s="39"/>
      <c r="G222" s="39"/>
      <c r="H222" s="39"/>
      <c r="I222" s="39"/>
      <c r="J222" s="39"/>
      <c r="K222" s="39"/>
      <c r="L222" s="39"/>
      <c r="M222" s="77" t="str">
        <f>IF(Quotes!A213="","",IF(Quotes!F213="","",Quotes!F213))</f>
        <v/>
      </c>
      <c r="N222" s="39"/>
      <c r="O222" s="39"/>
      <c r="P222" s="76" t="str">
        <f>IF(Quotes!A213="","",IF(Quotes!AB213="","",Quotes!AB213))</f>
        <v/>
      </c>
      <c r="Q222" s="39"/>
      <c r="R222" s="39"/>
      <c r="S222" s="76" t="str">
        <f>IF(Quotes!A213="","",IF(Quotes!AD213="","",Quotes!AD213))</f>
        <v/>
      </c>
      <c r="T222" s="39"/>
      <c r="U222" s="76" t="str">
        <f>IF(Quotes!A213="","",IF(Quotes!AF213="","",Quotes!AF213))</f>
        <v/>
      </c>
      <c r="V222" s="39"/>
    </row>
    <row r="223" spans="1:22" ht="42" hidden="1" customHeight="1" x14ac:dyDescent="0.35">
      <c r="A223" s="78" t="str">
        <f>IF(Quotes!A214="","",HYPERLINK("#'Quotes'!A214",Quotes!A214))</f>
        <v/>
      </c>
      <c r="B223" s="39"/>
      <c r="C223" s="39"/>
      <c r="D223" s="40" t="str">
        <f>IF(Quotes!A214="","",Quotes!U214&amp;" | "&amp;Quotes!Z214)</f>
        <v/>
      </c>
      <c r="E223" s="39"/>
      <c r="F223" s="39"/>
      <c r="G223" s="39"/>
      <c r="H223" s="39"/>
      <c r="I223" s="39"/>
      <c r="J223" s="39"/>
      <c r="K223" s="39"/>
      <c r="L223" s="39"/>
      <c r="M223" s="77" t="str">
        <f>IF(Quotes!A214="","",IF(Quotes!F214="","",Quotes!F214))</f>
        <v/>
      </c>
      <c r="N223" s="39"/>
      <c r="O223" s="39"/>
      <c r="P223" s="76" t="str">
        <f>IF(Quotes!A214="","",IF(Quotes!AB214="","",Quotes!AB214))</f>
        <v/>
      </c>
      <c r="Q223" s="39"/>
      <c r="R223" s="39"/>
      <c r="S223" s="76" t="str">
        <f>IF(Quotes!A214="","",IF(Quotes!AD214="","",Quotes!AD214))</f>
        <v/>
      </c>
      <c r="T223" s="39"/>
      <c r="U223" s="76" t="str">
        <f>IF(Quotes!A214="","",IF(Quotes!AF214="","",Quotes!AF214))</f>
        <v/>
      </c>
      <c r="V223" s="39"/>
    </row>
    <row r="224" spans="1:22" ht="42" hidden="1" customHeight="1" x14ac:dyDescent="0.35">
      <c r="A224" s="78" t="str">
        <f>IF(Quotes!A215="","",HYPERLINK("#'Quotes'!A215",Quotes!A215))</f>
        <v/>
      </c>
      <c r="B224" s="39"/>
      <c r="C224" s="39"/>
      <c r="D224" s="40" t="str">
        <f>IF(Quotes!A215="","",Quotes!U215&amp;" | "&amp;Quotes!Z215)</f>
        <v/>
      </c>
      <c r="E224" s="39"/>
      <c r="F224" s="39"/>
      <c r="G224" s="39"/>
      <c r="H224" s="39"/>
      <c r="I224" s="39"/>
      <c r="J224" s="39"/>
      <c r="K224" s="39"/>
      <c r="L224" s="39"/>
      <c r="M224" s="77" t="str">
        <f>IF(Quotes!A215="","",IF(Quotes!F215="","",Quotes!F215))</f>
        <v/>
      </c>
      <c r="N224" s="39"/>
      <c r="O224" s="39"/>
      <c r="P224" s="76" t="str">
        <f>IF(Quotes!A215="","",IF(Quotes!AB215="","",Quotes!AB215))</f>
        <v/>
      </c>
      <c r="Q224" s="39"/>
      <c r="R224" s="39"/>
      <c r="S224" s="76" t="str">
        <f>IF(Quotes!A215="","",IF(Quotes!AD215="","",Quotes!AD215))</f>
        <v/>
      </c>
      <c r="T224" s="39"/>
      <c r="U224" s="76" t="str">
        <f>IF(Quotes!A215="","",IF(Quotes!AF215="","",Quotes!AF215))</f>
        <v/>
      </c>
      <c r="V224" s="39"/>
    </row>
    <row r="225" spans="1:22" ht="42" hidden="1" customHeight="1" x14ac:dyDescent="0.35">
      <c r="A225" s="78" t="str">
        <f>IF(Quotes!A216="","",HYPERLINK("#'Quotes'!A216",Quotes!A216))</f>
        <v/>
      </c>
      <c r="B225" s="39"/>
      <c r="C225" s="39"/>
      <c r="D225" s="40" t="str">
        <f>IF(Quotes!A216="","",Quotes!U216&amp;" | "&amp;Quotes!Z216)</f>
        <v/>
      </c>
      <c r="E225" s="39"/>
      <c r="F225" s="39"/>
      <c r="G225" s="39"/>
      <c r="H225" s="39"/>
      <c r="I225" s="39"/>
      <c r="J225" s="39"/>
      <c r="K225" s="39"/>
      <c r="L225" s="39"/>
      <c r="M225" s="77" t="str">
        <f>IF(Quotes!A216="","",IF(Quotes!F216="","",Quotes!F216))</f>
        <v/>
      </c>
      <c r="N225" s="39"/>
      <c r="O225" s="39"/>
      <c r="P225" s="76" t="str">
        <f>IF(Quotes!A216="","",IF(Quotes!AB216="","",Quotes!AB216))</f>
        <v/>
      </c>
      <c r="Q225" s="39"/>
      <c r="R225" s="39"/>
      <c r="S225" s="76" t="str">
        <f>IF(Quotes!A216="","",IF(Quotes!AD216="","",Quotes!AD216))</f>
        <v/>
      </c>
      <c r="T225" s="39"/>
      <c r="U225" s="76" t="str">
        <f>IF(Quotes!A216="","",IF(Quotes!AF216="","",Quotes!AF216))</f>
        <v/>
      </c>
      <c r="V225" s="39"/>
    </row>
    <row r="226" spans="1:22" ht="42" hidden="1" customHeight="1" x14ac:dyDescent="0.35">
      <c r="A226" s="78" t="str">
        <f>IF(Quotes!A217="","",HYPERLINK("#'Quotes'!A217",Quotes!A217))</f>
        <v/>
      </c>
      <c r="B226" s="39"/>
      <c r="C226" s="39"/>
      <c r="D226" s="40" t="str">
        <f>IF(Quotes!A217="","",Quotes!U217&amp;" | "&amp;Quotes!Z217)</f>
        <v/>
      </c>
      <c r="E226" s="39"/>
      <c r="F226" s="39"/>
      <c r="G226" s="39"/>
      <c r="H226" s="39"/>
      <c r="I226" s="39"/>
      <c r="J226" s="39"/>
      <c r="K226" s="39"/>
      <c r="L226" s="39"/>
      <c r="M226" s="77" t="str">
        <f>IF(Quotes!A217="","",IF(Quotes!F217="","",Quotes!F217))</f>
        <v/>
      </c>
      <c r="N226" s="39"/>
      <c r="O226" s="39"/>
      <c r="P226" s="76" t="str">
        <f>IF(Quotes!A217="","",IF(Quotes!AB217="","",Quotes!AB217))</f>
        <v/>
      </c>
      <c r="Q226" s="39"/>
      <c r="R226" s="39"/>
      <c r="S226" s="76" t="str">
        <f>IF(Quotes!A217="","",IF(Quotes!AD217="","",Quotes!AD217))</f>
        <v/>
      </c>
      <c r="T226" s="39"/>
      <c r="U226" s="76" t="str">
        <f>IF(Quotes!A217="","",IF(Quotes!AF217="","",Quotes!AF217))</f>
        <v/>
      </c>
      <c r="V226" s="39"/>
    </row>
    <row r="227" spans="1:22" ht="42" hidden="1" customHeight="1" x14ac:dyDescent="0.35">
      <c r="A227" s="78" t="str">
        <f>IF(Quotes!A218="","",HYPERLINK("#'Quotes'!A218",Quotes!A218))</f>
        <v/>
      </c>
      <c r="B227" s="39"/>
      <c r="C227" s="39"/>
      <c r="D227" s="40" t="str">
        <f>IF(Quotes!A218="","",Quotes!U218&amp;" | "&amp;Quotes!Z218)</f>
        <v/>
      </c>
      <c r="E227" s="39"/>
      <c r="F227" s="39"/>
      <c r="G227" s="39"/>
      <c r="H227" s="39"/>
      <c r="I227" s="39"/>
      <c r="J227" s="39"/>
      <c r="K227" s="39"/>
      <c r="L227" s="39"/>
      <c r="M227" s="77" t="str">
        <f>IF(Quotes!A218="","",IF(Quotes!F218="","",Quotes!F218))</f>
        <v/>
      </c>
      <c r="N227" s="39"/>
      <c r="O227" s="39"/>
      <c r="P227" s="76" t="str">
        <f>IF(Quotes!A218="","",IF(Quotes!AB218="","",Quotes!AB218))</f>
        <v/>
      </c>
      <c r="Q227" s="39"/>
      <c r="R227" s="39"/>
      <c r="S227" s="76" t="str">
        <f>IF(Quotes!A218="","",IF(Quotes!AD218="","",Quotes!AD218))</f>
        <v/>
      </c>
      <c r="T227" s="39"/>
      <c r="U227" s="76" t="str">
        <f>IF(Quotes!A218="","",IF(Quotes!AF218="","",Quotes!AF218))</f>
        <v/>
      </c>
      <c r="V227" s="39"/>
    </row>
    <row r="228" spans="1:22" ht="42" hidden="1" customHeight="1" x14ac:dyDescent="0.35">
      <c r="A228" s="78" t="str">
        <f>IF(Quotes!A219="","",HYPERLINK("#'Quotes'!A219",Quotes!A219))</f>
        <v/>
      </c>
      <c r="B228" s="39"/>
      <c r="C228" s="39"/>
      <c r="D228" s="40" t="str">
        <f>IF(Quotes!A219="","",Quotes!U219&amp;" | "&amp;Quotes!Z219)</f>
        <v/>
      </c>
      <c r="E228" s="39"/>
      <c r="F228" s="39"/>
      <c r="G228" s="39"/>
      <c r="H228" s="39"/>
      <c r="I228" s="39"/>
      <c r="J228" s="39"/>
      <c r="K228" s="39"/>
      <c r="L228" s="39"/>
      <c r="M228" s="77" t="str">
        <f>IF(Quotes!A219="","",IF(Quotes!F219="","",Quotes!F219))</f>
        <v/>
      </c>
      <c r="N228" s="39"/>
      <c r="O228" s="39"/>
      <c r="P228" s="76" t="str">
        <f>IF(Quotes!A219="","",IF(Quotes!AB219="","",Quotes!AB219))</f>
        <v/>
      </c>
      <c r="Q228" s="39"/>
      <c r="R228" s="39"/>
      <c r="S228" s="76" t="str">
        <f>IF(Quotes!A219="","",IF(Quotes!AD219="","",Quotes!AD219))</f>
        <v/>
      </c>
      <c r="T228" s="39"/>
      <c r="U228" s="76" t="str">
        <f>IF(Quotes!A219="","",IF(Quotes!AF219="","",Quotes!AF219))</f>
        <v/>
      </c>
      <c r="V228" s="39"/>
    </row>
    <row r="229" spans="1:22" ht="42" hidden="1" customHeight="1" x14ac:dyDescent="0.35">
      <c r="A229" s="78" t="str">
        <f>IF(Quotes!A220="","",HYPERLINK("#'Quotes'!A220",Quotes!A220))</f>
        <v/>
      </c>
      <c r="B229" s="39"/>
      <c r="C229" s="39"/>
      <c r="D229" s="40" t="str">
        <f>IF(Quotes!A220="","",Quotes!U220&amp;" | "&amp;Quotes!Z220)</f>
        <v/>
      </c>
      <c r="E229" s="39"/>
      <c r="F229" s="39"/>
      <c r="G229" s="39"/>
      <c r="H229" s="39"/>
      <c r="I229" s="39"/>
      <c r="J229" s="39"/>
      <c r="K229" s="39"/>
      <c r="L229" s="39"/>
      <c r="M229" s="77" t="str">
        <f>IF(Quotes!A220="","",IF(Quotes!F220="","",Quotes!F220))</f>
        <v/>
      </c>
      <c r="N229" s="39"/>
      <c r="O229" s="39"/>
      <c r="P229" s="76" t="str">
        <f>IF(Quotes!A220="","",IF(Quotes!AB220="","",Quotes!AB220))</f>
        <v/>
      </c>
      <c r="Q229" s="39"/>
      <c r="R229" s="39"/>
      <c r="S229" s="76" t="str">
        <f>IF(Quotes!A220="","",IF(Quotes!AD220="","",Quotes!AD220))</f>
        <v/>
      </c>
      <c r="T229" s="39"/>
      <c r="U229" s="76" t="str">
        <f>IF(Quotes!A220="","",IF(Quotes!AF220="","",Quotes!AF220))</f>
        <v/>
      </c>
      <c r="V229" s="39"/>
    </row>
    <row r="230" spans="1:22" ht="42" hidden="1" customHeight="1" x14ac:dyDescent="0.35">
      <c r="A230" s="78" t="str">
        <f>IF(Quotes!A221="","",HYPERLINK("#'Quotes'!A221",Quotes!A221))</f>
        <v/>
      </c>
      <c r="B230" s="39"/>
      <c r="C230" s="39"/>
      <c r="D230" s="40" t="str">
        <f>IF(Quotes!A221="","",Quotes!U221&amp;" | "&amp;Quotes!Z221)</f>
        <v/>
      </c>
      <c r="E230" s="39"/>
      <c r="F230" s="39"/>
      <c r="G230" s="39"/>
      <c r="H230" s="39"/>
      <c r="I230" s="39"/>
      <c r="J230" s="39"/>
      <c r="K230" s="39"/>
      <c r="L230" s="39"/>
      <c r="M230" s="77" t="str">
        <f>IF(Quotes!A221="","",IF(Quotes!F221="","",Quotes!F221))</f>
        <v/>
      </c>
      <c r="N230" s="39"/>
      <c r="O230" s="39"/>
      <c r="P230" s="76" t="str">
        <f>IF(Quotes!A221="","",IF(Quotes!AB221="","",Quotes!AB221))</f>
        <v/>
      </c>
      <c r="Q230" s="39"/>
      <c r="R230" s="39"/>
      <c r="S230" s="76" t="str">
        <f>IF(Quotes!A221="","",IF(Quotes!AD221="","",Quotes!AD221))</f>
        <v/>
      </c>
      <c r="T230" s="39"/>
      <c r="U230" s="76" t="str">
        <f>IF(Quotes!A221="","",IF(Quotes!AF221="","",Quotes!AF221))</f>
        <v/>
      </c>
      <c r="V230" s="39"/>
    </row>
    <row r="231" spans="1:22" ht="42" hidden="1" customHeight="1" x14ac:dyDescent="0.35">
      <c r="A231" s="78" t="str">
        <f>IF(Quotes!A222="","",HYPERLINK("#'Quotes'!A222",Quotes!A222))</f>
        <v/>
      </c>
      <c r="B231" s="39"/>
      <c r="C231" s="39"/>
      <c r="D231" s="40" t="str">
        <f>IF(Quotes!A222="","",Quotes!U222&amp;" | "&amp;Quotes!Z222)</f>
        <v/>
      </c>
      <c r="E231" s="39"/>
      <c r="F231" s="39"/>
      <c r="G231" s="39"/>
      <c r="H231" s="39"/>
      <c r="I231" s="39"/>
      <c r="J231" s="39"/>
      <c r="K231" s="39"/>
      <c r="L231" s="39"/>
      <c r="M231" s="77" t="str">
        <f>IF(Quotes!A222="","",IF(Quotes!F222="","",Quotes!F222))</f>
        <v/>
      </c>
      <c r="N231" s="39"/>
      <c r="O231" s="39"/>
      <c r="P231" s="76" t="str">
        <f>IF(Quotes!A222="","",IF(Quotes!AB222="","",Quotes!AB222))</f>
        <v/>
      </c>
      <c r="Q231" s="39"/>
      <c r="R231" s="39"/>
      <c r="S231" s="76" t="str">
        <f>IF(Quotes!A222="","",IF(Quotes!AD222="","",Quotes!AD222))</f>
        <v/>
      </c>
      <c r="T231" s="39"/>
      <c r="U231" s="76" t="str">
        <f>IF(Quotes!A222="","",IF(Quotes!AF222="","",Quotes!AF222))</f>
        <v/>
      </c>
      <c r="V231" s="39"/>
    </row>
    <row r="232" spans="1:22" ht="42" hidden="1" customHeight="1" x14ac:dyDescent="0.35">
      <c r="A232" s="78" t="str">
        <f>IF(Quotes!A223="","",HYPERLINK("#'Quotes'!A223",Quotes!A223))</f>
        <v/>
      </c>
      <c r="B232" s="39"/>
      <c r="C232" s="39"/>
      <c r="D232" s="40" t="str">
        <f>IF(Quotes!A223="","",Quotes!U223&amp;" | "&amp;Quotes!Z223)</f>
        <v/>
      </c>
      <c r="E232" s="39"/>
      <c r="F232" s="39"/>
      <c r="G232" s="39"/>
      <c r="H232" s="39"/>
      <c r="I232" s="39"/>
      <c r="J232" s="39"/>
      <c r="K232" s="39"/>
      <c r="L232" s="39"/>
      <c r="M232" s="77" t="str">
        <f>IF(Quotes!A223="","",IF(Quotes!F223="","",Quotes!F223))</f>
        <v/>
      </c>
      <c r="N232" s="39"/>
      <c r="O232" s="39"/>
      <c r="P232" s="76" t="str">
        <f>IF(Quotes!A223="","",IF(Quotes!AB223="","",Quotes!AB223))</f>
        <v/>
      </c>
      <c r="Q232" s="39"/>
      <c r="R232" s="39"/>
      <c r="S232" s="76" t="str">
        <f>IF(Quotes!A223="","",IF(Quotes!AD223="","",Quotes!AD223))</f>
        <v/>
      </c>
      <c r="T232" s="39"/>
      <c r="U232" s="76" t="str">
        <f>IF(Quotes!A223="","",IF(Quotes!AF223="","",Quotes!AF223))</f>
        <v/>
      </c>
      <c r="V232" s="39"/>
    </row>
    <row r="233" spans="1:22" ht="42" hidden="1" customHeight="1" x14ac:dyDescent="0.35">
      <c r="A233" s="78" t="str">
        <f>IF(Quotes!A224="","",HYPERLINK("#'Quotes'!A224",Quotes!A224))</f>
        <v/>
      </c>
      <c r="B233" s="39"/>
      <c r="C233" s="39"/>
      <c r="D233" s="40" t="str">
        <f>IF(Quotes!A224="","",Quotes!U224&amp;" | "&amp;Quotes!Z224)</f>
        <v/>
      </c>
      <c r="E233" s="39"/>
      <c r="F233" s="39"/>
      <c r="G233" s="39"/>
      <c r="H233" s="39"/>
      <c r="I233" s="39"/>
      <c r="J233" s="39"/>
      <c r="K233" s="39"/>
      <c r="L233" s="39"/>
      <c r="M233" s="77" t="str">
        <f>IF(Quotes!A224="","",IF(Quotes!F224="","",Quotes!F224))</f>
        <v/>
      </c>
      <c r="N233" s="39"/>
      <c r="O233" s="39"/>
      <c r="P233" s="76" t="str">
        <f>IF(Quotes!A224="","",IF(Quotes!AB224="","",Quotes!AB224))</f>
        <v/>
      </c>
      <c r="Q233" s="39"/>
      <c r="R233" s="39"/>
      <c r="S233" s="76" t="str">
        <f>IF(Quotes!A224="","",IF(Quotes!AD224="","",Quotes!AD224))</f>
        <v/>
      </c>
      <c r="T233" s="39"/>
      <c r="U233" s="76" t="str">
        <f>IF(Quotes!A224="","",IF(Quotes!AF224="","",Quotes!AF224))</f>
        <v/>
      </c>
      <c r="V233" s="39"/>
    </row>
    <row r="234" spans="1:22" ht="42" hidden="1" customHeight="1" x14ac:dyDescent="0.35">
      <c r="A234" s="78" t="str">
        <f>IF(Quotes!A225="","",HYPERLINK("#'Quotes'!A225",Quotes!A225))</f>
        <v/>
      </c>
      <c r="B234" s="39"/>
      <c r="C234" s="39"/>
      <c r="D234" s="40" t="str">
        <f>IF(Quotes!A225="","",Quotes!U225&amp;" | "&amp;Quotes!Z225)</f>
        <v/>
      </c>
      <c r="E234" s="39"/>
      <c r="F234" s="39"/>
      <c r="G234" s="39"/>
      <c r="H234" s="39"/>
      <c r="I234" s="39"/>
      <c r="J234" s="39"/>
      <c r="K234" s="39"/>
      <c r="L234" s="39"/>
      <c r="M234" s="77" t="str">
        <f>IF(Quotes!A225="","",IF(Quotes!F225="","",Quotes!F225))</f>
        <v/>
      </c>
      <c r="N234" s="39"/>
      <c r="O234" s="39"/>
      <c r="P234" s="76" t="str">
        <f>IF(Quotes!A225="","",IF(Quotes!AB225="","",Quotes!AB225))</f>
        <v/>
      </c>
      <c r="Q234" s="39"/>
      <c r="R234" s="39"/>
      <c r="S234" s="76" t="str">
        <f>IF(Quotes!A225="","",IF(Quotes!AD225="","",Quotes!AD225))</f>
        <v/>
      </c>
      <c r="T234" s="39"/>
      <c r="U234" s="76" t="str">
        <f>IF(Quotes!A225="","",IF(Quotes!AF225="","",Quotes!AF225))</f>
        <v/>
      </c>
      <c r="V234" s="39"/>
    </row>
    <row r="235" spans="1:22" ht="42" hidden="1" customHeight="1" x14ac:dyDescent="0.35">
      <c r="A235" s="78" t="str">
        <f>IF(Quotes!A226="","",HYPERLINK("#'Quotes'!A226",Quotes!A226))</f>
        <v/>
      </c>
      <c r="B235" s="39"/>
      <c r="C235" s="39"/>
      <c r="D235" s="40" t="str">
        <f>IF(Quotes!A226="","",Quotes!U226&amp;" | "&amp;Quotes!Z226)</f>
        <v/>
      </c>
      <c r="E235" s="39"/>
      <c r="F235" s="39"/>
      <c r="G235" s="39"/>
      <c r="H235" s="39"/>
      <c r="I235" s="39"/>
      <c r="J235" s="39"/>
      <c r="K235" s="39"/>
      <c r="L235" s="39"/>
      <c r="M235" s="77" t="str">
        <f>IF(Quotes!A226="","",IF(Quotes!F226="","",Quotes!F226))</f>
        <v/>
      </c>
      <c r="N235" s="39"/>
      <c r="O235" s="39"/>
      <c r="P235" s="76" t="str">
        <f>IF(Quotes!A226="","",IF(Quotes!AB226="","",Quotes!AB226))</f>
        <v/>
      </c>
      <c r="Q235" s="39"/>
      <c r="R235" s="39"/>
      <c r="S235" s="76" t="str">
        <f>IF(Quotes!A226="","",IF(Quotes!AD226="","",Quotes!AD226))</f>
        <v/>
      </c>
      <c r="T235" s="39"/>
      <c r="U235" s="76" t="str">
        <f>IF(Quotes!A226="","",IF(Quotes!AF226="","",Quotes!AF226))</f>
        <v/>
      </c>
      <c r="V235" s="39"/>
    </row>
    <row r="236" spans="1:22" ht="42" hidden="1" customHeight="1" x14ac:dyDescent="0.35">
      <c r="A236" s="78" t="str">
        <f>IF(Quotes!A227="","",HYPERLINK("#'Quotes'!A227",Quotes!A227))</f>
        <v/>
      </c>
      <c r="B236" s="39"/>
      <c r="C236" s="39"/>
      <c r="D236" s="40" t="str">
        <f>IF(Quotes!A227="","",Quotes!U227&amp;" | "&amp;Quotes!Z227)</f>
        <v/>
      </c>
      <c r="E236" s="39"/>
      <c r="F236" s="39"/>
      <c r="G236" s="39"/>
      <c r="H236" s="39"/>
      <c r="I236" s="39"/>
      <c r="J236" s="39"/>
      <c r="K236" s="39"/>
      <c r="L236" s="39"/>
      <c r="M236" s="77" t="str">
        <f>IF(Quotes!A227="","",IF(Quotes!F227="","",Quotes!F227))</f>
        <v/>
      </c>
      <c r="N236" s="39"/>
      <c r="O236" s="39"/>
      <c r="P236" s="76" t="str">
        <f>IF(Quotes!A227="","",IF(Quotes!AB227="","",Quotes!AB227))</f>
        <v/>
      </c>
      <c r="Q236" s="39"/>
      <c r="R236" s="39"/>
      <c r="S236" s="76" t="str">
        <f>IF(Quotes!A227="","",IF(Quotes!AD227="","",Quotes!AD227))</f>
        <v/>
      </c>
      <c r="T236" s="39"/>
      <c r="U236" s="76" t="str">
        <f>IF(Quotes!A227="","",IF(Quotes!AF227="","",Quotes!AF227))</f>
        <v/>
      </c>
      <c r="V236" s="39"/>
    </row>
    <row r="237" spans="1:22" ht="42" hidden="1" customHeight="1" x14ac:dyDescent="0.35">
      <c r="A237" s="78" t="str">
        <f>IF(Quotes!A228="","",HYPERLINK("#'Quotes'!A228",Quotes!A228))</f>
        <v/>
      </c>
      <c r="B237" s="39"/>
      <c r="C237" s="39"/>
      <c r="D237" s="40" t="str">
        <f>IF(Quotes!A228="","",Quotes!U228&amp;" | "&amp;Quotes!Z228)</f>
        <v/>
      </c>
      <c r="E237" s="39"/>
      <c r="F237" s="39"/>
      <c r="G237" s="39"/>
      <c r="H237" s="39"/>
      <c r="I237" s="39"/>
      <c r="J237" s="39"/>
      <c r="K237" s="39"/>
      <c r="L237" s="39"/>
      <c r="M237" s="77" t="str">
        <f>IF(Quotes!A228="","",IF(Quotes!F228="","",Quotes!F228))</f>
        <v/>
      </c>
      <c r="N237" s="39"/>
      <c r="O237" s="39"/>
      <c r="P237" s="76" t="str">
        <f>IF(Quotes!A228="","",IF(Quotes!AB228="","",Quotes!AB228))</f>
        <v/>
      </c>
      <c r="Q237" s="39"/>
      <c r="R237" s="39"/>
      <c r="S237" s="76" t="str">
        <f>IF(Quotes!A228="","",IF(Quotes!AD228="","",Quotes!AD228))</f>
        <v/>
      </c>
      <c r="T237" s="39"/>
      <c r="U237" s="76" t="str">
        <f>IF(Quotes!A228="","",IF(Quotes!AF228="","",Quotes!AF228))</f>
        <v/>
      </c>
      <c r="V237" s="39"/>
    </row>
    <row r="238" spans="1:22" ht="42" hidden="1" customHeight="1" x14ac:dyDescent="0.35">
      <c r="A238" s="78" t="str">
        <f>IF(Quotes!A229="","",HYPERLINK("#'Quotes'!A229",Quotes!A229))</f>
        <v/>
      </c>
      <c r="B238" s="39"/>
      <c r="C238" s="39"/>
      <c r="D238" s="40" t="str">
        <f>IF(Quotes!A229="","",Quotes!U229&amp;" | "&amp;Quotes!Z229)</f>
        <v/>
      </c>
      <c r="E238" s="39"/>
      <c r="F238" s="39"/>
      <c r="G238" s="39"/>
      <c r="H238" s="39"/>
      <c r="I238" s="39"/>
      <c r="J238" s="39"/>
      <c r="K238" s="39"/>
      <c r="L238" s="39"/>
      <c r="M238" s="77" t="str">
        <f>IF(Quotes!A229="","",IF(Quotes!F229="","",Quotes!F229))</f>
        <v/>
      </c>
      <c r="N238" s="39"/>
      <c r="O238" s="39"/>
      <c r="P238" s="76" t="str">
        <f>IF(Quotes!A229="","",IF(Quotes!AB229="","",Quotes!AB229))</f>
        <v/>
      </c>
      <c r="Q238" s="39"/>
      <c r="R238" s="39"/>
      <c r="S238" s="76" t="str">
        <f>IF(Quotes!A229="","",IF(Quotes!AD229="","",Quotes!AD229))</f>
        <v/>
      </c>
      <c r="T238" s="39"/>
      <c r="U238" s="76" t="str">
        <f>IF(Quotes!A229="","",IF(Quotes!AF229="","",Quotes!AF229))</f>
        <v/>
      </c>
      <c r="V238" s="39"/>
    </row>
    <row r="239" spans="1:22" ht="42" hidden="1" customHeight="1" x14ac:dyDescent="0.35">
      <c r="A239" s="78" t="str">
        <f>IF(Quotes!A230="","",HYPERLINK("#'Quotes'!A230",Quotes!A230))</f>
        <v/>
      </c>
      <c r="B239" s="39"/>
      <c r="C239" s="39"/>
      <c r="D239" s="40" t="str">
        <f>IF(Quotes!A230="","",Quotes!U230&amp;" | "&amp;Quotes!Z230)</f>
        <v/>
      </c>
      <c r="E239" s="39"/>
      <c r="F239" s="39"/>
      <c r="G239" s="39"/>
      <c r="H239" s="39"/>
      <c r="I239" s="39"/>
      <c r="J239" s="39"/>
      <c r="K239" s="39"/>
      <c r="L239" s="39"/>
      <c r="M239" s="77" t="str">
        <f>IF(Quotes!A230="","",IF(Quotes!F230="","",Quotes!F230))</f>
        <v/>
      </c>
      <c r="N239" s="39"/>
      <c r="O239" s="39"/>
      <c r="P239" s="76" t="str">
        <f>IF(Quotes!A230="","",IF(Quotes!AB230="","",Quotes!AB230))</f>
        <v/>
      </c>
      <c r="Q239" s="39"/>
      <c r="R239" s="39"/>
      <c r="S239" s="76" t="str">
        <f>IF(Quotes!A230="","",IF(Quotes!AD230="","",Quotes!AD230))</f>
        <v/>
      </c>
      <c r="T239" s="39"/>
      <c r="U239" s="76" t="str">
        <f>IF(Quotes!A230="","",IF(Quotes!AF230="","",Quotes!AF230))</f>
        <v/>
      </c>
      <c r="V239" s="39"/>
    </row>
    <row r="240" spans="1:22" ht="42" hidden="1" customHeight="1" x14ac:dyDescent="0.35">
      <c r="A240" s="78" t="str">
        <f>IF(Quotes!A231="","",HYPERLINK("#'Quotes'!A231",Quotes!A231))</f>
        <v/>
      </c>
      <c r="B240" s="39"/>
      <c r="C240" s="39"/>
      <c r="D240" s="40" t="str">
        <f>IF(Quotes!A231="","",Quotes!U231&amp;" | "&amp;Quotes!Z231)</f>
        <v/>
      </c>
      <c r="E240" s="39"/>
      <c r="F240" s="39"/>
      <c r="G240" s="39"/>
      <c r="H240" s="39"/>
      <c r="I240" s="39"/>
      <c r="J240" s="39"/>
      <c r="K240" s="39"/>
      <c r="L240" s="39"/>
      <c r="M240" s="77" t="str">
        <f>IF(Quotes!A231="","",IF(Quotes!F231="","",Quotes!F231))</f>
        <v/>
      </c>
      <c r="N240" s="39"/>
      <c r="O240" s="39"/>
      <c r="P240" s="76" t="str">
        <f>IF(Quotes!A231="","",IF(Quotes!AB231="","",Quotes!AB231))</f>
        <v/>
      </c>
      <c r="Q240" s="39"/>
      <c r="R240" s="39"/>
      <c r="S240" s="76" t="str">
        <f>IF(Quotes!A231="","",IF(Quotes!AD231="","",Quotes!AD231))</f>
        <v/>
      </c>
      <c r="T240" s="39"/>
      <c r="U240" s="76" t="str">
        <f>IF(Quotes!A231="","",IF(Quotes!AF231="","",Quotes!AF231))</f>
        <v/>
      </c>
      <c r="V240" s="39"/>
    </row>
    <row r="241" spans="1:22" ht="42" hidden="1" customHeight="1" x14ac:dyDescent="0.35">
      <c r="A241" s="78" t="str">
        <f>IF(Quotes!A232="","",HYPERLINK("#'Quotes'!A232",Quotes!A232))</f>
        <v/>
      </c>
      <c r="B241" s="39"/>
      <c r="C241" s="39"/>
      <c r="D241" s="40" t="str">
        <f>IF(Quotes!A232="","",Quotes!U232&amp;" | "&amp;Quotes!Z232)</f>
        <v/>
      </c>
      <c r="E241" s="39"/>
      <c r="F241" s="39"/>
      <c r="G241" s="39"/>
      <c r="H241" s="39"/>
      <c r="I241" s="39"/>
      <c r="J241" s="39"/>
      <c r="K241" s="39"/>
      <c r="L241" s="39"/>
      <c r="M241" s="77" t="str">
        <f>IF(Quotes!A232="","",IF(Quotes!F232="","",Quotes!F232))</f>
        <v/>
      </c>
      <c r="N241" s="39"/>
      <c r="O241" s="39"/>
      <c r="P241" s="76" t="str">
        <f>IF(Quotes!A232="","",IF(Quotes!AB232="","",Quotes!AB232))</f>
        <v/>
      </c>
      <c r="Q241" s="39"/>
      <c r="R241" s="39"/>
      <c r="S241" s="76" t="str">
        <f>IF(Quotes!A232="","",IF(Quotes!AD232="","",Quotes!AD232))</f>
        <v/>
      </c>
      <c r="T241" s="39"/>
      <c r="U241" s="76" t="str">
        <f>IF(Quotes!A232="","",IF(Quotes!AF232="","",Quotes!AF232))</f>
        <v/>
      </c>
      <c r="V241" s="39"/>
    </row>
    <row r="242" spans="1:22" ht="42" hidden="1" customHeight="1" x14ac:dyDescent="0.35">
      <c r="A242" s="78" t="str">
        <f>IF(Quotes!A233="","",HYPERLINK("#'Quotes'!A233",Quotes!A233))</f>
        <v/>
      </c>
      <c r="B242" s="39"/>
      <c r="C242" s="39"/>
      <c r="D242" s="40" t="str">
        <f>IF(Quotes!A233="","",Quotes!U233&amp;" | "&amp;Quotes!Z233)</f>
        <v/>
      </c>
      <c r="E242" s="39"/>
      <c r="F242" s="39"/>
      <c r="G242" s="39"/>
      <c r="H242" s="39"/>
      <c r="I242" s="39"/>
      <c r="J242" s="39"/>
      <c r="K242" s="39"/>
      <c r="L242" s="39"/>
      <c r="M242" s="77" t="str">
        <f>IF(Quotes!A233="","",IF(Quotes!F233="","",Quotes!F233))</f>
        <v/>
      </c>
      <c r="N242" s="39"/>
      <c r="O242" s="39"/>
      <c r="P242" s="76" t="str">
        <f>IF(Quotes!A233="","",IF(Quotes!AB233="","",Quotes!AB233))</f>
        <v/>
      </c>
      <c r="Q242" s="39"/>
      <c r="R242" s="39"/>
      <c r="S242" s="76" t="str">
        <f>IF(Quotes!A233="","",IF(Quotes!AD233="","",Quotes!AD233))</f>
        <v/>
      </c>
      <c r="T242" s="39"/>
      <c r="U242" s="76" t="str">
        <f>IF(Quotes!A233="","",IF(Quotes!AF233="","",Quotes!AF233))</f>
        <v/>
      </c>
      <c r="V242" s="39"/>
    </row>
    <row r="243" spans="1:22" ht="42" hidden="1" customHeight="1" x14ac:dyDescent="0.35">
      <c r="A243" s="78" t="str">
        <f>IF(Quotes!A234="","",HYPERLINK("#'Quotes'!A234",Quotes!A234))</f>
        <v/>
      </c>
      <c r="B243" s="39"/>
      <c r="C243" s="39"/>
      <c r="D243" s="40" t="str">
        <f>IF(Quotes!A234="","",Quotes!U234&amp;" | "&amp;Quotes!Z234)</f>
        <v/>
      </c>
      <c r="E243" s="39"/>
      <c r="F243" s="39"/>
      <c r="G243" s="39"/>
      <c r="H243" s="39"/>
      <c r="I243" s="39"/>
      <c r="J243" s="39"/>
      <c r="K243" s="39"/>
      <c r="L243" s="39"/>
      <c r="M243" s="77" t="str">
        <f>IF(Quotes!A234="","",IF(Quotes!F234="","",Quotes!F234))</f>
        <v/>
      </c>
      <c r="N243" s="39"/>
      <c r="O243" s="39"/>
      <c r="P243" s="76" t="str">
        <f>IF(Quotes!A234="","",IF(Quotes!AB234="","",Quotes!AB234))</f>
        <v/>
      </c>
      <c r="Q243" s="39"/>
      <c r="R243" s="39"/>
      <c r="S243" s="76" t="str">
        <f>IF(Quotes!A234="","",IF(Quotes!AD234="","",Quotes!AD234))</f>
        <v/>
      </c>
      <c r="T243" s="39"/>
      <c r="U243" s="76" t="str">
        <f>IF(Quotes!A234="","",IF(Quotes!AF234="","",Quotes!AF234))</f>
        <v/>
      </c>
      <c r="V243" s="39"/>
    </row>
    <row r="244" spans="1:22" ht="42" hidden="1" customHeight="1" x14ac:dyDescent="0.35">
      <c r="A244" s="78" t="str">
        <f>IF(Quotes!A235="","",HYPERLINK("#'Quotes'!A235",Quotes!A235))</f>
        <v/>
      </c>
      <c r="B244" s="39"/>
      <c r="C244" s="39"/>
      <c r="D244" s="40" t="str">
        <f>IF(Quotes!A235="","",Quotes!U235&amp;" | "&amp;Quotes!Z235)</f>
        <v/>
      </c>
      <c r="E244" s="39"/>
      <c r="F244" s="39"/>
      <c r="G244" s="39"/>
      <c r="H244" s="39"/>
      <c r="I244" s="39"/>
      <c r="J244" s="39"/>
      <c r="K244" s="39"/>
      <c r="L244" s="39"/>
      <c r="M244" s="77" t="str">
        <f>IF(Quotes!A235="","",IF(Quotes!F235="","",Quotes!F235))</f>
        <v/>
      </c>
      <c r="N244" s="39"/>
      <c r="O244" s="39"/>
      <c r="P244" s="76" t="str">
        <f>IF(Quotes!A235="","",IF(Quotes!AB235="","",Quotes!AB235))</f>
        <v/>
      </c>
      <c r="Q244" s="39"/>
      <c r="R244" s="39"/>
      <c r="S244" s="76" t="str">
        <f>IF(Quotes!A235="","",IF(Quotes!AD235="","",Quotes!AD235))</f>
        <v/>
      </c>
      <c r="T244" s="39"/>
      <c r="U244" s="76" t="str">
        <f>IF(Quotes!A235="","",IF(Quotes!AF235="","",Quotes!AF235))</f>
        <v/>
      </c>
      <c r="V244" s="39"/>
    </row>
    <row r="245" spans="1:22" ht="42" hidden="1" customHeight="1" x14ac:dyDescent="0.35">
      <c r="A245" s="78" t="str">
        <f>IF(Quotes!A236="","",HYPERLINK("#'Quotes'!A236",Quotes!A236))</f>
        <v/>
      </c>
      <c r="B245" s="39"/>
      <c r="C245" s="39"/>
      <c r="D245" s="40" t="str">
        <f>IF(Quotes!A236="","",Quotes!U236&amp;" | "&amp;Quotes!Z236)</f>
        <v/>
      </c>
      <c r="E245" s="39"/>
      <c r="F245" s="39"/>
      <c r="G245" s="39"/>
      <c r="H245" s="39"/>
      <c r="I245" s="39"/>
      <c r="J245" s="39"/>
      <c r="K245" s="39"/>
      <c r="L245" s="39"/>
      <c r="M245" s="77" t="str">
        <f>IF(Quotes!A236="","",IF(Quotes!F236="","",Quotes!F236))</f>
        <v/>
      </c>
      <c r="N245" s="39"/>
      <c r="O245" s="39"/>
      <c r="P245" s="76" t="str">
        <f>IF(Quotes!A236="","",IF(Quotes!AB236="","",Quotes!AB236))</f>
        <v/>
      </c>
      <c r="Q245" s="39"/>
      <c r="R245" s="39"/>
      <c r="S245" s="76" t="str">
        <f>IF(Quotes!A236="","",IF(Quotes!AD236="","",Quotes!AD236))</f>
        <v/>
      </c>
      <c r="T245" s="39"/>
      <c r="U245" s="76" t="str">
        <f>IF(Quotes!A236="","",IF(Quotes!AF236="","",Quotes!AF236))</f>
        <v/>
      </c>
      <c r="V245" s="39"/>
    </row>
    <row r="246" spans="1:22" ht="42" hidden="1" customHeight="1" x14ac:dyDescent="0.35">
      <c r="A246" s="78" t="str">
        <f>IF(Quotes!A237="","",HYPERLINK("#'Quotes'!A237",Quotes!A237))</f>
        <v/>
      </c>
      <c r="B246" s="39"/>
      <c r="C246" s="39"/>
      <c r="D246" s="40" t="str">
        <f>IF(Quotes!A237="","",Quotes!U237&amp;" | "&amp;Quotes!Z237)</f>
        <v/>
      </c>
      <c r="E246" s="39"/>
      <c r="F246" s="39"/>
      <c r="G246" s="39"/>
      <c r="H246" s="39"/>
      <c r="I246" s="39"/>
      <c r="J246" s="39"/>
      <c r="K246" s="39"/>
      <c r="L246" s="39"/>
      <c r="M246" s="77" t="str">
        <f>IF(Quotes!A237="","",IF(Quotes!F237="","",Quotes!F237))</f>
        <v/>
      </c>
      <c r="N246" s="39"/>
      <c r="O246" s="39"/>
      <c r="P246" s="76" t="str">
        <f>IF(Quotes!A237="","",IF(Quotes!AB237="","",Quotes!AB237))</f>
        <v/>
      </c>
      <c r="Q246" s="39"/>
      <c r="R246" s="39"/>
      <c r="S246" s="76" t="str">
        <f>IF(Quotes!A237="","",IF(Quotes!AD237="","",Quotes!AD237))</f>
        <v/>
      </c>
      <c r="T246" s="39"/>
      <c r="U246" s="76" t="str">
        <f>IF(Quotes!A237="","",IF(Quotes!AF237="","",Quotes!AF237))</f>
        <v/>
      </c>
      <c r="V246" s="39"/>
    </row>
    <row r="247" spans="1:22" ht="42" hidden="1" customHeight="1" x14ac:dyDescent="0.35">
      <c r="A247" s="78" t="str">
        <f>IF(Quotes!A238="","",HYPERLINK("#'Quotes'!A238",Quotes!A238))</f>
        <v/>
      </c>
      <c r="B247" s="39"/>
      <c r="C247" s="39"/>
      <c r="D247" s="40" t="str">
        <f>IF(Quotes!A238="","",Quotes!U238&amp;" | "&amp;Quotes!Z238)</f>
        <v/>
      </c>
      <c r="E247" s="39"/>
      <c r="F247" s="39"/>
      <c r="G247" s="39"/>
      <c r="H247" s="39"/>
      <c r="I247" s="39"/>
      <c r="J247" s="39"/>
      <c r="K247" s="39"/>
      <c r="L247" s="39"/>
      <c r="M247" s="77" t="str">
        <f>IF(Quotes!A238="","",IF(Quotes!F238="","",Quotes!F238))</f>
        <v/>
      </c>
      <c r="N247" s="39"/>
      <c r="O247" s="39"/>
      <c r="P247" s="76" t="str">
        <f>IF(Quotes!A238="","",IF(Quotes!AB238="","",Quotes!AB238))</f>
        <v/>
      </c>
      <c r="Q247" s="39"/>
      <c r="R247" s="39"/>
      <c r="S247" s="76" t="str">
        <f>IF(Quotes!A238="","",IF(Quotes!AD238="","",Quotes!AD238))</f>
        <v/>
      </c>
      <c r="T247" s="39"/>
      <c r="U247" s="76" t="str">
        <f>IF(Quotes!A238="","",IF(Quotes!AF238="","",Quotes!AF238))</f>
        <v/>
      </c>
      <c r="V247" s="39"/>
    </row>
    <row r="248" spans="1:22" ht="42" hidden="1" customHeight="1" x14ac:dyDescent="0.35">
      <c r="A248" s="78" t="str">
        <f>IF(Quotes!A239="","",HYPERLINK("#'Quotes'!A239",Quotes!A239))</f>
        <v/>
      </c>
      <c r="B248" s="39"/>
      <c r="C248" s="39"/>
      <c r="D248" s="40" t="str">
        <f>IF(Quotes!A239="","",Quotes!U239&amp;" | "&amp;Quotes!Z239)</f>
        <v/>
      </c>
      <c r="E248" s="39"/>
      <c r="F248" s="39"/>
      <c r="G248" s="39"/>
      <c r="H248" s="39"/>
      <c r="I248" s="39"/>
      <c r="J248" s="39"/>
      <c r="K248" s="39"/>
      <c r="L248" s="39"/>
      <c r="M248" s="77" t="str">
        <f>IF(Quotes!A239="","",IF(Quotes!F239="","",Quotes!F239))</f>
        <v/>
      </c>
      <c r="N248" s="39"/>
      <c r="O248" s="39"/>
      <c r="P248" s="76" t="str">
        <f>IF(Quotes!A239="","",IF(Quotes!AB239="","",Quotes!AB239))</f>
        <v/>
      </c>
      <c r="Q248" s="39"/>
      <c r="R248" s="39"/>
      <c r="S248" s="76" t="str">
        <f>IF(Quotes!A239="","",IF(Quotes!AD239="","",Quotes!AD239))</f>
        <v/>
      </c>
      <c r="T248" s="39"/>
      <c r="U248" s="76" t="str">
        <f>IF(Quotes!A239="","",IF(Quotes!AF239="","",Quotes!AF239))</f>
        <v/>
      </c>
      <c r="V248" s="39"/>
    </row>
    <row r="249" spans="1:22" ht="42" hidden="1" customHeight="1" x14ac:dyDescent="0.35">
      <c r="A249" s="78" t="str">
        <f>IF(Quotes!A240="","",HYPERLINK("#'Quotes'!A240",Quotes!A240))</f>
        <v/>
      </c>
      <c r="B249" s="39"/>
      <c r="C249" s="39"/>
      <c r="D249" s="40" t="str">
        <f>IF(Quotes!A240="","",Quotes!U240&amp;" | "&amp;Quotes!Z240)</f>
        <v/>
      </c>
      <c r="E249" s="39"/>
      <c r="F249" s="39"/>
      <c r="G249" s="39"/>
      <c r="H249" s="39"/>
      <c r="I249" s="39"/>
      <c r="J249" s="39"/>
      <c r="K249" s="39"/>
      <c r="L249" s="39"/>
      <c r="M249" s="77" t="str">
        <f>IF(Quotes!A240="","",IF(Quotes!F240="","",Quotes!F240))</f>
        <v/>
      </c>
      <c r="N249" s="39"/>
      <c r="O249" s="39"/>
      <c r="P249" s="76" t="str">
        <f>IF(Quotes!A240="","",IF(Quotes!AB240="","",Quotes!AB240))</f>
        <v/>
      </c>
      <c r="Q249" s="39"/>
      <c r="R249" s="39"/>
      <c r="S249" s="76" t="str">
        <f>IF(Quotes!A240="","",IF(Quotes!AD240="","",Quotes!AD240))</f>
        <v/>
      </c>
      <c r="T249" s="39"/>
      <c r="U249" s="76" t="str">
        <f>IF(Quotes!A240="","",IF(Quotes!AF240="","",Quotes!AF240))</f>
        <v/>
      </c>
      <c r="V249" s="39"/>
    </row>
    <row r="250" spans="1:22" ht="42" hidden="1" customHeight="1" x14ac:dyDescent="0.35">
      <c r="A250" s="78" t="str">
        <f>IF(Quotes!A241="","",HYPERLINK("#'Quotes'!A241",Quotes!A241))</f>
        <v/>
      </c>
      <c r="B250" s="39"/>
      <c r="C250" s="39"/>
      <c r="D250" s="40" t="str">
        <f>IF(Quotes!A241="","",Quotes!U241&amp;" | "&amp;Quotes!Z241)</f>
        <v/>
      </c>
      <c r="E250" s="39"/>
      <c r="F250" s="39"/>
      <c r="G250" s="39"/>
      <c r="H250" s="39"/>
      <c r="I250" s="39"/>
      <c r="J250" s="39"/>
      <c r="K250" s="39"/>
      <c r="L250" s="39"/>
      <c r="M250" s="77" t="str">
        <f>IF(Quotes!A241="","",IF(Quotes!F241="","",Quotes!F241))</f>
        <v/>
      </c>
      <c r="N250" s="39"/>
      <c r="O250" s="39"/>
      <c r="P250" s="76" t="str">
        <f>IF(Quotes!A241="","",IF(Quotes!AB241="","",Quotes!AB241))</f>
        <v/>
      </c>
      <c r="Q250" s="39"/>
      <c r="R250" s="39"/>
      <c r="S250" s="76" t="str">
        <f>IF(Quotes!A241="","",IF(Quotes!AD241="","",Quotes!AD241))</f>
        <v/>
      </c>
      <c r="T250" s="39"/>
      <c r="U250" s="76" t="str">
        <f>IF(Quotes!A241="","",IF(Quotes!AF241="","",Quotes!AF241))</f>
        <v/>
      </c>
      <c r="V250" s="39"/>
    </row>
    <row r="251" spans="1:22" ht="42" hidden="1" customHeight="1" x14ac:dyDescent="0.35">
      <c r="A251" s="78" t="str">
        <f>IF(Quotes!A242="","",HYPERLINK("#'Quotes'!A242",Quotes!A242))</f>
        <v/>
      </c>
      <c r="B251" s="39"/>
      <c r="C251" s="39"/>
      <c r="D251" s="40" t="str">
        <f>IF(Quotes!A242="","",Quotes!U242&amp;" | "&amp;Quotes!Z242)</f>
        <v/>
      </c>
      <c r="E251" s="39"/>
      <c r="F251" s="39"/>
      <c r="G251" s="39"/>
      <c r="H251" s="39"/>
      <c r="I251" s="39"/>
      <c r="J251" s="39"/>
      <c r="K251" s="39"/>
      <c r="L251" s="39"/>
      <c r="M251" s="77" t="str">
        <f>IF(Quotes!A242="","",IF(Quotes!F242="","",Quotes!F242))</f>
        <v/>
      </c>
      <c r="N251" s="39"/>
      <c r="O251" s="39"/>
      <c r="P251" s="76" t="str">
        <f>IF(Quotes!A242="","",IF(Quotes!AB242="","",Quotes!AB242))</f>
        <v/>
      </c>
      <c r="Q251" s="39"/>
      <c r="R251" s="39"/>
      <c r="S251" s="76" t="str">
        <f>IF(Quotes!A242="","",IF(Quotes!AD242="","",Quotes!AD242))</f>
        <v/>
      </c>
      <c r="T251" s="39"/>
      <c r="U251" s="76" t="str">
        <f>IF(Quotes!A242="","",IF(Quotes!AF242="","",Quotes!AF242))</f>
        <v/>
      </c>
      <c r="V251" s="39"/>
    </row>
    <row r="252" spans="1:22" ht="42" hidden="1" customHeight="1" x14ac:dyDescent="0.35">
      <c r="A252" s="78" t="str">
        <f>IF(Quotes!A243="","",HYPERLINK("#'Quotes'!A243",Quotes!A243))</f>
        <v/>
      </c>
      <c r="B252" s="39"/>
      <c r="C252" s="39"/>
      <c r="D252" s="40" t="str">
        <f>IF(Quotes!A243="","",Quotes!U243&amp;" | "&amp;Quotes!Z243)</f>
        <v/>
      </c>
      <c r="E252" s="39"/>
      <c r="F252" s="39"/>
      <c r="G252" s="39"/>
      <c r="H252" s="39"/>
      <c r="I252" s="39"/>
      <c r="J252" s="39"/>
      <c r="K252" s="39"/>
      <c r="L252" s="39"/>
      <c r="M252" s="77" t="str">
        <f>IF(Quotes!A243="","",IF(Quotes!F243="","",Quotes!F243))</f>
        <v/>
      </c>
      <c r="N252" s="39"/>
      <c r="O252" s="39"/>
      <c r="P252" s="76" t="str">
        <f>IF(Quotes!A243="","",IF(Quotes!AB243="","",Quotes!AB243))</f>
        <v/>
      </c>
      <c r="Q252" s="39"/>
      <c r="R252" s="39"/>
      <c r="S252" s="76" t="str">
        <f>IF(Quotes!A243="","",IF(Quotes!AD243="","",Quotes!AD243))</f>
        <v/>
      </c>
      <c r="T252" s="39"/>
      <c r="U252" s="76" t="str">
        <f>IF(Quotes!A243="","",IF(Quotes!AF243="","",Quotes!AF243))</f>
        <v/>
      </c>
      <c r="V252" s="39"/>
    </row>
    <row r="253" spans="1:22" ht="42" hidden="1" customHeight="1" x14ac:dyDescent="0.35">
      <c r="A253" s="78" t="str">
        <f>IF(Quotes!A244="","",HYPERLINK("#'Quotes'!A244",Quotes!A244))</f>
        <v/>
      </c>
      <c r="B253" s="39"/>
      <c r="C253" s="39"/>
      <c r="D253" s="40" t="str">
        <f>IF(Quotes!A244="","",Quotes!U244&amp;" | "&amp;Quotes!Z244)</f>
        <v/>
      </c>
      <c r="E253" s="39"/>
      <c r="F253" s="39"/>
      <c r="G253" s="39"/>
      <c r="H253" s="39"/>
      <c r="I253" s="39"/>
      <c r="J253" s="39"/>
      <c r="K253" s="39"/>
      <c r="L253" s="39"/>
      <c r="M253" s="77" t="str">
        <f>IF(Quotes!A244="","",IF(Quotes!F244="","",Quotes!F244))</f>
        <v/>
      </c>
      <c r="N253" s="39"/>
      <c r="O253" s="39"/>
      <c r="P253" s="76" t="str">
        <f>IF(Quotes!A244="","",IF(Quotes!AB244="","",Quotes!AB244))</f>
        <v/>
      </c>
      <c r="Q253" s="39"/>
      <c r="R253" s="39"/>
      <c r="S253" s="76" t="str">
        <f>IF(Quotes!A244="","",IF(Quotes!AD244="","",Quotes!AD244))</f>
        <v/>
      </c>
      <c r="T253" s="39"/>
      <c r="U253" s="76" t="str">
        <f>IF(Quotes!A244="","",IF(Quotes!AF244="","",Quotes!AF244))</f>
        <v/>
      </c>
      <c r="V253" s="39"/>
    </row>
    <row r="254" spans="1:22" ht="42" hidden="1" customHeight="1" x14ac:dyDescent="0.35">
      <c r="A254" s="78" t="str">
        <f>IF(Quotes!A245="","",HYPERLINK("#'Quotes'!A245",Quotes!A245))</f>
        <v/>
      </c>
      <c r="B254" s="39"/>
      <c r="C254" s="39"/>
      <c r="D254" s="40" t="str">
        <f>IF(Quotes!A245="","",Quotes!U245&amp;" | "&amp;Quotes!Z245)</f>
        <v/>
      </c>
      <c r="E254" s="39"/>
      <c r="F254" s="39"/>
      <c r="G254" s="39"/>
      <c r="H254" s="39"/>
      <c r="I254" s="39"/>
      <c r="J254" s="39"/>
      <c r="K254" s="39"/>
      <c r="L254" s="39"/>
      <c r="M254" s="77" t="str">
        <f>IF(Quotes!A245="","",IF(Quotes!F245="","",Quotes!F245))</f>
        <v/>
      </c>
      <c r="N254" s="39"/>
      <c r="O254" s="39"/>
      <c r="P254" s="76" t="str">
        <f>IF(Quotes!A245="","",IF(Quotes!AB245="","",Quotes!AB245))</f>
        <v/>
      </c>
      <c r="Q254" s="39"/>
      <c r="R254" s="39"/>
      <c r="S254" s="76" t="str">
        <f>IF(Quotes!A245="","",IF(Quotes!AD245="","",Quotes!AD245))</f>
        <v/>
      </c>
      <c r="T254" s="39"/>
      <c r="U254" s="76" t="str">
        <f>IF(Quotes!A245="","",IF(Quotes!AF245="","",Quotes!AF245))</f>
        <v/>
      </c>
      <c r="V254" s="39"/>
    </row>
    <row r="255" spans="1:22" ht="42" hidden="1" customHeight="1" x14ac:dyDescent="0.35">
      <c r="A255" s="78" t="str">
        <f>IF(Quotes!A246="","",HYPERLINK("#'Quotes'!A246",Quotes!A246))</f>
        <v/>
      </c>
      <c r="B255" s="39"/>
      <c r="C255" s="39"/>
      <c r="D255" s="40" t="str">
        <f>IF(Quotes!A246="","",Quotes!U246&amp;" | "&amp;Quotes!Z246)</f>
        <v/>
      </c>
      <c r="E255" s="39"/>
      <c r="F255" s="39"/>
      <c r="G255" s="39"/>
      <c r="H255" s="39"/>
      <c r="I255" s="39"/>
      <c r="J255" s="39"/>
      <c r="K255" s="39"/>
      <c r="L255" s="39"/>
      <c r="M255" s="77" t="str">
        <f>IF(Quotes!A246="","",IF(Quotes!F246="","",Quotes!F246))</f>
        <v/>
      </c>
      <c r="N255" s="39"/>
      <c r="O255" s="39"/>
      <c r="P255" s="76" t="str">
        <f>IF(Quotes!A246="","",IF(Quotes!AB246="","",Quotes!AB246))</f>
        <v/>
      </c>
      <c r="Q255" s="39"/>
      <c r="R255" s="39"/>
      <c r="S255" s="76" t="str">
        <f>IF(Quotes!A246="","",IF(Quotes!AD246="","",Quotes!AD246))</f>
        <v/>
      </c>
      <c r="T255" s="39"/>
      <c r="U255" s="76" t="str">
        <f>IF(Quotes!A246="","",IF(Quotes!AF246="","",Quotes!AF246))</f>
        <v/>
      </c>
      <c r="V255" s="39"/>
    </row>
    <row r="256" spans="1:22" ht="42" hidden="1" customHeight="1" x14ac:dyDescent="0.35">
      <c r="A256" s="78" t="str">
        <f>IF(Quotes!A247="","",HYPERLINK("#'Quotes'!A247",Quotes!A247))</f>
        <v/>
      </c>
      <c r="B256" s="39"/>
      <c r="C256" s="39"/>
      <c r="D256" s="40" t="str">
        <f>IF(Quotes!A247="","",Quotes!U247&amp;" | "&amp;Quotes!Z247)</f>
        <v/>
      </c>
      <c r="E256" s="39"/>
      <c r="F256" s="39"/>
      <c r="G256" s="39"/>
      <c r="H256" s="39"/>
      <c r="I256" s="39"/>
      <c r="J256" s="39"/>
      <c r="K256" s="39"/>
      <c r="L256" s="39"/>
      <c r="M256" s="77" t="str">
        <f>IF(Quotes!A247="","",IF(Quotes!F247="","",Quotes!F247))</f>
        <v/>
      </c>
      <c r="N256" s="39"/>
      <c r="O256" s="39"/>
      <c r="P256" s="76" t="str">
        <f>IF(Quotes!A247="","",IF(Quotes!AB247="","",Quotes!AB247))</f>
        <v/>
      </c>
      <c r="Q256" s="39"/>
      <c r="R256" s="39"/>
      <c r="S256" s="76" t="str">
        <f>IF(Quotes!A247="","",IF(Quotes!AD247="","",Quotes!AD247))</f>
        <v/>
      </c>
      <c r="T256" s="39"/>
      <c r="U256" s="76" t="str">
        <f>IF(Quotes!A247="","",IF(Quotes!AF247="","",Quotes!AF247))</f>
        <v/>
      </c>
      <c r="V256" s="39"/>
    </row>
    <row r="257" spans="1:22" ht="42" hidden="1" customHeight="1" x14ac:dyDescent="0.35">
      <c r="A257" s="78" t="str">
        <f>IF(Quotes!A248="","",HYPERLINK("#'Quotes'!A248",Quotes!A248))</f>
        <v/>
      </c>
      <c r="B257" s="39"/>
      <c r="C257" s="39"/>
      <c r="D257" s="40" t="str">
        <f>IF(Quotes!A248="","",Quotes!U248&amp;" | "&amp;Quotes!Z248)</f>
        <v/>
      </c>
      <c r="E257" s="39"/>
      <c r="F257" s="39"/>
      <c r="G257" s="39"/>
      <c r="H257" s="39"/>
      <c r="I257" s="39"/>
      <c r="J257" s="39"/>
      <c r="K257" s="39"/>
      <c r="L257" s="39"/>
      <c r="M257" s="77" t="str">
        <f>IF(Quotes!A248="","",IF(Quotes!F248="","",Quotes!F248))</f>
        <v/>
      </c>
      <c r="N257" s="39"/>
      <c r="O257" s="39"/>
      <c r="P257" s="76" t="str">
        <f>IF(Quotes!A248="","",IF(Quotes!AB248="","",Quotes!AB248))</f>
        <v/>
      </c>
      <c r="Q257" s="39"/>
      <c r="R257" s="39"/>
      <c r="S257" s="76" t="str">
        <f>IF(Quotes!A248="","",IF(Quotes!AD248="","",Quotes!AD248))</f>
        <v/>
      </c>
      <c r="T257" s="39"/>
      <c r="U257" s="76" t="str">
        <f>IF(Quotes!A248="","",IF(Quotes!AF248="","",Quotes!AF248))</f>
        <v/>
      </c>
      <c r="V257" s="39"/>
    </row>
    <row r="258" spans="1:22" ht="42" hidden="1" customHeight="1" x14ac:dyDescent="0.35">
      <c r="A258" s="78" t="str">
        <f>IF(Quotes!A249="","",HYPERLINK("#'Quotes'!A249",Quotes!A249))</f>
        <v/>
      </c>
      <c r="B258" s="39"/>
      <c r="C258" s="39"/>
      <c r="D258" s="40" t="str">
        <f>IF(Quotes!A249="","",Quotes!U249&amp;" | "&amp;Quotes!Z249)</f>
        <v/>
      </c>
      <c r="E258" s="39"/>
      <c r="F258" s="39"/>
      <c r="G258" s="39"/>
      <c r="H258" s="39"/>
      <c r="I258" s="39"/>
      <c r="J258" s="39"/>
      <c r="K258" s="39"/>
      <c r="L258" s="39"/>
      <c r="M258" s="77" t="str">
        <f>IF(Quotes!A249="","",IF(Quotes!F249="","",Quotes!F249))</f>
        <v/>
      </c>
      <c r="N258" s="39"/>
      <c r="O258" s="39"/>
      <c r="P258" s="76" t="str">
        <f>IF(Quotes!A249="","",IF(Quotes!AB249="","",Quotes!AB249))</f>
        <v/>
      </c>
      <c r="Q258" s="39"/>
      <c r="R258" s="39"/>
      <c r="S258" s="76" t="str">
        <f>IF(Quotes!A249="","",IF(Quotes!AD249="","",Quotes!AD249))</f>
        <v/>
      </c>
      <c r="T258" s="39"/>
      <c r="U258" s="76" t="str">
        <f>IF(Quotes!A249="","",IF(Quotes!AF249="","",Quotes!AF249))</f>
        <v/>
      </c>
      <c r="V258" s="39"/>
    </row>
    <row r="259" spans="1:22" ht="42" hidden="1" customHeight="1" x14ac:dyDescent="0.35">
      <c r="A259" s="78" t="str">
        <f>IF(Quotes!A250="","",HYPERLINK("#'Quotes'!A250",Quotes!A250))</f>
        <v/>
      </c>
      <c r="B259" s="39"/>
      <c r="C259" s="39"/>
      <c r="D259" s="40" t="str">
        <f>IF(Quotes!A250="","",Quotes!U250&amp;" | "&amp;Quotes!Z250)</f>
        <v/>
      </c>
      <c r="E259" s="39"/>
      <c r="F259" s="39"/>
      <c r="G259" s="39"/>
      <c r="H259" s="39"/>
      <c r="I259" s="39"/>
      <c r="J259" s="39"/>
      <c r="K259" s="39"/>
      <c r="L259" s="39"/>
      <c r="M259" s="77" t="str">
        <f>IF(Quotes!A250="","",IF(Quotes!F250="","",Quotes!F250))</f>
        <v/>
      </c>
      <c r="N259" s="39"/>
      <c r="O259" s="39"/>
      <c r="P259" s="76" t="str">
        <f>IF(Quotes!A250="","",IF(Quotes!AB250="","",Quotes!AB250))</f>
        <v/>
      </c>
      <c r="Q259" s="39"/>
      <c r="R259" s="39"/>
      <c r="S259" s="76" t="str">
        <f>IF(Quotes!A250="","",IF(Quotes!AD250="","",Quotes!AD250))</f>
        <v/>
      </c>
      <c r="T259" s="39"/>
      <c r="U259" s="76" t="str">
        <f>IF(Quotes!A250="","",IF(Quotes!AF250="","",Quotes!AF250))</f>
        <v/>
      </c>
      <c r="V259" s="39"/>
    </row>
    <row r="260" spans="1:22" ht="42" hidden="1" customHeight="1" x14ac:dyDescent="0.35">
      <c r="A260" s="78" t="str">
        <f>IF(Quotes!A251="","",HYPERLINK("#'Quotes'!A251",Quotes!A251))</f>
        <v/>
      </c>
      <c r="B260" s="39"/>
      <c r="C260" s="39"/>
      <c r="D260" s="40" t="str">
        <f>IF(Quotes!A251="","",Quotes!U251&amp;" | "&amp;Quotes!Z251)</f>
        <v/>
      </c>
      <c r="E260" s="39"/>
      <c r="F260" s="39"/>
      <c r="G260" s="39"/>
      <c r="H260" s="39"/>
      <c r="I260" s="39"/>
      <c r="J260" s="39"/>
      <c r="K260" s="39"/>
      <c r="L260" s="39"/>
      <c r="M260" s="77" t="str">
        <f>IF(Quotes!A251="","",IF(Quotes!F251="","",Quotes!F251))</f>
        <v/>
      </c>
      <c r="N260" s="39"/>
      <c r="O260" s="39"/>
      <c r="P260" s="76" t="str">
        <f>IF(Quotes!A251="","",IF(Quotes!AB251="","",Quotes!AB251))</f>
        <v/>
      </c>
      <c r="Q260" s="39"/>
      <c r="R260" s="39"/>
      <c r="S260" s="76" t="str">
        <f>IF(Quotes!A251="","",IF(Quotes!AD251="","",Quotes!AD251))</f>
        <v/>
      </c>
      <c r="T260" s="39"/>
      <c r="U260" s="76" t="str">
        <f>IF(Quotes!A251="","",IF(Quotes!AF251="","",Quotes!AF251))</f>
        <v/>
      </c>
      <c r="V260" s="39"/>
    </row>
    <row r="261" spans="1:22" ht="42" hidden="1" customHeight="1" x14ac:dyDescent="0.35">
      <c r="A261" s="78" t="str">
        <f>IF(Quotes!A252="","",HYPERLINK("#'Quotes'!A252",Quotes!A252))</f>
        <v/>
      </c>
      <c r="B261" s="39"/>
      <c r="C261" s="39"/>
      <c r="D261" s="40" t="str">
        <f>IF(Quotes!A252="","",Quotes!U252&amp;" | "&amp;Quotes!Z252)</f>
        <v/>
      </c>
      <c r="E261" s="39"/>
      <c r="F261" s="39"/>
      <c r="G261" s="39"/>
      <c r="H261" s="39"/>
      <c r="I261" s="39"/>
      <c r="J261" s="39"/>
      <c r="K261" s="39"/>
      <c r="L261" s="39"/>
      <c r="M261" s="77" t="str">
        <f>IF(Quotes!A252="","",IF(Quotes!F252="","",Quotes!F252))</f>
        <v/>
      </c>
      <c r="N261" s="39"/>
      <c r="O261" s="39"/>
      <c r="P261" s="76" t="str">
        <f>IF(Quotes!A252="","",IF(Quotes!AB252="","",Quotes!AB252))</f>
        <v/>
      </c>
      <c r="Q261" s="39"/>
      <c r="R261" s="39"/>
      <c r="S261" s="76" t="str">
        <f>IF(Quotes!A252="","",IF(Quotes!AD252="","",Quotes!AD252))</f>
        <v/>
      </c>
      <c r="T261" s="39"/>
      <c r="U261" s="76" t="str">
        <f>IF(Quotes!A252="","",IF(Quotes!AF252="","",Quotes!AF252))</f>
        <v/>
      </c>
      <c r="V261" s="39"/>
    </row>
    <row r="262" spans="1:22" ht="42" hidden="1" customHeight="1" x14ac:dyDescent="0.35">
      <c r="A262" s="78" t="str">
        <f>IF(Quotes!A253="","",HYPERLINK("#'Quotes'!A253",Quotes!A253))</f>
        <v/>
      </c>
      <c r="B262" s="39"/>
      <c r="C262" s="39"/>
      <c r="D262" s="40" t="str">
        <f>IF(Quotes!A253="","",Quotes!U253&amp;" | "&amp;Quotes!Z253)</f>
        <v/>
      </c>
      <c r="E262" s="39"/>
      <c r="F262" s="39"/>
      <c r="G262" s="39"/>
      <c r="H262" s="39"/>
      <c r="I262" s="39"/>
      <c r="J262" s="39"/>
      <c r="K262" s="39"/>
      <c r="L262" s="39"/>
      <c r="M262" s="77" t="str">
        <f>IF(Quotes!A253="","",IF(Quotes!F253="","",Quotes!F253))</f>
        <v/>
      </c>
      <c r="N262" s="39"/>
      <c r="O262" s="39"/>
      <c r="P262" s="76" t="str">
        <f>IF(Quotes!A253="","",IF(Quotes!AB253="","",Quotes!AB253))</f>
        <v/>
      </c>
      <c r="Q262" s="39"/>
      <c r="R262" s="39"/>
      <c r="S262" s="76" t="str">
        <f>IF(Quotes!A253="","",IF(Quotes!AD253="","",Quotes!AD253))</f>
        <v/>
      </c>
      <c r="T262" s="39"/>
      <c r="U262" s="76" t="str">
        <f>IF(Quotes!A253="","",IF(Quotes!AF253="","",Quotes!AF253))</f>
        <v/>
      </c>
      <c r="V262" s="39"/>
    </row>
    <row r="263" spans="1:22" ht="42" hidden="1" customHeight="1" x14ac:dyDescent="0.35">
      <c r="A263" s="78" t="str">
        <f>IF(Quotes!A254="","",HYPERLINK("#'Quotes'!A254",Quotes!A254))</f>
        <v/>
      </c>
      <c r="B263" s="39"/>
      <c r="C263" s="39"/>
      <c r="D263" s="40" t="str">
        <f>IF(Quotes!A254="","",Quotes!U254&amp;" | "&amp;Quotes!Z254)</f>
        <v/>
      </c>
      <c r="E263" s="39"/>
      <c r="F263" s="39"/>
      <c r="G263" s="39"/>
      <c r="H263" s="39"/>
      <c r="I263" s="39"/>
      <c r="J263" s="39"/>
      <c r="K263" s="39"/>
      <c r="L263" s="39"/>
      <c r="M263" s="77" t="str">
        <f>IF(Quotes!A254="","",IF(Quotes!F254="","",Quotes!F254))</f>
        <v/>
      </c>
      <c r="N263" s="39"/>
      <c r="O263" s="39"/>
      <c r="P263" s="76" t="str">
        <f>IF(Quotes!A254="","",IF(Quotes!AB254="","",Quotes!AB254))</f>
        <v/>
      </c>
      <c r="Q263" s="39"/>
      <c r="R263" s="39"/>
      <c r="S263" s="76" t="str">
        <f>IF(Quotes!A254="","",IF(Quotes!AD254="","",Quotes!AD254))</f>
        <v/>
      </c>
      <c r="T263" s="39"/>
      <c r="U263" s="76" t="str">
        <f>IF(Quotes!A254="","",IF(Quotes!AF254="","",Quotes!AF254))</f>
        <v/>
      </c>
      <c r="V263" s="39"/>
    </row>
    <row r="264" spans="1:22" ht="42" hidden="1" customHeight="1" x14ac:dyDescent="0.35">
      <c r="A264" s="78" t="str">
        <f>IF(Quotes!A255="","",HYPERLINK("#'Quotes'!A255",Quotes!A255))</f>
        <v/>
      </c>
      <c r="B264" s="39"/>
      <c r="C264" s="39"/>
      <c r="D264" s="40" t="str">
        <f>IF(Quotes!A255="","",Quotes!U255&amp;" | "&amp;Quotes!Z255)</f>
        <v/>
      </c>
      <c r="E264" s="39"/>
      <c r="F264" s="39"/>
      <c r="G264" s="39"/>
      <c r="H264" s="39"/>
      <c r="I264" s="39"/>
      <c r="J264" s="39"/>
      <c r="K264" s="39"/>
      <c r="L264" s="39"/>
      <c r="M264" s="77" t="str">
        <f>IF(Quotes!A255="","",IF(Quotes!F255="","",Quotes!F255))</f>
        <v/>
      </c>
      <c r="N264" s="39"/>
      <c r="O264" s="39"/>
      <c r="P264" s="76" t="str">
        <f>IF(Quotes!A255="","",IF(Quotes!AB255="","",Quotes!AB255))</f>
        <v/>
      </c>
      <c r="Q264" s="39"/>
      <c r="R264" s="39"/>
      <c r="S264" s="76" t="str">
        <f>IF(Quotes!A255="","",IF(Quotes!AD255="","",Quotes!AD255))</f>
        <v/>
      </c>
      <c r="T264" s="39"/>
      <c r="U264" s="76" t="str">
        <f>IF(Quotes!A255="","",IF(Quotes!AF255="","",Quotes!AF255))</f>
        <v/>
      </c>
      <c r="V264" s="39"/>
    </row>
    <row r="265" spans="1:22" ht="42" hidden="1" customHeight="1" x14ac:dyDescent="0.35">
      <c r="A265" s="78" t="str">
        <f>IF(Quotes!A256="","",HYPERLINK("#'Quotes'!A256",Quotes!A256))</f>
        <v/>
      </c>
      <c r="B265" s="39"/>
      <c r="C265" s="39"/>
      <c r="D265" s="40" t="str">
        <f>IF(Quotes!A256="","",Quotes!U256&amp;" | "&amp;Quotes!Z256)</f>
        <v/>
      </c>
      <c r="E265" s="39"/>
      <c r="F265" s="39"/>
      <c r="G265" s="39"/>
      <c r="H265" s="39"/>
      <c r="I265" s="39"/>
      <c r="J265" s="39"/>
      <c r="K265" s="39"/>
      <c r="L265" s="39"/>
      <c r="M265" s="77" t="str">
        <f>IF(Quotes!A256="","",IF(Quotes!F256="","",Quotes!F256))</f>
        <v/>
      </c>
      <c r="N265" s="39"/>
      <c r="O265" s="39"/>
      <c r="P265" s="76" t="str">
        <f>IF(Quotes!A256="","",IF(Quotes!AB256="","",Quotes!AB256))</f>
        <v/>
      </c>
      <c r="Q265" s="39"/>
      <c r="R265" s="39"/>
      <c r="S265" s="76" t="str">
        <f>IF(Quotes!A256="","",IF(Quotes!AD256="","",Quotes!AD256))</f>
        <v/>
      </c>
      <c r="T265" s="39"/>
      <c r="U265" s="76" t="str">
        <f>IF(Quotes!A256="","",IF(Quotes!AF256="","",Quotes!AF256))</f>
        <v/>
      </c>
      <c r="V265" s="39"/>
    </row>
    <row r="266" spans="1:22" ht="42" hidden="1" customHeight="1" x14ac:dyDescent="0.35">
      <c r="A266" s="78" t="str">
        <f>IF(Quotes!A257="","",HYPERLINK("#'Quotes'!A257",Quotes!A257))</f>
        <v/>
      </c>
      <c r="B266" s="39"/>
      <c r="C266" s="39"/>
      <c r="D266" s="40" t="str">
        <f>IF(Quotes!A257="","",Quotes!U257&amp;" | "&amp;Quotes!Z257)</f>
        <v/>
      </c>
      <c r="E266" s="39"/>
      <c r="F266" s="39"/>
      <c r="G266" s="39"/>
      <c r="H266" s="39"/>
      <c r="I266" s="39"/>
      <c r="J266" s="39"/>
      <c r="K266" s="39"/>
      <c r="L266" s="39"/>
      <c r="M266" s="77" t="str">
        <f>IF(Quotes!A257="","",IF(Quotes!F257="","",Quotes!F257))</f>
        <v/>
      </c>
      <c r="N266" s="39"/>
      <c r="O266" s="39"/>
      <c r="P266" s="76" t="str">
        <f>IF(Quotes!A257="","",IF(Quotes!AB257="","",Quotes!AB257))</f>
        <v/>
      </c>
      <c r="Q266" s="39"/>
      <c r="R266" s="39"/>
      <c r="S266" s="76" t="str">
        <f>IF(Quotes!A257="","",IF(Quotes!AD257="","",Quotes!AD257))</f>
        <v/>
      </c>
      <c r="T266" s="39"/>
      <c r="U266" s="76" t="str">
        <f>IF(Quotes!A257="","",IF(Quotes!AF257="","",Quotes!AF257))</f>
        <v/>
      </c>
      <c r="V266" s="39"/>
    </row>
    <row r="267" spans="1:22" ht="42" hidden="1" customHeight="1" x14ac:dyDescent="0.35">
      <c r="A267" s="78" t="str">
        <f>IF(Quotes!A258="","",HYPERLINK("#'Quotes'!A258",Quotes!A258))</f>
        <v/>
      </c>
      <c r="B267" s="39"/>
      <c r="C267" s="39"/>
      <c r="D267" s="40" t="str">
        <f>IF(Quotes!A258="","",Quotes!U258&amp;" | "&amp;Quotes!Z258)</f>
        <v/>
      </c>
      <c r="E267" s="39"/>
      <c r="F267" s="39"/>
      <c r="G267" s="39"/>
      <c r="H267" s="39"/>
      <c r="I267" s="39"/>
      <c r="J267" s="39"/>
      <c r="K267" s="39"/>
      <c r="L267" s="39"/>
      <c r="M267" s="77" t="str">
        <f>IF(Quotes!A258="","",IF(Quotes!F258="","",Quotes!F258))</f>
        <v/>
      </c>
      <c r="N267" s="39"/>
      <c r="O267" s="39"/>
      <c r="P267" s="76" t="str">
        <f>IF(Quotes!A258="","",IF(Quotes!AB258="","",Quotes!AB258))</f>
        <v/>
      </c>
      <c r="Q267" s="39"/>
      <c r="R267" s="39"/>
      <c r="S267" s="76" t="str">
        <f>IF(Quotes!A258="","",IF(Quotes!AD258="","",Quotes!AD258))</f>
        <v/>
      </c>
      <c r="T267" s="39"/>
      <c r="U267" s="76" t="str">
        <f>IF(Quotes!A258="","",IF(Quotes!AF258="","",Quotes!AF258))</f>
        <v/>
      </c>
      <c r="V267" s="39"/>
    </row>
  </sheetData>
  <sheetProtection password="8651" sheet="1" autoFilter="0"/>
  <mergeCells count="1532">
    <mergeCell ref="U29:V29"/>
    <mergeCell ref="D21:L21"/>
    <mergeCell ref="A128:C128"/>
    <mergeCell ref="S226:T226"/>
    <mergeCell ref="D48:L48"/>
    <mergeCell ref="A136:C136"/>
    <mergeCell ref="P77:R77"/>
    <mergeCell ref="P253:R253"/>
    <mergeCell ref="A113:C113"/>
    <mergeCell ref="S228:T228"/>
    <mergeCell ref="P37:R37"/>
    <mergeCell ref="S259:T259"/>
    <mergeCell ref="M209:O209"/>
    <mergeCell ref="P248:R248"/>
    <mergeCell ref="D51:L51"/>
    <mergeCell ref="M211:O211"/>
    <mergeCell ref="S254:T254"/>
    <mergeCell ref="M236:O236"/>
    <mergeCell ref="D84:L84"/>
    <mergeCell ref="S103:T103"/>
    <mergeCell ref="S78:T78"/>
    <mergeCell ref="M54:O54"/>
    <mergeCell ref="D207:L207"/>
    <mergeCell ref="D225:L225"/>
    <mergeCell ref="M27:O27"/>
    <mergeCell ref="A203:C203"/>
    <mergeCell ref="D227:L227"/>
    <mergeCell ref="S34:T34"/>
    <mergeCell ref="S36:T36"/>
    <mergeCell ref="P176:R176"/>
    <mergeCell ref="A45:C45"/>
    <mergeCell ref="S29:T29"/>
    <mergeCell ref="M45:O45"/>
    <mergeCell ref="D58:L58"/>
    <mergeCell ref="U20:V20"/>
    <mergeCell ref="S256:T256"/>
    <mergeCell ref="A174:C174"/>
    <mergeCell ref="P96:R96"/>
    <mergeCell ref="P90:R90"/>
    <mergeCell ref="U22:V22"/>
    <mergeCell ref="M237:O237"/>
    <mergeCell ref="A55:C55"/>
    <mergeCell ref="M239:O239"/>
    <mergeCell ref="S185:T185"/>
    <mergeCell ref="A200:C200"/>
    <mergeCell ref="P108:R108"/>
    <mergeCell ref="A44:C44"/>
    <mergeCell ref="S267:T267"/>
    <mergeCell ref="D89:L89"/>
    <mergeCell ref="A202:C202"/>
    <mergeCell ref="U242:V242"/>
    <mergeCell ref="U58:V58"/>
    <mergeCell ref="P20:R20"/>
    <mergeCell ref="A73:C73"/>
    <mergeCell ref="U244:V244"/>
    <mergeCell ref="P109:R109"/>
    <mergeCell ref="P22:R22"/>
    <mergeCell ref="A197:C197"/>
    <mergeCell ref="M250:O250"/>
    <mergeCell ref="U84:V84"/>
    <mergeCell ref="A140:C140"/>
    <mergeCell ref="M47:O47"/>
    <mergeCell ref="M264:O264"/>
    <mergeCell ref="S263:T263"/>
    <mergeCell ref="A239:C239"/>
    <mergeCell ref="S39:T39"/>
    <mergeCell ref="D17:L17"/>
    <mergeCell ref="S198:T198"/>
    <mergeCell ref="S170:T170"/>
    <mergeCell ref="A213:C213"/>
    <mergeCell ref="U86:V86"/>
    <mergeCell ref="U262:V262"/>
    <mergeCell ref="A126:C126"/>
    <mergeCell ref="P162:R162"/>
    <mergeCell ref="S199:T199"/>
    <mergeCell ref="A215:C215"/>
    <mergeCell ref="D143:L143"/>
    <mergeCell ref="M32:O32"/>
    <mergeCell ref="P33:R33"/>
    <mergeCell ref="P164:R164"/>
    <mergeCell ref="P35:R35"/>
    <mergeCell ref="D159:L159"/>
    <mergeCell ref="S41:T41"/>
    <mergeCell ref="A137:C137"/>
    <mergeCell ref="P59:R59"/>
    <mergeCell ref="S252:T252"/>
    <mergeCell ref="S43:T43"/>
    <mergeCell ref="U99:V99"/>
    <mergeCell ref="A145:C145"/>
    <mergeCell ref="D154:L154"/>
    <mergeCell ref="P86:R86"/>
    <mergeCell ref="P61:R61"/>
    <mergeCell ref="A139:C139"/>
    <mergeCell ref="U101:V101"/>
    <mergeCell ref="D156:L156"/>
    <mergeCell ref="M18:O18"/>
    <mergeCell ref="M62:O62"/>
    <mergeCell ref="U167:V167"/>
    <mergeCell ref="P129:R129"/>
    <mergeCell ref="A182:C182"/>
    <mergeCell ref="D191:L191"/>
    <mergeCell ref="S265:T265"/>
    <mergeCell ref="U23:V23"/>
    <mergeCell ref="A3:V3"/>
    <mergeCell ref="P105:R105"/>
    <mergeCell ref="A9:E9"/>
    <mergeCell ref="P99:R99"/>
    <mergeCell ref="U31:V31"/>
    <mergeCell ref="D86:L86"/>
    <mergeCell ref="A193:C193"/>
    <mergeCell ref="M246:O246"/>
    <mergeCell ref="P107:R107"/>
    <mergeCell ref="P101:R101"/>
    <mergeCell ref="M248:O248"/>
    <mergeCell ref="S107:T107"/>
    <mergeCell ref="P102:R102"/>
    <mergeCell ref="A184:C184"/>
    <mergeCell ref="U57:V57"/>
    <mergeCell ref="U171:V171"/>
    <mergeCell ref="D226:L226"/>
    <mergeCell ref="P133:R133"/>
    <mergeCell ref="P127:R127"/>
    <mergeCell ref="U42:V42"/>
    <mergeCell ref="P4:R4"/>
    <mergeCell ref="D228:L228"/>
    <mergeCell ref="P135:R135"/>
    <mergeCell ref="M117:O117"/>
    <mergeCell ref="D99:L99"/>
    <mergeCell ref="P57:R57"/>
    <mergeCell ref="P171:R171"/>
    <mergeCell ref="S110:T110"/>
    <mergeCell ref="P67:R67"/>
    <mergeCell ref="A120:C120"/>
    <mergeCell ref="S70:T70"/>
    <mergeCell ref="P146:R146"/>
    <mergeCell ref="A224:C224"/>
    <mergeCell ref="U97:V97"/>
    <mergeCell ref="D152:L152"/>
    <mergeCell ref="P181:R181"/>
    <mergeCell ref="D29:L29"/>
    <mergeCell ref="D23:L23"/>
    <mergeCell ref="M43:O43"/>
    <mergeCell ref="S65:T65"/>
    <mergeCell ref="U121:V121"/>
    <mergeCell ref="A250:C250"/>
    <mergeCell ref="U129:V129"/>
    <mergeCell ref="U123:V123"/>
    <mergeCell ref="S50:T50"/>
    <mergeCell ref="D170:L170"/>
    <mergeCell ref="P199:R199"/>
    <mergeCell ref="S236:T236"/>
    <mergeCell ref="D49:L49"/>
    <mergeCell ref="D163:L163"/>
    <mergeCell ref="P70:R70"/>
    <mergeCell ref="M25:O25"/>
    <mergeCell ref="P228:R228"/>
    <mergeCell ref="D171:L171"/>
    <mergeCell ref="M77:O77"/>
    <mergeCell ref="P200:R200"/>
    <mergeCell ref="M33:O33"/>
    <mergeCell ref="D199:L199"/>
    <mergeCell ref="P131:R131"/>
    <mergeCell ref="M88:O88"/>
    <mergeCell ref="M82:O82"/>
    <mergeCell ref="P124:R124"/>
    <mergeCell ref="A177:C177"/>
    <mergeCell ref="M90:O90"/>
    <mergeCell ref="D97:L97"/>
    <mergeCell ref="P126:R126"/>
    <mergeCell ref="S105:T105"/>
    <mergeCell ref="U170:V170"/>
    <mergeCell ref="U74:V74"/>
    <mergeCell ref="U163:V163"/>
    <mergeCell ref="S130:T130"/>
    <mergeCell ref="P125:R125"/>
    <mergeCell ref="P150:R150"/>
    <mergeCell ref="U76:V76"/>
    <mergeCell ref="M116:O116"/>
    <mergeCell ref="S132:T132"/>
    <mergeCell ref="P152:R152"/>
    <mergeCell ref="U92:V92"/>
    <mergeCell ref="U95:V95"/>
    <mergeCell ref="D196:L196"/>
    <mergeCell ref="M119:O119"/>
    <mergeCell ref="D101:L101"/>
    <mergeCell ref="P186:R186"/>
    <mergeCell ref="P114:R114"/>
    <mergeCell ref="D155:L155"/>
    <mergeCell ref="A17:C17"/>
    <mergeCell ref="A53:C53"/>
    <mergeCell ref="U66:V66"/>
    <mergeCell ref="D121:L121"/>
    <mergeCell ref="A19:C19"/>
    <mergeCell ref="M141:O141"/>
    <mergeCell ref="P142:R142"/>
    <mergeCell ref="U68:V68"/>
    <mergeCell ref="D123:L123"/>
    <mergeCell ref="A48:C48"/>
    <mergeCell ref="M143:O143"/>
    <mergeCell ref="P144:R144"/>
    <mergeCell ref="S178:T178"/>
    <mergeCell ref="S150:T150"/>
    <mergeCell ref="S144:T144"/>
    <mergeCell ref="U119:V119"/>
    <mergeCell ref="A37:C37"/>
    <mergeCell ref="S21:T21"/>
    <mergeCell ref="P50:R50"/>
    <mergeCell ref="D31:L31"/>
    <mergeCell ref="P19:R19"/>
    <mergeCell ref="D122:L122"/>
    <mergeCell ref="U152:V152"/>
    <mergeCell ref="D85:L85"/>
    <mergeCell ref="M96:O96"/>
    <mergeCell ref="U177:V177"/>
    <mergeCell ref="S104:T104"/>
    <mergeCell ref="M98:O98"/>
    <mergeCell ref="D80:L80"/>
    <mergeCell ref="S106:T106"/>
    <mergeCell ref="P130:R130"/>
    <mergeCell ref="D136:L136"/>
    <mergeCell ref="D263:L263"/>
    <mergeCell ref="S145:T145"/>
    <mergeCell ref="D134:L134"/>
    <mergeCell ref="A247:C247"/>
    <mergeCell ref="U237:V237"/>
    <mergeCell ref="P172:R172"/>
    <mergeCell ref="M154:O154"/>
    <mergeCell ref="P165:R165"/>
    <mergeCell ref="U122:V122"/>
    <mergeCell ref="M156:O156"/>
    <mergeCell ref="A63:C63"/>
    <mergeCell ref="S74:T74"/>
    <mergeCell ref="S163:T163"/>
    <mergeCell ref="S76:T76"/>
    <mergeCell ref="A119:C119"/>
    <mergeCell ref="U138:V138"/>
    <mergeCell ref="U132:V132"/>
    <mergeCell ref="P252:R252"/>
    <mergeCell ref="S215:T215"/>
    <mergeCell ref="M165:O165"/>
    <mergeCell ref="A230:C230"/>
    <mergeCell ref="A143:C143"/>
    <mergeCell ref="A232:C232"/>
    <mergeCell ref="S216:T216"/>
    <mergeCell ref="S210:T210"/>
    <mergeCell ref="U185:V185"/>
    <mergeCell ref="S218:T218"/>
    <mergeCell ref="P261:R261"/>
    <mergeCell ref="D261:L261"/>
    <mergeCell ref="P141:R141"/>
    <mergeCell ref="U134:V134"/>
    <mergeCell ref="M87:O87"/>
    <mergeCell ref="G9:K9"/>
    <mergeCell ref="D195:L195"/>
    <mergeCell ref="D189:L189"/>
    <mergeCell ref="M84:O84"/>
    <mergeCell ref="D66:L66"/>
    <mergeCell ref="D197:L197"/>
    <mergeCell ref="M86:O86"/>
    <mergeCell ref="P209:R209"/>
    <mergeCell ref="M80:O80"/>
    <mergeCell ref="P234:R234"/>
    <mergeCell ref="A147:C147"/>
    <mergeCell ref="S131:T131"/>
    <mergeCell ref="U160:V160"/>
    <mergeCell ref="S87:T87"/>
    <mergeCell ref="S245:T245"/>
    <mergeCell ref="S97:T97"/>
    <mergeCell ref="P236:R236"/>
    <mergeCell ref="U195:V195"/>
    <mergeCell ref="S89:T89"/>
    <mergeCell ref="A51:C51"/>
    <mergeCell ref="M226:O226"/>
    <mergeCell ref="A28:C28"/>
    <mergeCell ref="A30:C30"/>
    <mergeCell ref="A59:C59"/>
    <mergeCell ref="A61:C61"/>
    <mergeCell ref="A54:C54"/>
    <mergeCell ref="A56:C56"/>
    <mergeCell ref="P179:R179"/>
    <mergeCell ref="P39:R39"/>
    <mergeCell ref="P32:R32"/>
    <mergeCell ref="A85:C85"/>
    <mergeCell ref="M163:O163"/>
    <mergeCell ref="P265:R265"/>
    <mergeCell ref="D208:L208"/>
    <mergeCell ref="P237:R237"/>
    <mergeCell ref="M70:O70"/>
    <mergeCell ref="M228:O228"/>
    <mergeCell ref="M222:O222"/>
    <mergeCell ref="S113:T113"/>
    <mergeCell ref="M99:O99"/>
    <mergeCell ref="S115:T115"/>
    <mergeCell ref="A158:C158"/>
    <mergeCell ref="M223:O223"/>
    <mergeCell ref="U179:V179"/>
    <mergeCell ref="D259:L259"/>
    <mergeCell ref="A62:C62"/>
    <mergeCell ref="U233:V233"/>
    <mergeCell ref="D236:L236"/>
    <mergeCell ref="A72:C72"/>
    <mergeCell ref="M150:O150"/>
    <mergeCell ref="M125:O125"/>
    <mergeCell ref="U235:V235"/>
    <mergeCell ref="M152:O152"/>
    <mergeCell ref="M127:O127"/>
    <mergeCell ref="A88:C88"/>
    <mergeCell ref="S159:T159"/>
    <mergeCell ref="S197:T197"/>
    <mergeCell ref="U259:V259"/>
    <mergeCell ref="S153:T153"/>
    <mergeCell ref="A90:C90"/>
    <mergeCell ref="S161:T161"/>
    <mergeCell ref="U261:V261"/>
    <mergeCell ref="S188:T188"/>
    <mergeCell ref="U217:V217"/>
    <mergeCell ref="H6:M6"/>
    <mergeCell ref="M191:O191"/>
    <mergeCell ref="U193:V193"/>
    <mergeCell ref="P52:R52"/>
    <mergeCell ref="M192:O192"/>
    <mergeCell ref="S111:T111"/>
    <mergeCell ref="D235:L235"/>
    <mergeCell ref="A156:C156"/>
    <mergeCell ref="U175:V175"/>
    <mergeCell ref="D260:L260"/>
    <mergeCell ref="S229:T229"/>
    <mergeCell ref="S112:T112"/>
    <mergeCell ref="D42:L42"/>
    <mergeCell ref="A155:C155"/>
    <mergeCell ref="A157:C157"/>
    <mergeCell ref="S141:T141"/>
    <mergeCell ref="M252:O252"/>
    <mergeCell ref="M123:O123"/>
    <mergeCell ref="M245:O245"/>
    <mergeCell ref="P246:R246"/>
    <mergeCell ref="U172:V172"/>
    <mergeCell ref="S9:V9"/>
    <mergeCell ref="U46:V46"/>
    <mergeCell ref="U257:V257"/>
    <mergeCell ref="A175:C175"/>
    <mergeCell ref="P74:R74"/>
    <mergeCell ref="A127:C127"/>
    <mergeCell ref="A192:C192"/>
    <mergeCell ref="U65:V65"/>
    <mergeCell ref="U241:V241"/>
    <mergeCell ref="D112:L112"/>
    <mergeCell ref="A194:C194"/>
    <mergeCell ref="S4:V4"/>
    <mergeCell ref="U48:V48"/>
    <mergeCell ref="D103:L103"/>
    <mergeCell ref="M263:O263"/>
    <mergeCell ref="U41:V41"/>
    <mergeCell ref="A81:C81"/>
    <mergeCell ref="M134:O134"/>
    <mergeCell ref="A170:C170"/>
    <mergeCell ref="M265:O265"/>
    <mergeCell ref="U43:V43"/>
    <mergeCell ref="A226:C226"/>
    <mergeCell ref="A201:C201"/>
    <mergeCell ref="M260:O260"/>
    <mergeCell ref="A228:C228"/>
    <mergeCell ref="S212:T212"/>
    <mergeCell ref="A99:C99"/>
    <mergeCell ref="P21:R21"/>
    <mergeCell ref="A221:C221"/>
    <mergeCell ref="S214:T214"/>
    <mergeCell ref="D27:L27"/>
    <mergeCell ref="D116:L116"/>
    <mergeCell ref="P48:R48"/>
    <mergeCell ref="P23:R23"/>
    <mergeCell ref="A101:C101"/>
    <mergeCell ref="A223:C223"/>
    <mergeCell ref="M195:O195"/>
    <mergeCell ref="A254:C254"/>
    <mergeCell ref="P43:R43"/>
    <mergeCell ref="A125:C125"/>
    <mergeCell ref="S196:T196"/>
    <mergeCell ref="M190:O190"/>
    <mergeCell ref="U112:V112"/>
    <mergeCell ref="R1:V2"/>
    <mergeCell ref="S225:T225"/>
    <mergeCell ref="P76:R76"/>
    <mergeCell ref="S235:T235"/>
    <mergeCell ref="D46:L46"/>
    <mergeCell ref="S227:T227"/>
    <mergeCell ref="D40:L40"/>
    <mergeCell ref="P69:R69"/>
    <mergeCell ref="M60:O60"/>
    <mergeCell ref="D41:L41"/>
    <mergeCell ref="A267:C267"/>
    <mergeCell ref="S251:T251"/>
    <mergeCell ref="U140:V140"/>
    <mergeCell ref="D43:L43"/>
    <mergeCell ref="U17:V17"/>
    <mergeCell ref="P216:R216"/>
    <mergeCell ref="S253:T253"/>
    <mergeCell ref="P87:R87"/>
    <mergeCell ref="D74:L74"/>
    <mergeCell ref="D68:L68"/>
    <mergeCell ref="D188:L188"/>
    <mergeCell ref="M50:O50"/>
    <mergeCell ref="P89:R89"/>
    <mergeCell ref="D59:L59"/>
    <mergeCell ref="A166:C166"/>
    <mergeCell ref="P88:R88"/>
    <mergeCell ref="U39:V39"/>
    <mergeCell ref="M229:O229"/>
    <mergeCell ref="A168:C168"/>
    <mergeCell ref="S177:T177"/>
    <mergeCell ref="P229:R229"/>
    <mergeCell ref="P17:R17"/>
    <mergeCell ref="U243:V243"/>
    <mergeCell ref="D114:L114"/>
    <mergeCell ref="P143:R143"/>
    <mergeCell ref="S19:T19"/>
    <mergeCell ref="A34:C34"/>
    <mergeCell ref="U83:V83"/>
    <mergeCell ref="D138:L138"/>
    <mergeCell ref="S20:T20"/>
    <mergeCell ref="P159:R159"/>
    <mergeCell ref="U85:V85"/>
    <mergeCell ref="D140:L140"/>
    <mergeCell ref="A205:C205"/>
    <mergeCell ref="S22:T22"/>
    <mergeCell ref="P161:R161"/>
    <mergeCell ref="U78:V78"/>
    <mergeCell ref="P65:R65"/>
    <mergeCell ref="A118:C118"/>
    <mergeCell ref="A238:C238"/>
    <mergeCell ref="M31:O31"/>
    <mergeCell ref="P154:R154"/>
    <mergeCell ref="U80:V80"/>
    <mergeCell ref="P156:R156"/>
    <mergeCell ref="U151:V151"/>
    <mergeCell ref="U150:V150"/>
    <mergeCell ref="D83:L83"/>
    <mergeCell ref="P227:R227"/>
    <mergeCell ref="A190:C190"/>
    <mergeCell ref="U186:V186"/>
    <mergeCell ref="P106:R106"/>
    <mergeCell ref="M103:O103"/>
    <mergeCell ref="P226:R226"/>
    <mergeCell ref="U21:V21"/>
    <mergeCell ref="A263:C263"/>
    <mergeCell ref="S38:T38"/>
    <mergeCell ref="G4:I4"/>
    <mergeCell ref="M26:O26"/>
    <mergeCell ref="D39:L39"/>
    <mergeCell ref="U225:V225"/>
    <mergeCell ref="P212:R212"/>
    <mergeCell ref="S249:T249"/>
    <mergeCell ref="A265:C265"/>
    <mergeCell ref="S40:T40"/>
    <mergeCell ref="A258:C258"/>
    <mergeCell ref="S33:T33"/>
    <mergeCell ref="M171:O171"/>
    <mergeCell ref="D153:L153"/>
    <mergeCell ref="A266:C266"/>
    <mergeCell ref="A260:C260"/>
    <mergeCell ref="M173:O173"/>
    <mergeCell ref="P84:R84"/>
    <mergeCell ref="D186:L186"/>
    <mergeCell ref="D65:L65"/>
    <mergeCell ref="S91:T91"/>
    <mergeCell ref="P80:R80"/>
    <mergeCell ref="M227:O227"/>
    <mergeCell ref="S93:T93"/>
    <mergeCell ref="U155:V155"/>
    <mergeCell ref="U149:V149"/>
    <mergeCell ref="S86:T86"/>
    <mergeCell ref="P225:R225"/>
    <mergeCell ref="S262:T262"/>
    <mergeCell ref="A188:C188"/>
    <mergeCell ref="S122:T122"/>
    <mergeCell ref="D212:L212"/>
    <mergeCell ref="S31:T31"/>
    <mergeCell ref="M169:O169"/>
    <mergeCell ref="P49:R49"/>
    <mergeCell ref="D151:L151"/>
    <mergeCell ref="A46:C46"/>
    <mergeCell ref="M40:O40"/>
    <mergeCell ref="D150:L150"/>
    <mergeCell ref="S62:T62"/>
    <mergeCell ref="A105:C105"/>
    <mergeCell ref="S176:T176"/>
    <mergeCell ref="M164:O164"/>
    <mergeCell ref="A71:C71"/>
    <mergeCell ref="U120:V120"/>
    <mergeCell ref="M41:O41"/>
    <mergeCell ref="S57:T57"/>
    <mergeCell ref="P196:R196"/>
    <mergeCell ref="S49:T49"/>
    <mergeCell ref="D177:L177"/>
    <mergeCell ref="M66:O66"/>
    <mergeCell ref="U115:V115"/>
    <mergeCell ref="M68:O68"/>
    <mergeCell ref="P191:R191"/>
    <mergeCell ref="U148:V148"/>
    <mergeCell ref="M188:O188"/>
    <mergeCell ref="D172:L172"/>
    <mergeCell ref="S173:T173"/>
    <mergeCell ref="S80:T80"/>
    <mergeCell ref="U142:V142"/>
    <mergeCell ref="M59:O59"/>
    <mergeCell ref="U55:V55"/>
    <mergeCell ref="U169:V169"/>
    <mergeCell ref="U70:V70"/>
    <mergeCell ref="A32:C32"/>
    <mergeCell ref="U159:V159"/>
    <mergeCell ref="M210:O210"/>
    <mergeCell ref="P121:R121"/>
    <mergeCell ref="D223:L223"/>
    <mergeCell ref="U47:V47"/>
    <mergeCell ref="U161:V161"/>
    <mergeCell ref="D216:L216"/>
    <mergeCell ref="S128:T128"/>
    <mergeCell ref="M122:O122"/>
    <mergeCell ref="P123:R123"/>
    <mergeCell ref="A117:C117"/>
    <mergeCell ref="P58:R58"/>
    <mergeCell ref="A111:C111"/>
    <mergeCell ref="A142:C142"/>
    <mergeCell ref="M49:O49"/>
    <mergeCell ref="M217:O217"/>
    <mergeCell ref="D205:L205"/>
    <mergeCell ref="U212:V212"/>
    <mergeCell ref="M187:O187"/>
    <mergeCell ref="D200:L200"/>
    <mergeCell ref="M189:O189"/>
    <mergeCell ref="U94:V94"/>
    <mergeCell ref="D149:L149"/>
    <mergeCell ref="P56:R56"/>
    <mergeCell ref="P178:R178"/>
    <mergeCell ref="U109:V109"/>
    <mergeCell ref="U75:V75"/>
    <mergeCell ref="D130:L130"/>
    <mergeCell ref="A115:C115"/>
    <mergeCell ref="P214:R214"/>
    <mergeCell ref="M197:O197"/>
    <mergeCell ref="D247:L247"/>
    <mergeCell ref="M107:O107"/>
    <mergeCell ref="S129:T129"/>
    <mergeCell ref="S123:T123"/>
    <mergeCell ref="U63:V63"/>
    <mergeCell ref="P262:R262"/>
    <mergeCell ref="D249:L249"/>
    <mergeCell ref="U221:V221"/>
    <mergeCell ref="M138:O138"/>
    <mergeCell ref="U187:V187"/>
    <mergeCell ref="D120:L120"/>
    <mergeCell ref="D242:L242"/>
    <mergeCell ref="U223:V223"/>
    <mergeCell ref="D234:L234"/>
    <mergeCell ref="D192:L192"/>
    <mergeCell ref="S68:T68"/>
    <mergeCell ref="U130:V130"/>
    <mergeCell ref="M206:O206"/>
    <mergeCell ref="M83:O83"/>
    <mergeCell ref="P244:R244"/>
    <mergeCell ref="D187:L187"/>
    <mergeCell ref="M207:O207"/>
    <mergeCell ref="M78:O78"/>
    <mergeCell ref="S242:T242"/>
    <mergeCell ref="S119:T119"/>
    <mergeCell ref="U183:V183"/>
    <mergeCell ref="D238:L238"/>
    <mergeCell ref="U219:V219"/>
    <mergeCell ref="M208:O208"/>
    <mergeCell ref="D221:L221"/>
    <mergeCell ref="P198:R198"/>
    <mergeCell ref="U208:V208"/>
    <mergeCell ref="A18:C18"/>
    <mergeCell ref="M140:O140"/>
    <mergeCell ref="P263:R263"/>
    <mergeCell ref="U189:V189"/>
    <mergeCell ref="D244:L244"/>
    <mergeCell ref="U216:V216"/>
    <mergeCell ref="M133:O133"/>
    <mergeCell ref="P134:R134"/>
    <mergeCell ref="A47:C47"/>
    <mergeCell ref="U218:V218"/>
    <mergeCell ref="M135:O135"/>
    <mergeCell ref="U205:V205"/>
    <mergeCell ref="S53:T53"/>
    <mergeCell ref="S142:T142"/>
    <mergeCell ref="S172:T172"/>
    <mergeCell ref="S55:T55"/>
    <mergeCell ref="A98:C98"/>
    <mergeCell ref="M193:O193"/>
    <mergeCell ref="D262:L262"/>
    <mergeCell ref="P187:R187"/>
    <mergeCell ref="U236:V236"/>
    <mergeCell ref="M153:O153"/>
    <mergeCell ref="P189:R189"/>
    <mergeCell ref="M65:O65"/>
    <mergeCell ref="P218:R218"/>
    <mergeCell ref="A116:C116"/>
    <mergeCell ref="D184:L184"/>
    <mergeCell ref="S231:T231"/>
    <mergeCell ref="S66:T66"/>
    <mergeCell ref="A109:C109"/>
    <mergeCell ref="M179:O179"/>
    <mergeCell ref="A240:C240"/>
    <mergeCell ref="U28:V28"/>
    <mergeCell ref="M220:O220"/>
    <mergeCell ref="P104:R104"/>
    <mergeCell ref="S138:T138"/>
    <mergeCell ref="S168:T168"/>
    <mergeCell ref="A69:C69"/>
    <mergeCell ref="S140:T140"/>
    <mergeCell ref="A183:C183"/>
    <mergeCell ref="S167:T167"/>
    <mergeCell ref="U196:V196"/>
    <mergeCell ref="U232:V232"/>
    <mergeCell ref="S169:T169"/>
    <mergeCell ref="U198:V198"/>
    <mergeCell ref="P122:R122"/>
    <mergeCell ref="D204:L204"/>
    <mergeCell ref="D198:L198"/>
    <mergeCell ref="D75:L75"/>
    <mergeCell ref="D206:L206"/>
    <mergeCell ref="M95:O95"/>
    <mergeCell ref="M89:O89"/>
    <mergeCell ref="A29:C29"/>
    <mergeCell ref="M159:O159"/>
    <mergeCell ref="M167:O167"/>
    <mergeCell ref="M161:O161"/>
    <mergeCell ref="A70:C70"/>
    <mergeCell ref="S54:T54"/>
    <mergeCell ref="S56:T56"/>
    <mergeCell ref="P46:R46"/>
    <mergeCell ref="M67:O67"/>
    <mergeCell ref="S75:T75"/>
    <mergeCell ref="M69:O69"/>
    <mergeCell ref="D76:L76"/>
    <mergeCell ref="U258:V258"/>
    <mergeCell ref="D129:L129"/>
    <mergeCell ref="A211:C211"/>
    <mergeCell ref="S195:T195"/>
    <mergeCell ref="U224:V224"/>
    <mergeCell ref="U260:V260"/>
    <mergeCell ref="P29:R29"/>
    <mergeCell ref="A82:C82"/>
    <mergeCell ref="M177:O177"/>
    <mergeCell ref="U253:V253"/>
    <mergeCell ref="M170:O170"/>
    <mergeCell ref="P31:R31"/>
    <mergeCell ref="S184:T184"/>
    <mergeCell ref="M172:O172"/>
    <mergeCell ref="D100:L100"/>
    <mergeCell ref="A207:C207"/>
    <mergeCell ref="U38:V38"/>
    <mergeCell ref="A78:C78"/>
    <mergeCell ref="S193:T193"/>
    <mergeCell ref="U249:V249"/>
    <mergeCell ref="S117:T117"/>
    <mergeCell ref="P112:R112"/>
    <mergeCell ref="M42:O42"/>
    <mergeCell ref="D93:L93"/>
    <mergeCell ref="M225:O225"/>
    <mergeCell ref="A43:C43"/>
    <mergeCell ref="U214:V214"/>
    <mergeCell ref="M131:O131"/>
    <mergeCell ref="D252:L252"/>
    <mergeCell ref="D218:L218"/>
    <mergeCell ref="U192:V192"/>
    <mergeCell ref="S157:T157"/>
    <mergeCell ref="J4:L4"/>
    <mergeCell ref="S213:T213"/>
    <mergeCell ref="D214:L214"/>
    <mergeCell ref="S179:T179"/>
    <mergeCell ref="M46:O46"/>
    <mergeCell ref="D28:L28"/>
    <mergeCell ref="A141:C141"/>
    <mergeCell ref="A135:C135"/>
    <mergeCell ref="S208:T208"/>
    <mergeCell ref="D55:L55"/>
    <mergeCell ref="D30:L30"/>
    <mergeCell ref="P42:R42"/>
    <mergeCell ref="P259:R259"/>
    <mergeCell ref="S266:T266"/>
    <mergeCell ref="M216:O216"/>
    <mergeCell ref="U113:V113"/>
    <mergeCell ref="A153:C153"/>
    <mergeCell ref="U26:V26"/>
    <mergeCell ref="M218:O218"/>
    <mergeCell ref="S261:T261"/>
    <mergeCell ref="A154:C154"/>
    <mergeCell ref="M243:O243"/>
    <mergeCell ref="U27:V27"/>
    <mergeCell ref="M120:O120"/>
    <mergeCell ref="M242:O242"/>
    <mergeCell ref="P103:R103"/>
    <mergeCell ref="P97:R97"/>
    <mergeCell ref="D4:F4"/>
    <mergeCell ref="D224:L224"/>
    <mergeCell ref="M244:O244"/>
    <mergeCell ref="M115:O115"/>
    <mergeCell ref="P113:R113"/>
    <mergeCell ref="M23:O23"/>
    <mergeCell ref="D38:L38"/>
    <mergeCell ref="D169:L169"/>
    <mergeCell ref="M58:O58"/>
    <mergeCell ref="S250:T250"/>
    <mergeCell ref="D63:L63"/>
    <mergeCell ref="D96:L96"/>
    <mergeCell ref="A172:C172"/>
    <mergeCell ref="M262:O262"/>
    <mergeCell ref="U40:V40"/>
    <mergeCell ref="D95:L95"/>
    <mergeCell ref="P27:R27"/>
    <mergeCell ref="A80:C80"/>
    <mergeCell ref="M255:O255"/>
    <mergeCell ref="M168:O168"/>
    <mergeCell ref="U96:V96"/>
    <mergeCell ref="S175:T175"/>
    <mergeCell ref="S211:T211"/>
    <mergeCell ref="U91:V91"/>
    <mergeCell ref="D24:L24"/>
    <mergeCell ref="D113:L113"/>
    <mergeCell ref="P167:R167"/>
    <mergeCell ref="S204:T204"/>
    <mergeCell ref="A220:C220"/>
    <mergeCell ref="U93:V93"/>
    <mergeCell ref="D26:L26"/>
    <mergeCell ref="D148:L148"/>
    <mergeCell ref="P55:R55"/>
    <mergeCell ref="P38:R38"/>
    <mergeCell ref="D115:L115"/>
    <mergeCell ref="P169:R169"/>
    <mergeCell ref="S206:T206"/>
    <mergeCell ref="S46:T46"/>
    <mergeCell ref="U111:V111"/>
    <mergeCell ref="D166:L166"/>
    <mergeCell ref="P195:R195"/>
    <mergeCell ref="A248:C248"/>
    <mergeCell ref="S257:T257"/>
    <mergeCell ref="M28:O28"/>
    <mergeCell ref="S48:T48"/>
    <mergeCell ref="U104:V104"/>
    <mergeCell ref="D37:L37"/>
    <mergeCell ref="P66:R66"/>
    <mergeCell ref="D168:L168"/>
    <mergeCell ref="P197:R197"/>
    <mergeCell ref="M57:O57"/>
    <mergeCell ref="D167:L167"/>
    <mergeCell ref="D161:L161"/>
    <mergeCell ref="M29:O29"/>
    <mergeCell ref="P68:R68"/>
    <mergeCell ref="A222:C222"/>
    <mergeCell ref="U34:V34"/>
    <mergeCell ref="P208:R208"/>
    <mergeCell ref="A163:C163"/>
    <mergeCell ref="U36:V36"/>
    <mergeCell ref="D91:L91"/>
    <mergeCell ref="P210:R210"/>
    <mergeCell ref="U30:V30"/>
    <mergeCell ref="D253:L253"/>
    <mergeCell ref="S165:T165"/>
    <mergeCell ref="P160:R160"/>
    <mergeCell ref="S200:T200"/>
    <mergeCell ref="A35:C35"/>
    <mergeCell ref="U227:V227"/>
    <mergeCell ref="A20:C20"/>
    <mergeCell ref="U62:V62"/>
    <mergeCell ref="P139:R139"/>
    <mergeCell ref="D109:L109"/>
    <mergeCell ref="P138:R138"/>
    <mergeCell ref="A191:C191"/>
    <mergeCell ref="U64:V64"/>
    <mergeCell ref="D119:L119"/>
    <mergeCell ref="M129:O129"/>
    <mergeCell ref="D111:L111"/>
    <mergeCell ref="D233:L233"/>
    <mergeCell ref="P140:R140"/>
    <mergeCell ref="D104:L104"/>
    <mergeCell ref="S174:T174"/>
    <mergeCell ref="S18:T18"/>
    <mergeCell ref="A242:C242"/>
    <mergeCell ref="A33:C33"/>
    <mergeCell ref="D176:L176"/>
    <mergeCell ref="M76:O76"/>
    <mergeCell ref="U131:V131"/>
    <mergeCell ref="D64:L64"/>
    <mergeCell ref="P235:R235"/>
    <mergeCell ref="P207:R207"/>
    <mergeCell ref="U146:V146"/>
    <mergeCell ref="S83:T83"/>
    <mergeCell ref="D203:L203"/>
    <mergeCell ref="P232:R232"/>
    <mergeCell ref="S85:T85"/>
    <mergeCell ref="U60:V60"/>
    <mergeCell ref="M94:O94"/>
    <mergeCell ref="P217:R217"/>
    <mergeCell ref="D19:L19"/>
    <mergeCell ref="P153:R153"/>
    <mergeCell ref="U133:V133"/>
    <mergeCell ref="M48:O48"/>
    <mergeCell ref="A255:C255"/>
    <mergeCell ref="S72:T72"/>
    <mergeCell ref="U251:V251"/>
    <mergeCell ref="U128:V128"/>
    <mergeCell ref="D61:L61"/>
    <mergeCell ref="P238:R238"/>
    <mergeCell ref="M81:O81"/>
    <mergeCell ref="P204:R204"/>
    <mergeCell ref="S241:T241"/>
    <mergeCell ref="U136:V136"/>
    <mergeCell ref="P75:R75"/>
    <mergeCell ref="D62:L62"/>
    <mergeCell ref="P206:R206"/>
    <mergeCell ref="P233:R233"/>
    <mergeCell ref="D56:L56"/>
    <mergeCell ref="D193:L193"/>
    <mergeCell ref="S243:T243"/>
    <mergeCell ref="M253:O253"/>
    <mergeCell ref="S186:T186"/>
    <mergeCell ref="U215:V215"/>
    <mergeCell ref="P177:R177"/>
    <mergeCell ref="M93:O93"/>
    <mergeCell ref="S136:T136"/>
    <mergeCell ref="M205:O205"/>
    <mergeCell ref="P247:R247"/>
    <mergeCell ref="A246:C246"/>
    <mergeCell ref="S194:T194"/>
    <mergeCell ref="A209:C209"/>
    <mergeCell ref="S160:T160"/>
    <mergeCell ref="A4:C4"/>
    <mergeCell ref="M97:O97"/>
    <mergeCell ref="A31:C31"/>
    <mergeCell ref="A58:C58"/>
    <mergeCell ref="P251:R251"/>
    <mergeCell ref="U71:V71"/>
    <mergeCell ref="A24:C24"/>
    <mergeCell ref="A60:C60"/>
    <mergeCell ref="U73:V73"/>
    <mergeCell ref="D128:L128"/>
    <mergeCell ref="M113:O113"/>
    <mergeCell ref="U231:V231"/>
    <mergeCell ref="P193:R193"/>
    <mergeCell ref="D217:L217"/>
    <mergeCell ref="M148:O148"/>
    <mergeCell ref="S156:T156"/>
    <mergeCell ref="A84:C84"/>
    <mergeCell ref="M108:O108"/>
    <mergeCell ref="S155:T155"/>
    <mergeCell ref="A50:C50"/>
    <mergeCell ref="U247:V247"/>
    <mergeCell ref="A86:C86"/>
    <mergeCell ref="A42:C42"/>
    <mergeCell ref="U213:V213"/>
    <mergeCell ref="D146:L146"/>
    <mergeCell ref="P175:R175"/>
    <mergeCell ref="M10:Q12"/>
    <mergeCell ref="S28:T28"/>
    <mergeCell ref="M166:O166"/>
    <mergeCell ref="D132:L132"/>
    <mergeCell ref="A245:C245"/>
    <mergeCell ref="P64:R64"/>
    <mergeCell ref="U173:V173"/>
    <mergeCell ref="U200:V200"/>
    <mergeCell ref="S94:T94"/>
    <mergeCell ref="U202:V202"/>
    <mergeCell ref="D257:L257"/>
    <mergeCell ref="A10:E12"/>
    <mergeCell ref="U158:V158"/>
    <mergeCell ref="D213:L213"/>
    <mergeCell ref="S125:T125"/>
    <mergeCell ref="U168:V168"/>
    <mergeCell ref="M233:O233"/>
    <mergeCell ref="D215:L215"/>
    <mergeCell ref="A26:C26"/>
    <mergeCell ref="M104:O104"/>
    <mergeCell ref="M235:O235"/>
    <mergeCell ref="S120:T120"/>
    <mergeCell ref="M106:O106"/>
    <mergeCell ref="A171:C171"/>
    <mergeCell ref="A165:C165"/>
    <mergeCell ref="U184:V184"/>
    <mergeCell ref="A108:C108"/>
    <mergeCell ref="M203:O203"/>
    <mergeCell ref="S223:T223"/>
    <mergeCell ref="S17:T17"/>
    <mergeCell ref="U204:V204"/>
    <mergeCell ref="D137:L137"/>
    <mergeCell ref="A244:C244"/>
    <mergeCell ref="P81:R81"/>
    <mergeCell ref="M196:O196"/>
    <mergeCell ref="M204:O204"/>
    <mergeCell ref="P243:R243"/>
    <mergeCell ref="M39:O39"/>
    <mergeCell ref="M259:O259"/>
    <mergeCell ref="A173:C173"/>
    <mergeCell ref="S151:T151"/>
    <mergeCell ref="D241:L241"/>
    <mergeCell ref="A77:C77"/>
    <mergeCell ref="M130:O130"/>
    <mergeCell ref="M261:O261"/>
    <mergeCell ref="U240:V240"/>
    <mergeCell ref="D243:L243"/>
    <mergeCell ref="M132:O132"/>
    <mergeCell ref="A66:C66"/>
    <mergeCell ref="S52:T52"/>
    <mergeCell ref="A95:C95"/>
    <mergeCell ref="U108:V108"/>
    <mergeCell ref="U266:V266"/>
    <mergeCell ref="A97:C97"/>
    <mergeCell ref="A219:C219"/>
    <mergeCell ref="D165:L165"/>
    <mergeCell ref="A96:C96"/>
    <mergeCell ref="M185:O185"/>
    <mergeCell ref="M56:O56"/>
    <mergeCell ref="U255:V255"/>
    <mergeCell ref="M186:O186"/>
    <mergeCell ref="S222:T222"/>
    <mergeCell ref="A123:C123"/>
    <mergeCell ref="S63:T63"/>
    <mergeCell ref="M201:O201"/>
    <mergeCell ref="A237:C237"/>
    <mergeCell ref="S221:T221"/>
    <mergeCell ref="U250:V250"/>
    <mergeCell ref="U110:V110"/>
    <mergeCell ref="P72:R72"/>
    <mergeCell ref="A22:C22"/>
    <mergeCell ref="D25:L25"/>
    <mergeCell ref="A134:C134"/>
    <mergeCell ref="S205:T205"/>
    <mergeCell ref="D54:L54"/>
    <mergeCell ref="A167:C167"/>
    <mergeCell ref="P83:R83"/>
    <mergeCell ref="S234:T234"/>
    <mergeCell ref="A169:C169"/>
    <mergeCell ref="P85:R85"/>
    <mergeCell ref="S147:T147"/>
    <mergeCell ref="D237:L237"/>
    <mergeCell ref="A162:C162"/>
    <mergeCell ref="D230:L230"/>
    <mergeCell ref="M136:O136"/>
    <mergeCell ref="P137:R137"/>
    <mergeCell ref="D118:L118"/>
    <mergeCell ref="D232:L232"/>
    <mergeCell ref="M232:O232"/>
    <mergeCell ref="M111:O111"/>
    <mergeCell ref="A79:C79"/>
    <mergeCell ref="M102:O102"/>
    <mergeCell ref="S118:T118"/>
    <mergeCell ref="D202:L202"/>
    <mergeCell ref="M91:O91"/>
    <mergeCell ref="S224:T224"/>
    <mergeCell ref="D231:L231"/>
    <mergeCell ref="P117:R117"/>
    <mergeCell ref="D52:L52"/>
    <mergeCell ref="P40:R40"/>
    <mergeCell ref="S47:T47"/>
    <mergeCell ref="S158:T158"/>
    <mergeCell ref="M257:O257"/>
    <mergeCell ref="A13:E13"/>
    <mergeCell ref="D239:L239"/>
    <mergeCell ref="U211:V211"/>
    <mergeCell ref="D266:L266"/>
    <mergeCell ref="D57:L57"/>
    <mergeCell ref="A164:C164"/>
    <mergeCell ref="A195:C195"/>
    <mergeCell ref="A180:C180"/>
    <mergeCell ref="U53:V53"/>
    <mergeCell ref="A68:C68"/>
    <mergeCell ref="U239:V239"/>
    <mergeCell ref="D250:L250"/>
    <mergeCell ref="D110:L110"/>
    <mergeCell ref="U79:V79"/>
    <mergeCell ref="A233:C233"/>
    <mergeCell ref="P155:R155"/>
    <mergeCell ref="S192:T192"/>
    <mergeCell ref="A208:C208"/>
    <mergeCell ref="U81:V81"/>
    <mergeCell ref="A235:C235"/>
    <mergeCell ref="P157:R157"/>
    <mergeCell ref="A210:C210"/>
    <mergeCell ref="P28:R28"/>
    <mergeCell ref="P30:R30"/>
    <mergeCell ref="A130:C130"/>
    <mergeCell ref="A261:C261"/>
    <mergeCell ref="S30:T30"/>
    <mergeCell ref="A138:C138"/>
    <mergeCell ref="A132:C132"/>
    <mergeCell ref="S230:T230"/>
    <mergeCell ref="M198:O198"/>
    <mergeCell ref="A256:C256"/>
    <mergeCell ref="P170:R170"/>
    <mergeCell ref="S232:T232"/>
    <mergeCell ref="A133:C133"/>
    <mergeCell ref="A264:C264"/>
    <mergeCell ref="D53:L53"/>
    <mergeCell ref="D47:L47"/>
    <mergeCell ref="S258:T258"/>
    <mergeCell ref="U147:V147"/>
    <mergeCell ref="P92:R92"/>
    <mergeCell ref="U24:V24"/>
    <mergeCell ref="D79:L79"/>
    <mergeCell ref="S260:T260"/>
    <mergeCell ref="U18:V18"/>
    <mergeCell ref="A186:C186"/>
    <mergeCell ref="P100:R100"/>
    <mergeCell ref="P94:R94"/>
    <mergeCell ref="D81:L81"/>
    <mergeCell ref="A146:C146"/>
    <mergeCell ref="M241:O241"/>
    <mergeCell ref="U19:V19"/>
    <mergeCell ref="S100:T100"/>
    <mergeCell ref="P95:R95"/>
    <mergeCell ref="S102:T102"/>
    <mergeCell ref="A204:C204"/>
    <mergeCell ref="P120:R120"/>
    <mergeCell ref="U77:V77"/>
    <mergeCell ref="U166:V166"/>
    <mergeCell ref="A206:C206"/>
    <mergeCell ref="S190:T190"/>
    <mergeCell ref="U246:V246"/>
    <mergeCell ref="P242:R242"/>
    <mergeCell ref="D117:L117"/>
    <mergeCell ref="A199:C199"/>
    <mergeCell ref="U72:V72"/>
    <mergeCell ref="U248:V248"/>
    <mergeCell ref="M112:O112"/>
    <mergeCell ref="D94:L94"/>
    <mergeCell ref="P148:R148"/>
    <mergeCell ref="M114:O114"/>
    <mergeCell ref="S32:T32"/>
    <mergeCell ref="S26:T26"/>
    <mergeCell ref="U88:V88"/>
    <mergeCell ref="A41:C41"/>
    <mergeCell ref="A217:C217"/>
    <mergeCell ref="U90:V90"/>
    <mergeCell ref="D145:L145"/>
    <mergeCell ref="S27:T27"/>
    <mergeCell ref="P166:R166"/>
    <mergeCell ref="A129:C129"/>
    <mergeCell ref="D147:L147"/>
    <mergeCell ref="M36:O36"/>
    <mergeCell ref="P168:R168"/>
    <mergeCell ref="U157:V157"/>
    <mergeCell ref="D90:L90"/>
    <mergeCell ref="S124:T124"/>
    <mergeCell ref="P119:R119"/>
    <mergeCell ref="M110:O110"/>
    <mergeCell ref="U188:V188"/>
    <mergeCell ref="S109:T109"/>
    <mergeCell ref="U59:V59"/>
    <mergeCell ref="D222:L222"/>
    <mergeCell ref="U61:V61"/>
    <mergeCell ref="P241:R241"/>
    <mergeCell ref="D18:L18"/>
    <mergeCell ref="A131:C131"/>
    <mergeCell ref="P47:R47"/>
    <mergeCell ref="U116:V116"/>
    <mergeCell ref="U230:V230"/>
    <mergeCell ref="P192:R192"/>
    <mergeCell ref="U118:V118"/>
    <mergeCell ref="S45:T45"/>
    <mergeCell ref="P63:R63"/>
    <mergeCell ref="P194:R194"/>
    <mergeCell ref="A6:F6"/>
    <mergeCell ref="D158:L158"/>
    <mergeCell ref="M64:O64"/>
    <mergeCell ref="D77:L77"/>
    <mergeCell ref="P223:R223"/>
    <mergeCell ref="M178:O178"/>
    <mergeCell ref="D160:L160"/>
    <mergeCell ref="S96:T96"/>
    <mergeCell ref="S71:T71"/>
    <mergeCell ref="P91:R91"/>
    <mergeCell ref="M21:O21"/>
    <mergeCell ref="D72:L72"/>
    <mergeCell ref="S98:T98"/>
    <mergeCell ref="S73:T73"/>
    <mergeCell ref="P205:R205"/>
    <mergeCell ref="U162:V162"/>
    <mergeCell ref="U156:V156"/>
    <mergeCell ref="P118:R118"/>
    <mergeCell ref="U33:V33"/>
    <mergeCell ref="D88:L88"/>
    <mergeCell ref="U164:V164"/>
    <mergeCell ref="M118:O118"/>
    <mergeCell ref="S137:T137"/>
    <mergeCell ref="P132:R132"/>
    <mergeCell ref="S139:T139"/>
    <mergeCell ref="U201:V201"/>
    <mergeCell ref="P188:R188"/>
    <mergeCell ref="A241:C241"/>
    <mergeCell ref="U114:V114"/>
    <mergeCell ref="U203:V203"/>
    <mergeCell ref="D258:L258"/>
    <mergeCell ref="S51:T51"/>
    <mergeCell ref="P190:R190"/>
    <mergeCell ref="A243:C243"/>
    <mergeCell ref="A25:C25"/>
    <mergeCell ref="A236:C236"/>
    <mergeCell ref="P219:R219"/>
    <mergeCell ref="M149:O149"/>
    <mergeCell ref="D162:L162"/>
    <mergeCell ref="P185:R185"/>
    <mergeCell ref="M151:O151"/>
    <mergeCell ref="S67:T67"/>
    <mergeCell ref="D219:L219"/>
    <mergeCell ref="S238:T238"/>
    <mergeCell ref="S240:T240"/>
    <mergeCell ref="U254:V254"/>
    <mergeCell ref="U256:V256"/>
    <mergeCell ref="M230:O230"/>
    <mergeCell ref="M224:O224"/>
    <mergeCell ref="D256:L256"/>
    <mergeCell ref="M240:O240"/>
    <mergeCell ref="A83:C83"/>
    <mergeCell ref="U37:V37"/>
    <mergeCell ref="D92:L92"/>
    <mergeCell ref="S69:T69"/>
    <mergeCell ref="A112:C112"/>
    <mergeCell ref="U125:V125"/>
    <mergeCell ref="M19:O19"/>
    <mergeCell ref="P201:R201"/>
    <mergeCell ref="A114:C114"/>
    <mergeCell ref="U127:V127"/>
    <mergeCell ref="D182:L182"/>
    <mergeCell ref="M44:O44"/>
    <mergeCell ref="S64:T64"/>
    <mergeCell ref="A107:C107"/>
    <mergeCell ref="P203:R203"/>
    <mergeCell ref="D190:L190"/>
    <mergeCell ref="M79:O79"/>
    <mergeCell ref="M73:O73"/>
    <mergeCell ref="D183:L183"/>
    <mergeCell ref="D185:L185"/>
    <mergeCell ref="M74:O74"/>
    <mergeCell ref="S82:T82"/>
    <mergeCell ref="S154:T154"/>
    <mergeCell ref="A49:C49"/>
    <mergeCell ref="A110:C110"/>
    <mergeCell ref="S183:T183"/>
    <mergeCell ref="A150:C150"/>
    <mergeCell ref="S101:T101"/>
    <mergeCell ref="A144:C144"/>
    <mergeCell ref="A152:C152"/>
    <mergeCell ref="P93:R93"/>
    <mergeCell ref="U165:V165"/>
    <mergeCell ref="M85:O85"/>
    <mergeCell ref="U56:V56"/>
    <mergeCell ref="M121:O121"/>
    <mergeCell ref="G10:K12"/>
    <mergeCell ref="D201:L201"/>
    <mergeCell ref="M63:O63"/>
    <mergeCell ref="P224:R224"/>
    <mergeCell ref="M221:O221"/>
    <mergeCell ref="P260:R260"/>
    <mergeCell ref="M215:O215"/>
    <mergeCell ref="A39:C39"/>
    <mergeCell ref="U52:V52"/>
    <mergeCell ref="M92:O92"/>
    <mergeCell ref="A1:Q2"/>
    <mergeCell ref="S108:T108"/>
    <mergeCell ref="P128:R128"/>
    <mergeCell ref="S135:T135"/>
    <mergeCell ref="U199:V199"/>
    <mergeCell ref="S164:T164"/>
    <mergeCell ref="U226:V226"/>
    <mergeCell ref="D254:L254"/>
    <mergeCell ref="A21:C21"/>
    <mergeCell ref="A57:C57"/>
    <mergeCell ref="D125:L125"/>
    <mergeCell ref="U228:V228"/>
    <mergeCell ref="A23:C23"/>
    <mergeCell ref="M145:O145"/>
    <mergeCell ref="A181:C181"/>
    <mergeCell ref="U194:V194"/>
    <mergeCell ref="D127:L127"/>
    <mergeCell ref="M234:O234"/>
    <mergeCell ref="A52:C52"/>
    <mergeCell ref="M147:O147"/>
    <mergeCell ref="S146:T146"/>
    <mergeCell ref="A185:C185"/>
    <mergeCell ref="D267:L267"/>
    <mergeCell ref="S60:T60"/>
    <mergeCell ref="S149:T149"/>
    <mergeCell ref="U124:V124"/>
    <mergeCell ref="M158:O158"/>
    <mergeCell ref="M9:Q9"/>
    <mergeCell ref="S180:T180"/>
    <mergeCell ref="D181:L181"/>
    <mergeCell ref="M160:O160"/>
    <mergeCell ref="S209:T209"/>
    <mergeCell ref="S203:T203"/>
    <mergeCell ref="A121:C121"/>
    <mergeCell ref="M72:O72"/>
    <mergeCell ref="U267:V267"/>
    <mergeCell ref="P254:R254"/>
    <mergeCell ref="M184:O184"/>
    <mergeCell ref="P45:R45"/>
    <mergeCell ref="P256:R256"/>
    <mergeCell ref="P222:R222"/>
    <mergeCell ref="A124:C124"/>
    <mergeCell ref="M219:O219"/>
    <mergeCell ref="U137:V137"/>
    <mergeCell ref="P257:R257"/>
    <mergeCell ref="M212:O212"/>
    <mergeCell ref="D194:L194"/>
    <mergeCell ref="A149:C149"/>
    <mergeCell ref="S264:T264"/>
    <mergeCell ref="M214:O214"/>
    <mergeCell ref="S247:T247"/>
    <mergeCell ref="P98:R98"/>
    <mergeCell ref="A151:C151"/>
    <mergeCell ref="D36:L36"/>
    <mergeCell ref="U252:V252"/>
    <mergeCell ref="P111:R111"/>
    <mergeCell ref="A74:C74"/>
    <mergeCell ref="M258:O258"/>
    <mergeCell ref="A76:C76"/>
    <mergeCell ref="M251:O251"/>
    <mergeCell ref="M13:Q13"/>
    <mergeCell ref="U234:V234"/>
    <mergeCell ref="M155:O155"/>
    <mergeCell ref="S171:T171"/>
    <mergeCell ref="A92:C92"/>
    <mergeCell ref="S207:T207"/>
    <mergeCell ref="D20:L20"/>
    <mergeCell ref="U263:V263"/>
    <mergeCell ref="U54:V54"/>
    <mergeCell ref="M180:O180"/>
    <mergeCell ref="A94:C94"/>
    <mergeCell ref="A216:C216"/>
    <mergeCell ref="P41:R41"/>
    <mergeCell ref="D22:L22"/>
    <mergeCell ref="S246:T246"/>
    <mergeCell ref="S255:T255"/>
    <mergeCell ref="U144:V144"/>
    <mergeCell ref="S81:T81"/>
    <mergeCell ref="P220:R220"/>
    <mergeCell ref="D70:L70"/>
    <mergeCell ref="P213:R213"/>
    <mergeCell ref="U145:V145"/>
    <mergeCell ref="D78:L78"/>
    <mergeCell ref="U139:V139"/>
    <mergeCell ref="S79:T79"/>
    <mergeCell ref="M17:O17"/>
    <mergeCell ref="U265:V265"/>
    <mergeCell ref="S44:T44"/>
    <mergeCell ref="P34:R34"/>
    <mergeCell ref="M182:O182"/>
    <mergeCell ref="A87:C87"/>
    <mergeCell ref="A218:C218"/>
    <mergeCell ref="S202:T202"/>
    <mergeCell ref="P36:R36"/>
    <mergeCell ref="A89:C89"/>
    <mergeCell ref="S217:T217"/>
    <mergeCell ref="M183:O183"/>
    <mergeCell ref="U105:V105"/>
    <mergeCell ref="S191:T191"/>
    <mergeCell ref="A234:C234"/>
    <mergeCell ref="U107:V107"/>
    <mergeCell ref="M24:O24"/>
    <mergeCell ref="P183:R183"/>
    <mergeCell ref="S220:T220"/>
    <mergeCell ref="U100:V100"/>
    <mergeCell ref="D33:L33"/>
    <mergeCell ref="P62:R62"/>
    <mergeCell ref="D164:L164"/>
    <mergeCell ref="M53:O53"/>
    <mergeCell ref="P54:R54"/>
    <mergeCell ref="A229:C229"/>
    <mergeCell ref="U102:V102"/>
    <mergeCell ref="D35:L35"/>
    <mergeCell ref="A148:C148"/>
    <mergeCell ref="D34:L34"/>
    <mergeCell ref="M55:O55"/>
    <mergeCell ref="U190:V190"/>
    <mergeCell ref="P79:R79"/>
    <mergeCell ref="D240:L240"/>
    <mergeCell ref="P266:R266"/>
    <mergeCell ref="S248:T248"/>
    <mergeCell ref="D175:L175"/>
    <mergeCell ref="A160:C160"/>
    <mergeCell ref="P82:R82"/>
    <mergeCell ref="M37:O37"/>
    <mergeCell ref="A159:C159"/>
    <mergeCell ref="M254:O254"/>
    <mergeCell ref="U32:V32"/>
    <mergeCell ref="A161:C161"/>
    <mergeCell ref="M256:O256"/>
    <mergeCell ref="M38:O38"/>
    <mergeCell ref="D265:L265"/>
    <mergeCell ref="M249:O249"/>
    <mergeCell ref="P110:R110"/>
    <mergeCell ref="U50:V50"/>
    <mergeCell ref="D105:L105"/>
    <mergeCell ref="U44:V44"/>
    <mergeCell ref="A212:C212"/>
    <mergeCell ref="A187:C187"/>
    <mergeCell ref="U174:V174"/>
    <mergeCell ref="D107:L107"/>
    <mergeCell ref="A214:C214"/>
    <mergeCell ref="P136:R136"/>
    <mergeCell ref="A189:C189"/>
    <mergeCell ref="M34:O34"/>
    <mergeCell ref="P73:R73"/>
    <mergeCell ref="D60:L60"/>
    <mergeCell ref="P231:R231"/>
    <mergeCell ref="D174:L174"/>
    <mergeCell ref="D45:L45"/>
    <mergeCell ref="A249:C249"/>
    <mergeCell ref="U245:V245"/>
    <mergeCell ref="M101:O101"/>
    <mergeCell ref="M267:O267"/>
    <mergeCell ref="U45:V45"/>
    <mergeCell ref="D102:L102"/>
    <mergeCell ref="U103:V103"/>
    <mergeCell ref="D133:L133"/>
    <mergeCell ref="A225:C225"/>
    <mergeCell ref="P25:R25"/>
    <mergeCell ref="U98:V98"/>
    <mergeCell ref="P60:R60"/>
    <mergeCell ref="M51:O51"/>
    <mergeCell ref="P149:R149"/>
    <mergeCell ref="P174:R174"/>
    <mergeCell ref="A227:C227"/>
    <mergeCell ref="S25:T25"/>
    <mergeCell ref="D32:L32"/>
    <mergeCell ref="P151:R151"/>
    <mergeCell ref="S58:T58"/>
    <mergeCell ref="A251:C251"/>
    <mergeCell ref="S244:T244"/>
    <mergeCell ref="A259:C259"/>
    <mergeCell ref="P78:R78"/>
    <mergeCell ref="A253:C253"/>
    <mergeCell ref="U126:V126"/>
    <mergeCell ref="P71:R71"/>
    <mergeCell ref="D173:L173"/>
    <mergeCell ref="P202:R202"/>
    <mergeCell ref="S239:T239"/>
    <mergeCell ref="U117:V117"/>
    <mergeCell ref="D50:L50"/>
    <mergeCell ref="D71:L71"/>
    <mergeCell ref="P215:R215"/>
    <mergeCell ref="A15:V15"/>
    <mergeCell ref="D98:L98"/>
    <mergeCell ref="D73:L73"/>
    <mergeCell ref="S99:T99"/>
    <mergeCell ref="S92:T92"/>
    <mergeCell ref="U67:V67"/>
    <mergeCell ref="D131:L131"/>
    <mergeCell ref="M20:O20"/>
    <mergeCell ref="A196:C196"/>
    <mergeCell ref="U69:V69"/>
    <mergeCell ref="D124:L124"/>
    <mergeCell ref="M109:O109"/>
    <mergeCell ref="M22:O22"/>
    <mergeCell ref="P145:R145"/>
    <mergeCell ref="A198:C198"/>
    <mergeCell ref="M75:O75"/>
    <mergeCell ref="D126:L126"/>
    <mergeCell ref="P147:R147"/>
    <mergeCell ref="S23:T23"/>
    <mergeCell ref="P18:R18"/>
    <mergeCell ref="S181:T181"/>
    <mergeCell ref="A38:C38"/>
    <mergeCell ref="U87:V87"/>
    <mergeCell ref="D142:L142"/>
    <mergeCell ref="U209:V209"/>
    <mergeCell ref="S84:T84"/>
    <mergeCell ref="D44:L44"/>
    <mergeCell ref="S152:T152"/>
    <mergeCell ref="U35:V35"/>
    <mergeCell ref="D157:L157"/>
    <mergeCell ref="M4:O4"/>
    <mergeCell ref="A40:C40"/>
    <mergeCell ref="S24:T24"/>
    <mergeCell ref="A67:C67"/>
    <mergeCell ref="M162:O162"/>
    <mergeCell ref="P163:R163"/>
    <mergeCell ref="U89:V89"/>
    <mergeCell ref="D144:L144"/>
    <mergeCell ref="U238:V238"/>
    <mergeCell ref="A257:C257"/>
    <mergeCell ref="P173:R173"/>
    <mergeCell ref="U82:V82"/>
    <mergeCell ref="P44:R44"/>
    <mergeCell ref="M35:O35"/>
    <mergeCell ref="M157:O157"/>
    <mergeCell ref="P158:R158"/>
    <mergeCell ref="D139:L139"/>
    <mergeCell ref="A252:C252"/>
    <mergeCell ref="S42:T42"/>
    <mergeCell ref="M30:O30"/>
    <mergeCell ref="U229:V229"/>
    <mergeCell ref="S77:T77"/>
    <mergeCell ref="S166:T166"/>
    <mergeCell ref="A27:C27"/>
    <mergeCell ref="U25:V25"/>
    <mergeCell ref="D211:L211"/>
    <mergeCell ref="M100:O100"/>
    <mergeCell ref="M231:O231"/>
    <mergeCell ref="D82:L82"/>
    <mergeCell ref="S116:T116"/>
    <mergeCell ref="P255:R255"/>
    <mergeCell ref="M213:O213"/>
    <mergeCell ref="A262:C262"/>
    <mergeCell ref="M61:O61"/>
    <mergeCell ref="P184:R184"/>
    <mergeCell ref="A122:C122"/>
    <mergeCell ref="U141:V141"/>
    <mergeCell ref="U135:V135"/>
    <mergeCell ref="P245:R245"/>
    <mergeCell ref="S37:T37"/>
    <mergeCell ref="M175:O175"/>
    <mergeCell ref="D67:L67"/>
    <mergeCell ref="P211:R211"/>
    <mergeCell ref="U143:V143"/>
    <mergeCell ref="D69:L69"/>
    <mergeCell ref="P240:R240"/>
    <mergeCell ref="M176:O176"/>
    <mergeCell ref="S95:T95"/>
    <mergeCell ref="S88:T88"/>
    <mergeCell ref="U197:V197"/>
    <mergeCell ref="U153:V153"/>
    <mergeCell ref="P115:R115"/>
    <mergeCell ref="S90:T90"/>
    <mergeCell ref="S126:T126"/>
    <mergeCell ref="D210:L210"/>
    <mergeCell ref="M105:O105"/>
    <mergeCell ref="U154:V154"/>
    <mergeCell ref="D87:L87"/>
    <mergeCell ref="D209:L209"/>
    <mergeCell ref="S121:T121"/>
    <mergeCell ref="P116:R116"/>
    <mergeCell ref="D245:L245"/>
    <mergeCell ref="P230:R230"/>
    <mergeCell ref="U206:V206"/>
    <mergeCell ref="A36:C36"/>
    <mergeCell ref="P250:R250"/>
    <mergeCell ref="U182:V182"/>
    <mergeCell ref="M247:O247"/>
    <mergeCell ref="S10:V12"/>
    <mergeCell ref="D229:L229"/>
    <mergeCell ref="A65:C65"/>
    <mergeCell ref="P258:R258"/>
    <mergeCell ref="D108:L108"/>
    <mergeCell ref="S134:T134"/>
    <mergeCell ref="M128:O128"/>
    <mergeCell ref="D141:L141"/>
    <mergeCell ref="D135:L135"/>
    <mergeCell ref="A179:C179"/>
    <mergeCell ref="G13:K13"/>
    <mergeCell ref="D255:L255"/>
    <mergeCell ref="A91:C91"/>
    <mergeCell ref="P180:R180"/>
    <mergeCell ref="A93:C93"/>
    <mergeCell ref="U106:V106"/>
    <mergeCell ref="M146:O146"/>
    <mergeCell ref="U178:V178"/>
    <mergeCell ref="S143:T143"/>
    <mergeCell ref="U49:V49"/>
    <mergeCell ref="U207:V207"/>
    <mergeCell ref="M124:O124"/>
    <mergeCell ref="D106:L106"/>
    <mergeCell ref="M238:O238"/>
    <mergeCell ref="S13:V13"/>
    <mergeCell ref="U191:V191"/>
    <mergeCell ref="P249:R249"/>
    <mergeCell ref="P221:R221"/>
    <mergeCell ref="D246:L246"/>
    <mergeCell ref="U51:V51"/>
    <mergeCell ref="M144:O144"/>
    <mergeCell ref="M266:O266"/>
    <mergeCell ref="U264:V264"/>
    <mergeCell ref="U220:V220"/>
    <mergeCell ref="M181:O181"/>
    <mergeCell ref="P182:R182"/>
    <mergeCell ref="S35:T35"/>
    <mergeCell ref="M52:O52"/>
    <mergeCell ref="M174:O174"/>
    <mergeCell ref="A75:C75"/>
    <mergeCell ref="S59:T59"/>
    <mergeCell ref="O6:V6"/>
    <mergeCell ref="D179:L179"/>
    <mergeCell ref="S61:T61"/>
    <mergeCell ref="A104:C104"/>
    <mergeCell ref="M199:O199"/>
    <mergeCell ref="S219:T219"/>
    <mergeCell ref="P53:R53"/>
    <mergeCell ref="A106:C106"/>
    <mergeCell ref="D180:L180"/>
    <mergeCell ref="P264:R264"/>
    <mergeCell ref="M200:O200"/>
    <mergeCell ref="P239:R239"/>
    <mergeCell ref="M194:O194"/>
    <mergeCell ref="M71:O71"/>
    <mergeCell ref="M202:O202"/>
    <mergeCell ref="U181:V181"/>
    <mergeCell ref="S148:T148"/>
    <mergeCell ref="U180:V180"/>
    <mergeCell ref="U210:V210"/>
    <mergeCell ref="P267:R267"/>
    <mergeCell ref="D248:L248"/>
    <mergeCell ref="S187:T187"/>
    <mergeCell ref="M137:O137"/>
    <mergeCell ref="U222:V222"/>
    <mergeCell ref="S189:T189"/>
    <mergeCell ref="M139:O139"/>
    <mergeCell ref="S182:T182"/>
    <mergeCell ref="A100:C100"/>
    <mergeCell ref="A231:C231"/>
    <mergeCell ref="A102:C102"/>
    <mergeCell ref="P24:R24"/>
    <mergeCell ref="P51:R51"/>
    <mergeCell ref="P26:R26"/>
    <mergeCell ref="D178:L178"/>
    <mergeCell ref="A103:C103"/>
    <mergeCell ref="S233:T233"/>
    <mergeCell ref="D264:L264"/>
    <mergeCell ref="D220:L220"/>
    <mergeCell ref="M126:O126"/>
    <mergeCell ref="D251:L251"/>
    <mergeCell ref="S133:T133"/>
    <mergeCell ref="A176:C176"/>
    <mergeCell ref="S127:T127"/>
    <mergeCell ref="A64:C64"/>
    <mergeCell ref="M142:O142"/>
    <mergeCell ref="A178:C178"/>
    <mergeCell ref="S162:T162"/>
    <mergeCell ref="S201:T201"/>
    <mergeCell ref="S237:T237"/>
    <mergeCell ref="S114:T114"/>
    <mergeCell ref="U176:V176"/>
  </mergeCells>
  <hyperlinks>
    <hyperlink ref="A4" location="'Overview'!A1" display="Overview" xr:uid="{00000000-0004-0000-0600-000000000000}"/>
    <hyperlink ref="D4" location="'Jobs'!A1" display="Jobs" xr:uid="{00000000-0004-0000-0600-000001000000}"/>
    <hyperlink ref="G4" location="'Suppliers'!A1" display="Suppliers" xr:uid="{00000000-0004-0000-0600-000002000000}"/>
    <hyperlink ref="J4" location="'Budget'!A1" display="Budget" xr:uid="{00000000-0004-0000-0600-000003000000}"/>
    <hyperlink ref="M4" location="'Quotes'!A1" display="Quotes" xr:uid="{00000000-0004-0000-0600-000004000000}"/>
    <hyperlink ref="P4" location="'Print Summary'!A1" display="Print summary" xr:uid="{00000000-0004-0000-0600-000005000000}"/>
    <hyperlink ref="S4" location="'Read Me'!A1" display="Guide / setup" xr:uid="{00000000-0004-0000-0600-000006000000}"/>
    <hyperlink ref="A6" location="'Budget'!A1" display="BACK TO BUDGET" xr:uid="{00000000-0004-0000-0600-000007000000}"/>
    <hyperlink ref="H6" location="'Quotes'!A1" display="EDIT QUOTE REGISTER" xr:uid="{00000000-0004-0000-0600-000008000000}"/>
    <hyperlink ref="O6" location="'JOB 3103.01'!A1" display="OPEN EDITABLE PILOT" xr:uid="{00000000-0004-0000-06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87F8C"/>
    <pageSetUpPr fitToPage="1"/>
  </sheetPr>
  <dimension ref="A1:AA2411"/>
  <sheetViews>
    <sheetView showGridLines="0" zoomScale="90" workbookViewId="0">
      <pane ySplit="7" topLeftCell="A8" activePane="bottomLeft" state="frozen"/>
      <selection pane="bottomLeft"/>
    </sheetView>
  </sheetViews>
  <sheetFormatPr defaultRowHeight="14.5" x14ac:dyDescent="0.35"/>
  <cols>
    <col min="1" max="22" width="8.08984375" customWidth="1"/>
    <col min="27" max="27" width="13" hidden="1" customWidth="1"/>
  </cols>
  <sheetData>
    <row r="1" spans="1:22" ht="27" customHeight="1" x14ac:dyDescent="0.35">
      <c r="A1" s="50" t="s">
        <v>628</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629</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53"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45" t="s">
        <v>613</v>
      </c>
      <c r="B6" s="39"/>
      <c r="C6" s="39"/>
      <c r="D6" s="39"/>
      <c r="E6" s="39"/>
      <c r="F6" s="39"/>
      <c r="G6" s="8"/>
      <c r="H6" s="45" t="s">
        <v>630</v>
      </c>
      <c r="I6" s="39"/>
      <c r="J6" s="39"/>
      <c r="K6" s="39"/>
      <c r="L6" s="39"/>
      <c r="M6" s="39"/>
      <c r="N6" s="8"/>
      <c r="O6" s="86" t="str">
        <f>"Status date: "&amp;TEXT(StatusDate,"dd mmm yyyy")</f>
        <v>Status date: 27 sep yyyy</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51" t="s">
        <v>631</v>
      </c>
      <c r="B9" s="39"/>
      <c r="C9" s="39"/>
      <c r="D9" s="39"/>
      <c r="E9" s="39"/>
      <c r="F9" s="8"/>
      <c r="G9" s="51" t="s">
        <v>632</v>
      </c>
      <c r="H9" s="39"/>
      <c r="I9" s="39"/>
      <c r="J9" s="39"/>
      <c r="K9" s="39"/>
      <c r="L9" s="8"/>
      <c r="M9" s="56" t="s">
        <v>633</v>
      </c>
      <c r="N9" s="39"/>
      <c r="O9" s="39"/>
      <c r="P9" s="39"/>
      <c r="Q9" s="39"/>
      <c r="R9" s="8"/>
      <c r="S9" s="51" t="s">
        <v>634</v>
      </c>
      <c r="T9" s="39"/>
      <c r="U9" s="39"/>
      <c r="V9" s="39"/>
    </row>
    <row r="10" spans="1:22" ht="22" customHeight="1" x14ac:dyDescent="0.35">
      <c r="A10" s="52">
        <f>_Control!B6</f>
        <v>2000000</v>
      </c>
      <c r="B10" s="39"/>
      <c r="C10" s="39"/>
      <c r="D10" s="39"/>
      <c r="E10" s="39"/>
      <c r="F10" s="8"/>
      <c r="G10" s="52">
        <f>_Control!B8</f>
        <v>490137.24308657972</v>
      </c>
      <c r="H10" s="39"/>
      <c r="I10" s="39"/>
      <c r="J10" s="39"/>
      <c r="K10" s="39"/>
      <c r="L10" s="8"/>
      <c r="M10" s="47">
        <f>_Control!B9</f>
        <v>0</v>
      </c>
      <c r="N10" s="39"/>
      <c r="O10" s="39"/>
      <c r="P10" s="39"/>
      <c r="Q10" s="39"/>
      <c r="R10" s="8"/>
      <c r="S10" s="52">
        <f>_Control!B10</f>
        <v>1509862.7569134203</v>
      </c>
      <c r="T10" s="39"/>
      <c r="U10" s="39"/>
      <c r="V10" s="39"/>
    </row>
    <row r="11" spans="1:22" ht="22" customHeight="1" x14ac:dyDescent="0.35">
      <c r="A11" s="39"/>
      <c r="B11" s="39"/>
      <c r="C11" s="39"/>
      <c r="D11" s="39"/>
      <c r="E11" s="39"/>
      <c r="F11" s="8"/>
      <c r="G11" s="39"/>
      <c r="H11" s="39"/>
      <c r="I11" s="39"/>
      <c r="J11" s="39"/>
      <c r="K11" s="39"/>
      <c r="L11" s="8"/>
      <c r="M11" s="39"/>
      <c r="N11" s="39"/>
      <c r="O11" s="39"/>
      <c r="P11" s="39"/>
      <c r="Q11" s="39"/>
      <c r="R11" s="8"/>
      <c r="S11" s="39"/>
      <c r="T11" s="39"/>
      <c r="U11" s="39"/>
      <c r="V11" s="39"/>
    </row>
    <row r="12" spans="1:22" ht="22" customHeight="1" x14ac:dyDescent="0.35">
      <c r="A12" s="39"/>
      <c r="B12" s="39"/>
      <c r="C12" s="39"/>
      <c r="D12" s="39"/>
      <c r="E12" s="39"/>
      <c r="F12" s="8"/>
      <c r="G12" s="39"/>
      <c r="H12" s="39"/>
      <c r="I12" s="39"/>
      <c r="J12" s="39"/>
      <c r="K12" s="39"/>
      <c r="L12" s="8"/>
      <c r="M12" s="39"/>
      <c r="N12" s="39"/>
      <c r="O12" s="39"/>
      <c r="P12" s="39"/>
      <c r="Q12" s="39"/>
      <c r="R12" s="8"/>
      <c r="S12" s="39"/>
      <c r="T12" s="39"/>
      <c r="U12" s="39"/>
      <c r="V12" s="39"/>
    </row>
    <row r="13" spans="1:22" ht="22" customHeight="1" x14ac:dyDescent="0.35">
      <c r="A13" s="48" t="s">
        <v>635</v>
      </c>
      <c r="B13" s="39"/>
      <c r="C13" s="39"/>
      <c r="D13" s="39"/>
      <c r="E13" s="39"/>
      <c r="F13" s="8"/>
      <c r="G13" s="48" t="s">
        <v>636</v>
      </c>
      <c r="H13" s="39"/>
      <c r="I13" s="39"/>
      <c r="J13" s="39"/>
      <c r="K13" s="39"/>
      <c r="L13" s="8"/>
      <c r="M13" s="46" t="s">
        <v>637</v>
      </c>
      <c r="N13" s="39"/>
      <c r="O13" s="39"/>
      <c r="P13" s="39"/>
      <c r="Q13" s="39"/>
      <c r="R13" s="8"/>
      <c r="S13" s="48" t="s">
        <v>638</v>
      </c>
      <c r="T13" s="39"/>
      <c r="U13" s="39"/>
      <c r="V13" s="39"/>
    </row>
    <row r="14" spans="1:22" ht="22" customHeight="1" x14ac:dyDescent="0.35">
      <c r="A14" s="8"/>
      <c r="B14" s="8"/>
      <c r="C14" s="8"/>
      <c r="D14" s="8"/>
      <c r="E14" s="8"/>
      <c r="F14" s="8"/>
      <c r="G14" s="8"/>
      <c r="H14" s="8"/>
      <c r="I14" s="8"/>
      <c r="J14" s="8"/>
      <c r="K14" s="8"/>
      <c r="L14" s="8"/>
      <c r="M14" s="8"/>
      <c r="N14" s="8"/>
      <c r="O14" s="8"/>
      <c r="P14" s="8"/>
      <c r="Q14" s="8"/>
      <c r="R14" s="8"/>
      <c r="S14" s="8"/>
      <c r="T14" s="8"/>
      <c r="U14" s="8"/>
      <c r="V14" s="8"/>
    </row>
    <row r="15" spans="1:22" ht="22" customHeight="1" x14ac:dyDescent="0.35">
      <c r="A15" s="8"/>
      <c r="B15" s="8"/>
      <c r="C15" s="8"/>
      <c r="D15" s="8"/>
      <c r="E15" s="8"/>
      <c r="F15" s="8"/>
      <c r="G15" s="8"/>
      <c r="H15" s="8"/>
      <c r="I15" s="8"/>
      <c r="J15" s="8"/>
      <c r="K15" s="8"/>
      <c r="L15" s="8"/>
      <c r="M15" s="8"/>
      <c r="N15" s="8"/>
      <c r="O15" s="8"/>
      <c r="P15" s="8"/>
      <c r="Q15" s="8"/>
      <c r="R15" s="8"/>
      <c r="S15" s="8"/>
      <c r="T15" s="8"/>
      <c r="U15" s="8"/>
      <c r="V15" s="8"/>
    </row>
    <row r="16" spans="1:22" ht="22" customHeight="1" x14ac:dyDescent="0.35">
      <c r="A16" s="54" t="s">
        <v>639</v>
      </c>
      <c r="B16" s="39"/>
      <c r="C16" s="39"/>
      <c r="D16" s="39"/>
      <c r="E16" s="39"/>
      <c r="F16" s="39"/>
      <c r="G16" s="39"/>
      <c r="H16" s="39"/>
      <c r="I16" s="39"/>
      <c r="J16" s="39"/>
      <c r="K16" s="39"/>
      <c r="L16" s="39"/>
      <c r="M16" s="39"/>
      <c r="N16" s="39"/>
      <c r="O16" s="39"/>
      <c r="P16" s="39"/>
      <c r="Q16" s="39"/>
      <c r="R16" s="39"/>
      <c r="S16" s="39"/>
      <c r="T16" s="39"/>
      <c r="U16" s="39"/>
      <c r="V16" s="39"/>
    </row>
    <row r="17" spans="1:22" ht="22" customHeight="1" x14ac:dyDescent="0.35">
      <c r="A17" s="8"/>
      <c r="B17" s="8"/>
      <c r="C17" s="8"/>
      <c r="D17" s="8"/>
      <c r="E17" s="8"/>
      <c r="F17" s="8"/>
      <c r="G17" s="8"/>
      <c r="H17" s="8"/>
      <c r="I17" s="8"/>
      <c r="J17" s="8"/>
      <c r="K17" s="8"/>
      <c r="L17" s="8"/>
      <c r="M17" s="8"/>
      <c r="N17" s="8"/>
      <c r="O17" s="8"/>
      <c r="P17" s="8"/>
      <c r="Q17" s="8"/>
      <c r="R17" s="8"/>
      <c r="S17" s="8"/>
      <c r="T17" s="8"/>
      <c r="U17" s="8"/>
      <c r="V17" s="8"/>
    </row>
    <row r="18" spans="1:22" ht="22" customHeight="1" x14ac:dyDescent="0.35">
      <c r="A18" s="49" t="s">
        <v>640</v>
      </c>
      <c r="B18" s="39"/>
      <c r="C18" s="39"/>
      <c r="D18" s="39"/>
      <c r="E18" s="39"/>
      <c r="F18" s="39"/>
      <c r="G18" s="39"/>
      <c r="H18" s="39"/>
      <c r="I18" s="8"/>
      <c r="J18" s="49" t="s">
        <v>641</v>
      </c>
      <c r="K18" s="39"/>
      <c r="L18" s="39"/>
      <c r="M18" s="39"/>
      <c r="N18" s="39"/>
      <c r="O18" s="39"/>
      <c r="P18" s="8"/>
      <c r="Q18" s="49" t="s">
        <v>642</v>
      </c>
      <c r="R18" s="39"/>
      <c r="S18" s="39"/>
      <c r="T18" s="39"/>
      <c r="U18" s="39"/>
      <c r="V18" s="39"/>
    </row>
    <row r="19" spans="1:22" ht="25" customHeight="1" x14ac:dyDescent="0.35">
      <c r="A19" s="40" t="s">
        <v>643</v>
      </c>
      <c r="B19" s="39"/>
      <c r="C19" s="39"/>
      <c r="D19" s="39"/>
      <c r="E19" s="39"/>
      <c r="F19" s="39"/>
      <c r="G19" s="39"/>
      <c r="H19" s="39"/>
      <c r="I19" s="8"/>
      <c r="J19" s="87">
        <f>_Control!B7</f>
        <v>490137.24308657972</v>
      </c>
      <c r="K19" s="39"/>
      <c r="L19" s="39"/>
      <c r="M19" s="39"/>
      <c r="N19" s="39"/>
      <c r="O19" s="39"/>
      <c r="P19" s="8"/>
      <c r="Q19" s="48" t="s">
        <v>644</v>
      </c>
      <c r="R19" s="39"/>
      <c r="S19" s="39"/>
      <c r="T19" s="39"/>
      <c r="U19" s="39"/>
      <c r="V19" s="39"/>
    </row>
    <row r="20" spans="1:22" ht="25" customHeight="1" x14ac:dyDescent="0.35">
      <c r="A20" s="40" t="s">
        <v>645</v>
      </c>
      <c r="B20" s="39"/>
      <c r="C20" s="39"/>
      <c r="D20" s="39"/>
      <c r="E20" s="39"/>
      <c r="F20" s="39"/>
      <c r="G20" s="39"/>
      <c r="H20" s="39"/>
      <c r="I20" s="8"/>
      <c r="J20" s="89">
        <f>_Control!B11</f>
        <v>0</v>
      </c>
      <c r="K20" s="39"/>
      <c r="L20" s="39"/>
      <c r="M20" s="39"/>
      <c r="N20" s="39"/>
      <c r="O20" s="39"/>
      <c r="P20" s="8"/>
      <c r="Q20" s="48" t="s">
        <v>646</v>
      </c>
      <c r="R20" s="39"/>
      <c r="S20" s="39"/>
      <c r="T20" s="39"/>
      <c r="U20" s="39"/>
      <c r="V20" s="39"/>
    </row>
    <row r="21" spans="1:22" ht="25" customHeight="1" x14ac:dyDescent="0.35">
      <c r="A21" s="40" t="s">
        <v>637</v>
      </c>
      <c r="B21" s="39"/>
      <c r="C21" s="39"/>
      <c r="D21" s="39"/>
      <c r="E21" s="39"/>
      <c r="F21" s="39"/>
      <c r="G21" s="39"/>
      <c r="H21" s="39"/>
      <c r="I21" s="8"/>
      <c r="J21" s="88">
        <f>_Control!B12</f>
        <v>6</v>
      </c>
      <c r="K21" s="39"/>
      <c r="L21" s="39"/>
      <c r="M21" s="39"/>
      <c r="N21" s="39"/>
      <c r="O21" s="39"/>
      <c r="P21" s="8"/>
      <c r="Q21" s="48" t="s">
        <v>647</v>
      </c>
      <c r="R21" s="39"/>
      <c r="S21" s="39"/>
      <c r="T21" s="39"/>
      <c r="U21" s="39"/>
      <c r="V21" s="39"/>
    </row>
    <row r="22" spans="1:22" ht="25" customHeight="1" x14ac:dyDescent="0.35">
      <c r="A22" s="40" t="s">
        <v>648</v>
      </c>
      <c r="B22" s="39"/>
      <c r="C22" s="39"/>
      <c r="D22" s="39"/>
      <c r="E22" s="39"/>
      <c r="F22" s="39"/>
      <c r="G22" s="39"/>
      <c r="H22" s="39"/>
      <c r="I22" s="8"/>
      <c r="J22" s="88">
        <f>_Control!B14</f>
        <v>6</v>
      </c>
      <c r="K22" s="39"/>
      <c r="L22" s="39"/>
      <c r="M22" s="39"/>
      <c r="N22" s="39"/>
      <c r="O22" s="39"/>
      <c r="P22" s="8"/>
      <c r="Q22" s="48" t="s">
        <v>649</v>
      </c>
      <c r="R22" s="39"/>
      <c r="S22" s="39"/>
      <c r="T22" s="39"/>
      <c r="U22" s="39"/>
      <c r="V22" s="39"/>
    </row>
    <row r="23" spans="1:22" ht="25" customHeight="1" x14ac:dyDescent="0.35">
      <c r="A23" s="40" t="s">
        <v>650</v>
      </c>
      <c r="B23" s="39"/>
      <c r="C23" s="39"/>
      <c r="D23" s="39"/>
      <c r="E23" s="39"/>
      <c r="F23" s="39"/>
      <c r="G23" s="39"/>
      <c r="H23" s="39"/>
      <c r="I23" s="8"/>
      <c r="J23" s="88">
        <f>_Control!B19+_Control!B22</f>
        <v>0</v>
      </c>
      <c r="K23" s="39"/>
      <c r="L23" s="39"/>
      <c r="M23" s="39"/>
      <c r="N23" s="39"/>
      <c r="O23" s="39"/>
      <c r="P23" s="8"/>
      <c r="Q23" s="48" t="s">
        <v>651</v>
      </c>
      <c r="R23" s="39"/>
      <c r="S23" s="39"/>
      <c r="T23" s="39"/>
      <c r="U23" s="39"/>
      <c r="V23" s="39"/>
    </row>
    <row r="24" spans="1:22" ht="22" customHeight="1" x14ac:dyDescent="0.35">
      <c r="A24" s="8"/>
      <c r="B24" s="8"/>
      <c r="C24" s="8"/>
      <c r="D24" s="8"/>
      <c r="E24" s="8"/>
      <c r="F24" s="8"/>
      <c r="G24" s="8"/>
      <c r="H24" s="8"/>
      <c r="I24" s="8"/>
      <c r="J24" s="8"/>
      <c r="K24" s="8"/>
      <c r="L24" s="8"/>
      <c r="M24" s="8"/>
      <c r="N24" s="8"/>
      <c r="O24" s="8"/>
      <c r="P24" s="8"/>
      <c r="Q24" s="8"/>
      <c r="R24" s="8"/>
      <c r="S24" s="8"/>
      <c r="T24" s="8"/>
      <c r="U24" s="8"/>
      <c r="V24" s="8"/>
    </row>
    <row r="25" spans="1:22" ht="22" customHeight="1" x14ac:dyDescent="0.35">
      <c r="A25" s="54" t="s">
        <v>652</v>
      </c>
      <c r="B25" s="39"/>
      <c r="C25" s="39"/>
      <c r="D25" s="39"/>
      <c r="E25" s="39"/>
      <c r="F25" s="39"/>
      <c r="G25" s="39"/>
      <c r="H25" s="39"/>
      <c r="I25" s="39"/>
      <c r="J25" s="39"/>
      <c r="K25" s="39"/>
      <c r="L25" s="39"/>
      <c r="M25" s="39"/>
      <c r="N25" s="39"/>
      <c r="O25" s="39"/>
      <c r="P25" s="39"/>
      <c r="Q25" s="39"/>
      <c r="R25" s="39"/>
      <c r="S25" s="39"/>
      <c r="T25" s="39"/>
      <c r="U25" s="39"/>
      <c r="V25" s="39"/>
    </row>
    <row r="26" spans="1:22" ht="22" customHeight="1" x14ac:dyDescent="0.35">
      <c r="A26" s="8"/>
      <c r="B26" s="8"/>
      <c r="C26" s="8"/>
      <c r="D26" s="8"/>
      <c r="E26" s="8"/>
      <c r="F26" s="8"/>
      <c r="G26" s="8"/>
      <c r="H26" s="8"/>
      <c r="I26" s="8"/>
      <c r="J26" s="8"/>
      <c r="K26" s="8"/>
      <c r="L26" s="8"/>
      <c r="M26" s="8"/>
      <c r="N26" s="8"/>
      <c r="O26" s="8"/>
      <c r="P26" s="8"/>
      <c r="Q26" s="8"/>
      <c r="R26" s="8"/>
      <c r="S26" s="8"/>
      <c r="T26" s="8"/>
      <c r="U26" s="8"/>
      <c r="V26" s="8"/>
    </row>
    <row r="27" spans="1:22" ht="22" customHeight="1" x14ac:dyDescent="0.35">
      <c r="A27" s="49" t="s">
        <v>44</v>
      </c>
      <c r="B27" s="39"/>
      <c r="C27" s="39"/>
      <c r="D27" s="39"/>
      <c r="E27" s="39"/>
      <c r="F27" s="39"/>
      <c r="G27" s="39"/>
      <c r="H27" s="39"/>
      <c r="I27" s="39"/>
      <c r="J27" s="8"/>
      <c r="K27" s="49" t="s">
        <v>47</v>
      </c>
      <c r="L27" s="39"/>
      <c r="M27" s="39"/>
      <c r="N27" s="39"/>
      <c r="O27" s="39"/>
      <c r="P27" s="39"/>
      <c r="Q27" s="8"/>
      <c r="R27" s="49" t="s">
        <v>653</v>
      </c>
      <c r="S27" s="39"/>
      <c r="T27" s="39"/>
      <c r="U27" s="39"/>
      <c r="V27" s="39"/>
    </row>
    <row r="28" spans="1:22" ht="22" customHeight="1" x14ac:dyDescent="0.35">
      <c r="A28" s="40" t="str">
        <f>_Control!D6</f>
        <v>Engine</v>
      </c>
      <c r="B28" s="39"/>
      <c r="C28" s="39"/>
      <c r="D28" s="39"/>
      <c r="E28" s="39"/>
      <c r="F28" s="39"/>
      <c r="G28" s="39"/>
      <c r="H28" s="39"/>
      <c r="I28" s="39"/>
      <c r="J28" s="8"/>
      <c r="K28" s="41">
        <f>_Control!F6</f>
        <v>481710.46494464943</v>
      </c>
      <c r="L28" s="39"/>
      <c r="M28" s="39"/>
      <c r="N28" s="39"/>
      <c r="O28" s="39"/>
      <c r="P28" s="39"/>
      <c r="Q28" s="8"/>
      <c r="R28" s="41">
        <f>_Control!G6</f>
        <v>0</v>
      </c>
      <c r="S28" s="39"/>
      <c r="T28" s="39"/>
      <c r="U28" s="39"/>
      <c r="V28" s="39"/>
    </row>
    <row r="29" spans="1:22" ht="22" customHeight="1" x14ac:dyDescent="0.35">
      <c r="A29" s="40" t="str">
        <f>_Control!D7</f>
        <v>Accommodation</v>
      </c>
      <c r="B29" s="39"/>
      <c r="C29" s="39"/>
      <c r="D29" s="39"/>
      <c r="E29" s="39"/>
      <c r="F29" s="39"/>
      <c r="G29" s="39"/>
      <c r="H29" s="39"/>
      <c r="I29" s="39"/>
      <c r="J29" s="8"/>
      <c r="K29" s="41">
        <f>_Control!F7</f>
        <v>0</v>
      </c>
      <c r="L29" s="39"/>
      <c r="M29" s="39"/>
      <c r="N29" s="39"/>
      <c r="O29" s="39"/>
      <c r="P29" s="39"/>
      <c r="Q29" s="8"/>
      <c r="R29" s="41">
        <f>_Control!G7</f>
        <v>0</v>
      </c>
      <c r="S29" s="39"/>
      <c r="T29" s="39"/>
      <c r="U29" s="39"/>
      <c r="V29" s="39"/>
    </row>
    <row r="30" spans="1:22" ht="22" customHeight="1" x14ac:dyDescent="0.35">
      <c r="A30" s="40" t="str">
        <f>_Control!D8</f>
        <v>Bridge</v>
      </c>
      <c r="B30" s="39"/>
      <c r="C30" s="39"/>
      <c r="D30" s="39"/>
      <c r="E30" s="39"/>
      <c r="F30" s="39"/>
      <c r="G30" s="39"/>
      <c r="H30" s="39"/>
      <c r="I30" s="39"/>
      <c r="J30" s="8"/>
      <c r="K30" s="41">
        <f>_Control!F8</f>
        <v>0</v>
      </c>
      <c r="L30" s="39"/>
      <c r="M30" s="39"/>
      <c r="N30" s="39"/>
      <c r="O30" s="39"/>
      <c r="P30" s="39"/>
      <c r="Q30" s="8"/>
      <c r="R30" s="41">
        <f>_Control!G8</f>
        <v>0</v>
      </c>
      <c r="S30" s="39"/>
      <c r="T30" s="39"/>
      <c r="U30" s="39"/>
      <c r="V30" s="39"/>
    </row>
    <row r="31" spans="1:22" ht="22" customHeight="1" x14ac:dyDescent="0.35">
      <c r="A31" s="40" t="str">
        <f>_Control!D9</f>
        <v>Hull</v>
      </c>
      <c r="B31" s="39"/>
      <c r="C31" s="39"/>
      <c r="D31" s="39"/>
      <c r="E31" s="39"/>
      <c r="F31" s="39"/>
      <c r="G31" s="39"/>
      <c r="H31" s="39"/>
      <c r="I31" s="39"/>
      <c r="J31" s="8"/>
      <c r="K31" s="41">
        <f>_Control!F9</f>
        <v>8426.7781419303046</v>
      </c>
      <c r="L31" s="39"/>
      <c r="M31" s="39"/>
      <c r="N31" s="39"/>
      <c r="O31" s="39"/>
      <c r="P31" s="39"/>
      <c r="Q31" s="8"/>
      <c r="R31" s="41">
        <f>_Control!G9</f>
        <v>0</v>
      </c>
      <c r="S31" s="39"/>
      <c r="T31" s="39"/>
      <c r="U31" s="39"/>
      <c r="V31" s="39"/>
    </row>
    <row r="32" spans="1:22" ht="22" customHeight="1" x14ac:dyDescent="0.35">
      <c r="A32" s="40" t="str">
        <f>_Control!D10</f>
        <v>Deck</v>
      </c>
      <c r="B32" s="39"/>
      <c r="C32" s="39"/>
      <c r="D32" s="39"/>
      <c r="E32" s="39"/>
      <c r="F32" s="39"/>
      <c r="G32" s="39"/>
      <c r="H32" s="39"/>
      <c r="I32" s="39"/>
      <c r="J32" s="8"/>
      <c r="K32" s="41">
        <f>_Control!F10</f>
        <v>0</v>
      </c>
      <c r="L32" s="39"/>
      <c r="M32" s="39"/>
      <c r="N32" s="39"/>
      <c r="O32" s="39"/>
      <c r="P32" s="39"/>
      <c r="Q32" s="8"/>
      <c r="R32" s="41">
        <f>_Control!G10</f>
        <v>0</v>
      </c>
      <c r="S32" s="39"/>
      <c r="T32" s="39"/>
      <c r="U32" s="39"/>
      <c r="V32" s="39"/>
    </row>
    <row r="33" spans="1:27" ht="22" customHeight="1" x14ac:dyDescent="0.35">
      <c r="A33" s="40" t="str">
        <f>_Control!D11</f>
        <v>Electrical</v>
      </c>
      <c r="B33" s="39"/>
      <c r="C33" s="39"/>
      <c r="D33" s="39"/>
      <c r="E33" s="39"/>
      <c r="F33" s="39"/>
      <c r="G33" s="39"/>
      <c r="H33" s="39"/>
      <c r="I33" s="39"/>
      <c r="J33" s="8"/>
      <c r="K33" s="41">
        <f>_Control!F11</f>
        <v>0</v>
      </c>
      <c r="L33" s="39"/>
      <c r="M33" s="39"/>
      <c r="N33" s="39"/>
      <c r="O33" s="39"/>
      <c r="P33" s="39"/>
      <c r="Q33" s="8"/>
      <c r="R33" s="41">
        <f>_Control!G11</f>
        <v>0</v>
      </c>
      <c r="S33" s="39"/>
      <c r="T33" s="39"/>
      <c r="U33" s="39"/>
      <c r="V33" s="39"/>
    </row>
    <row r="34" spans="1:27" ht="22" customHeight="1" x14ac:dyDescent="0.35">
      <c r="A34" s="40" t="str">
        <f>_Control!D12</f>
        <v>Other</v>
      </c>
      <c r="B34" s="39"/>
      <c r="C34" s="39"/>
      <c r="D34" s="39"/>
      <c r="E34" s="39"/>
      <c r="F34" s="39"/>
      <c r="G34" s="39"/>
      <c r="H34" s="39"/>
      <c r="I34" s="39"/>
      <c r="J34" s="8"/>
      <c r="K34" s="41">
        <f>_Control!F12</f>
        <v>0</v>
      </c>
      <c r="L34" s="39"/>
      <c r="M34" s="39"/>
      <c r="N34" s="39"/>
      <c r="O34" s="39"/>
      <c r="P34" s="39"/>
      <c r="Q34" s="8"/>
      <c r="R34" s="41">
        <f>_Control!G12</f>
        <v>0</v>
      </c>
      <c r="S34" s="39"/>
      <c r="T34" s="39"/>
      <c r="U34" s="39"/>
      <c r="V34" s="39"/>
    </row>
    <row r="35" spans="1:27" ht="22" customHeight="1" x14ac:dyDescent="0.35">
      <c r="A35" s="8"/>
      <c r="B35" s="8"/>
      <c r="C35" s="8"/>
      <c r="D35" s="8"/>
      <c r="E35" s="8"/>
      <c r="F35" s="8"/>
      <c r="G35" s="8"/>
      <c r="H35" s="8"/>
      <c r="I35" s="8"/>
      <c r="J35" s="8"/>
      <c r="K35" s="8"/>
      <c r="L35" s="8"/>
      <c r="M35" s="8"/>
      <c r="N35" s="8"/>
      <c r="O35" s="8"/>
      <c r="P35" s="8"/>
      <c r="Q35" s="8"/>
      <c r="R35" s="8"/>
      <c r="S35" s="8"/>
      <c r="T35" s="8"/>
      <c r="U35" s="8"/>
      <c r="V35" s="8"/>
    </row>
    <row r="36" spans="1:27" ht="22" customHeight="1" x14ac:dyDescent="0.35">
      <c r="A36" s="90" t="s">
        <v>654</v>
      </c>
      <c r="B36" s="39"/>
      <c r="C36" s="39"/>
      <c r="D36" s="39"/>
      <c r="E36" s="39"/>
      <c r="F36" s="39"/>
      <c r="G36" s="39"/>
      <c r="H36" s="39"/>
      <c r="I36" s="39"/>
      <c r="J36" s="39"/>
      <c r="K36" s="39"/>
      <c r="L36" s="39"/>
      <c r="M36" s="39"/>
      <c r="N36" s="39"/>
      <c r="O36" s="39"/>
      <c r="P36" s="39"/>
      <c r="Q36" s="39"/>
      <c r="R36" s="39"/>
      <c r="S36" s="39"/>
      <c r="T36" s="39"/>
      <c r="U36" s="39"/>
      <c r="V36" s="39"/>
    </row>
    <row r="37" spans="1:27" ht="22" customHeight="1" x14ac:dyDescent="0.35">
      <c r="A37" s="39"/>
      <c r="B37" s="39"/>
      <c r="C37" s="39"/>
      <c r="D37" s="39"/>
      <c r="E37" s="39"/>
      <c r="F37" s="39"/>
      <c r="G37" s="39"/>
      <c r="H37" s="39"/>
      <c r="I37" s="39"/>
      <c r="J37" s="39"/>
      <c r="K37" s="39"/>
      <c r="L37" s="39"/>
      <c r="M37" s="39"/>
      <c r="N37" s="39"/>
      <c r="O37" s="39"/>
      <c r="P37" s="39"/>
      <c r="Q37" s="39"/>
      <c r="R37" s="39"/>
      <c r="S37" s="39"/>
      <c r="T37" s="39"/>
      <c r="U37" s="39"/>
      <c r="V37" s="39"/>
    </row>
    <row r="38" spans="1:27" ht="22" customHeight="1" x14ac:dyDescent="0.35">
      <c r="A38" s="8"/>
      <c r="B38" s="8"/>
      <c r="C38" s="8"/>
      <c r="D38" s="8"/>
      <c r="E38" s="8"/>
      <c r="F38" s="8"/>
      <c r="G38" s="8"/>
      <c r="H38" s="8"/>
      <c r="I38" s="8"/>
      <c r="J38" s="8"/>
      <c r="K38" s="8"/>
      <c r="L38" s="8"/>
      <c r="M38" s="8"/>
      <c r="N38" s="8"/>
      <c r="O38" s="8"/>
      <c r="P38" s="8"/>
      <c r="Q38" s="8"/>
      <c r="R38" s="8"/>
      <c r="S38" s="8"/>
      <c r="T38" s="8"/>
      <c r="U38" s="8"/>
      <c r="V38" s="8"/>
    </row>
    <row r="39" spans="1:27" ht="22" customHeight="1" x14ac:dyDescent="0.35">
      <c r="A39" s="67" t="s">
        <v>655</v>
      </c>
      <c r="B39" s="39"/>
      <c r="C39" s="39"/>
      <c r="D39" s="39"/>
      <c r="E39" s="39"/>
      <c r="F39" s="39"/>
      <c r="G39" s="39"/>
      <c r="H39" s="39"/>
      <c r="I39" s="39"/>
      <c r="J39" s="39"/>
      <c r="K39" s="39"/>
      <c r="L39" s="39"/>
      <c r="M39" s="39"/>
      <c r="N39" s="39"/>
      <c r="O39" s="39"/>
      <c r="P39" s="39"/>
      <c r="Q39" s="39"/>
      <c r="R39" s="39"/>
      <c r="S39" s="39"/>
      <c r="T39" s="39"/>
      <c r="U39" s="39"/>
      <c r="V39" s="39"/>
    </row>
    <row r="40" spans="1:27" ht="29" customHeight="1" x14ac:dyDescent="0.35">
      <c r="A40" s="84" t="str">
        <f>IF($AA40=0,"",IF(LEN(INDEX(Quotes!$U$9:$U$258,$AA40)&amp;"")=0,"",INDEX(Quotes!$U$9:$U$258,$AA40)))</f>
        <v>RENK</v>
      </c>
      <c r="B40" s="39"/>
      <c r="C40" s="39"/>
      <c r="D40" s="39"/>
      <c r="E40" s="39"/>
      <c r="F40" s="39"/>
      <c r="G40" s="39"/>
      <c r="H40" s="39"/>
      <c r="I40" s="39"/>
      <c r="J40" s="39"/>
      <c r="K40" s="85" t="str">
        <f>IF($AA40=0,"",IF(LEN(INDEX(Quotes!$Z$9:$Z$258,$AA40)&amp;"")=0,"",INDEX(Quotes!$Z$9:$Z$258,$AA40)))</f>
        <v>Service of reduction gears STB/PS</v>
      </c>
      <c r="L40" s="39"/>
      <c r="M40" s="39"/>
      <c r="N40" s="39"/>
      <c r="O40" s="39"/>
      <c r="P40" s="39"/>
      <c r="Q40" s="39"/>
      <c r="R40" s="39"/>
      <c r="S40" s="39"/>
      <c r="T40" s="39"/>
      <c r="U40" s="39"/>
      <c r="V40" s="39"/>
      <c r="AA40">
        <f>IFERROR(MATCH(1,Quotes!$AK$9:$AK$258,0),0)</f>
        <v>1</v>
      </c>
    </row>
    <row r="41" spans="1:27" ht="21" customHeight="1" x14ac:dyDescent="0.35">
      <c r="A41" s="40" t="str">
        <f>IF($AA40=0,"",IF(LEN(INDEX(Quotes!$V$9:$V$258,$AA40)&amp;"")=0,"",INDEX(Quotes!$V$9:$V$258,$AA40)))</f>
        <v>RENKINFO</v>
      </c>
      <c r="B41" s="39"/>
      <c r="C41" s="39"/>
      <c r="D41" s="39"/>
      <c r="E41" s="39"/>
      <c r="F41" s="39"/>
      <c r="G41" s="39"/>
      <c r="H41" s="40" t="str">
        <f>IF($AA40=0,"",IF(LEN(INDEX(Quotes!$W$9:$W$258,$AA40)&amp;"")=0,"",INDEX(Quotes!$W$9:$W$258,$AA40)))</f>
        <v>info.renk-benelux@renk.com</v>
      </c>
      <c r="I41" s="39"/>
      <c r="J41" s="39"/>
      <c r="K41" s="39"/>
      <c r="L41" s="39"/>
      <c r="M41" s="39"/>
      <c r="N41" s="39"/>
      <c r="O41" s="39"/>
      <c r="P41" s="39"/>
      <c r="Q41" s="39"/>
      <c r="R41" s="77" t="str">
        <f>IF($AA40=0,"",IF(LEN(INDEX(Quotes!$X$9:$X$258,$AA40)&amp;"")=0,"",INDEX(Quotes!$X$9:$X$258,$AA40)))</f>
        <v/>
      </c>
      <c r="S41" s="39"/>
      <c r="T41" s="39"/>
      <c r="U41" s="39"/>
      <c r="V41" s="39"/>
    </row>
    <row r="42" spans="1:27" ht="21" customHeight="1" x14ac:dyDescent="0.35">
      <c r="A42" s="83" t="str">
        <f>IF($AA40=0,"","ORIGINAL EUR")</f>
        <v>ORIGINAL EUR</v>
      </c>
      <c r="B42" s="39"/>
      <c r="C42" s="39"/>
      <c r="D42" s="39"/>
      <c r="E42" s="39"/>
      <c r="F42" s="39"/>
      <c r="G42" s="39"/>
      <c r="H42" s="8"/>
      <c r="I42" s="83" t="str">
        <f>IF($AA40=0,"","LATEST EUR")</f>
        <v>LATEST EUR</v>
      </c>
      <c r="J42" s="39"/>
      <c r="K42" s="39"/>
      <c r="L42" s="39"/>
      <c r="M42" s="39"/>
      <c r="N42" s="39"/>
      <c r="O42" s="39"/>
      <c r="P42" s="8"/>
      <c r="Q42" s="83" t="str">
        <f>IF($AA40=0,"","SAVED EUR")</f>
        <v>SAVED EUR</v>
      </c>
      <c r="R42" s="39"/>
      <c r="S42" s="39"/>
      <c r="T42" s="39"/>
      <c r="U42" s="39"/>
      <c r="V42" s="39"/>
    </row>
    <row r="43" spans="1:27" ht="21" customHeight="1" x14ac:dyDescent="0.35">
      <c r="A43" s="82">
        <f>IF($AA40=0,"",IF(LEN(INDEX(Quotes!$AB$9:$AB$258,$AA40)&amp;"")=0,"",INDEX(Quotes!$AB$9:$AB$258,$AA40)))</f>
        <v>44800</v>
      </c>
      <c r="B43" s="39"/>
      <c r="C43" s="39"/>
      <c r="D43" s="39"/>
      <c r="E43" s="39"/>
      <c r="F43" s="39"/>
      <c r="G43" s="39"/>
      <c r="H43" s="8"/>
      <c r="I43" s="82">
        <f>IF($AA40=0,"",IF(LEN(INDEX(Quotes!$AD$9:$AD$258,$AA40)&amp;"")=0,"",INDEX(Quotes!$AD$9:$AD$258,$AA40)))</f>
        <v>44800</v>
      </c>
      <c r="J43" s="39"/>
      <c r="K43" s="39"/>
      <c r="L43" s="39"/>
      <c r="M43" s="39"/>
      <c r="N43" s="39"/>
      <c r="O43" s="39"/>
      <c r="P43" s="8"/>
      <c r="Q43" s="82" t="str">
        <f>IF($AA40=0,"",IF(LEN(INDEX(Quotes!$AF$9:$AF$258,$AA40)&amp;"")=0,"",INDEX(Quotes!$AF$9:$AF$258,$AA40)))</f>
        <v/>
      </c>
      <c r="R43" s="39"/>
      <c r="S43" s="39"/>
      <c r="T43" s="39"/>
      <c r="U43" s="39"/>
      <c r="V43" s="39"/>
    </row>
    <row r="44" spans="1:27" ht="21" customHeight="1" x14ac:dyDescent="0.35">
      <c r="A44" s="48" t="str">
        <f>IF($AA40=0,"","Reference: "&amp;IF(INDEX(Quotes!$M$9:$M$258,$AA40)="",INDEX(Quotes!$S$9:$S$258,$AA40),INDEX(Quotes!$M$9:$M$258,$AA40)))</f>
        <v>Reference: Quotation_7078856.pdf</v>
      </c>
      <c r="B44" s="39"/>
      <c r="C44" s="39"/>
      <c r="D44" s="39"/>
      <c r="E44" s="39"/>
      <c r="F44" s="39"/>
      <c r="G44" s="39"/>
      <c r="H44" s="39"/>
      <c r="I44" s="39"/>
      <c r="J44" s="39"/>
      <c r="K44" s="39"/>
      <c r="L44" s="39"/>
      <c r="M44" s="39"/>
      <c r="N44" s="39"/>
      <c r="O44" s="39"/>
      <c r="P44" s="39"/>
      <c r="Q44" s="48" t="str">
        <f>IF($AA40=0,"",INDEX(Quotes!$E$9:$E$258,$AA40))</f>
        <v>Main scope</v>
      </c>
      <c r="R44" s="39"/>
      <c r="S44" s="39"/>
      <c r="T44" s="39"/>
      <c r="U44" s="39"/>
      <c r="V44" s="39"/>
    </row>
    <row r="45" spans="1:27" ht="21" customHeight="1" x14ac:dyDescent="0.35">
      <c r="A45" s="81" t="str">
        <f>IF($AA40=0,"",IF(INDEX(Quotes!$N$9:$N$258,$AA40)="","No original link","Original quote"))</f>
        <v>Original quote</v>
      </c>
      <c r="B45" s="39"/>
      <c r="C45" s="39"/>
      <c r="D45" s="39"/>
      <c r="E45" s="39"/>
      <c r="F45" s="39"/>
      <c r="G45" s="39"/>
      <c r="H45" s="8"/>
      <c r="I45" s="81" t="str">
        <f>IF($AA40=0,"",IF(INDEX(Quotes!$O$9:$O$258,$AA40)="","No revised link","Revised quote"))</f>
        <v>No revised link</v>
      </c>
      <c r="J45" s="39"/>
      <c r="K45" s="39"/>
      <c r="L45" s="39"/>
      <c r="M45" s="39"/>
      <c r="N45" s="39"/>
      <c r="O45" s="39"/>
      <c r="P45" s="8"/>
      <c r="Q45" s="81" t="str">
        <f>IF($AA40=0,"",HYPERLINK("#'Quotes'!A"&amp;($AA40+8),"Open quote record"))</f>
        <v>Open quote record</v>
      </c>
      <c r="R45" s="39"/>
      <c r="S45" s="39"/>
      <c r="T45" s="39"/>
      <c r="U45" s="39"/>
      <c r="V45" s="39"/>
    </row>
    <row r="46" spans="1:27" ht="21" customHeight="1" x14ac:dyDescent="0.35">
      <c r="A46" s="8"/>
      <c r="B46" s="8"/>
      <c r="C46" s="8"/>
      <c r="D46" s="8"/>
      <c r="E46" s="8"/>
      <c r="F46" s="8"/>
      <c r="G46" s="8"/>
      <c r="H46" s="8"/>
      <c r="I46" s="8"/>
      <c r="J46" s="8"/>
      <c r="K46" s="8"/>
      <c r="L46" s="8"/>
      <c r="M46" s="8"/>
      <c r="N46" s="8"/>
      <c r="O46" s="8"/>
      <c r="P46" s="8"/>
      <c r="Q46" s="8"/>
      <c r="R46" s="8"/>
      <c r="S46" s="8"/>
      <c r="T46" s="8"/>
      <c r="U46" s="8"/>
      <c r="V46" s="8"/>
    </row>
    <row r="47" spans="1:27" ht="22" customHeight="1" x14ac:dyDescent="0.35">
      <c r="A47" s="8"/>
      <c r="B47" s="8"/>
      <c r="C47" s="8"/>
      <c r="D47" s="8"/>
      <c r="E47" s="8"/>
      <c r="F47" s="8"/>
      <c r="G47" s="8"/>
      <c r="H47" s="8"/>
      <c r="I47" s="8"/>
      <c r="J47" s="8"/>
      <c r="K47" s="8"/>
      <c r="L47" s="8"/>
      <c r="M47" s="8"/>
      <c r="N47" s="8"/>
      <c r="O47" s="8"/>
      <c r="P47" s="8"/>
      <c r="Q47" s="8"/>
      <c r="R47" s="8"/>
      <c r="S47" s="8"/>
      <c r="T47" s="8"/>
      <c r="U47" s="8"/>
      <c r="V47" s="8"/>
    </row>
    <row r="48" spans="1:27" ht="22" customHeight="1" x14ac:dyDescent="0.35">
      <c r="A48" s="8"/>
      <c r="B48" s="8"/>
      <c r="C48" s="8"/>
      <c r="D48" s="8"/>
      <c r="E48" s="8"/>
      <c r="F48" s="8"/>
      <c r="G48" s="8"/>
      <c r="H48" s="8"/>
      <c r="I48" s="8"/>
      <c r="J48" s="8"/>
      <c r="K48" s="8"/>
      <c r="L48" s="8"/>
      <c r="M48" s="8"/>
      <c r="N48" s="8"/>
      <c r="O48" s="8"/>
      <c r="P48" s="8"/>
      <c r="Q48" s="8"/>
      <c r="R48" s="8"/>
      <c r="S48" s="8"/>
      <c r="T48" s="8"/>
      <c r="U48" s="8"/>
      <c r="V48" s="8"/>
    </row>
    <row r="49" spans="1:27" ht="29" customHeight="1" x14ac:dyDescent="0.35">
      <c r="A49" s="84" t="str">
        <f>IF($AA49=0,"",IF(LEN(INDEX(Quotes!$U$9:$U$258,$AA49)&amp;"")=0,"",INDEX(Quotes!$U$9:$U$258,$AA49)))</f>
        <v>BAC IMPALLOY</v>
      </c>
      <c r="B49" s="39"/>
      <c r="C49" s="39"/>
      <c r="D49" s="39"/>
      <c r="E49" s="39"/>
      <c r="F49" s="39"/>
      <c r="G49" s="39"/>
      <c r="H49" s="39"/>
      <c r="I49" s="39"/>
      <c r="J49" s="39"/>
      <c r="K49" s="85" t="str">
        <f>IF($AA49=0,"",IF(LEN(INDEX(Quotes!$Z$9:$Z$258,$AA49)&amp;"")=0,"",INDEX(Quotes!$Z$9:$Z$258,$AA49)))</f>
        <v>Corrosion prevention anodes</v>
      </c>
      <c r="L49" s="39"/>
      <c r="M49" s="39"/>
      <c r="N49" s="39"/>
      <c r="O49" s="39"/>
      <c r="P49" s="39"/>
      <c r="Q49" s="39"/>
      <c r="R49" s="39"/>
      <c r="S49" s="39"/>
      <c r="T49" s="39"/>
      <c r="U49" s="39"/>
      <c r="V49" s="39"/>
      <c r="AA49">
        <f>IFERROR(MATCH(2,Quotes!$AK$9:$AK$258,0),0)</f>
        <v>2</v>
      </c>
    </row>
    <row r="50" spans="1:27" ht="21" customHeight="1" x14ac:dyDescent="0.35">
      <c r="A50" s="40" t="str">
        <f>IF($AA49=0,"",IF(LEN(INDEX(Quotes!$V$9:$V$258,$AA49)&amp;"")=0,"",INDEX(Quotes!$V$9:$V$258,$AA49)))</f>
        <v>Ole Elrum</v>
      </c>
      <c r="B50" s="39"/>
      <c r="C50" s="39"/>
      <c r="D50" s="39"/>
      <c r="E50" s="39"/>
      <c r="F50" s="39"/>
      <c r="G50" s="39"/>
      <c r="H50" s="40" t="str">
        <f>IF($AA49=0,"",IF(LEN(INDEX(Quotes!$W$9:$W$258,$AA49)&amp;"")=0,"",INDEX(Quotes!$W$9:$W$258,$AA49)))</f>
        <v>N/A</v>
      </c>
      <c r="I50" s="39"/>
      <c r="J50" s="39"/>
      <c r="K50" s="39"/>
      <c r="L50" s="39"/>
      <c r="M50" s="39"/>
      <c r="N50" s="39"/>
      <c r="O50" s="39"/>
      <c r="P50" s="39"/>
      <c r="Q50" s="39"/>
      <c r="R50" s="77">
        <f>IF($AA49=0,"",IF(LEN(INDEX(Quotes!$X$9:$X$258,$AA49)&amp;"")=0,"",INDEX(Quotes!$X$9:$X$258,$AA49)))</f>
        <v>70268900</v>
      </c>
      <c r="S50" s="39"/>
      <c r="T50" s="39"/>
      <c r="U50" s="39"/>
      <c r="V50" s="39"/>
    </row>
    <row r="51" spans="1:27" ht="21" customHeight="1" x14ac:dyDescent="0.35">
      <c r="A51" s="83" t="str">
        <f>IF($AA49=0,"","ORIGINAL EUR")</f>
        <v>ORIGINAL EUR</v>
      </c>
      <c r="B51" s="39"/>
      <c r="C51" s="39"/>
      <c r="D51" s="39"/>
      <c r="E51" s="39"/>
      <c r="F51" s="39"/>
      <c r="G51" s="39"/>
      <c r="H51" s="8"/>
      <c r="I51" s="83" t="str">
        <f>IF($AA49=0,"","LATEST EUR")</f>
        <v>LATEST EUR</v>
      </c>
      <c r="J51" s="39"/>
      <c r="K51" s="39"/>
      <c r="L51" s="39"/>
      <c r="M51" s="39"/>
      <c r="N51" s="39"/>
      <c r="O51" s="39"/>
      <c r="P51" s="8"/>
      <c r="Q51" s="83" t="str">
        <f>IF($AA49=0,"","SAVED EUR")</f>
        <v>SAVED EUR</v>
      </c>
      <c r="R51" s="39"/>
      <c r="S51" s="39"/>
      <c r="T51" s="39"/>
      <c r="U51" s="39"/>
      <c r="V51" s="39"/>
    </row>
    <row r="52" spans="1:27" ht="21" customHeight="1" x14ac:dyDescent="0.35">
      <c r="A52" s="82">
        <f>IF($AA49=0,"",IF(LEN(INDEX(Quotes!$AB$9:$AB$258,$AA49)&amp;"")=0,"",INDEX(Quotes!$AB$9:$AB$258,$AA49)))</f>
        <v>8426.7781419303046</v>
      </c>
      <c r="B52" s="39"/>
      <c r="C52" s="39"/>
      <c r="D52" s="39"/>
      <c r="E52" s="39"/>
      <c r="F52" s="39"/>
      <c r="G52" s="39"/>
      <c r="H52" s="8"/>
      <c r="I52" s="82">
        <f>IF($AA49=0,"",IF(LEN(INDEX(Quotes!$AD$9:$AD$258,$AA49)&amp;"")=0,"",INDEX(Quotes!$AD$9:$AD$258,$AA49)))</f>
        <v>8426.7781419303046</v>
      </c>
      <c r="J52" s="39"/>
      <c r="K52" s="39"/>
      <c r="L52" s="39"/>
      <c r="M52" s="39"/>
      <c r="N52" s="39"/>
      <c r="O52" s="39"/>
      <c r="P52" s="8"/>
      <c r="Q52" s="82" t="str">
        <f>IF($AA49=0,"",IF(LEN(INDEX(Quotes!$AF$9:$AF$258,$AA49)&amp;"")=0,"",INDEX(Quotes!$AF$9:$AF$258,$AA49)))</f>
        <v/>
      </c>
      <c r="R52" s="39"/>
      <c r="S52" s="39"/>
      <c r="T52" s="39"/>
      <c r="U52" s="39"/>
      <c r="V52" s="39"/>
    </row>
    <row r="53" spans="1:27" ht="21" customHeight="1" x14ac:dyDescent="0.35">
      <c r="A53" s="48" t="str">
        <f>IF($AA49=0,"","Reference: "&amp;IF(INDEX(Quotes!$M$9:$M$258,$AA49)="",INDEX(Quotes!$S$9:$S$258,$AA49),INDEX(Quotes!$M$9:$M$258,$AA49)))</f>
        <v>Reference: 6082705 Salg - tilbud 16572.pdf</v>
      </c>
      <c r="B53" s="39"/>
      <c r="C53" s="39"/>
      <c r="D53" s="39"/>
      <c r="E53" s="39"/>
      <c r="F53" s="39"/>
      <c r="G53" s="39"/>
      <c r="H53" s="39"/>
      <c r="I53" s="39"/>
      <c r="J53" s="39"/>
      <c r="K53" s="39"/>
      <c r="L53" s="39"/>
      <c r="M53" s="39"/>
      <c r="N53" s="39"/>
      <c r="O53" s="39"/>
      <c r="P53" s="39"/>
      <c r="Q53" s="48" t="str">
        <f>IF($AA49=0,"",INDEX(Quotes!$E$9:$E$258,$AA49))</f>
        <v>Main scope</v>
      </c>
      <c r="R53" s="39"/>
      <c r="S53" s="39"/>
      <c r="T53" s="39"/>
      <c r="U53" s="39"/>
      <c r="V53" s="39"/>
    </row>
    <row r="54" spans="1:27" ht="21" customHeight="1" x14ac:dyDescent="0.35">
      <c r="A54" s="81" t="str">
        <f>IF($AA49=0,"",IF(INDEX(Quotes!$N$9:$N$258,$AA49)="","No original link","Original quote"))</f>
        <v>Original quote</v>
      </c>
      <c r="B54" s="39"/>
      <c r="C54" s="39"/>
      <c r="D54" s="39"/>
      <c r="E54" s="39"/>
      <c r="F54" s="39"/>
      <c r="G54" s="39"/>
      <c r="H54" s="8"/>
      <c r="I54" s="81" t="str">
        <f>IF($AA49=0,"",IF(INDEX(Quotes!$O$9:$O$258,$AA49)="","No revised link","Revised quote"))</f>
        <v>No revised link</v>
      </c>
      <c r="J54" s="39"/>
      <c r="K54" s="39"/>
      <c r="L54" s="39"/>
      <c r="M54" s="39"/>
      <c r="N54" s="39"/>
      <c r="O54" s="39"/>
      <c r="P54" s="8"/>
      <c r="Q54" s="81" t="str">
        <f>IF($AA49=0,"",HYPERLINK("#'Quotes'!A"&amp;($AA49+8),"Open quote record"))</f>
        <v>Open quote record</v>
      </c>
      <c r="R54" s="39"/>
      <c r="S54" s="39"/>
      <c r="T54" s="39"/>
      <c r="U54" s="39"/>
      <c r="V54" s="39"/>
    </row>
    <row r="55" spans="1:27" ht="21" customHeight="1" x14ac:dyDescent="0.35">
      <c r="A55" s="8"/>
      <c r="B55" s="8"/>
      <c r="C55" s="8"/>
      <c r="D55" s="8"/>
      <c r="E55" s="8"/>
      <c r="F55" s="8"/>
      <c r="G55" s="8"/>
      <c r="H55" s="8"/>
      <c r="I55" s="8"/>
      <c r="J55" s="8"/>
      <c r="K55" s="8"/>
      <c r="L55" s="8"/>
      <c r="M55" s="8"/>
      <c r="N55" s="8"/>
      <c r="O55" s="8"/>
      <c r="P55" s="8"/>
      <c r="Q55" s="8"/>
      <c r="R55" s="8"/>
      <c r="S55" s="8"/>
      <c r="T55" s="8"/>
      <c r="U55" s="8"/>
      <c r="V55" s="8"/>
    </row>
    <row r="56" spans="1:27" ht="22" customHeight="1" x14ac:dyDescent="0.35">
      <c r="A56" s="8"/>
      <c r="B56" s="8"/>
      <c r="C56" s="8"/>
      <c r="D56" s="8"/>
      <c r="E56" s="8"/>
      <c r="F56" s="8"/>
      <c r="G56" s="8"/>
      <c r="H56" s="8"/>
      <c r="I56" s="8"/>
      <c r="J56" s="8"/>
      <c r="K56" s="8"/>
      <c r="L56" s="8"/>
      <c r="M56" s="8"/>
      <c r="N56" s="8"/>
      <c r="O56" s="8"/>
      <c r="P56" s="8"/>
      <c r="Q56" s="8"/>
      <c r="R56" s="8"/>
      <c r="S56" s="8"/>
      <c r="T56" s="8"/>
      <c r="U56" s="8"/>
      <c r="V56" s="8"/>
    </row>
    <row r="57" spans="1:27" ht="22" customHeight="1" x14ac:dyDescent="0.35">
      <c r="A57" s="8"/>
      <c r="B57" s="8"/>
      <c r="C57" s="8"/>
      <c r="D57" s="8"/>
      <c r="E57" s="8"/>
      <c r="F57" s="8"/>
      <c r="G57" s="8"/>
      <c r="H57" s="8"/>
      <c r="I57" s="8"/>
      <c r="J57" s="8"/>
      <c r="K57" s="8"/>
      <c r="L57" s="8"/>
      <c r="M57" s="8"/>
      <c r="N57" s="8"/>
      <c r="O57" s="8"/>
      <c r="P57" s="8"/>
      <c r="Q57" s="8"/>
      <c r="R57" s="8"/>
      <c r="S57" s="8"/>
      <c r="T57" s="8"/>
      <c r="U57" s="8"/>
      <c r="V57" s="8"/>
    </row>
    <row r="58" spans="1:27" ht="29" customHeight="1" x14ac:dyDescent="0.35">
      <c r="A58" s="84" t="str">
        <f>IF($AA58=0,"",IF(LEN(INDEX(Quotes!$U$9:$U$258,$AA58)&amp;"")=0,"",INDEX(Quotes!$U$9:$U$258,$AA58)))</f>
        <v>PINNFABB</v>
      </c>
      <c r="B58" s="39"/>
      <c r="C58" s="39"/>
      <c r="D58" s="39"/>
      <c r="E58" s="39"/>
      <c r="F58" s="39"/>
      <c r="G58" s="39"/>
      <c r="H58" s="39"/>
      <c r="I58" s="39"/>
      <c r="J58" s="39"/>
      <c r="K58" s="85" t="str">
        <f>IF($AA58=0,"",IF(LEN(INDEX(Quotes!$Z$9:$Z$258,$AA58)&amp;"")=0,"",INDEX(Quotes!$Z$9:$Z$258,$AA58)))</f>
        <v>Stabilizers</v>
      </c>
      <c r="L58" s="39"/>
      <c r="M58" s="39"/>
      <c r="N58" s="39"/>
      <c r="O58" s="39"/>
      <c r="P58" s="39"/>
      <c r="Q58" s="39"/>
      <c r="R58" s="39"/>
      <c r="S58" s="39"/>
      <c r="T58" s="39"/>
      <c r="U58" s="39"/>
      <c r="V58" s="39"/>
      <c r="AA58">
        <f>IFERROR(MATCH(3,Quotes!$AK$9:$AK$258,0),0)</f>
        <v>6</v>
      </c>
    </row>
    <row r="59" spans="1:27" ht="21" customHeight="1" x14ac:dyDescent="0.35">
      <c r="A59" s="40" t="str">
        <f>IF($AA58=0,"",IF(LEN(INDEX(Quotes!$V$9:$V$258,$AA58)&amp;"")=0,"",INDEX(Quotes!$V$9:$V$258,$AA58)))</f>
        <v xml:space="preserve">MATT </v>
      </c>
      <c r="B59" s="39"/>
      <c r="C59" s="39"/>
      <c r="D59" s="39"/>
      <c r="E59" s="39"/>
      <c r="F59" s="39"/>
      <c r="G59" s="39"/>
      <c r="H59" s="40" t="str">
        <f>IF($AA58=0,"",IF(LEN(INDEX(Quotes!$W$9:$W$258,$AA58)&amp;"")=0,"",INDEX(Quotes!$W$9:$W$258,$AA58)))</f>
        <v>matteo.fabbricotti@pinfabb.com</v>
      </c>
      <c r="I59" s="39"/>
      <c r="J59" s="39"/>
      <c r="K59" s="39"/>
      <c r="L59" s="39"/>
      <c r="M59" s="39"/>
      <c r="N59" s="39"/>
      <c r="O59" s="39"/>
      <c r="P59" s="39"/>
      <c r="Q59" s="39"/>
      <c r="R59" s="77">
        <f>IF($AA58=0,"",IF(LEN(INDEX(Quotes!$X$9:$X$258,$AA58)&amp;"")=0,"",INDEX(Quotes!$X$9:$X$258,$AA58)))</f>
        <v>3470637034</v>
      </c>
      <c r="S59" s="39"/>
      <c r="T59" s="39"/>
      <c r="U59" s="39"/>
      <c r="V59" s="39"/>
    </row>
    <row r="60" spans="1:27" ht="21" customHeight="1" x14ac:dyDescent="0.35">
      <c r="A60" s="83" t="str">
        <f>IF($AA58=0,"","ORIGINAL EUR")</f>
        <v>ORIGINAL EUR</v>
      </c>
      <c r="B60" s="39"/>
      <c r="C60" s="39"/>
      <c r="D60" s="39"/>
      <c r="E60" s="39"/>
      <c r="F60" s="39"/>
      <c r="G60" s="39"/>
      <c r="H60" s="8"/>
      <c r="I60" s="83" t="str">
        <f>IF($AA58=0,"","LATEST EUR")</f>
        <v>LATEST EUR</v>
      </c>
      <c r="J60" s="39"/>
      <c r="K60" s="39"/>
      <c r="L60" s="39"/>
      <c r="M60" s="39"/>
      <c r="N60" s="39"/>
      <c r="O60" s="39"/>
      <c r="P60" s="8"/>
      <c r="Q60" s="83" t="str">
        <f>IF($AA58=0,"","SAVED EUR")</f>
        <v>SAVED EUR</v>
      </c>
      <c r="R60" s="39"/>
      <c r="S60" s="39"/>
      <c r="T60" s="39"/>
      <c r="U60" s="39"/>
      <c r="V60" s="39"/>
    </row>
    <row r="61" spans="1:27" ht="21" customHeight="1" x14ac:dyDescent="0.35">
      <c r="A61" s="82">
        <f>IF($AA58=0,"",IF(LEN(INDEX(Quotes!$AB$9:$AB$258,$AA58)&amp;"")=0,"",INDEX(Quotes!$AB$9:$AB$258,$AA58)))</f>
        <v>250000</v>
      </c>
      <c r="B61" s="39"/>
      <c r="C61" s="39"/>
      <c r="D61" s="39"/>
      <c r="E61" s="39"/>
      <c r="F61" s="39"/>
      <c r="G61" s="39"/>
      <c r="H61" s="8"/>
      <c r="I61" s="82">
        <f>IF($AA58=0,"",IF(LEN(INDEX(Quotes!$AD$9:$AD$258,$AA58)&amp;"")=0,"",INDEX(Quotes!$AD$9:$AD$258,$AA58)))</f>
        <v>250000</v>
      </c>
      <c r="J61" s="39"/>
      <c r="K61" s="39"/>
      <c r="L61" s="39"/>
      <c r="M61" s="39"/>
      <c r="N61" s="39"/>
      <c r="O61" s="39"/>
      <c r="P61" s="8"/>
      <c r="Q61" s="82" t="str">
        <f>IF($AA58=0,"",IF(LEN(INDEX(Quotes!$AF$9:$AF$258,$AA58)&amp;"")=0,"",INDEX(Quotes!$AF$9:$AF$258,$AA58)))</f>
        <v/>
      </c>
      <c r="R61" s="39"/>
      <c r="S61" s="39"/>
      <c r="T61" s="39"/>
      <c r="U61" s="39"/>
      <c r="V61" s="39"/>
    </row>
    <row r="62" spans="1:27" ht="21" customHeight="1" x14ac:dyDescent="0.35">
      <c r="A62" s="48" t="str">
        <f>IF($AA58=0,"","Reference: "&amp;IF(INDEX(Quotes!$M$9:$M$258,$AA58)="",INDEX(Quotes!$S$9:$S$258,$AA58),INDEX(Quotes!$M$9:$M$258,$AA58)))</f>
        <v>Reference: Q3432026 KER.pdf</v>
      </c>
      <c r="B62" s="39"/>
      <c r="C62" s="39"/>
      <c r="D62" s="39"/>
      <c r="E62" s="39"/>
      <c r="F62" s="39"/>
      <c r="G62" s="39"/>
      <c r="H62" s="39"/>
      <c r="I62" s="39"/>
      <c r="J62" s="39"/>
      <c r="K62" s="39"/>
      <c r="L62" s="39"/>
      <c r="M62" s="39"/>
      <c r="N62" s="39"/>
      <c r="O62" s="39"/>
      <c r="P62" s="39"/>
      <c r="Q62" s="48" t="str">
        <f>IF($AA58=0,"",INDEX(Quotes!$E$9:$E$258,$AA58))</f>
        <v>Main scope</v>
      </c>
      <c r="R62" s="39"/>
      <c r="S62" s="39"/>
      <c r="T62" s="39"/>
      <c r="U62" s="39"/>
      <c r="V62" s="39"/>
    </row>
    <row r="63" spans="1:27" ht="21" customHeight="1" x14ac:dyDescent="0.35">
      <c r="A63" s="81" t="str">
        <f>IF($AA58=0,"",IF(INDEX(Quotes!$N$9:$N$258,$AA58)="","No original link","Original quote"))</f>
        <v>Original quote</v>
      </c>
      <c r="B63" s="39"/>
      <c r="C63" s="39"/>
      <c r="D63" s="39"/>
      <c r="E63" s="39"/>
      <c r="F63" s="39"/>
      <c r="G63" s="39"/>
      <c r="H63" s="8"/>
      <c r="I63" s="81" t="str">
        <f>IF($AA58=0,"",IF(INDEX(Quotes!$O$9:$O$258,$AA58)="","No revised link","Revised quote"))</f>
        <v>No revised link</v>
      </c>
      <c r="J63" s="39"/>
      <c r="K63" s="39"/>
      <c r="L63" s="39"/>
      <c r="M63" s="39"/>
      <c r="N63" s="39"/>
      <c r="O63" s="39"/>
      <c r="P63" s="8"/>
      <c r="Q63" s="81" t="str">
        <f>IF($AA58=0,"",HYPERLINK("#'Quotes'!A"&amp;($AA58+8),"Open quote record"))</f>
        <v>Open quote record</v>
      </c>
      <c r="R63" s="39"/>
      <c r="S63" s="39"/>
      <c r="T63" s="39"/>
      <c r="U63" s="39"/>
      <c r="V63" s="39"/>
    </row>
    <row r="64" spans="1:27" ht="21" customHeight="1" x14ac:dyDescent="0.35">
      <c r="A64" s="8"/>
      <c r="B64" s="8"/>
      <c r="C64" s="8"/>
      <c r="D64" s="8"/>
      <c r="E64" s="8"/>
      <c r="F64" s="8"/>
      <c r="G64" s="8"/>
      <c r="H64" s="8"/>
      <c r="I64" s="8"/>
      <c r="J64" s="8"/>
      <c r="K64" s="8"/>
      <c r="L64" s="8"/>
      <c r="M64" s="8"/>
      <c r="N64" s="8"/>
      <c r="O64" s="8"/>
      <c r="P64" s="8"/>
      <c r="Q64" s="8"/>
      <c r="R64" s="8"/>
      <c r="S64" s="8"/>
      <c r="T64" s="8"/>
      <c r="U64" s="8"/>
      <c r="V64" s="8"/>
    </row>
    <row r="65" spans="1:27" ht="22" customHeight="1" x14ac:dyDescent="0.35">
      <c r="A65" s="8"/>
      <c r="B65" s="8"/>
      <c r="C65" s="8"/>
      <c r="D65" s="8"/>
      <c r="E65" s="8"/>
      <c r="F65" s="8"/>
      <c r="G65" s="8"/>
      <c r="H65" s="8"/>
      <c r="I65" s="8"/>
      <c r="J65" s="8"/>
      <c r="K65" s="8"/>
      <c r="L65" s="8"/>
      <c r="M65" s="8"/>
      <c r="N65" s="8"/>
      <c r="O65" s="8"/>
      <c r="P65" s="8"/>
      <c r="Q65" s="8"/>
      <c r="R65" s="8"/>
      <c r="S65" s="8"/>
      <c r="T65" s="8"/>
      <c r="U65" s="8"/>
      <c r="V65" s="8"/>
    </row>
    <row r="66" spans="1:27" ht="22" customHeight="1" x14ac:dyDescent="0.35">
      <c r="A66" s="8"/>
      <c r="B66" s="8"/>
      <c r="C66" s="8"/>
      <c r="D66" s="8"/>
      <c r="E66" s="8"/>
      <c r="F66" s="8"/>
      <c r="G66" s="8"/>
      <c r="H66" s="8"/>
      <c r="I66" s="8"/>
      <c r="J66" s="8"/>
      <c r="K66" s="8"/>
      <c r="L66" s="8"/>
      <c r="M66" s="8"/>
      <c r="N66" s="8"/>
      <c r="O66" s="8"/>
      <c r="P66" s="8"/>
      <c r="Q66" s="8"/>
      <c r="R66" s="8"/>
      <c r="S66" s="8"/>
      <c r="T66" s="8"/>
      <c r="U66" s="8"/>
      <c r="V66" s="8"/>
    </row>
    <row r="67" spans="1:27" ht="29" customHeight="1" x14ac:dyDescent="0.35">
      <c r="A67" s="84" t="str">
        <f>IF($AA67=0,"",IF(LEN(INDEX(Quotes!$U$9:$U$258,$AA67)&amp;"")=0,"",INDEX(Quotes!$U$9:$U$258,$AA67)))</f>
        <v>BRUNVOLL</v>
      </c>
      <c r="B67" s="39"/>
      <c r="C67" s="39"/>
      <c r="D67" s="39"/>
      <c r="E67" s="39"/>
      <c r="F67" s="39"/>
      <c r="G67" s="39"/>
      <c r="H67" s="39"/>
      <c r="I67" s="39"/>
      <c r="J67" s="39"/>
      <c r="K67" s="85" t="str">
        <f>IF($AA67=0,"",IF(LEN(INDEX(Quotes!$Z$9:$Z$258,$AA67)&amp;"")=0,"",INDEX(Quotes!$Z$9:$Z$258,$AA67)))</f>
        <v>Bow thrusters overhaul</v>
      </c>
      <c r="L67" s="39"/>
      <c r="M67" s="39"/>
      <c r="N67" s="39"/>
      <c r="O67" s="39"/>
      <c r="P67" s="39"/>
      <c r="Q67" s="39"/>
      <c r="R67" s="39"/>
      <c r="S67" s="39"/>
      <c r="T67" s="39"/>
      <c r="U67" s="39"/>
      <c r="V67" s="39"/>
      <c r="AA67">
        <f>IFERROR(MATCH(4,Quotes!$AK$9:$AK$258,0),0)</f>
        <v>12</v>
      </c>
    </row>
    <row r="68" spans="1:27" ht="21" customHeight="1" x14ac:dyDescent="0.35">
      <c r="A68" s="40" t="str">
        <f>IF($AA67=0,"",IF(LEN(INDEX(Quotes!$V$9:$V$258,$AA67)&amp;"")=0,"",INDEX(Quotes!$V$9:$V$258,$AA67)))</f>
        <v/>
      </c>
      <c r="B68" s="39"/>
      <c r="C68" s="39"/>
      <c r="D68" s="39"/>
      <c r="E68" s="39"/>
      <c r="F68" s="39"/>
      <c r="G68" s="39"/>
      <c r="H68" s="40" t="str">
        <f>IF($AA67=0,"",IF(LEN(INDEX(Quotes!$W$9:$W$258,$AA67)&amp;"")=0,"",INDEX(Quotes!$W$9:$W$258,$AA67)))</f>
        <v>office@brunvoll.no</v>
      </c>
      <c r="I68" s="39"/>
      <c r="J68" s="39"/>
      <c r="K68" s="39"/>
      <c r="L68" s="39"/>
      <c r="M68" s="39"/>
      <c r="N68" s="39"/>
      <c r="O68" s="39"/>
      <c r="P68" s="39"/>
      <c r="Q68" s="39"/>
      <c r="R68" s="77" t="str">
        <f>IF($AA67=0,"",IF(LEN(INDEX(Quotes!$X$9:$X$258,$AA67)&amp;"")=0,"",INDEX(Quotes!$X$9:$X$258,$AA67)))</f>
        <v>71 21 96 00</v>
      </c>
      <c r="S68" s="39"/>
      <c r="T68" s="39"/>
      <c r="U68" s="39"/>
      <c r="V68" s="39"/>
    </row>
    <row r="69" spans="1:27" ht="21" customHeight="1" x14ac:dyDescent="0.35">
      <c r="A69" s="83" t="str">
        <f>IF($AA67=0,"","ORIGINAL EUR")</f>
        <v>ORIGINAL EUR</v>
      </c>
      <c r="B69" s="39"/>
      <c r="C69" s="39"/>
      <c r="D69" s="39"/>
      <c r="E69" s="39"/>
      <c r="F69" s="39"/>
      <c r="G69" s="39"/>
      <c r="H69" s="8"/>
      <c r="I69" s="83" t="str">
        <f>IF($AA67=0,"","LATEST EUR")</f>
        <v>LATEST EUR</v>
      </c>
      <c r="J69" s="39"/>
      <c r="K69" s="39"/>
      <c r="L69" s="39"/>
      <c r="M69" s="39"/>
      <c r="N69" s="39"/>
      <c r="O69" s="39"/>
      <c r="P69" s="8"/>
      <c r="Q69" s="83" t="str">
        <f>IF($AA67=0,"","SAVED EUR")</f>
        <v>SAVED EUR</v>
      </c>
      <c r="R69" s="39"/>
      <c r="S69" s="39"/>
      <c r="T69" s="39"/>
      <c r="U69" s="39"/>
      <c r="V69" s="39"/>
    </row>
    <row r="70" spans="1:27" ht="21" customHeight="1" x14ac:dyDescent="0.35">
      <c r="A70" s="82">
        <f>IF($AA67=0,"",IF(LEN(INDEX(Quotes!$AB$9:$AB$258,$AA67)&amp;"")=0,"",INDEX(Quotes!$AB$9:$AB$258,$AA67)))</f>
        <v>36181.734317343173</v>
      </c>
      <c r="B70" s="39"/>
      <c r="C70" s="39"/>
      <c r="D70" s="39"/>
      <c r="E70" s="39"/>
      <c r="F70" s="39"/>
      <c r="G70" s="39"/>
      <c r="H70" s="8"/>
      <c r="I70" s="82">
        <f>IF($AA67=0,"",IF(LEN(INDEX(Quotes!$AD$9:$AD$258,$AA67)&amp;"")=0,"",INDEX(Quotes!$AD$9:$AD$258,$AA67)))</f>
        <v>36181.734317343173</v>
      </c>
      <c r="J70" s="39"/>
      <c r="K70" s="39"/>
      <c r="L70" s="39"/>
      <c r="M70" s="39"/>
      <c r="N70" s="39"/>
      <c r="O70" s="39"/>
      <c r="P70" s="8"/>
      <c r="Q70" s="82" t="str">
        <f>IF($AA67=0,"",IF(LEN(INDEX(Quotes!$AF$9:$AF$258,$AA67)&amp;"")=0,"",INDEX(Quotes!$AF$9:$AF$258,$AA67)))</f>
        <v/>
      </c>
      <c r="R70" s="39"/>
      <c r="S70" s="39"/>
      <c r="T70" s="39"/>
      <c r="U70" s="39"/>
      <c r="V70" s="39"/>
    </row>
    <row r="71" spans="1:27" ht="21" customHeight="1" x14ac:dyDescent="0.35">
      <c r="A71" s="48" t="str">
        <f>IF($AA67=0,"","Reference: "&amp;IF(INDEX(Quotes!$M$9:$M$258,$AA67)="",INDEX(Quotes!$S$9:$S$258,$AA67),INDEX(Quotes!$M$9:$M$258,$AA67)))</f>
        <v>Reference: 4258303</v>
      </c>
      <c r="B71" s="39"/>
      <c r="C71" s="39"/>
      <c r="D71" s="39"/>
      <c r="E71" s="39"/>
      <c r="F71" s="39"/>
      <c r="G71" s="39"/>
      <c r="H71" s="39"/>
      <c r="I71" s="39"/>
      <c r="J71" s="39"/>
      <c r="K71" s="39"/>
      <c r="L71" s="39"/>
      <c r="M71" s="39"/>
      <c r="N71" s="39"/>
      <c r="O71" s="39"/>
      <c r="P71" s="39"/>
      <c r="Q71" s="48" t="str">
        <f>IF($AA67=0,"",INDEX(Quotes!$E$9:$E$258,$AA67))</f>
        <v>Service</v>
      </c>
      <c r="R71" s="39"/>
      <c r="S71" s="39"/>
      <c r="T71" s="39"/>
      <c r="U71" s="39"/>
      <c r="V71" s="39"/>
    </row>
    <row r="72" spans="1:27" ht="21" customHeight="1" x14ac:dyDescent="0.35">
      <c r="A72" s="81" t="str">
        <f>IF($AA67=0,"",IF(INDEX(Quotes!$N$9:$N$258,$AA67)="","No original link","Original quote"))</f>
        <v>Original quote</v>
      </c>
      <c r="B72" s="39"/>
      <c r="C72" s="39"/>
      <c r="D72" s="39"/>
      <c r="E72" s="39"/>
      <c r="F72" s="39"/>
      <c r="G72" s="39"/>
      <c r="H72" s="8"/>
      <c r="I72" s="81" t="str">
        <f>IF($AA67=0,"",IF(INDEX(Quotes!$O$9:$O$258,$AA67)="","No revised link","Revised quote"))</f>
        <v>No revised link</v>
      </c>
      <c r="J72" s="39"/>
      <c r="K72" s="39"/>
      <c r="L72" s="39"/>
      <c r="M72" s="39"/>
      <c r="N72" s="39"/>
      <c r="O72" s="39"/>
      <c r="P72" s="8"/>
      <c r="Q72" s="81" t="str">
        <f>IF($AA67=0,"",HYPERLINK("#'Quotes'!A"&amp;($AA67+8),"Open quote record"))</f>
        <v>Open quote record</v>
      </c>
      <c r="R72" s="39"/>
      <c r="S72" s="39"/>
      <c r="T72" s="39"/>
      <c r="U72" s="39"/>
      <c r="V72" s="39"/>
    </row>
    <row r="73" spans="1:27" ht="21" customHeight="1" x14ac:dyDescent="0.35">
      <c r="A73" s="8"/>
      <c r="B73" s="8"/>
      <c r="C73" s="8"/>
      <c r="D73" s="8"/>
      <c r="E73" s="8"/>
      <c r="F73" s="8"/>
      <c r="G73" s="8"/>
      <c r="H73" s="8"/>
      <c r="I73" s="8"/>
      <c r="J73" s="8"/>
      <c r="K73" s="8"/>
      <c r="L73" s="8"/>
      <c r="M73" s="8"/>
      <c r="N73" s="8"/>
      <c r="O73" s="8"/>
      <c r="P73" s="8"/>
      <c r="Q73" s="8"/>
      <c r="R73" s="8"/>
      <c r="S73" s="8"/>
      <c r="T73" s="8"/>
      <c r="U73" s="8"/>
      <c r="V73" s="8"/>
    </row>
    <row r="74" spans="1:27" ht="22" customHeight="1" x14ac:dyDescent="0.35">
      <c r="A74" s="8"/>
      <c r="B74" s="8"/>
      <c r="C74" s="8"/>
      <c r="D74" s="8"/>
      <c r="E74" s="8"/>
      <c r="F74" s="8"/>
      <c r="G74" s="8"/>
      <c r="H74" s="8"/>
      <c r="I74" s="8"/>
      <c r="J74" s="8"/>
      <c r="K74" s="8"/>
      <c r="L74" s="8"/>
      <c r="M74" s="8"/>
      <c r="N74" s="8"/>
      <c r="O74" s="8"/>
      <c r="P74" s="8"/>
      <c r="Q74" s="8"/>
      <c r="R74" s="8"/>
      <c r="S74" s="8"/>
      <c r="T74" s="8"/>
      <c r="U74" s="8"/>
      <c r="V74" s="8"/>
    </row>
    <row r="75" spans="1:27" ht="22" customHeight="1" x14ac:dyDescent="0.35">
      <c r="A75" s="8"/>
      <c r="B75" s="8"/>
      <c r="C75" s="8"/>
      <c r="D75" s="8"/>
      <c r="E75" s="8"/>
      <c r="F75" s="8"/>
      <c r="G75" s="8"/>
      <c r="H75" s="8"/>
      <c r="I75" s="8"/>
      <c r="J75" s="8"/>
      <c r="K75" s="8"/>
      <c r="L75" s="8"/>
      <c r="M75" s="8"/>
      <c r="N75" s="8"/>
      <c r="O75" s="8"/>
      <c r="P75" s="8"/>
      <c r="Q75" s="8"/>
      <c r="R75" s="8"/>
      <c r="S75" s="8"/>
      <c r="T75" s="8"/>
      <c r="U75" s="8"/>
      <c r="V75" s="8"/>
    </row>
    <row r="76" spans="1:27" ht="22" customHeight="1" x14ac:dyDescent="0.35">
      <c r="A76" s="8"/>
      <c r="B76" s="8"/>
      <c r="C76" s="8"/>
      <c r="D76" s="8"/>
      <c r="E76" s="8"/>
      <c r="F76" s="8"/>
      <c r="G76" s="8"/>
      <c r="H76" s="8"/>
      <c r="I76" s="8"/>
      <c r="J76" s="8"/>
      <c r="K76" s="8"/>
      <c r="L76" s="8"/>
      <c r="M76" s="8"/>
      <c r="N76" s="8"/>
      <c r="O76" s="8"/>
      <c r="P76" s="8"/>
      <c r="Q76" s="8"/>
      <c r="R76" s="8"/>
      <c r="S76" s="8"/>
      <c r="T76" s="8"/>
      <c r="U76" s="8"/>
      <c r="V76" s="8"/>
    </row>
    <row r="77" spans="1:27" ht="22" customHeight="1" x14ac:dyDescent="0.35">
      <c r="A77" s="67" t="s">
        <v>655</v>
      </c>
      <c r="B77" s="39"/>
      <c r="C77" s="39"/>
      <c r="D77" s="39"/>
      <c r="E77" s="39"/>
      <c r="F77" s="39"/>
      <c r="G77" s="39"/>
      <c r="H77" s="39"/>
      <c r="I77" s="39"/>
      <c r="J77" s="39"/>
      <c r="K77" s="39"/>
      <c r="L77" s="39"/>
      <c r="M77" s="39"/>
      <c r="N77" s="39"/>
      <c r="O77" s="39"/>
      <c r="P77" s="39"/>
      <c r="Q77" s="39"/>
      <c r="R77" s="39"/>
      <c r="S77" s="39"/>
      <c r="T77" s="39"/>
      <c r="U77" s="39"/>
      <c r="V77" s="39"/>
    </row>
    <row r="78" spans="1:27" ht="29" customHeight="1" x14ac:dyDescent="0.35">
      <c r="A78" s="84" t="str">
        <f>IF($AA78=0,"",IF(LEN(INDEX(Quotes!$U$9:$U$258,$AA78)&amp;"")=0,"",INDEX(Quotes!$U$9:$U$258,$AA78)))</f>
        <v xml:space="preserve">Neuver maritime </v>
      </c>
      <c r="B78" s="39"/>
      <c r="C78" s="39"/>
      <c r="D78" s="39"/>
      <c r="E78" s="39"/>
      <c r="F78" s="39"/>
      <c r="G78" s="39"/>
      <c r="H78" s="39"/>
      <c r="I78" s="39"/>
      <c r="J78" s="39"/>
      <c r="K78" s="85" t="str">
        <f>IF($AA78=0,"",IF(LEN(INDEX(Quotes!$Z$9:$Z$258,$AA78)&amp;"")=0,"",INDEX(Quotes!$Z$9:$Z$258,$AA78)))</f>
        <v>Steering gears overhaul</v>
      </c>
      <c r="L78" s="39"/>
      <c r="M78" s="39"/>
      <c r="N78" s="39"/>
      <c r="O78" s="39"/>
      <c r="P78" s="39"/>
      <c r="Q78" s="39"/>
      <c r="R78" s="39"/>
      <c r="S78" s="39"/>
      <c r="T78" s="39"/>
      <c r="U78" s="39"/>
      <c r="V78" s="39"/>
      <c r="AA78">
        <f>IFERROR(MATCH(5,Quotes!$AK$9:$AK$258,0),0)</f>
        <v>13</v>
      </c>
    </row>
    <row r="79" spans="1:27" ht="21" customHeight="1" x14ac:dyDescent="0.35">
      <c r="A79" s="40" t="str">
        <f>IF($AA78=0,"",IF(LEN(INDEX(Quotes!$V$9:$V$258,$AA78)&amp;"")=0,"",INDEX(Quotes!$V$9:$V$258,$AA78)))</f>
        <v>Hilde Omvik Kyte</v>
      </c>
      <c r="B79" s="39"/>
      <c r="C79" s="39"/>
      <c r="D79" s="39"/>
      <c r="E79" s="39"/>
      <c r="F79" s="39"/>
      <c r="G79" s="39"/>
      <c r="H79" s="40" t="str">
        <f>IF($AA78=0,"",IF(LEN(INDEX(Quotes!$W$9:$W$258,$AA78)&amp;"")=0,"",INDEX(Quotes!$W$9:$W$258,$AA78)))</f>
        <v>support@neuver.com</v>
      </c>
      <c r="I79" s="39"/>
      <c r="J79" s="39"/>
      <c r="K79" s="39"/>
      <c r="L79" s="39"/>
      <c r="M79" s="39"/>
      <c r="N79" s="39"/>
      <c r="O79" s="39"/>
      <c r="P79" s="39"/>
      <c r="Q79" s="39"/>
      <c r="R79" s="77" t="str">
        <f>IF($AA78=0,"",IF(LEN(INDEX(Quotes!$X$9:$X$258,$AA78)&amp;"")=0,"",INDEX(Quotes!$X$9:$X$258,$AA78)))</f>
        <v>48 28 85 00</v>
      </c>
      <c r="S79" s="39"/>
      <c r="T79" s="39"/>
      <c r="U79" s="39"/>
      <c r="V79" s="39"/>
    </row>
    <row r="80" spans="1:27" ht="21" customHeight="1" x14ac:dyDescent="0.35">
      <c r="A80" s="83" t="str">
        <f>IF($AA78=0,"","ORIGINAL EUR")</f>
        <v>ORIGINAL EUR</v>
      </c>
      <c r="B80" s="39"/>
      <c r="C80" s="39"/>
      <c r="D80" s="39"/>
      <c r="E80" s="39"/>
      <c r="F80" s="39"/>
      <c r="G80" s="39"/>
      <c r="H80" s="8"/>
      <c r="I80" s="83" t="str">
        <f>IF($AA78=0,"","LATEST EUR")</f>
        <v>LATEST EUR</v>
      </c>
      <c r="J80" s="39"/>
      <c r="K80" s="39"/>
      <c r="L80" s="39"/>
      <c r="M80" s="39"/>
      <c r="N80" s="39"/>
      <c r="O80" s="39"/>
      <c r="P80" s="8"/>
      <c r="Q80" s="83" t="str">
        <f>IF($AA78=0,"","SAVED EUR")</f>
        <v>SAVED EUR</v>
      </c>
      <c r="R80" s="39"/>
      <c r="S80" s="39"/>
      <c r="T80" s="39"/>
      <c r="U80" s="39"/>
      <c r="V80" s="39"/>
    </row>
    <row r="81" spans="1:27" ht="21" customHeight="1" x14ac:dyDescent="0.35">
      <c r="A81" s="82">
        <f>IF($AA78=0,"",IF(LEN(INDEX(Quotes!$AB$9:$AB$258,$AA78)&amp;"")=0,"",INDEX(Quotes!$AB$9:$AB$258,$AA78)))</f>
        <v>42681</v>
      </c>
      <c r="B81" s="39"/>
      <c r="C81" s="39"/>
      <c r="D81" s="39"/>
      <c r="E81" s="39"/>
      <c r="F81" s="39"/>
      <c r="G81" s="39"/>
      <c r="H81" s="8"/>
      <c r="I81" s="82">
        <f>IF($AA78=0,"",IF(LEN(INDEX(Quotes!$AD$9:$AD$258,$AA78)&amp;"")=0,"",INDEX(Quotes!$AD$9:$AD$258,$AA78)))</f>
        <v>42681</v>
      </c>
      <c r="J81" s="39"/>
      <c r="K81" s="39"/>
      <c r="L81" s="39"/>
      <c r="M81" s="39"/>
      <c r="N81" s="39"/>
      <c r="O81" s="39"/>
      <c r="P81" s="8"/>
      <c r="Q81" s="82" t="str">
        <f>IF($AA78=0,"",IF(LEN(INDEX(Quotes!$AF$9:$AF$258,$AA78)&amp;"")=0,"",INDEX(Quotes!$AF$9:$AF$258,$AA78)))</f>
        <v/>
      </c>
      <c r="R81" s="39"/>
      <c r="S81" s="39"/>
      <c r="T81" s="39"/>
      <c r="U81" s="39"/>
      <c r="V81" s="39"/>
    </row>
    <row r="82" spans="1:27" ht="21" customHeight="1" x14ac:dyDescent="0.35">
      <c r="A82" s="48" t="str">
        <f>IF($AA78=0,"","Reference: "&amp;IF(INDEX(Quotes!$M$9:$M$258,$AA78)="",INDEX(Quotes!$S$9:$S$258,$AA78),INDEX(Quotes!$M$9:$M$258,$AA78)))</f>
        <v>Reference: Q105715</v>
      </c>
      <c r="B82" s="39"/>
      <c r="C82" s="39"/>
      <c r="D82" s="39"/>
      <c r="E82" s="39"/>
      <c r="F82" s="39"/>
      <c r="G82" s="39"/>
      <c r="H82" s="39"/>
      <c r="I82" s="39"/>
      <c r="J82" s="39"/>
      <c r="K82" s="39"/>
      <c r="L82" s="39"/>
      <c r="M82" s="39"/>
      <c r="N82" s="39"/>
      <c r="O82" s="39"/>
      <c r="P82" s="39"/>
      <c r="Q82" s="48" t="str">
        <f>IF($AA78=0,"",INDEX(Quotes!$E$9:$E$258,$AA78))</f>
        <v>Main scope</v>
      </c>
      <c r="R82" s="39"/>
      <c r="S82" s="39"/>
      <c r="T82" s="39"/>
      <c r="U82" s="39"/>
      <c r="V82" s="39"/>
    </row>
    <row r="83" spans="1:27" ht="21" customHeight="1" x14ac:dyDescent="0.35">
      <c r="A83" s="81" t="str">
        <f>IF($AA78=0,"",IF(INDEX(Quotes!$N$9:$N$258,$AA78)="","No original link","Original quote"))</f>
        <v>Original quote</v>
      </c>
      <c r="B83" s="39"/>
      <c r="C83" s="39"/>
      <c r="D83" s="39"/>
      <c r="E83" s="39"/>
      <c r="F83" s="39"/>
      <c r="G83" s="39"/>
      <c r="H83" s="8"/>
      <c r="I83" s="81" t="str">
        <f>IF($AA78=0,"",IF(INDEX(Quotes!$O$9:$O$258,$AA78)="","No revised link","Revised quote"))</f>
        <v>No revised link</v>
      </c>
      <c r="J83" s="39"/>
      <c r="K83" s="39"/>
      <c r="L83" s="39"/>
      <c r="M83" s="39"/>
      <c r="N83" s="39"/>
      <c r="O83" s="39"/>
      <c r="P83" s="8"/>
      <c r="Q83" s="81" t="str">
        <f>IF($AA78=0,"",HYPERLINK("#'Quotes'!A"&amp;($AA78+8),"Open quote record"))</f>
        <v>Open quote record</v>
      </c>
      <c r="R83" s="39"/>
      <c r="S83" s="39"/>
      <c r="T83" s="39"/>
      <c r="U83" s="39"/>
      <c r="V83" s="39"/>
    </row>
    <row r="84" spans="1:27" ht="21" customHeight="1" x14ac:dyDescent="0.35">
      <c r="A84" s="8"/>
      <c r="B84" s="8"/>
      <c r="C84" s="8"/>
      <c r="D84" s="8"/>
      <c r="E84" s="8"/>
      <c r="F84" s="8"/>
      <c r="G84" s="8"/>
      <c r="H84" s="8"/>
      <c r="I84" s="8"/>
      <c r="J84" s="8"/>
      <c r="K84" s="8"/>
      <c r="L84" s="8"/>
      <c r="M84" s="8"/>
      <c r="N84" s="8"/>
      <c r="O84" s="8"/>
      <c r="P84" s="8"/>
      <c r="Q84" s="8"/>
      <c r="R84" s="8"/>
      <c r="S84" s="8"/>
      <c r="T84" s="8"/>
      <c r="U84" s="8"/>
      <c r="V84" s="8"/>
    </row>
    <row r="85" spans="1:27" ht="22" customHeight="1" x14ac:dyDescent="0.35">
      <c r="A85" s="8"/>
      <c r="B85" s="8"/>
      <c r="C85" s="8"/>
      <c r="D85" s="8"/>
      <c r="E85" s="8"/>
      <c r="F85" s="8"/>
      <c r="G85" s="8"/>
      <c r="H85" s="8"/>
      <c r="I85" s="8"/>
      <c r="J85" s="8"/>
      <c r="K85" s="8"/>
      <c r="L85" s="8"/>
      <c r="M85" s="8"/>
      <c r="N85" s="8"/>
      <c r="O85" s="8"/>
      <c r="P85" s="8"/>
      <c r="Q85" s="8"/>
      <c r="R85" s="8"/>
      <c r="S85" s="8"/>
      <c r="T85" s="8"/>
      <c r="U85" s="8"/>
      <c r="V85" s="8"/>
    </row>
    <row r="86" spans="1:27" ht="22" customHeight="1" x14ac:dyDescent="0.35">
      <c r="A86" s="8"/>
      <c r="B86" s="8"/>
      <c r="C86" s="8"/>
      <c r="D86" s="8"/>
      <c r="E86" s="8"/>
      <c r="F86" s="8"/>
      <c r="G86" s="8"/>
      <c r="H86" s="8"/>
      <c r="I86" s="8"/>
      <c r="J86" s="8"/>
      <c r="K86" s="8"/>
      <c r="L86" s="8"/>
      <c r="M86" s="8"/>
      <c r="N86" s="8"/>
      <c r="O86" s="8"/>
      <c r="P86" s="8"/>
      <c r="Q86" s="8"/>
      <c r="R86" s="8"/>
      <c r="S86" s="8"/>
      <c r="T86" s="8"/>
      <c r="U86" s="8"/>
      <c r="V86" s="8"/>
    </row>
    <row r="87" spans="1:27" ht="29" customHeight="1" x14ac:dyDescent="0.35">
      <c r="A87" s="84" t="str">
        <f>IF($AA87=0,"",IF(LEN(INDEX(Quotes!$U$9:$U$258,$AA87)&amp;"")=0,"",INDEX(Quotes!$U$9:$U$258,$AA87)))</f>
        <v>BRUNVOLL</v>
      </c>
      <c r="B87" s="39"/>
      <c r="C87" s="39"/>
      <c r="D87" s="39"/>
      <c r="E87" s="39"/>
      <c r="F87" s="39"/>
      <c r="G87" s="39"/>
      <c r="H87" s="39"/>
      <c r="I87" s="39"/>
      <c r="J87" s="39"/>
      <c r="K87" s="85" t="str">
        <f>IF($AA87=0,"",IF(LEN(INDEX(Quotes!$Z$9:$Z$258,$AA87)&amp;"")=0,"",INDEX(Quotes!$Z$9:$Z$258,$AA87)))</f>
        <v>Bow thrusters overhaul</v>
      </c>
      <c r="L87" s="39"/>
      <c r="M87" s="39"/>
      <c r="N87" s="39"/>
      <c r="O87" s="39"/>
      <c r="P87" s="39"/>
      <c r="Q87" s="39"/>
      <c r="R87" s="39"/>
      <c r="S87" s="39"/>
      <c r="T87" s="39"/>
      <c r="U87" s="39"/>
      <c r="V87" s="39"/>
      <c r="AA87">
        <f>IFERROR(MATCH(6,Quotes!$AK$9:$AK$258,0),0)</f>
        <v>15</v>
      </c>
    </row>
    <row r="88" spans="1:27" ht="21" customHeight="1" x14ac:dyDescent="0.35">
      <c r="A88" s="40" t="str">
        <f>IF($AA87=0,"",IF(LEN(INDEX(Quotes!$V$9:$V$258,$AA87)&amp;"")=0,"",INDEX(Quotes!$V$9:$V$258,$AA87)))</f>
        <v/>
      </c>
      <c r="B88" s="39"/>
      <c r="C88" s="39"/>
      <c r="D88" s="39"/>
      <c r="E88" s="39"/>
      <c r="F88" s="39"/>
      <c r="G88" s="39"/>
      <c r="H88" s="40" t="str">
        <f>IF($AA87=0,"",IF(LEN(INDEX(Quotes!$W$9:$W$258,$AA87)&amp;"")=0,"",INDEX(Quotes!$W$9:$W$258,$AA87)))</f>
        <v>office@brunvoll.no</v>
      </c>
      <c r="I88" s="39"/>
      <c r="J88" s="39"/>
      <c r="K88" s="39"/>
      <c r="L88" s="39"/>
      <c r="M88" s="39"/>
      <c r="N88" s="39"/>
      <c r="O88" s="39"/>
      <c r="P88" s="39"/>
      <c r="Q88" s="39"/>
      <c r="R88" s="77" t="str">
        <f>IF($AA87=0,"",IF(LEN(INDEX(Quotes!$X$9:$X$258,$AA87)&amp;"")=0,"",INDEX(Quotes!$X$9:$X$258,$AA87)))</f>
        <v>71 21 96 00</v>
      </c>
      <c r="S88" s="39"/>
      <c r="T88" s="39"/>
      <c r="U88" s="39"/>
      <c r="V88" s="39"/>
    </row>
    <row r="89" spans="1:27" ht="21" customHeight="1" x14ac:dyDescent="0.35">
      <c r="A89" s="83" t="str">
        <f>IF($AA87=0,"","ORIGINAL EUR")</f>
        <v>ORIGINAL EUR</v>
      </c>
      <c r="B89" s="39"/>
      <c r="C89" s="39"/>
      <c r="D89" s="39"/>
      <c r="E89" s="39"/>
      <c r="F89" s="39"/>
      <c r="G89" s="39"/>
      <c r="H89" s="8"/>
      <c r="I89" s="83" t="str">
        <f>IF($AA87=0,"","LATEST EUR")</f>
        <v>LATEST EUR</v>
      </c>
      <c r="J89" s="39"/>
      <c r="K89" s="39"/>
      <c r="L89" s="39"/>
      <c r="M89" s="39"/>
      <c r="N89" s="39"/>
      <c r="O89" s="39"/>
      <c r="P89" s="8"/>
      <c r="Q89" s="83" t="str">
        <f>IF($AA87=0,"","SAVED EUR")</f>
        <v>SAVED EUR</v>
      </c>
      <c r="R89" s="39"/>
      <c r="S89" s="39"/>
      <c r="T89" s="39"/>
      <c r="U89" s="39"/>
      <c r="V89" s="39"/>
    </row>
    <row r="90" spans="1:27" ht="21" customHeight="1" x14ac:dyDescent="0.35">
      <c r="A90" s="82">
        <f>IF($AA87=0,"",IF(LEN(INDEX(Quotes!$AB$9:$AB$258,$AA87)&amp;"")=0,"",INDEX(Quotes!$AB$9:$AB$258,$AA87)))</f>
        <v>108047.73062730627</v>
      </c>
      <c r="B90" s="39"/>
      <c r="C90" s="39"/>
      <c r="D90" s="39"/>
      <c r="E90" s="39"/>
      <c r="F90" s="39"/>
      <c r="G90" s="39"/>
      <c r="H90" s="8"/>
      <c r="I90" s="82">
        <f>IF($AA87=0,"",IF(LEN(INDEX(Quotes!$AD$9:$AD$258,$AA87)&amp;"")=0,"",INDEX(Quotes!$AD$9:$AD$258,$AA87)))</f>
        <v>108047.73062730627</v>
      </c>
      <c r="J90" s="39"/>
      <c r="K90" s="39"/>
      <c r="L90" s="39"/>
      <c r="M90" s="39"/>
      <c r="N90" s="39"/>
      <c r="O90" s="39"/>
      <c r="P90" s="8"/>
      <c r="Q90" s="82" t="str">
        <f>IF($AA87=0,"",IF(LEN(INDEX(Quotes!$AF$9:$AF$258,$AA87)&amp;"")=0,"",INDEX(Quotes!$AF$9:$AF$258,$AA87)))</f>
        <v/>
      </c>
      <c r="R90" s="39"/>
      <c r="S90" s="39"/>
      <c r="T90" s="39"/>
      <c r="U90" s="39"/>
      <c r="V90" s="39"/>
    </row>
    <row r="91" spans="1:27" ht="21" customHeight="1" x14ac:dyDescent="0.35">
      <c r="A91" s="48" t="str">
        <f>IF($AA87=0,"","Reference: "&amp;IF(INDEX(Quotes!$M$9:$M$258,$AA87)="",INDEX(Quotes!$S$9:$S$258,$AA87),INDEX(Quotes!$M$9:$M$258,$AA87)))</f>
        <v>Reference: 0004258302_0_0.pdf</v>
      </c>
      <c r="B91" s="39"/>
      <c r="C91" s="39"/>
      <c r="D91" s="39"/>
      <c r="E91" s="39"/>
      <c r="F91" s="39"/>
      <c r="G91" s="39"/>
      <c r="H91" s="39"/>
      <c r="I91" s="39"/>
      <c r="J91" s="39"/>
      <c r="K91" s="39"/>
      <c r="L91" s="39"/>
      <c r="M91" s="39"/>
      <c r="N91" s="39"/>
      <c r="O91" s="39"/>
      <c r="P91" s="39"/>
      <c r="Q91" s="48" t="str">
        <f>IF($AA87=0,"",INDEX(Quotes!$E$9:$E$258,$AA87))</f>
        <v>Spares</v>
      </c>
      <c r="R91" s="39"/>
      <c r="S91" s="39"/>
      <c r="T91" s="39"/>
      <c r="U91" s="39"/>
      <c r="V91" s="39"/>
    </row>
    <row r="92" spans="1:27" ht="21" customHeight="1" x14ac:dyDescent="0.35">
      <c r="A92" s="81" t="str">
        <f>IF($AA87=0,"",IF(INDEX(Quotes!$N$9:$N$258,$AA87)="","No original link","Original quote"))</f>
        <v>Original quote</v>
      </c>
      <c r="B92" s="39"/>
      <c r="C92" s="39"/>
      <c r="D92" s="39"/>
      <c r="E92" s="39"/>
      <c r="F92" s="39"/>
      <c r="G92" s="39"/>
      <c r="I92" s="81" t="str">
        <f>IF($AA87=0,"",IF(INDEX(Quotes!$O$9:$O$258,$AA87)="","No revised link","Revised quote"))</f>
        <v>No revised link</v>
      </c>
      <c r="J92" s="39"/>
      <c r="K92" s="39"/>
      <c r="L92" s="39"/>
      <c r="M92" s="39"/>
      <c r="N92" s="39"/>
      <c r="O92" s="39"/>
      <c r="Q92" s="81" t="str">
        <f>IF($AA87=0,"",HYPERLINK("#'Quotes'!A"&amp;($AA87+8),"Open quote record"))</f>
        <v>Open quote record</v>
      </c>
      <c r="R92" s="39"/>
      <c r="S92" s="39"/>
      <c r="T92" s="39"/>
      <c r="U92" s="39"/>
      <c r="V92" s="39"/>
    </row>
    <row r="93" spans="1:27" ht="21" customHeight="1" x14ac:dyDescent="0.35"/>
    <row r="96" spans="1:27" ht="29" customHeight="1" x14ac:dyDescent="0.35">
      <c r="A96" s="84" t="str">
        <f>IF($AA96=0,"",IF(LEN(INDEX(Quotes!$U$9:$U$258,$AA96)&amp;"")=0,"",INDEX(Quotes!$U$9:$U$258,$AA96)))</f>
        <v/>
      </c>
      <c r="B96" s="39"/>
      <c r="C96" s="39"/>
      <c r="D96" s="39"/>
      <c r="E96" s="39"/>
      <c r="F96" s="39"/>
      <c r="G96" s="39"/>
      <c r="H96" s="39"/>
      <c r="I96" s="39"/>
      <c r="J96" s="39"/>
      <c r="K96" s="85" t="str">
        <f>IF($AA96=0,"",IF(LEN(INDEX(Quotes!$Z$9:$Z$258,$AA96)&amp;"")=0,"",INDEX(Quotes!$Z$9:$Z$258,$AA96)))</f>
        <v/>
      </c>
      <c r="L96" s="39"/>
      <c r="M96" s="39"/>
      <c r="N96" s="39"/>
      <c r="O96" s="39"/>
      <c r="P96" s="39"/>
      <c r="Q96" s="39"/>
      <c r="R96" s="39"/>
      <c r="S96" s="39"/>
      <c r="T96" s="39"/>
      <c r="U96" s="39"/>
      <c r="V96" s="39"/>
      <c r="AA96">
        <f>IFERROR(MATCH(7,Quotes!$AK$9:$AK$258,0),0)</f>
        <v>0</v>
      </c>
    </row>
    <row r="97" spans="1:27" ht="21" customHeight="1" x14ac:dyDescent="0.35">
      <c r="A97" s="40" t="str">
        <f>IF($AA96=0,"",IF(LEN(INDEX(Quotes!$V$9:$V$258,$AA96)&amp;"")=0,"",INDEX(Quotes!$V$9:$V$258,$AA96)))</f>
        <v/>
      </c>
      <c r="B97" s="39"/>
      <c r="C97" s="39"/>
      <c r="D97" s="39"/>
      <c r="E97" s="39"/>
      <c r="F97" s="39"/>
      <c r="G97" s="39"/>
      <c r="H97" s="40" t="str">
        <f>IF($AA96=0,"",IF(LEN(INDEX(Quotes!$W$9:$W$258,$AA96)&amp;"")=0,"",INDEX(Quotes!$W$9:$W$258,$AA96)))</f>
        <v/>
      </c>
      <c r="I97" s="39"/>
      <c r="J97" s="39"/>
      <c r="K97" s="39"/>
      <c r="L97" s="39"/>
      <c r="M97" s="39"/>
      <c r="N97" s="39"/>
      <c r="O97" s="39"/>
      <c r="P97" s="39"/>
      <c r="Q97" s="39"/>
      <c r="R97" s="77" t="str">
        <f>IF($AA96=0,"",IF(LEN(INDEX(Quotes!$X$9:$X$258,$AA96)&amp;"")=0,"",INDEX(Quotes!$X$9:$X$258,$AA96)))</f>
        <v/>
      </c>
      <c r="S97" s="39"/>
      <c r="T97" s="39"/>
      <c r="U97" s="39"/>
      <c r="V97" s="39"/>
    </row>
    <row r="98" spans="1:27" ht="21" customHeight="1" x14ac:dyDescent="0.35">
      <c r="A98" s="83" t="str">
        <f>IF($AA96=0,"","ORIGINAL EUR")</f>
        <v/>
      </c>
      <c r="B98" s="39"/>
      <c r="C98" s="39"/>
      <c r="D98" s="39"/>
      <c r="E98" s="39"/>
      <c r="F98" s="39"/>
      <c r="G98" s="39"/>
      <c r="I98" s="83" t="str">
        <f>IF($AA96=0,"","LATEST EUR")</f>
        <v/>
      </c>
      <c r="J98" s="39"/>
      <c r="K98" s="39"/>
      <c r="L98" s="39"/>
      <c r="M98" s="39"/>
      <c r="N98" s="39"/>
      <c r="O98" s="39"/>
      <c r="Q98" s="83" t="str">
        <f>IF($AA96=0,"","SAVED EUR")</f>
        <v/>
      </c>
      <c r="R98" s="39"/>
      <c r="S98" s="39"/>
      <c r="T98" s="39"/>
      <c r="U98" s="39"/>
      <c r="V98" s="39"/>
    </row>
    <row r="99" spans="1:27" ht="21" customHeight="1" x14ac:dyDescent="0.35">
      <c r="A99" s="82" t="str">
        <f>IF($AA96=0,"",IF(LEN(INDEX(Quotes!$AB$9:$AB$258,$AA96)&amp;"")=0,"",INDEX(Quotes!$AB$9:$AB$258,$AA96)))</f>
        <v/>
      </c>
      <c r="B99" s="39"/>
      <c r="C99" s="39"/>
      <c r="D99" s="39"/>
      <c r="E99" s="39"/>
      <c r="F99" s="39"/>
      <c r="G99" s="39"/>
      <c r="I99" s="82" t="str">
        <f>IF($AA96=0,"",IF(LEN(INDEX(Quotes!$AD$9:$AD$258,$AA96)&amp;"")=0,"",INDEX(Quotes!$AD$9:$AD$258,$AA96)))</f>
        <v/>
      </c>
      <c r="J99" s="39"/>
      <c r="K99" s="39"/>
      <c r="L99" s="39"/>
      <c r="M99" s="39"/>
      <c r="N99" s="39"/>
      <c r="O99" s="39"/>
      <c r="Q99" s="82" t="str">
        <f>IF($AA96=0,"",IF(LEN(INDEX(Quotes!$AF$9:$AF$258,$AA96)&amp;"")=0,"",INDEX(Quotes!$AF$9:$AF$258,$AA96)))</f>
        <v/>
      </c>
      <c r="R99" s="39"/>
      <c r="S99" s="39"/>
      <c r="T99" s="39"/>
      <c r="U99" s="39"/>
      <c r="V99" s="39"/>
    </row>
    <row r="100" spans="1:27" ht="21" customHeight="1" x14ac:dyDescent="0.35">
      <c r="A100" s="48" t="str">
        <f>IF($AA96=0,"","Reference: "&amp;IF(INDEX(Quotes!$M$9:$M$258,$AA96)="",INDEX(Quotes!$S$9:$S$258,$AA96),INDEX(Quotes!$M$9:$M$258,$AA96)))</f>
        <v/>
      </c>
      <c r="B100" s="39"/>
      <c r="C100" s="39"/>
      <c r="D100" s="39"/>
      <c r="E100" s="39"/>
      <c r="F100" s="39"/>
      <c r="G100" s="39"/>
      <c r="H100" s="39"/>
      <c r="I100" s="39"/>
      <c r="J100" s="39"/>
      <c r="K100" s="39"/>
      <c r="L100" s="39"/>
      <c r="M100" s="39"/>
      <c r="N100" s="39"/>
      <c r="O100" s="39"/>
      <c r="P100" s="39"/>
      <c r="Q100" s="48" t="str">
        <f>IF($AA96=0,"",INDEX(Quotes!$E$9:$E$258,$AA96))</f>
        <v/>
      </c>
      <c r="R100" s="39"/>
      <c r="S100" s="39"/>
      <c r="T100" s="39"/>
      <c r="U100" s="39"/>
      <c r="V100" s="39"/>
    </row>
    <row r="101" spans="1:27" ht="21" customHeight="1" x14ac:dyDescent="0.35">
      <c r="A101" s="81" t="str">
        <f>IF($AA96=0,"",IF(INDEX(Quotes!$N$9:$N$258,$AA96)="","No original link","Original quote"))</f>
        <v/>
      </c>
      <c r="B101" s="39"/>
      <c r="C101" s="39"/>
      <c r="D101" s="39"/>
      <c r="E101" s="39"/>
      <c r="F101" s="39"/>
      <c r="G101" s="39"/>
      <c r="I101" s="81" t="str">
        <f>IF($AA96=0,"",IF(INDEX(Quotes!$O$9:$O$258,$AA96)="","No revised link","Revised quote"))</f>
        <v/>
      </c>
      <c r="J101" s="39"/>
      <c r="K101" s="39"/>
      <c r="L101" s="39"/>
      <c r="M101" s="39"/>
      <c r="N101" s="39"/>
      <c r="O101" s="39"/>
      <c r="Q101" s="81" t="str">
        <f>IF($AA96=0,"",HYPERLINK("#'Quotes'!A"&amp;($AA96+8),"Open quote record"))</f>
        <v/>
      </c>
      <c r="R101" s="39"/>
      <c r="S101" s="39"/>
      <c r="T101" s="39"/>
      <c r="U101" s="39"/>
      <c r="V101" s="39"/>
    </row>
    <row r="102" spans="1:27" ht="21" customHeight="1" x14ac:dyDescent="0.35"/>
    <row r="105" spans="1:27" ht="29" customHeight="1" x14ac:dyDescent="0.35">
      <c r="A105" s="84" t="str">
        <f>IF($AA105=0,"",IF(LEN(INDEX(Quotes!$U$9:$U$258,$AA105)&amp;"")=0,"",INDEX(Quotes!$U$9:$U$258,$AA105)))</f>
        <v/>
      </c>
      <c r="B105" s="39"/>
      <c r="C105" s="39"/>
      <c r="D105" s="39"/>
      <c r="E105" s="39"/>
      <c r="F105" s="39"/>
      <c r="G105" s="39"/>
      <c r="H105" s="39"/>
      <c r="I105" s="39"/>
      <c r="J105" s="39"/>
      <c r="K105" s="85" t="str">
        <f>IF($AA105=0,"",IF(LEN(INDEX(Quotes!$Z$9:$Z$258,$AA105)&amp;"")=0,"",INDEX(Quotes!$Z$9:$Z$258,$AA105)))</f>
        <v/>
      </c>
      <c r="L105" s="39"/>
      <c r="M105" s="39"/>
      <c r="N105" s="39"/>
      <c r="O105" s="39"/>
      <c r="P105" s="39"/>
      <c r="Q105" s="39"/>
      <c r="R105" s="39"/>
      <c r="S105" s="39"/>
      <c r="T105" s="39"/>
      <c r="U105" s="39"/>
      <c r="V105" s="39"/>
      <c r="AA105">
        <f>IFERROR(MATCH(8,Quotes!$AK$9:$AK$258,0),0)</f>
        <v>0</v>
      </c>
    </row>
    <row r="106" spans="1:27" ht="21" customHeight="1" x14ac:dyDescent="0.35">
      <c r="A106" s="40" t="str">
        <f>IF($AA105=0,"",IF(LEN(INDEX(Quotes!$V$9:$V$258,$AA105)&amp;"")=0,"",INDEX(Quotes!$V$9:$V$258,$AA105)))</f>
        <v/>
      </c>
      <c r="B106" s="39"/>
      <c r="C106" s="39"/>
      <c r="D106" s="39"/>
      <c r="E106" s="39"/>
      <c r="F106" s="39"/>
      <c r="G106" s="39"/>
      <c r="H106" s="40" t="str">
        <f>IF($AA105=0,"",IF(LEN(INDEX(Quotes!$W$9:$W$258,$AA105)&amp;"")=0,"",INDEX(Quotes!$W$9:$W$258,$AA105)))</f>
        <v/>
      </c>
      <c r="I106" s="39"/>
      <c r="J106" s="39"/>
      <c r="K106" s="39"/>
      <c r="L106" s="39"/>
      <c r="M106" s="39"/>
      <c r="N106" s="39"/>
      <c r="O106" s="39"/>
      <c r="P106" s="39"/>
      <c r="Q106" s="39"/>
      <c r="R106" s="77" t="str">
        <f>IF($AA105=0,"",IF(LEN(INDEX(Quotes!$X$9:$X$258,$AA105)&amp;"")=0,"",INDEX(Quotes!$X$9:$X$258,$AA105)))</f>
        <v/>
      </c>
      <c r="S106" s="39"/>
      <c r="T106" s="39"/>
      <c r="U106" s="39"/>
      <c r="V106" s="39"/>
    </row>
    <row r="107" spans="1:27" ht="21" customHeight="1" x14ac:dyDescent="0.35">
      <c r="A107" s="83" t="str">
        <f>IF($AA105=0,"","ORIGINAL EUR")</f>
        <v/>
      </c>
      <c r="B107" s="39"/>
      <c r="C107" s="39"/>
      <c r="D107" s="39"/>
      <c r="E107" s="39"/>
      <c r="F107" s="39"/>
      <c r="G107" s="39"/>
      <c r="I107" s="83" t="str">
        <f>IF($AA105=0,"","LATEST EUR")</f>
        <v/>
      </c>
      <c r="J107" s="39"/>
      <c r="K107" s="39"/>
      <c r="L107" s="39"/>
      <c r="M107" s="39"/>
      <c r="N107" s="39"/>
      <c r="O107" s="39"/>
      <c r="Q107" s="83" t="str">
        <f>IF($AA105=0,"","SAVED EUR")</f>
        <v/>
      </c>
      <c r="R107" s="39"/>
      <c r="S107" s="39"/>
      <c r="T107" s="39"/>
      <c r="U107" s="39"/>
      <c r="V107" s="39"/>
    </row>
    <row r="108" spans="1:27" ht="21" customHeight="1" x14ac:dyDescent="0.35">
      <c r="A108" s="82" t="str">
        <f>IF($AA105=0,"",IF(LEN(INDEX(Quotes!$AB$9:$AB$258,$AA105)&amp;"")=0,"",INDEX(Quotes!$AB$9:$AB$258,$AA105)))</f>
        <v/>
      </c>
      <c r="B108" s="39"/>
      <c r="C108" s="39"/>
      <c r="D108" s="39"/>
      <c r="E108" s="39"/>
      <c r="F108" s="39"/>
      <c r="G108" s="39"/>
      <c r="I108" s="82" t="str">
        <f>IF($AA105=0,"",IF(LEN(INDEX(Quotes!$AD$9:$AD$258,$AA105)&amp;"")=0,"",INDEX(Quotes!$AD$9:$AD$258,$AA105)))</f>
        <v/>
      </c>
      <c r="J108" s="39"/>
      <c r="K108" s="39"/>
      <c r="L108" s="39"/>
      <c r="M108" s="39"/>
      <c r="N108" s="39"/>
      <c r="O108" s="39"/>
      <c r="Q108" s="82" t="str">
        <f>IF($AA105=0,"",IF(LEN(INDEX(Quotes!$AF$9:$AF$258,$AA105)&amp;"")=0,"",INDEX(Quotes!$AF$9:$AF$258,$AA105)))</f>
        <v/>
      </c>
      <c r="R108" s="39"/>
      <c r="S108" s="39"/>
      <c r="T108" s="39"/>
      <c r="U108" s="39"/>
      <c r="V108" s="39"/>
    </row>
    <row r="109" spans="1:27" ht="21" customHeight="1" x14ac:dyDescent="0.35">
      <c r="A109" s="48" t="str">
        <f>IF($AA105=0,"","Reference: "&amp;IF(INDEX(Quotes!$M$9:$M$258,$AA105)="",INDEX(Quotes!$S$9:$S$258,$AA105),INDEX(Quotes!$M$9:$M$258,$AA105)))</f>
        <v/>
      </c>
      <c r="B109" s="39"/>
      <c r="C109" s="39"/>
      <c r="D109" s="39"/>
      <c r="E109" s="39"/>
      <c r="F109" s="39"/>
      <c r="G109" s="39"/>
      <c r="H109" s="39"/>
      <c r="I109" s="39"/>
      <c r="J109" s="39"/>
      <c r="K109" s="39"/>
      <c r="L109" s="39"/>
      <c r="M109" s="39"/>
      <c r="N109" s="39"/>
      <c r="O109" s="39"/>
      <c r="P109" s="39"/>
      <c r="Q109" s="48" t="str">
        <f>IF($AA105=0,"",INDEX(Quotes!$E$9:$E$258,$AA105))</f>
        <v/>
      </c>
      <c r="R109" s="39"/>
      <c r="S109" s="39"/>
      <c r="T109" s="39"/>
      <c r="U109" s="39"/>
      <c r="V109" s="39"/>
    </row>
    <row r="110" spans="1:27" ht="21" customHeight="1" x14ac:dyDescent="0.35">
      <c r="A110" s="81" t="str">
        <f>IF($AA105=0,"",IF(INDEX(Quotes!$N$9:$N$258,$AA105)="","No original link","Original quote"))</f>
        <v/>
      </c>
      <c r="B110" s="39"/>
      <c r="C110" s="39"/>
      <c r="D110" s="39"/>
      <c r="E110" s="39"/>
      <c r="F110" s="39"/>
      <c r="G110" s="39"/>
      <c r="I110" s="81" t="str">
        <f>IF($AA105=0,"",IF(INDEX(Quotes!$O$9:$O$258,$AA105)="","No revised link","Revised quote"))</f>
        <v/>
      </c>
      <c r="J110" s="39"/>
      <c r="K110" s="39"/>
      <c r="L110" s="39"/>
      <c r="M110" s="39"/>
      <c r="N110" s="39"/>
      <c r="O110" s="39"/>
      <c r="Q110" s="81" t="str">
        <f>IF($AA105=0,"",HYPERLINK("#'Quotes'!A"&amp;($AA105+8),"Open quote record"))</f>
        <v/>
      </c>
      <c r="R110" s="39"/>
      <c r="S110" s="39"/>
      <c r="T110" s="39"/>
      <c r="U110" s="39"/>
      <c r="V110" s="39"/>
    </row>
    <row r="111" spans="1:27" ht="21" customHeight="1" x14ac:dyDescent="0.35"/>
    <row r="115" spans="1:27" hidden="1" x14ac:dyDescent="0.35">
      <c r="A115" s="67" t="s">
        <v>655</v>
      </c>
      <c r="B115" s="39"/>
      <c r="C115" s="39"/>
      <c r="D115" s="39"/>
      <c r="E115" s="39"/>
      <c r="F115" s="39"/>
      <c r="G115" s="39"/>
      <c r="H115" s="39"/>
      <c r="I115" s="39"/>
      <c r="J115" s="39"/>
      <c r="K115" s="39"/>
      <c r="L115" s="39"/>
      <c r="M115" s="39"/>
      <c r="N115" s="39"/>
      <c r="O115" s="39"/>
      <c r="P115" s="39"/>
      <c r="Q115" s="39"/>
      <c r="R115" s="39"/>
      <c r="S115" s="39"/>
      <c r="T115" s="39"/>
      <c r="U115" s="39"/>
      <c r="V115" s="39"/>
    </row>
    <row r="116" spans="1:27" ht="29" hidden="1" customHeight="1" x14ac:dyDescent="0.35">
      <c r="A116" s="84" t="str">
        <f>IF($AA116=0,"",IF(LEN(INDEX(Quotes!$U$9:$U$258,$AA116)&amp;"")=0,"",INDEX(Quotes!$U$9:$U$258,$AA116)))</f>
        <v/>
      </c>
      <c r="B116" s="39"/>
      <c r="C116" s="39"/>
      <c r="D116" s="39"/>
      <c r="E116" s="39"/>
      <c r="F116" s="39"/>
      <c r="G116" s="39"/>
      <c r="H116" s="39"/>
      <c r="I116" s="39"/>
      <c r="J116" s="39"/>
      <c r="K116" s="85" t="str">
        <f>IF($AA116=0,"",IF(LEN(INDEX(Quotes!$Z$9:$Z$258,$AA116)&amp;"")=0,"",INDEX(Quotes!$Z$9:$Z$258,$AA116)))</f>
        <v/>
      </c>
      <c r="L116" s="39"/>
      <c r="M116" s="39"/>
      <c r="N116" s="39"/>
      <c r="O116" s="39"/>
      <c r="P116" s="39"/>
      <c r="Q116" s="39"/>
      <c r="R116" s="39"/>
      <c r="S116" s="39"/>
      <c r="T116" s="39"/>
      <c r="U116" s="39"/>
      <c r="V116" s="39"/>
      <c r="AA116">
        <f>IFERROR(MATCH(9,Quotes!$AK$9:$AK$258,0),0)</f>
        <v>0</v>
      </c>
    </row>
    <row r="117" spans="1:27" ht="21" hidden="1" customHeight="1" x14ac:dyDescent="0.35">
      <c r="A117" s="40" t="str">
        <f>IF($AA116=0,"",IF(LEN(INDEX(Quotes!$V$9:$V$258,$AA116)&amp;"")=0,"",INDEX(Quotes!$V$9:$V$258,$AA116)))</f>
        <v/>
      </c>
      <c r="B117" s="39"/>
      <c r="C117" s="39"/>
      <c r="D117" s="39"/>
      <c r="E117" s="39"/>
      <c r="F117" s="39"/>
      <c r="G117" s="39"/>
      <c r="H117" s="40" t="str">
        <f>IF($AA116=0,"",IF(LEN(INDEX(Quotes!$W$9:$W$258,$AA116)&amp;"")=0,"",INDEX(Quotes!$W$9:$W$258,$AA116)))</f>
        <v/>
      </c>
      <c r="I117" s="39"/>
      <c r="J117" s="39"/>
      <c r="K117" s="39"/>
      <c r="L117" s="39"/>
      <c r="M117" s="39"/>
      <c r="N117" s="39"/>
      <c r="O117" s="39"/>
      <c r="P117" s="39"/>
      <c r="Q117" s="39"/>
      <c r="R117" s="77" t="str">
        <f>IF($AA116=0,"",IF(LEN(INDEX(Quotes!$X$9:$X$258,$AA116)&amp;"")=0,"",INDEX(Quotes!$X$9:$X$258,$AA116)))</f>
        <v/>
      </c>
      <c r="S117" s="39"/>
      <c r="T117" s="39"/>
      <c r="U117" s="39"/>
      <c r="V117" s="39"/>
    </row>
    <row r="118" spans="1:27" ht="21" hidden="1" customHeight="1" x14ac:dyDescent="0.35">
      <c r="A118" s="83" t="str">
        <f>IF($AA116=0,"","ORIGINAL EUR")</f>
        <v/>
      </c>
      <c r="B118" s="39"/>
      <c r="C118" s="39"/>
      <c r="D118" s="39"/>
      <c r="E118" s="39"/>
      <c r="F118" s="39"/>
      <c r="G118" s="39"/>
      <c r="I118" s="83" t="str">
        <f>IF($AA116=0,"","LATEST EUR")</f>
        <v/>
      </c>
      <c r="J118" s="39"/>
      <c r="K118" s="39"/>
      <c r="L118" s="39"/>
      <c r="M118" s="39"/>
      <c r="N118" s="39"/>
      <c r="O118" s="39"/>
      <c r="Q118" s="83" t="str">
        <f>IF($AA116=0,"","SAVED EUR")</f>
        <v/>
      </c>
      <c r="R118" s="39"/>
      <c r="S118" s="39"/>
      <c r="T118" s="39"/>
      <c r="U118" s="39"/>
      <c r="V118" s="39"/>
    </row>
    <row r="119" spans="1:27" ht="21" hidden="1" customHeight="1" x14ac:dyDescent="0.35">
      <c r="A119" s="82" t="str">
        <f>IF($AA116=0,"",IF(LEN(INDEX(Quotes!$AB$9:$AB$258,$AA116)&amp;"")=0,"",INDEX(Quotes!$AB$9:$AB$258,$AA116)))</f>
        <v/>
      </c>
      <c r="B119" s="39"/>
      <c r="C119" s="39"/>
      <c r="D119" s="39"/>
      <c r="E119" s="39"/>
      <c r="F119" s="39"/>
      <c r="G119" s="39"/>
      <c r="I119" s="82" t="str">
        <f>IF($AA116=0,"",IF(LEN(INDEX(Quotes!$AD$9:$AD$258,$AA116)&amp;"")=0,"",INDEX(Quotes!$AD$9:$AD$258,$AA116)))</f>
        <v/>
      </c>
      <c r="J119" s="39"/>
      <c r="K119" s="39"/>
      <c r="L119" s="39"/>
      <c r="M119" s="39"/>
      <c r="N119" s="39"/>
      <c r="O119" s="39"/>
      <c r="Q119" s="82" t="str">
        <f>IF($AA116=0,"",IF(LEN(INDEX(Quotes!$AF$9:$AF$258,$AA116)&amp;"")=0,"",INDEX(Quotes!$AF$9:$AF$258,$AA116)))</f>
        <v/>
      </c>
      <c r="R119" s="39"/>
      <c r="S119" s="39"/>
      <c r="T119" s="39"/>
      <c r="U119" s="39"/>
      <c r="V119" s="39"/>
    </row>
    <row r="120" spans="1:27" ht="21" hidden="1" customHeight="1" x14ac:dyDescent="0.35">
      <c r="A120" s="48" t="str">
        <f>IF($AA116=0,"","Reference: "&amp;IF(INDEX(Quotes!$M$9:$M$258,$AA116)="",INDEX(Quotes!$S$9:$S$258,$AA116),INDEX(Quotes!$M$9:$M$258,$AA116)))</f>
        <v/>
      </c>
      <c r="B120" s="39"/>
      <c r="C120" s="39"/>
      <c r="D120" s="39"/>
      <c r="E120" s="39"/>
      <c r="F120" s="39"/>
      <c r="G120" s="39"/>
      <c r="H120" s="39"/>
      <c r="I120" s="39"/>
      <c r="J120" s="39"/>
      <c r="K120" s="39"/>
      <c r="L120" s="39"/>
      <c r="M120" s="39"/>
      <c r="N120" s="39"/>
      <c r="O120" s="39"/>
      <c r="P120" s="39"/>
      <c r="Q120" s="48" t="str">
        <f>IF($AA116=0,"",INDEX(Quotes!$E$9:$E$258,$AA116))</f>
        <v/>
      </c>
      <c r="R120" s="39"/>
      <c r="S120" s="39"/>
      <c r="T120" s="39"/>
      <c r="U120" s="39"/>
      <c r="V120" s="39"/>
    </row>
    <row r="121" spans="1:27" ht="21" hidden="1" customHeight="1" x14ac:dyDescent="0.35">
      <c r="A121" s="81" t="str">
        <f>IF($AA116=0,"",IF(INDEX(Quotes!$N$9:$N$258,$AA116)="","No original link","Original quote"))</f>
        <v/>
      </c>
      <c r="B121" s="39"/>
      <c r="C121" s="39"/>
      <c r="D121" s="39"/>
      <c r="E121" s="39"/>
      <c r="F121" s="39"/>
      <c r="G121" s="39"/>
      <c r="I121" s="81" t="str">
        <f>IF($AA116=0,"",IF(INDEX(Quotes!$O$9:$O$258,$AA116)="","No revised link","Revised quote"))</f>
        <v/>
      </c>
      <c r="J121" s="39"/>
      <c r="K121" s="39"/>
      <c r="L121" s="39"/>
      <c r="M121" s="39"/>
      <c r="N121" s="39"/>
      <c r="O121" s="39"/>
      <c r="Q121" s="81" t="str">
        <f>IF($AA116=0,"",HYPERLINK("#'Quotes'!A"&amp;($AA116+8),"Open quote record"))</f>
        <v/>
      </c>
      <c r="R121" s="39"/>
      <c r="S121" s="39"/>
      <c r="T121" s="39"/>
      <c r="U121" s="39"/>
      <c r="V121" s="39"/>
    </row>
    <row r="122" spans="1:27" ht="21" hidden="1" customHeight="1" x14ac:dyDescent="0.35"/>
    <row r="123" spans="1:27" hidden="1" x14ac:dyDescent="0.35"/>
    <row r="124" spans="1:27" hidden="1" x14ac:dyDescent="0.35"/>
    <row r="125" spans="1:27" ht="29" hidden="1" customHeight="1" x14ac:dyDescent="0.35">
      <c r="A125" s="84" t="str">
        <f>IF($AA125=0,"",IF(LEN(INDEX(Quotes!$U$9:$U$258,$AA125)&amp;"")=0,"",INDEX(Quotes!$U$9:$U$258,$AA125)))</f>
        <v/>
      </c>
      <c r="B125" s="39"/>
      <c r="C125" s="39"/>
      <c r="D125" s="39"/>
      <c r="E125" s="39"/>
      <c r="F125" s="39"/>
      <c r="G125" s="39"/>
      <c r="H125" s="39"/>
      <c r="I125" s="39"/>
      <c r="J125" s="39"/>
      <c r="K125" s="85" t="str">
        <f>IF($AA125=0,"",IF(LEN(INDEX(Quotes!$Z$9:$Z$258,$AA125)&amp;"")=0,"",INDEX(Quotes!$Z$9:$Z$258,$AA125)))</f>
        <v/>
      </c>
      <c r="L125" s="39"/>
      <c r="M125" s="39"/>
      <c r="N125" s="39"/>
      <c r="O125" s="39"/>
      <c r="P125" s="39"/>
      <c r="Q125" s="39"/>
      <c r="R125" s="39"/>
      <c r="S125" s="39"/>
      <c r="T125" s="39"/>
      <c r="U125" s="39"/>
      <c r="V125" s="39"/>
      <c r="AA125">
        <f>IFERROR(MATCH(10,Quotes!$AK$9:$AK$258,0),0)</f>
        <v>0</v>
      </c>
    </row>
    <row r="126" spans="1:27" ht="21" hidden="1" customHeight="1" x14ac:dyDescent="0.35">
      <c r="A126" s="40" t="str">
        <f>IF($AA125=0,"",IF(LEN(INDEX(Quotes!$V$9:$V$258,$AA125)&amp;"")=0,"",INDEX(Quotes!$V$9:$V$258,$AA125)))</f>
        <v/>
      </c>
      <c r="B126" s="39"/>
      <c r="C126" s="39"/>
      <c r="D126" s="39"/>
      <c r="E126" s="39"/>
      <c r="F126" s="39"/>
      <c r="G126" s="39"/>
      <c r="H126" s="40" t="str">
        <f>IF($AA125=0,"",IF(LEN(INDEX(Quotes!$W$9:$W$258,$AA125)&amp;"")=0,"",INDEX(Quotes!$W$9:$W$258,$AA125)))</f>
        <v/>
      </c>
      <c r="I126" s="39"/>
      <c r="J126" s="39"/>
      <c r="K126" s="39"/>
      <c r="L126" s="39"/>
      <c r="M126" s="39"/>
      <c r="N126" s="39"/>
      <c r="O126" s="39"/>
      <c r="P126" s="39"/>
      <c r="Q126" s="39"/>
      <c r="R126" s="77" t="str">
        <f>IF($AA125=0,"",IF(LEN(INDEX(Quotes!$X$9:$X$258,$AA125)&amp;"")=0,"",INDEX(Quotes!$X$9:$X$258,$AA125)))</f>
        <v/>
      </c>
      <c r="S126" s="39"/>
      <c r="T126" s="39"/>
      <c r="U126" s="39"/>
      <c r="V126" s="39"/>
    </row>
    <row r="127" spans="1:27" ht="21" hidden="1" customHeight="1" x14ac:dyDescent="0.35">
      <c r="A127" s="83" t="str">
        <f>IF($AA125=0,"","ORIGINAL EUR")</f>
        <v/>
      </c>
      <c r="B127" s="39"/>
      <c r="C127" s="39"/>
      <c r="D127" s="39"/>
      <c r="E127" s="39"/>
      <c r="F127" s="39"/>
      <c r="G127" s="39"/>
      <c r="I127" s="83" t="str">
        <f>IF($AA125=0,"","LATEST EUR")</f>
        <v/>
      </c>
      <c r="J127" s="39"/>
      <c r="K127" s="39"/>
      <c r="L127" s="39"/>
      <c r="M127" s="39"/>
      <c r="N127" s="39"/>
      <c r="O127" s="39"/>
      <c r="Q127" s="83" t="str">
        <f>IF($AA125=0,"","SAVED EUR")</f>
        <v/>
      </c>
      <c r="R127" s="39"/>
      <c r="S127" s="39"/>
      <c r="T127" s="39"/>
      <c r="U127" s="39"/>
      <c r="V127" s="39"/>
    </row>
    <row r="128" spans="1:27" ht="21" hidden="1" customHeight="1" x14ac:dyDescent="0.35">
      <c r="A128" s="82" t="str">
        <f>IF($AA125=0,"",IF(LEN(INDEX(Quotes!$AB$9:$AB$258,$AA125)&amp;"")=0,"",INDEX(Quotes!$AB$9:$AB$258,$AA125)))</f>
        <v/>
      </c>
      <c r="B128" s="39"/>
      <c r="C128" s="39"/>
      <c r="D128" s="39"/>
      <c r="E128" s="39"/>
      <c r="F128" s="39"/>
      <c r="G128" s="39"/>
      <c r="I128" s="82" t="str">
        <f>IF($AA125=0,"",IF(LEN(INDEX(Quotes!$AD$9:$AD$258,$AA125)&amp;"")=0,"",INDEX(Quotes!$AD$9:$AD$258,$AA125)))</f>
        <v/>
      </c>
      <c r="J128" s="39"/>
      <c r="K128" s="39"/>
      <c r="L128" s="39"/>
      <c r="M128" s="39"/>
      <c r="N128" s="39"/>
      <c r="O128" s="39"/>
      <c r="Q128" s="82" t="str">
        <f>IF($AA125=0,"",IF(LEN(INDEX(Quotes!$AF$9:$AF$258,$AA125)&amp;"")=0,"",INDEX(Quotes!$AF$9:$AF$258,$AA125)))</f>
        <v/>
      </c>
      <c r="R128" s="39"/>
      <c r="S128" s="39"/>
      <c r="T128" s="39"/>
      <c r="U128" s="39"/>
      <c r="V128" s="39"/>
    </row>
    <row r="129" spans="1:27" ht="21" hidden="1" customHeight="1" x14ac:dyDescent="0.35">
      <c r="A129" s="48" t="str">
        <f>IF($AA125=0,"","Reference: "&amp;IF(INDEX(Quotes!$M$9:$M$258,$AA125)="",INDEX(Quotes!$S$9:$S$258,$AA125),INDEX(Quotes!$M$9:$M$258,$AA125)))</f>
        <v/>
      </c>
      <c r="B129" s="39"/>
      <c r="C129" s="39"/>
      <c r="D129" s="39"/>
      <c r="E129" s="39"/>
      <c r="F129" s="39"/>
      <c r="G129" s="39"/>
      <c r="H129" s="39"/>
      <c r="I129" s="39"/>
      <c r="J129" s="39"/>
      <c r="K129" s="39"/>
      <c r="L129" s="39"/>
      <c r="M129" s="39"/>
      <c r="N129" s="39"/>
      <c r="O129" s="39"/>
      <c r="P129" s="39"/>
      <c r="Q129" s="48" t="str">
        <f>IF($AA125=0,"",INDEX(Quotes!$E$9:$E$258,$AA125))</f>
        <v/>
      </c>
      <c r="R129" s="39"/>
      <c r="S129" s="39"/>
      <c r="T129" s="39"/>
      <c r="U129" s="39"/>
      <c r="V129" s="39"/>
    </row>
    <row r="130" spans="1:27" ht="21" hidden="1" customHeight="1" x14ac:dyDescent="0.35">
      <c r="A130" s="81" t="str">
        <f>IF($AA125=0,"",IF(INDEX(Quotes!$N$9:$N$258,$AA125)="","No original link","Original quote"))</f>
        <v/>
      </c>
      <c r="B130" s="39"/>
      <c r="C130" s="39"/>
      <c r="D130" s="39"/>
      <c r="E130" s="39"/>
      <c r="F130" s="39"/>
      <c r="G130" s="39"/>
      <c r="I130" s="81" t="str">
        <f>IF($AA125=0,"",IF(INDEX(Quotes!$O$9:$O$258,$AA125)="","No revised link","Revised quote"))</f>
        <v/>
      </c>
      <c r="J130" s="39"/>
      <c r="K130" s="39"/>
      <c r="L130" s="39"/>
      <c r="M130" s="39"/>
      <c r="N130" s="39"/>
      <c r="O130" s="39"/>
      <c r="Q130" s="81" t="str">
        <f>IF($AA125=0,"",HYPERLINK("#'Quotes'!A"&amp;($AA125+8),"Open quote record"))</f>
        <v/>
      </c>
      <c r="R130" s="39"/>
      <c r="S130" s="39"/>
      <c r="T130" s="39"/>
      <c r="U130" s="39"/>
      <c r="V130" s="39"/>
    </row>
    <row r="131" spans="1:27" ht="21" hidden="1" customHeight="1" x14ac:dyDescent="0.35"/>
    <row r="132" spans="1:27" hidden="1" x14ac:dyDescent="0.35"/>
    <row r="133" spans="1:27" hidden="1" x14ac:dyDescent="0.35"/>
    <row r="134" spans="1:27" ht="29" hidden="1" customHeight="1" x14ac:dyDescent="0.35">
      <c r="A134" s="84" t="str">
        <f>IF($AA134=0,"",IF(LEN(INDEX(Quotes!$U$9:$U$258,$AA134)&amp;"")=0,"",INDEX(Quotes!$U$9:$U$258,$AA134)))</f>
        <v/>
      </c>
      <c r="B134" s="39"/>
      <c r="C134" s="39"/>
      <c r="D134" s="39"/>
      <c r="E134" s="39"/>
      <c r="F134" s="39"/>
      <c r="G134" s="39"/>
      <c r="H134" s="39"/>
      <c r="I134" s="39"/>
      <c r="J134" s="39"/>
      <c r="K134" s="85" t="str">
        <f>IF($AA134=0,"",IF(LEN(INDEX(Quotes!$Z$9:$Z$258,$AA134)&amp;"")=0,"",INDEX(Quotes!$Z$9:$Z$258,$AA134)))</f>
        <v/>
      </c>
      <c r="L134" s="39"/>
      <c r="M134" s="39"/>
      <c r="N134" s="39"/>
      <c r="O134" s="39"/>
      <c r="P134" s="39"/>
      <c r="Q134" s="39"/>
      <c r="R134" s="39"/>
      <c r="S134" s="39"/>
      <c r="T134" s="39"/>
      <c r="U134" s="39"/>
      <c r="V134" s="39"/>
      <c r="AA134">
        <f>IFERROR(MATCH(11,Quotes!$AK$9:$AK$258,0),0)</f>
        <v>0</v>
      </c>
    </row>
    <row r="135" spans="1:27" ht="21" hidden="1" customHeight="1" x14ac:dyDescent="0.35">
      <c r="A135" s="40" t="str">
        <f>IF($AA134=0,"",IF(LEN(INDEX(Quotes!$V$9:$V$258,$AA134)&amp;"")=0,"",INDEX(Quotes!$V$9:$V$258,$AA134)))</f>
        <v/>
      </c>
      <c r="B135" s="39"/>
      <c r="C135" s="39"/>
      <c r="D135" s="39"/>
      <c r="E135" s="39"/>
      <c r="F135" s="39"/>
      <c r="G135" s="39"/>
      <c r="H135" s="40" t="str">
        <f>IF($AA134=0,"",IF(LEN(INDEX(Quotes!$W$9:$W$258,$AA134)&amp;"")=0,"",INDEX(Quotes!$W$9:$W$258,$AA134)))</f>
        <v/>
      </c>
      <c r="I135" s="39"/>
      <c r="J135" s="39"/>
      <c r="K135" s="39"/>
      <c r="L135" s="39"/>
      <c r="M135" s="39"/>
      <c r="N135" s="39"/>
      <c r="O135" s="39"/>
      <c r="P135" s="39"/>
      <c r="Q135" s="39"/>
      <c r="R135" s="77" t="str">
        <f>IF($AA134=0,"",IF(LEN(INDEX(Quotes!$X$9:$X$258,$AA134)&amp;"")=0,"",INDEX(Quotes!$X$9:$X$258,$AA134)))</f>
        <v/>
      </c>
      <c r="S135" s="39"/>
      <c r="T135" s="39"/>
      <c r="U135" s="39"/>
      <c r="V135" s="39"/>
    </row>
    <row r="136" spans="1:27" ht="21" hidden="1" customHeight="1" x14ac:dyDescent="0.35">
      <c r="A136" s="83" t="str">
        <f>IF($AA134=0,"","ORIGINAL EUR")</f>
        <v/>
      </c>
      <c r="B136" s="39"/>
      <c r="C136" s="39"/>
      <c r="D136" s="39"/>
      <c r="E136" s="39"/>
      <c r="F136" s="39"/>
      <c r="G136" s="39"/>
      <c r="I136" s="83" t="str">
        <f>IF($AA134=0,"","LATEST EUR")</f>
        <v/>
      </c>
      <c r="J136" s="39"/>
      <c r="K136" s="39"/>
      <c r="L136" s="39"/>
      <c r="M136" s="39"/>
      <c r="N136" s="39"/>
      <c r="O136" s="39"/>
      <c r="Q136" s="83" t="str">
        <f>IF($AA134=0,"","SAVED EUR")</f>
        <v/>
      </c>
      <c r="R136" s="39"/>
      <c r="S136" s="39"/>
      <c r="T136" s="39"/>
      <c r="U136" s="39"/>
      <c r="V136" s="39"/>
    </row>
    <row r="137" spans="1:27" ht="21" hidden="1" customHeight="1" x14ac:dyDescent="0.35">
      <c r="A137" s="82" t="str">
        <f>IF($AA134=0,"",IF(LEN(INDEX(Quotes!$AB$9:$AB$258,$AA134)&amp;"")=0,"",INDEX(Quotes!$AB$9:$AB$258,$AA134)))</f>
        <v/>
      </c>
      <c r="B137" s="39"/>
      <c r="C137" s="39"/>
      <c r="D137" s="39"/>
      <c r="E137" s="39"/>
      <c r="F137" s="39"/>
      <c r="G137" s="39"/>
      <c r="I137" s="82" t="str">
        <f>IF($AA134=0,"",IF(LEN(INDEX(Quotes!$AD$9:$AD$258,$AA134)&amp;"")=0,"",INDEX(Quotes!$AD$9:$AD$258,$AA134)))</f>
        <v/>
      </c>
      <c r="J137" s="39"/>
      <c r="K137" s="39"/>
      <c r="L137" s="39"/>
      <c r="M137" s="39"/>
      <c r="N137" s="39"/>
      <c r="O137" s="39"/>
      <c r="Q137" s="82" t="str">
        <f>IF($AA134=0,"",IF(LEN(INDEX(Quotes!$AF$9:$AF$258,$AA134)&amp;"")=0,"",INDEX(Quotes!$AF$9:$AF$258,$AA134)))</f>
        <v/>
      </c>
      <c r="R137" s="39"/>
      <c r="S137" s="39"/>
      <c r="T137" s="39"/>
      <c r="U137" s="39"/>
      <c r="V137" s="39"/>
    </row>
    <row r="138" spans="1:27" ht="21" hidden="1" customHeight="1" x14ac:dyDescent="0.35">
      <c r="A138" s="48" t="str">
        <f>IF($AA134=0,"","Reference: "&amp;IF(INDEX(Quotes!$M$9:$M$258,$AA134)="",INDEX(Quotes!$S$9:$S$258,$AA134),INDEX(Quotes!$M$9:$M$258,$AA134)))</f>
        <v/>
      </c>
      <c r="B138" s="39"/>
      <c r="C138" s="39"/>
      <c r="D138" s="39"/>
      <c r="E138" s="39"/>
      <c r="F138" s="39"/>
      <c r="G138" s="39"/>
      <c r="H138" s="39"/>
      <c r="I138" s="39"/>
      <c r="J138" s="39"/>
      <c r="K138" s="39"/>
      <c r="L138" s="39"/>
      <c r="M138" s="39"/>
      <c r="N138" s="39"/>
      <c r="O138" s="39"/>
      <c r="P138" s="39"/>
      <c r="Q138" s="48" t="str">
        <f>IF($AA134=0,"",INDEX(Quotes!$E$9:$E$258,$AA134))</f>
        <v/>
      </c>
      <c r="R138" s="39"/>
      <c r="S138" s="39"/>
      <c r="T138" s="39"/>
      <c r="U138" s="39"/>
      <c r="V138" s="39"/>
    </row>
    <row r="139" spans="1:27" ht="21" hidden="1" customHeight="1" x14ac:dyDescent="0.35">
      <c r="A139" s="81" t="str">
        <f>IF($AA134=0,"",IF(INDEX(Quotes!$N$9:$N$258,$AA134)="","No original link","Original quote"))</f>
        <v/>
      </c>
      <c r="B139" s="39"/>
      <c r="C139" s="39"/>
      <c r="D139" s="39"/>
      <c r="E139" s="39"/>
      <c r="F139" s="39"/>
      <c r="G139" s="39"/>
      <c r="I139" s="81" t="str">
        <f>IF($AA134=0,"",IF(INDEX(Quotes!$O$9:$O$258,$AA134)="","No revised link","Revised quote"))</f>
        <v/>
      </c>
      <c r="J139" s="39"/>
      <c r="K139" s="39"/>
      <c r="L139" s="39"/>
      <c r="M139" s="39"/>
      <c r="N139" s="39"/>
      <c r="O139" s="39"/>
      <c r="Q139" s="81" t="str">
        <f>IF($AA134=0,"",HYPERLINK("#'Quotes'!A"&amp;($AA134+8),"Open quote record"))</f>
        <v/>
      </c>
      <c r="R139" s="39"/>
      <c r="S139" s="39"/>
      <c r="T139" s="39"/>
      <c r="U139" s="39"/>
      <c r="V139" s="39"/>
    </row>
    <row r="140" spans="1:27" ht="21" hidden="1" customHeight="1" x14ac:dyDescent="0.35"/>
    <row r="141" spans="1:27" hidden="1" x14ac:dyDescent="0.35"/>
    <row r="142" spans="1:27" hidden="1" x14ac:dyDescent="0.35"/>
    <row r="143" spans="1:27" ht="29" hidden="1" customHeight="1" x14ac:dyDescent="0.35">
      <c r="A143" s="84" t="str">
        <f>IF($AA143=0,"",IF(LEN(INDEX(Quotes!$U$9:$U$258,$AA143)&amp;"")=0,"",INDEX(Quotes!$U$9:$U$258,$AA143)))</f>
        <v/>
      </c>
      <c r="B143" s="39"/>
      <c r="C143" s="39"/>
      <c r="D143" s="39"/>
      <c r="E143" s="39"/>
      <c r="F143" s="39"/>
      <c r="G143" s="39"/>
      <c r="H143" s="39"/>
      <c r="I143" s="39"/>
      <c r="J143" s="39"/>
      <c r="K143" s="85" t="str">
        <f>IF($AA143=0,"",IF(LEN(INDEX(Quotes!$Z$9:$Z$258,$AA143)&amp;"")=0,"",INDEX(Quotes!$Z$9:$Z$258,$AA143)))</f>
        <v/>
      </c>
      <c r="L143" s="39"/>
      <c r="M143" s="39"/>
      <c r="N143" s="39"/>
      <c r="O143" s="39"/>
      <c r="P143" s="39"/>
      <c r="Q143" s="39"/>
      <c r="R143" s="39"/>
      <c r="S143" s="39"/>
      <c r="T143" s="39"/>
      <c r="U143" s="39"/>
      <c r="V143" s="39"/>
      <c r="AA143">
        <f>IFERROR(MATCH(12,Quotes!$AK$9:$AK$258,0),0)</f>
        <v>0</v>
      </c>
    </row>
    <row r="144" spans="1:27" ht="21" hidden="1" customHeight="1" x14ac:dyDescent="0.35">
      <c r="A144" s="40" t="str">
        <f>IF($AA143=0,"",IF(LEN(INDEX(Quotes!$V$9:$V$258,$AA143)&amp;"")=0,"",INDEX(Quotes!$V$9:$V$258,$AA143)))</f>
        <v/>
      </c>
      <c r="B144" s="39"/>
      <c r="C144" s="39"/>
      <c r="D144" s="39"/>
      <c r="E144" s="39"/>
      <c r="F144" s="39"/>
      <c r="G144" s="39"/>
      <c r="H144" s="40" t="str">
        <f>IF($AA143=0,"",IF(LEN(INDEX(Quotes!$W$9:$W$258,$AA143)&amp;"")=0,"",INDEX(Quotes!$W$9:$W$258,$AA143)))</f>
        <v/>
      </c>
      <c r="I144" s="39"/>
      <c r="J144" s="39"/>
      <c r="K144" s="39"/>
      <c r="L144" s="39"/>
      <c r="M144" s="39"/>
      <c r="N144" s="39"/>
      <c r="O144" s="39"/>
      <c r="P144" s="39"/>
      <c r="Q144" s="39"/>
      <c r="R144" s="77" t="str">
        <f>IF($AA143=0,"",IF(LEN(INDEX(Quotes!$X$9:$X$258,$AA143)&amp;"")=0,"",INDEX(Quotes!$X$9:$X$258,$AA143)))</f>
        <v/>
      </c>
      <c r="S144" s="39"/>
      <c r="T144" s="39"/>
      <c r="U144" s="39"/>
      <c r="V144" s="39"/>
    </row>
    <row r="145" spans="1:27" ht="21" hidden="1" customHeight="1" x14ac:dyDescent="0.35">
      <c r="A145" s="83" t="str">
        <f>IF($AA143=0,"","ORIGINAL EUR")</f>
        <v/>
      </c>
      <c r="B145" s="39"/>
      <c r="C145" s="39"/>
      <c r="D145" s="39"/>
      <c r="E145" s="39"/>
      <c r="F145" s="39"/>
      <c r="G145" s="39"/>
      <c r="I145" s="83" t="str">
        <f>IF($AA143=0,"","LATEST EUR")</f>
        <v/>
      </c>
      <c r="J145" s="39"/>
      <c r="K145" s="39"/>
      <c r="L145" s="39"/>
      <c r="M145" s="39"/>
      <c r="N145" s="39"/>
      <c r="O145" s="39"/>
      <c r="Q145" s="83" t="str">
        <f>IF($AA143=0,"","SAVED EUR")</f>
        <v/>
      </c>
      <c r="R145" s="39"/>
      <c r="S145" s="39"/>
      <c r="T145" s="39"/>
      <c r="U145" s="39"/>
      <c r="V145" s="39"/>
    </row>
    <row r="146" spans="1:27" ht="21" hidden="1" customHeight="1" x14ac:dyDescent="0.35">
      <c r="A146" s="82" t="str">
        <f>IF($AA143=0,"",IF(LEN(INDEX(Quotes!$AB$9:$AB$258,$AA143)&amp;"")=0,"",INDEX(Quotes!$AB$9:$AB$258,$AA143)))</f>
        <v/>
      </c>
      <c r="B146" s="39"/>
      <c r="C146" s="39"/>
      <c r="D146" s="39"/>
      <c r="E146" s="39"/>
      <c r="F146" s="39"/>
      <c r="G146" s="39"/>
      <c r="I146" s="82" t="str">
        <f>IF($AA143=0,"",IF(LEN(INDEX(Quotes!$AD$9:$AD$258,$AA143)&amp;"")=0,"",INDEX(Quotes!$AD$9:$AD$258,$AA143)))</f>
        <v/>
      </c>
      <c r="J146" s="39"/>
      <c r="K146" s="39"/>
      <c r="L146" s="39"/>
      <c r="M146" s="39"/>
      <c r="N146" s="39"/>
      <c r="O146" s="39"/>
      <c r="Q146" s="82" t="str">
        <f>IF($AA143=0,"",IF(LEN(INDEX(Quotes!$AF$9:$AF$258,$AA143)&amp;"")=0,"",INDEX(Quotes!$AF$9:$AF$258,$AA143)))</f>
        <v/>
      </c>
      <c r="R146" s="39"/>
      <c r="S146" s="39"/>
      <c r="T146" s="39"/>
      <c r="U146" s="39"/>
      <c r="V146" s="39"/>
    </row>
    <row r="147" spans="1:27" ht="21" hidden="1" customHeight="1" x14ac:dyDescent="0.35">
      <c r="A147" s="48" t="str">
        <f>IF($AA143=0,"","Reference: "&amp;IF(INDEX(Quotes!$M$9:$M$258,$AA143)="",INDEX(Quotes!$S$9:$S$258,$AA143),INDEX(Quotes!$M$9:$M$258,$AA143)))</f>
        <v/>
      </c>
      <c r="B147" s="39"/>
      <c r="C147" s="39"/>
      <c r="D147" s="39"/>
      <c r="E147" s="39"/>
      <c r="F147" s="39"/>
      <c r="G147" s="39"/>
      <c r="H147" s="39"/>
      <c r="I147" s="39"/>
      <c r="J147" s="39"/>
      <c r="K147" s="39"/>
      <c r="L147" s="39"/>
      <c r="M147" s="39"/>
      <c r="N147" s="39"/>
      <c r="O147" s="39"/>
      <c r="P147" s="39"/>
      <c r="Q147" s="48" t="str">
        <f>IF($AA143=0,"",INDEX(Quotes!$E$9:$E$258,$AA143))</f>
        <v/>
      </c>
      <c r="R147" s="39"/>
      <c r="S147" s="39"/>
      <c r="T147" s="39"/>
      <c r="U147" s="39"/>
      <c r="V147" s="39"/>
    </row>
    <row r="148" spans="1:27" ht="21" hidden="1" customHeight="1" x14ac:dyDescent="0.35">
      <c r="A148" s="81" t="str">
        <f>IF($AA143=0,"",IF(INDEX(Quotes!$N$9:$N$258,$AA143)="","No original link","Original quote"))</f>
        <v/>
      </c>
      <c r="B148" s="39"/>
      <c r="C148" s="39"/>
      <c r="D148" s="39"/>
      <c r="E148" s="39"/>
      <c r="F148" s="39"/>
      <c r="G148" s="39"/>
      <c r="I148" s="81" t="str">
        <f>IF($AA143=0,"",IF(INDEX(Quotes!$O$9:$O$258,$AA143)="","No revised link","Revised quote"))</f>
        <v/>
      </c>
      <c r="J148" s="39"/>
      <c r="K148" s="39"/>
      <c r="L148" s="39"/>
      <c r="M148" s="39"/>
      <c r="N148" s="39"/>
      <c r="O148" s="39"/>
      <c r="Q148" s="81" t="str">
        <f>IF($AA143=0,"",HYPERLINK("#'Quotes'!A"&amp;($AA143+8),"Open quote record"))</f>
        <v/>
      </c>
      <c r="R148" s="39"/>
      <c r="S148" s="39"/>
      <c r="T148" s="39"/>
      <c r="U148" s="39"/>
      <c r="V148" s="39"/>
    </row>
    <row r="149" spans="1:27" ht="21" hidden="1" customHeight="1" x14ac:dyDescent="0.35"/>
    <row r="150" spans="1:27" hidden="1" x14ac:dyDescent="0.35"/>
    <row r="151" spans="1:27" hidden="1" x14ac:dyDescent="0.35"/>
    <row r="152" spans="1:27" hidden="1" x14ac:dyDescent="0.35"/>
    <row r="153" spans="1:27" hidden="1" x14ac:dyDescent="0.35">
      <c r="A153" s="67" t="s">
        <v>655</v>
      </c>
      <c r="B153" s="39"/>
      <c r="C153" s="39"/>
      <c r="D153" s="39"/>
      <c r="E153" s="39"/>
      <c r="F153" s="39"/>
      <c r="G153" s="39"/>
      <c r="H153" s="39"/>
      <c r="I153" s="39"/>
      <c r="J153" s="39"/>
      <c r="K153" s="39"/>
      <c r="L153" s="39"/>
      <c r="M153" s="39"/>
      <c r="N153" s="39"/>
      <c r="O153" s="39"/>
      <c r="P153" s="39"/>
      <c r="Q153" s="39"/>
      <c r="R153" s="39"/>
      <c r="S153" s="39"/>
      <c r="T153" s="39"/>
      <c r="U153" s="39"/>
      <c r="V153" s="39"/>
    </row>
    <row r="154" spans="1:27" ht="29" hidden="1" customHeight="1" x14ac:dyDescent="0.35">
      <c r="A154" s="84" t="str">
        <f>IF($AA154=0,"",IF(LEN(INDEX(Quotes!$U$9:$U$258,$AA154)&amp;"")=0,"",INDEX(Quotes!$U$9:$U$258,$AA154)))</f>
        <v/>
      </c>
      <c r="B154" s="39"/>
      <c r="C154" s="39"/>
      <c r="D154" s="39"/>
      <c r="E154" s="39"/>
      <c r="F154" s="39"/>
      <c r="G154" s="39"/>
      <c r="H154" s="39"/>
      <c r="I154" s="39"/>
      <c r="J154" s="39"/>
      <c r="K154" s="85" t="str">
        <f>IF($AA154=0,"",IF(LEN(INDEX(Quotes!$Z$9:$Z$258,$AA154)&amp;"")=0,"",INDEX(Quotes!$Z$9:$Z$258,$AA154)))</f>
        <v/>
      </c>
      <c r="L154" s="39"/>
      <c r="M154" s="39"/>
      <c r="N154" s="39"/>
      <c r="O154" s="39"/>
      <c r="P154" s="39"/>
      <c r="Q154" s="39"/>
      <c r="R154" s="39"/>
      <c r="S154" s="39"/>
      <c r="T154" s="39"/>
      <c r="U154" s="39"/>
      <c r="V154" s="39"/>
      <c r="AA154">
        <f>IFERROR(MATCH(13,Quotes!$AK$9:$AK$258,0),0)</f>
        <v>0</v>
      </c>
    </row>
    <row r="155" spans="1:27" ht="21" hidden="1" customHeight="1" x14ac:dyDescent="0.35">
      <c r="A155" s="40" t="str">
        <f>IF($AA154=0,"",IF(LEN(INDEX(Quotes!$V$9:$V$258,$AA154)&amp;"")=0,"",INDEX(Quotes!$V$9:$V$258,$AA154)))</f>
        <v/>
      </c>
      <c r="B155" s="39"/>
      <c r="C155" s="39"/>
      <c r="D155" s="39"/>
      <c r="E155" s="39"/>
      <c r="F155" s="39"/>
      <c r="G155" s="39"/>
      <c r="H155" s="40" t="str">
        <f>IF($AA154=0,"",IF(LEN(INDEX(Quotes!$W$9:$W$258,$AA154)&amp;"")=0,"",INDEX(Quotes!$W$9:$W$258,$AA154)))</f>
        <v/>
      </c>
      <c r="I155" s="39"/>
      <c r="J155" s="39"/>
      <c r="K155" s="39"/>
      <c r="L155" s="39"/>
      <c r="M155" s="39"/>
      <c r="N155" s="39"/>
      <c r="O155" s="39"/>
      <c r="P155" s="39"/>
      <c r="Q155" s="39"/>
      <c r="R155" s="77" t="str">
        <f>IF($AA154=0,"",IF(LEN(INDEX(Quotes!$X$9:$X$258,$AA154)&amp;"")=0,"",INDEX(Quotes!$X$9:$X$258,$AA154)))</f>
        <v/>
      </c>
      <c r="S155" s="39"/>
      <c r="T155" s="39"/>
      <c r="U155" s="39"/>
      <c r="V155" s="39"/>
    </row>
    <row r="156" spans="1:27" ht="21" hidden="1" customHeight="1" x14ac:dyDescent="0.35">
      <c r="A156" s="83" t="str">
        <f>IF($AA154=0,"","ORIGINAL EUR")</f>
        <v/>
      </c>
      <c r="B156" s="39"/>
      <c r="C156" s="39"/>
      <c r="D156" s="39"/>
      <c r="E156" s="39"/>
      <c r="F156" s="39"/>
      <c r="G156" s="39"/>
      <c r="I156" s="83" t="str">
        <f>IF($AA154=0,"","LATEST EUR")</f>
        <v/>
      </c>
      <c r="J156" s="39"/>
      <c r="K156" s="39"/>
      <c r="L156" s="39"/>
      <c r="M156" s="39"/>
      <c r="N156" s="39"/>
      <c r="O156" s="39"/>
      <c r="Q156" s="83" t="str">
        <f>IF($AA154=0,"","SAVED EUR")</f>
        <v/>
      </c>
      <c r="R156" s="39"/>
      <c r="S156" s="39"/>
      <c r="T156" s="39"/>
      <c r="U156" s="39"/>
      <c r="V156" s="39"/>
    </row>
    <row r="157" spans="1:27" ht="21" hidden="1" customHeight="1" x14ac:dyDescent="0.35">
      <c r="A157" s="82" t="str">
        <f>IF($AA154=0,"",IF(LEN(INDEX(Quotes!$AB$9:$AB$258,$AA154)&amp;"")=0,"",INDEX(Quotes!$AB$9:$AB$258,$AA154)))</f>
        <v/>
      </c>
      <c r="B157" s="39"/>
      <c r="C157" s="39"/>
      <c r="D157" s="39"/>
      <c r="E157" s="39"/>
      <c r="F157" s="39"/>
      <c r="G157" s="39"/>
      <c r="I157" s="82" t="str">
        <f>IF($AA154=0,"",IF(LEN(INDEX(Quotes!$AD$9:$AD$258,$AA154)&amp;"")=0,"",INDEX(Quotes!$AD$9:$AD$258,$AA154)))</f>
        <v/>
      </c>
      <c r="J157" s="39"/>
      <c r="K157" s="39"/>
      <c r="L157" s="39"/>
      <c r="M157" s="39"/>
      <c r="N157" s="39"/>
      <c r="O157" s="39"/>
      <c r="Q157" s="82" t="str">
        <f>IF($AA154=0,"",IF(LEN(INDEX(Quotes!$AF$9:$AF$258,$AA154)&amp;"")=0,"",INDEX(Quotes!$AF$9:$AF$258,$AA154)))</f>
        <v/>
      </c>
      <c r="R157" s="39"/>
      <c r="S157" s="39"/>
      <c r="T157" s="39"/>
      <c r="U157" s="39"/>
      <c r="V157" s="39"/>
    </row>
    <row r="158" spans="1:27" ht="21" hidden="1" customHeight="1" x14ac:dyDescent="0.35">
      <c r="A158" s="48" t="str">
        <f>IF($AA154=0,"","Reference: "&amp;IF(INDEX(Quotes!$M$9:$M$258,$AA154)="",INDEX(Quotes!$S$9:$S$258,$AA154),INDEX(Quotes!$M$9:$M$258,$AA154)))</f>
        <v/>
      </c>
      <c r="B158" s="39"/>
      <c r="C158" s="39"/>
      <c r="D158" s="39"/>
      <c r="E158" s="39"/>
      <c r="F158" s="39"/>
      <c r="G158" s="39"/>
      <c r="H158" s="39"/>
      <c r="I158" s="39"/>
      <c r="J158" s="39"/>
      <c r="K158" s="39"/>
      <c r="L158" s="39"/>
      <c r="M158" s="39"/>
      <c r="N158" s="39"/>
      <c r="O158" s="39"/>
      <c r="P158" s="39"/>
      <c r="Q158" s="48" t="str">
        <f>IF($AA154=0,"",INDEX(Quotes!$E$9:$E$258,$AA154))</f>
        <v/>
      </c>
      <c r="R158" s="39"/>
      <c r="S158" s="39"/>
      <c r="T158" s="39"/>
      <c r="U158" s="39"/>
      <c r="V158" s="39"/>
    </row>
    <row r="159" spans="1:27" ht="21" hidden="1" customHeight="1" x14ac:dyDescent="0.35">
      <c r="A159" s="81" t="str">
        <f>IF($AA154=0,"",IF(INDEX(Quotes!$N$9:$N$258,$AA154)="","No original link","Original quote"))</f>
        <v/>
      </c>
      <c r="B159" s="39"/>
      <c r="C159" s="39"/>
      <c r="D159" s="39"/>
      <c r="E159" s="39"/>
      <c r="F159" s="39"/>
      <c r="G159" s="39"/>
      <c r="I159" s="81" t="str">
        <f>IF($AA154=0,"",IF(INDEX(Quotes!$O$9:$O$258,$AA154)="","No revised link","Revised quote"))</f>
        <v/>
      </c>
      <c r="J159" s="39"/>
      <c r="K159" s="39"/>
      <c r="L159" s="39"/>
      <c r="M159" s="39"/>
      <c r="N159" s="39"/>
      <c r="O159" s="39"/>
      <c r="Q159" s="81" t="str">
        <f>IF($AA154=0,"",HYPERLINK("#'Quotes'!A"&amp;($AA154+8),"Open quote record"))</f>
        <v/>
      </c>
      <c r="R159" s="39"/>
      <c r="S159" s="39"/>
      <c r="T159" s="39"/>
      <c r="U159" s="39"/>
      <c r="V159" s="39"/>
    </row>
    <row r="160" spans="1:27" ht="21" hidden="1" customHeight="1" x14ac:dyDescent="0.35"/>
    <row r="161" spans="1:27" hidden="1" x14ac:dyDescent="0.35"/>
    <row r="162" spans="1:27" hidden="1" x14ac:dyDescent="0.35"/>
    <row r="163" spans="1:27" ht="29" hidden="1" customHeight="1" x14ac:dyDescent="0.35">
      <c r="A163" s="84" t="str">
        <f>IF($AA163=0,"",IF(LEN(INDEX(Quotes!$U$9:$U$258,$AA163)&amp;"")=0,"",INDEX(Quotes!$U$9:$U$258,$AA163)))</f>
        <v/>
      </c>
      <c r="B163" s="39"/>
      <c r="C163" s="39"/>
      <c r="D163" s="39"/>
      <c r="E163" s="39"/>
      <c r="F163" s="39"/>
      <c r="G163" s="39"/>
      <c r="H163" s="39"/>
      <c r="I163" s="39"/>
      <c r="J163" s="39"/>
      <c r="K163" s="85" t="str">
        <f>IF($AA163=0,"",IF(LEN(INDEX(Quotes!$Z$9:$Z$258,$AA163)&amp;"")=0,"",INDEX(Quotes!$Z$9:$Z$258,$AA163)))</f>
        <v/>
      </c>
      <c r="L163" s="39"/>
      <c r="M163" s="39"/>
      <c r="N163" s="39"/>
      <c r="O163" s="39"/>
      <c r="P163" s="39"/>
      <c r="Q163" s="39"/>
      <c r="R163" s="39"/>
      <c r="S163" s="39"/>
      <c r="T163" s="39"/>
      <c r="U163" s="39"/>
      <c r="V163" s="39"/>
      <c r="AA163">
        <f>IFERROR(MATCH(14,Quotes!$AK$9:$AK$258,0),0)</f>
        <v>0</v>
      </c>
    </row>
    <row r="164" spans="1:27" ht="21" hidden="1" customHeight="1" x14ac:dyDescent="0.35">
      <c r="A164" s="40" t="str">
        <f>IF($AA163=0,"",IF(LEN(INDEX(Quotes!$V$9:$V$258,$AA163)&amp;"")=0,"",INDEX(Quotes!$V$9:$V$258,$AA163)))</f>
        <v/>
      </c>
      <c r="B164" s="39"/>
      <c r="C164" s="39"/>
      <c r="D164" s="39"/>
      <c r="E164" s="39"/>
      <c r="F164" s="39"/>
      <c r="G164" s="39"/>
      <c r="H164" s="40" t="str">
        <f>IF($AA163=0,"",IF(LEN(INDEX(Quotes!$W$9:$W$258,$AA163)&amp;"")=0,"",INDEX(Quotes!$W$9:$W$258,$AA163)))</f>
        <v/>
      </c>
      <c r="I164" s="39"/>
      <c r="J164" s="39"/>
      <c r="K164" s="39"/>
      <c r="L164" s="39"/>
      <c r="M164" s="39"/>
      <c r="N164" s="39"/>
      <c r="O164" s="39"/>
      <c r="P164" s="39"/>
      <c r="Q164" s="39"/>
      <c r="R164" s="77" t="str">
        <f>IF($AA163=0,"",IF(LEN(INDEX(Quotes!$X$9:$X$258,$AA163)&amp;"")=0,"",INDEX(Quotes!$X$9:$X$258,$AA163)))</f>
        <v/>
      </c>
      <c r="S164" s="39"/>
      <c r="T164" s="39"/>
      <c r="U164" s="39"/>
      <c r="V164" s="39"/>
    </row>
    <row r="165" spans="1:27" ht="21" hidden="1" customHeight="1" x14ac:dyDescent="0.35">
      <c r="A165" s="83" t="str">
        <f>IF($AA163=0,"","ORIGINAL EUR")</f>
        <v/>
      </c>
      <c r="B165" s="39"/>
      <c r="C165" s="39"/>
      <c r="D165" s="39"/>
      <c r="E165" s="39"/>
      <c r="F165" s="39"/>
      <c r="G165" s="39"/>
      <c r="I165" s="83" t="str">
        <f>IF($AA163=0,"","LATEST EUR")</f>
        <v/>
      </c>
      <c r="J165" s="39"/>
      <c r="K165" s="39"/>
      <c r="L165" s="39"/>
      <c r="M165" s="39"/>
      <c r="N165" s="39"/>
      <c r="O165" s="39"/>
      <c r="Q165" s="83" t="str">
        <f>IF($AA163=0,"","SAVED EUR")</f>
        <v/>
      </c>
      <c r="R165" s="39"/>
      <c r="S165" s="39"/>
      <c r="T165" s="39"/>
      <c r="U165" s="39"/>
      <c r="V165" s="39"/>
    </row>
    <row r="166" spans="1:27" ht="21" hidden="1" customHeight="1" x14ac:dyDescent="0.35">
      <c r="A166" s="82" t="str">
        <f>IF($AA163=0,"",IF(LEN(INDEX(Quotes!$AB$9:$AB$258,$AA163)&amp;"")=0,"",INDEX(Quotes!$AB$9:$AB$258,$AA163)))</f>
        <v/>
      </c>
      <c r="B166" s="39"/>
      <c r="C166" s="39"/>
      <c r="D166" s="39"/>
      <c r="E166" s="39"/>
      <c r="F166" s="39"/>
      <c r="G166" s="39"/>
      <c r="I166" s="82" t="str">
        <f>IF($AA163=0,"",IF(LEN(INDEX(Quotes!$AD$9:$AD$258,$AA163)&amp;"")=0,"",INDEX(Quotes!$AD$9:$AD$258,$AA163)))</f>
        <v/>
      </c>
      <c r="J166" s="39"/>
      <c r="K166" s="39"/>
      <c r="L166" s="39"/>
      <c r="M166" s="39"/>
      <c r="N166" s="39"/>
      <c r="O166" s="39"/>
      <c r="Q166" s="82" t="str">
        <f>IF($AA163=0,"",IF(LEN(INDEX(Quotes!$AF$9:$AF$258,$AA163)&amp;"")=0,"",INDEX(Quotes!$AF$9:$AF$258,$AA163)))</f>
        <v/>
      </c>
      <c r="R166" s="39"/>
      <c r="S166" s="39"/>
      <c r="T166" s="39"/>
      <c r="U166" s="39"/>
      <c r="V166" s="39"/>
    </row>
    <row r="167" spans="1:27" ht="21" hidden="1" customHeight="1" x14ac:dyDescent="0.35">
      <c r="A167" s="48" t="str">
        <f>IF($AA163=0,"","Reference: "&amp;IF(INDEX(Quotes!$M$9:$M$258,$AA163)="",INDEX(Quotes!$S$9:$S$258,$AA163),INDEX(Quotes!$M$9:$M$258,$AA163)))</f>
        <v/>
      </c>
      <c r="B167" s="39"/>
      <c r="C167" s="39"/>
      <c r="D167" s="39"/>
      <c r="E167" s="39"/>
      <c r="F167" s="39"/>
      <c r="G167" s="39"/>
      <c r="H167" s="39"/>
      <c r="I167" s="39"/>
      <c r="J167" s="39"/>
      <c r="K167" s="39"/>
      <c r="L167" s="39"/>
      <c r="M167" s="39"/>
      <c r="N167" s="39"/>
      <c r="O167" s="39"/>
      <c r="P167" s="39"/>
      <c r="Q167" s="48" t="str">
        <f>IF($AA163=0,"",INDEX(Quotes!$E$9:$E$258,$AA163))</f>
        <v/>
      </c>
      <c r="R167" s="39"/>
      <c r="S167" s="39"/>
      <c r="T167" s="39"/>
      <c r="U167" s="39"/>
      <c r="V167" s="39"/>
    </row>
    <row r="168" spans="1:27" ht="21" hidden="1" customHeight="1" x14ac:dyDescent="0.35">
      <c r="A168" s="81" t="str">
        <f>IF($AA163=0,"",IF(INDEX(Quotes!$N$9:$N$258,$AA163)="","No original link","Original quote"))</f>
        <v/>
      </c>
      <c r="B168" s="39"/>
      <c r="C168" s="39"/>
      <c r="D168" s="39"/>
      <c r="E168" s="39"/>
      <c r="F168" s="39"/>
      <c r="G168" s="39"/>
      <c r="I168" s="81" t="str">
        <f>IF($AA163=0,"",IF(INDEX(Quotes!$O$9:$O$258,$AA163)="","No revised link","Revised quote"))</f>
        <v/>
      </c>
      <c r="J168" s="39"/>
      <c r="K168" s="39"/>
      <c r="L168" s="39"/>
      <c r="M168" s="39"/>
      <c r="N168" s="39"/>
      <c r="O168" s="39"/>
      <c r="Q168" s="81" t="str">
        <f>IF($AA163=0,"",HYPERLINK("#'Quotes'!A"&amp;($AA163+8),"Open quote record"))</f>
        <v/>
      </c>
      <c r="R168" s="39"/>
      <c r="S168" s="39"/>
      <c r="T168" s="39"/>
      <c r="U168" s="39"/>
      <c r="V168" s="39"/>
    </row>
    <row r="169" spans="1:27" ht="21" hidden="1" customHeight="1" x14ac:dyDescent="0.35"/>
    <row r="170" spans="1:27" hidden="1" x14ac:dyDescent="0.35"/>
    <row r="171" spans="1:27" hidden="1" x14ac:dyDescent="0.35"/>
    <row r="172" spans="1:27" ht="29" hidden="1" customHeight="1" x14ac:dyDescent="0.35">
      <c r="A172" s="84" t="str">
        <f>IF($AA172=0,"",IF(LEN(INDEX(Quotes!$U$9:$U$258,$AA172)&amp;"")=0,"",INDEX(Quotes!$U$9:$U$258,$AA172)))</f>
        <v/>
      </c>
      <c r="B172" s="39"/>
      <c r="C172" s="39"/>
      <c r="D172" s="39"/>
      <c r="E172" s="39"/>
      <c r="F172" s="39"/>
      <c r="G172" s="39"/>
      <c r="H172" s="39"/>
      <c r="I172" s="39"/>
      <c r="J172" s="39"/>
      <c r="K172" s="85" t="str">
        <f>IF($AA172=0,"",IF(LEN(INDEX(Quotes!$Z$9:$Z$258,$AA172)&amp;"")=0,"",INDEX(Quotes!$Z$9:$Z$258,$AA172)))</f>
        <v/>
      </c>
      <c r="L172" s="39"/>
      <c r="M172" s="39"/>
      <c r="N172" s="39"/>
      <c r="O172" s="39"/>
      <c r="P172" s="39"/>
      <c r="Q172" s="39"/>
      <c r="R172" s="39"/>
      <c r="S172" s="39"/>
      <c r="T172" s="39"/>
      <c r="U172" s="39"/>
      <c r="V172" s="39"/>
      <c r="AA172">
        <f>IFERROR(MATCH(15,Quotes!$AK$9:$AK$258,0),0)</f>
        <v>0</v>
      </c>
    </row>
    <row r="173" spans="1:27" ht="21" hidden="1" customHeight="1" x14ac:dyDescent="0.35">
      <c r="A173" s="40" t="str">
        <f>IF($AA172=0,"",IF(LEN(INDEX(Quotes!$V$9:$V$258,$AA172)&amp;"")=0,"",INDEX(Quotes!$V$9:$V$258,$AA172)))</f>
        <v/>
      </c>
      <c r="B173" s="39"/>
      <c r="C173" s="39"/>
      <c r="D173" s="39"/>
      <c r="E173" s="39"/>
      <c r="F173" s="39"/>
      <c r="G173" s="39"/>
      <c r="H173" s="40" t="str">
        <f>IF($AA172=0,"",IF(LEN(INDEX(Quotes!$W$9:$W$258,$AA172)&amp;"")=0,"",INDEX(Quotes!$W$9:$W$258,$AA172)))</f>
        <v/>
      </c>
      <c r="I173" s="39"/>
      <c r="J173" s="39"/>
      <c r="K173" s="39"/>
      <c r="L173" s="39"/>
      <c r="M173" s="39"/>
      <c r="N173" s="39"/>
      <c r="O173" s="39"/>
      <c r="P173" s="39"/>
      <c r="Q173" s="39"/>
      <c r="R173" s="77" t="str">
        <f>IF($AA172=0,"",IF(LEN(INDEX(Quotes!$X$9:$X$258,$AA172)&amp;"")=0,"",INDEX(Quotes!$X$9:$X$258,$AA172)))</f>
        <v/>
      </c>
      <c r="S173" s="39"/>
      <c r="T173" s="39"/>
      <c r="U173" s="39"/>
      <c r="V173" s="39"/>
    </row>
    <row r="174" spans="1:27" ht="21" hidden="1" customHeight="1" x14ac:dyDescent="0.35">
      <c r="A174" s="83" t="str">
        <f>IF($AA172=0,"","ORIGINAL EUR")</f>
        <v/>
      </c>
      <c r="B174" s="39"/>
      <c r="C174" s="39"/>
      <c r="D174" s="39"/>
      <c r="E174" s="39"/>
      <c r="F174" s="39"/>
      <c r="G174" s="39"/>
      <c r="I174" s="83" t="str">
        <f>IF($AA172=0,"","LATEST EUR")</f>
        <v/>
      </c>
      <c r="J174" s="39"/>
      <c r="K174" s="39"/>
      <c r="L174" s="39"/>
      <c r="M174" s="39"/>
      <c r="N174" s="39"/>
      <c r="O174" s="39"/>
      <c r="Q174" s="83" t="str">
        <f>IF($AA172=0,"","SAVED EUR")</f>
        <v/>
      </c>
      <c r="R174" s="39"/>
      <c r="S174" s="39"/>
      <c r="T174" s="39"/>
      <c r="U174" s="39"/>
      <c r="V174" s="39"/>
    </row>
    <row r="175" spans="1:27" ht="21" hidden="1" customHeight="1" x14ac:dyDescent="0.35">
      <c r="A175" s="82" t="str">
        <f>IF($AA172=0,"",IF(LEN(INDEX(Quotes!$AB$9:$AB$258,$AA172)&amp;"")=0,"",INDEX(Quotes!$AB$9:$AB$258,$AA172)))</f>
        <v/>
      </c>
      <c r="B175" s="39"/>
      <c r="C175" s="39"/>
      <c r="D175" s="39"/>
      <c r="E175" s="39"/>
      <c r="F175" s="39"/>
      <c r="G175" s="39"/>
      <c r="I175" s="82" t="str">
        <f>IF($AA172=0,"",IF(LEN(INDEX(Quotes!$AD$9:$AD$258,$AA172)&amp;"")=0,"",INDEX(Quotes!$AD$9:$AD$258,$AA172)))</f>
        <v/>
      </c>
      <c r="J175" s="39"/>
      <c r="K175" s="39"/>
      <c r="L175" s="39"/>
      <c r="M175" s="39"/>
      <c r="N175" s="39"/>
      <c r="O175" s="39"/>
      <c r="Q175" s="82" t="str">
        <f>IF($AA172=0,"",IF(LEN(INDEX(Quotes!$AF$9:$AF$258,$AA172)&amp;"")=0,"",INDEX(Quotes!$AF$9:$AF$258,$AA172)))</f>
        <v/>
      </c>
      <c r="R175" s="39"/>
      <c r="S175" s="39"/>
      <c r="T175" s="39"/>
      <c r="U175" s="39"/>
      <c r="V175" s="39"/>
    </row>
    <row r="176" spans="1:27" ht="21" hidden="1" customHeight="1" x14ac:dyDescent="0.35">
      <c r="A176" s="48" t="str">
        <f>IF($AA172=0,"","Reference: "&amp;IF(INDEX(Quotes!$M$9:$M$258,$AA172)="",INDEX(Quotes!$S$9:$S$258,$AA172),INDEX(Quotes!$M$9:$M$258,$AA172)))</f>
        <v/>
      </c>
      <c r="B176" s="39"/>
      <c r="C176" s="39"/>
      <c r="D176" s="39"/>
      <c r="E176" s="39"/>
      <c r="F176" s="39"/>
      <c r="G176" s="39"/>
      <c r="H176" s="39"/>
      <c r="I176" s="39"/>
      <c r="J176" s="39"/>
      <c r="K176" s="39"/>
      <c r="L176" s="39"/>
      <c r="M176" s="39"/>
      <c r="N176" s="39"/>
      <c r="O176" s="39"/>
      <c r="P176" s="39"/>
      <c r="Q176" s="48" t="str">
        <f>IF($AA172=0,"",INDEX(Quotes!$E$9:$E$258,$AA172))</f>
        <v/>
      </c>
      <c r="R176" s="39"/>
      <c r="S176" s="39"/>
      <c r="T176" s="39"/>
      <c r="U176" s="39"/>
      <c r="V176" s="39"/>
    </row>
    <row r="177" spans="1:27" ht="21" hidden="1" customHeight="1" x14ac:dyDescent="0.35">
      <c r="A177" s="81" t="str">
        <f>IF($AA172=0,"",IF(INDEX(Quotes!$N$9:$N$258,$AA172)="","No original link","Original quote"))</f>
        <v/>
      </c>
      <c r="B177" s="39"/>
      <c r="C177" s="39"/>
      <c r="D177" s="39"/>
      <c r="E177" s="39"/>
      <c r="F177" s="39"/>
      <c r="G177" s="39"/>
      <c r="I177" s="81" t="str">
        <f>IF($AA172=0,"",IF(INDEX(Quotes!$O$9:$O$258,$AA172)="","No revised link","Revised quote"))</f>
        <v/>
      </c>
      <c r="J177" s="39"/>
      <c r="K177" s="39"/>
      <c r="L177" s="39"/>
      <c r="M177" s="39"/>
      <c r="N177" s="39"/>
      <c r="O177" s="39"/>
      <c r="Q177" s="81" t="str">
        <f>IF($AA172=0,"",HYPERLINK("#'Quotes'!A"&amp;($AA172+8),"Open quote record"))</f>
        <v/>
      </c>
      <c r="R177" s="39"/>
      <c r="S177" s="39"/>
      <c r="T177" s="39"/>
      <c r="U177" s="39"/>
      <c r="V177" s="39"/>
    </row>
    <row r="178" spans="1:27" ht="21" hidden="1" customHeight="1" x14ac:dyDescent="0.35"/>
    <row r="179" spans="1:27" hidden="1" x14ac:dyDescent="0.35"/>
    <row r="180" spans="1:27" hidden="1" x14ac:dyDescent="0.35"/>
    <row r="181" spans="1:27" ht="29" hidden="1" customHeight="1" x14ac:dyDescent="0.35">
      <c r="A181" s="84" t="str">
        <f>IF($AA181=0,"",IF(LEN(INDEX(Quotes!$U$9:$U$258,$AA181)&amp;"")=0,"",INDEX(Quotes!$U$9:$U$258,$AA181)))</f>
        <v/>
      </c>
      <c r="B181" s="39"/>
      <c r="C181" s="39"/>
      <c r="D181" s="39"/>
      <c r="E181" s="39"/>
      <c r="F181" s="39"/>
      <c r="G181" s="39"/>
      <c r="H181" s="39"/>
      <c r="I181" s="39"/>
      <c r="J181" s="39"/>
      <c r="K181" s="85" t="str">
        <f>IF($AA181=0,"",IF(LEN(INDEX(Quotes!$Z$9:$Z$258,$AA181)&amp;"")=0,"",INDEX(Quotes!$Z$9:$Z$258,$AA181)))</f>
        <v/>
      </c>
      <c r="L181" s="39"/>
      <c r="M181" s="39"/>
      <c r="N181" s="39"/>
      <c r="O181" s="39"/>
      <c r="P181" s="39"/>
      <c r="Q181" s="39"/>
      <c r="R181" s="39"/>
      <c r="S181" s="39"/>
      <c r="T181" s="39"/>
      <c r="U181" s="39"/>
      <c r="V181" s="39"/>
      <c r="AA181">
        <f>IFERROR(MATCH(16,Quotes!$AK$9:$AK$258,0),0)</f>
        <v>0</v>
      </c>
    </row>
    <row r="182" spans="1:27" ht="21" hidden="1" customHeight="1" x14ac:dyDescent="0.35">
      <c r="A182" s="40" t="str">
        <f>IF($AA181=0,"",IF(LEN(INDEX(Quotes!$V$9:$V$258,$AA181)&amp;"")=0,"",INDEX(Quotes!$V$9:$V$258,$AA181)))</f>
        <v/>
      </c>
      <c r="B182" s="39"/>
      <c r="C182" s="39"/>
      <c r="D182" s="39"/>
      <c r="E182" s="39"/>
      <c r="F182" s="39"/>
      <c r="G182" s="39"/>
      <c r="H182" s="40" t="str">
        <f>IF($AA181=0,"",IF(LEN(INDEX(Quotes!$W$9:$W$258,$AA181)&amp;"")=0,"",INDEX(Quotes!$W$9:$W$258,$AA181)))</f>
        <v/>
      </c>
      <c r="I182" s="39"/>
      <c r="J182" s="39"/>
      <c r="K182" s="39"/>
      <c r="L182" s="39"/>
      <c r="M182" s="39"/>
      <c r="N182" s="39"/>
      <c r="O182" s="39"/>
      <c r="P182" s="39"/>
      <c r="Q182" s="39"/>
      <c r="R182" s="77" t="str">
        <f>IF($AA181=0,"",IF(LEN(INDEX(Quotes!$X$9:$X$258,$AA181)&amp;"")=0,"",INDEX(Quotes!$X$9:$X$258,$AA181)))</f>
        <v/>
      </c>
      <c r="S182" s="39"/>
      <c r="T182" s="39"/>
      <c r="U182" s="39"/>
      <c r="V182" s="39"/>
    </row>
    <row r="183" spans="1:27" ht="21" hidden="1" customHeight="1" x14ac:dyDescent="0.35">
      <c r="A183" s="83" t="str">
        <f>IF($AA181=0,"","ORIGINAL EUR")</f>
        <v/>
      </c>
      <c r="B183" s="39"/>
      <c r="C183" s="39"/>
      <c r="D183" s="39"/>
      <c r="E183" s="39"/>
      <c r="F183" s="39"/>
      <c r="G183" s="39"/>
      <c r="I183" s="83" t="str">
        <f>IF($AA181=0,"","LATEST EUR")</f>
        <v/>
      </c>
      <c r="J183" s="39"/>
      <c r="K183" s="39"/>
      <c r="L183" s="39"/>
      <c r="M183" s="39"/>
      <c r="N183" s="39"/>
      <c r="O183" s="39"/>
      <c r="Q183" s="83" t="str">
        <f>IF($AA181=0,"","SAVED EUR")</f>
        <v/>
      </c>
      <c r="R183" s="39"/>
      <c r="S183" s="39"/>
      <c r="T183" s="39"/>
      <c r="U183" s="39"/>
      <c r="V183" s="39"/>
    </row>
    <row r="184" spans="1:27" ht="21" hidden="1" customHeight="1" x14ac:dyDescent="0.35">
      <c r="A184" s="82" t="str">
        <f>IF($AA181=0,"",IF(LEN(INDEX(Quotes!$AB$9:$AB$258,$AA181)&amp;"")=0,"",INDEX(Quotes!$AB$9:$AB$258,$AA181)))</f>
        <v/>
      </c>
      <c r="B184" s="39"/>
      <c r="C184" s="39"/>
      <c r="D184" s="39"/>
      <c r="E184" s="39"/>
      <c r="F184" s="39"/>
      <c r="G184" s="39"/>
      <c r="I184" s="82" t="str">
        <f>IF($AA181=0,"",IF(LEN(INDEX(Quotes!$AD$9:$AD$258,$AA181)&amp;"")=0,"",INDEX(Quotes!$AD$9:$AD$258,$AA181)))</f>
        <v/>
      </c>
      <c r="J184" s="39"/>
      <c r="K184" s="39"/>
      <c r="L184" s="39"/>
      <c r="M184" s="39"/>
      <c r="N184" s="39"/>
      <c r="O184" s="39"/>
      <c r="Q184" s="82" t="str">
        <f>IF($AA181=0,"",IF(LEN(INDEX(Quotes!$AF$9:$AF$258,$AA181)&amp;"")=0,"",INDEX(Quotes!$AF$9:$AF$258,$AA181)))</f>
        <v/>
      </c>
      <c r="R184" s="39"/>
      <c r="S184" s="39"/>
      <c r="T184" s="39"/>
      <c r="U184" s="39"/>
      <c r="V184" s="39"/>
    </row>
    <row r="185" spans="1:27" ht="21" hidden="1" customHeight="1" x14ac:dyDescent="0.35">
      <c r="A185" s="48" t="str">
        <f>IF($AA181=0,"","Reference: "&amp;IF(INDEX(Quotes!$M$9:$M$258,$AA181)="",INDEX(Quotes!$S$9:$S$258,$AA181),INDEX(Quotes!$M$9:$M$258,$AA181)))</f>
        <v/>
      </c>
      <c r="B185" s="39"/>
      <c r="C185" s="39"/>
      <c r="D185" s="39"/>
      <c r="E185" s="39"/>
      <c r="F185" s="39"/>
      <c r="G185" s="39"/>
      <c r="H185" s="39"/>
      <c r="I185" s="39"/>
      <c r="J185" s="39"/>
      <c r="K185" s="39"/>
      <c r="L185" s="39"/>
      <c r="M185" s="39"/>
      <c r="N185" s="39"/>
      <c r="O185" s="39"/>
      <c r="P185" s="39"/>
      <c r="Q185" s="48" t="str">
        <f>IF($AA181=0,"",INDEX(Quotes!$E$9:$E$258,$AA181))</f>
        <v/>
      </c>
      <c r="R185" s="39"/>
      <c r="S185" s="39"/>
      <c r="T185" s="39"/>
      <c r="U185" s="39"/>
      <c r="V185" s="39"/>
    </row>
    <row r="186" spans="1:27" ht="21" hidden="1" customHeight="1" x14ac:dyDescent="0.35">
      <c r="A186" s="81" t="str">
        <f>IF($AA181=0,"",IF(INDEX(Quotes!$N$9:$N$258,$AA181)="","No original link","Original quote"))</f>
        <v/>
      </c>
      <c r="B186" s="39"/>
      <c r="C186" s="39"/>
      <c r="D186" s="39"/>
      <c r="E186" s="39"/>
      <c r="F186" s="39"/>
      <c r="G186" s="39"/>
      <c r="I186" s="81" t="str">
        <f>IF($AA181=0,"",IF(INDEX(Quotes!$O$9:$O$258,$AA181)="","No revised link","Revised quote"))</f>
        <v/>
      </c>
      <c r="J186" s="39"/>
      <c r="K186" s="39"/>
      <c r="L186" s="39"/>
      <c r="M186" s="39"/>
      <c r="N186" s="39"/>
      <c r="O186" s="39"/>
      <c r="Q186" s="81" t="str">
        <f>IF($AA181=0,"",HYPERLINK("#'Quotes'!A"&amp;($AA181+8),"Open quote record"))</f>
        <v/>
      </c>
      <c r="R186" s="39"/>
      <c r="S186" s="39"/>
      <c r="T186" s="39"/>
      <c r="U186" s="39"/>
      <c r="V186" s="39"/>
    </row>
    <row r="187" spans="1:27" ht="21" hidden="1" customHeight="1" x14ac:dyDescent="0.35"/>
    <row r="188" spans="1:27" hidden="1" x14ac:dyDescent="0.35"/>
    <row r="189" spans="1:27" hidden="1" x14ac:dyDescent="0.35"/>
    <row r="190" spans="1:27" hidden="1" x14ac:dyDescent="0.35"/>
    <row r="191" spans="1:27" hidden="1" x14ac:dyDescent="0.35">
      <c r="A191" s="67" t="s">
        <v>655</v>
      </c>
      <c r="B191" s="39"/>
      <c r="C191" s="39"/>
      <c r="D191" s="39"/>
      <c r="E191" s="39"/>
      <c r="F191" s="39"/>
      <c r="G191" s="39"/>
      <c r="H191" s="39"/>
      <c r="I191" s="39"/>
      <c r="J191" s="39"/>
      <c r="K191" s="39"/>
      <c r="L191" s="39"/>
      <c r="M191" s="39"/>
      <c r="N191" s="39"/>
      <c r="O191" s="39"/>
      <c r="P191" s="39"/>
      <c r="Q191" s="39"/>
      <c r="R191" s="39"/>
      <c r="S191" s="39"/>
      <c r="T191" s="39"/>
      <c r="U191" s="39"/>
      <c r="V191" s="39"/>
    </row>
    <row r="192" spans="1:27" ht="29" hidden="1" customHeight="1" x14ac:dyDescent="0.35">
      <c r="A192" s="84" t="str">
        <f>IF($AA192=0,"",IF(LEN(INDEX(Quotes!$U$9:$U$258,$AA192)&amp;"")=0,"",INDEX(Quotes!$U$9:$U$258,$AA192)))</f>
        <v/>
      </c>
      <c r="B192" s="39"/>
      <c r="C192" s="39"/>
      <c r="D192" s="39"/>
      <c r="E192" s="39"/>
      <c r="F192" s="39"/>
      <c r="G192" s="39"/>
      <c r="H192" s="39"/>
      <c r="I192" s="39"/>
      <c r="J192" s="39"/>
      <c r="K192" s="85" t="str">
        <f>IF($AA192=0,"",IF(LEN(INDEX(Quotes!$Z$9:$Z$258,$AA192)&amp;"")=0,"",INDEX(Quotes!$Z$9:$Z$258,$AA192)))</f>
        <v/>
      </c>
      <c r="L192" s="39"/>
      <c r="M192" s="39"/>
      <c r="N192" s="39"/>
      <c r="O192" s="39"/>
      <c r="P192" s="39"/>
      <c r="Q192" s="39"/>
      <c r="R192" s="39"/>
      <c r="S192" s="39"/>
      <c r="T192" s="39"/>
      <c r="U192" s="39"/>
      <c r="V192" s="39"/>
      <c r="AA192">
        <f>IFERROR(MATCH(17,Quotes!$AK$9:$AK$258,0),0)</f>
        <v>0</v>
      </c>
    </row>
    <row r="193" spans="1:27" ht="21" hidden="1" customHeight="1" x14ac:dyDescent="0.35">
      <c r="A193" s="40" t="str">
        <f>IF($AA192=0,"",IF(LEN(INDEX(Quotes!$V$9:$V$258,$AA192)&amp;"")=0,"",INDEX(Quotes!$V$9:$V$258,$AA192)))</f>
        <v/>
      </c>
      <c r="B193" s="39"/>
      <c r="C193" s="39"/>
      <c r="D193" s="39"/>
      <c r="E193" s="39"/>
      <c r="F193" s="39"/>
      <c r="G193" s="39"/>
      <c r="H193" s="40" t="str">
        <f>IF($AA192=0,"",IF(LEN(INDEX(Quotes!$W$9:$W$258,$AA192)&amp;"")=0,"",INDEX(Quotes!$W$9:$W$258,$AA192)))</f>
        <v/>
      </c>
      <c r="I193" s="39"/>
      <c r="J193" s="39"/>
      <c r="K193" s="39"/>
      <c r="L193" s="39"/>
      <c r="M193" s="39"/>
      <c r="N193" s="39"/>
      <c r="O193" s="39"/>
      <c r="P193" s="39"/>
      <c r="Q193" s="39"/>
      <c r="R193" s="77" t="str">
        <f>IF($AA192=0,"",IF(LEN(INDEX(Quotes!$X$9:$X$258,$AA192)&amp;"")=0,"",INDEX(Quotes!$X$9:$X$258,$AA192)))</f>
        <v/>
      </c>
      <c r="S193" s="39"/>
      <c r="T193" s="39"/>
      <c r="U193" s="39"/>
      <c r="V193" s="39"/>
    </row>
    <row r="194" spans="1:27" ht="21" hidden="1" customHeight="1" x14ac:dyDescent="0.35">
      <c r="A194" s="83" t="str">
        <f>IF($AA192=0,"","ORIGINAL EUR")</f>
        <v/>
      </c>
      <c r="B194" s="39"/>
      <c r="C194" s="39"/>
      <c r="D194" s="39"/>
      <c r="E194" s="39"/>
      <c r="F194" s="39"/>
      <c r="G194" s="39"/>
      <c r="I194" s="83" t="str">
        <f>IF($AA192=0,"","LATEST EUR")</f>
        <v/>
      </c>
      <c r="J194" s="39"/>
      <c r="K194" s="39"/>
      <c r="L194" s="39"/>
      <c r="M194" s="39"/>
      <c r="N194" s="39"/>
      <c r="O194" s="39"/>
      <c r="Q194" s="83" t="str">
        <f>IF($AA192=0,"","SAVED EUR")</f>
        <v/>
      </c>
      <c r="R194" s="39"/>
      <c r="S194" s="39"/>
      <c r="T194" s="39"/>
      <c r="U194" s="39"/>
      <c r="V194" s="39"/>
    </row>
    <row r="195" spans="1:27" ht="21" hidden="1" customHeight="1" x14ac:dyDescent="0.35">
      <c r="A195" s="82" t="str">
        <f>IF($AA192=0,"",IF(LEN(INDEX(Quotes!$AB$9:$AB$258,$AA192)&amp;"")=0,"",INDEX(Quotes!$AB$9:$AB$258,$AA192)))</f>
        <v/>
      </c>
      <c r="B195" s="39"/>
      <c r="C195" s="39"/>
      <c r="D195" s="39"/>
      <c r="E195" s="39"/>
      <c r="F195" s="39"/>
      <c r="G195" s="39"/>
      <c r="I195" s="82" t="str">
        <f>IF($AA192=0,"",IF(LEN(INDEX(Quotes!$AD$9:$AD$258,$AA192)&amp;"")=0,"",INDEX(Quotes!$AD$9:$AD$258,$AA192)))</f>
        <v/>
      </c>
      <c r="J195" s="39"/>
      <c r="K195" s="39"/>
      <c r="L195" s="39"/>
      <c r="M195" s="39"/>
      <c r="N195" s="39"/>
      <c r="O195" s="39"/>
      <c r="Q195" s="82" t="str">
        <f>IF($AA192=0,"",IF(LEN(INDEX(Quotes!$AF$9:$AF$258,$AA192)&amp;"")=0,"",INDEX(Quotes!$AF$9:$AF$258,$AA192)))</f>
        <v/>
      </c>
      <c r="R195" s="39"/>
      <c r="S195" s="39"/>
      <c r="T195" s="39"/>
      <c r="U195" s="39"/>
      <c r="V195" s="39"/>
    </row>
    <row r="196" spans="1:27" ht="21" hidden="1" customHeight="1" x14ac:dyDescent="0.35">
      <c r="A196" s="48" t="str">
        <f>IF($AA192=0,"","Reference: "&amp;IF(INDEX(Quotes!$M$9:$M$258,$AA192)="",INDEX(Quotes!$S$9:$S$258,$AA192),INDEX(Quotes!$M$9:$M$258,$AA192)))</f>
        <v/>
      </c>
      <c r="B196" s="39"/>
      <c r="C196" s="39"/>
      <c r="D196" s="39"/>
      <c r="E196" s="39"/>
      <c r="F196" s="39"/>
      <c r="G196" s="39"/>
      <c r="H196" s="39"/>
      <c r="I196" s="39"/>
      <c r="J196" s="39"/>
      <c r="K196" s="39"/>
      <c r="L196" s="39"/>
      <c r="M196" s="39"/>
      <c r="N196" s="39"/>
      <c r="O196" s="39"/>
      <c r="P196" s="39"/>
      <c r="Q196" s="48" t="str">
        <f>IF($AA192=0,"",INDEX(Quotes!$E$9:$E$258,$AA192))</f>
        <v/>
      </c>
      <c r="R196" s="39"/>
      <c r="S196" s="39"/>
      <c r="T196" s="39"/>
      <c r="U196" s="39"/>
      <c r="V196" s="39"/>
    </row>
    <row r="197" spans="1:27" ht="21" hidden="1" customHeight="1" x14ac:dyDescent="0.35">
      <c r="A197" s="81" t="str">
        <f>IF($AA192=0,"",IF(INDEX(Quotes!$N$9:$N$258,$AA192)="","No original link","Original quote"))</f>
        <v/>
      </c>
      <c r="B197" s="39"/>
      <c r="C197" s="39"/>
      <c r="D197" s="39"/>
      <c r="E197" s="39"/>
      <c r="F197" s="39"/>
      <c r="G197" s="39"/>
      <c r="I197" s="81" t="str">
        <f>IF($AA192=0,"",IF(INDEX(Quotes!$O$9:$O$258,$AA192)="","No revised link","Revised quote"))</f>
        <v/>
      </c>
      <c r="J197" s="39"/>
      <c r="K197" s="39"/>
      <c r="L197" s="39"/>
      <c r="M197" s="39"/>
      <c r="N197" s="39"/>
      <c r="O197" s="39"/>
      <c r="Q197" s="81" t="str">
        <f>IF($AA192=0,"",HYPERLINK("#'Quotes'!A"&amp;($AA192+8),"Open quote record"))</f>
        <v/>
      </c>
      <c r="R197" s="39"/>
      <c r="S197" s="39"/>
      <c r="T197" s="39"/>
      <c r="U197" s="39"/>
      <c r="V197" s="39"/>
    </row>
    <row r="198" spans="1:27" ht="21" hidden="1" customHeight="1" x14ac:dyDescent="0.35"/>
    <row r="199" spans="1:27" hidden="1" x14ac:dyDescent="0.35"/>
    <row r="200" spans="1:27" hidden="1" x14ac:dyDescent="0.35"/>
    <row r="201" spans="1:27" ht="29" hidden="1" customHeight="1" x14ac:dyDescent="0.35">
      <c r="A201" s="84" t="str">
        <f>IF($AA201=0,"",IF(LEN(INDEX(Quotes!$U$9:$U$258,$AA201)&amp;"")=0,"",INDEX(Quotes!$U$9:$U$258,$AA201)))</f>
        <v/>
      </c>
      <c r="B201" s="39"/>
      <c r="C201" s="39"/>
      <c r="D201" s="39"/>
      <c r="E201" s="39"/>
      <c r="F201" s="39"/>
      <c r="G201" s="39"/>
      <c r="H201" s="39"/>
      <c r="I201" s="39"/>
      <c r="J201" s="39"/>
      <c r="K201" s="85" t="str">
        <f>IF($AA201=0,"",IF(LEN(INDEX(Quotes!$Z$9:$Z$258,$AA201)&amp;"")=0,"",INDEX(Quotes!$Z$9:$Z$258,$AA201)))</f>
        <v/>
      </c>
      <c r="L201" s="39"/>
      <c r="M201" s="39"/>
      <c r="N201" s="39"/>
      <c r="O201" s="39"/>
      <c r="P201" s="39"/>
      <c r="Q201" s="39"/>
      <c r="R201" s="39"/>
      <c r="S201" s="39"/>
      <c r="T201" s="39"/>
      <c r="U201" s="39"/>
      <c r="V201" s="39"/>
      <c r="AA201">
        <f>IFERROR(MATCH(18,Quotes!$AK$9:$AK$258,0),0)</f>
        <v>0</v>
      </c>
    </row>
    <row r="202" spans="1:27" ht="21" hidden="1" customHeight="1" x14ac:dyDescent="0.35">
      <c r="A202" s="40" t="str">
        <f>IF($AA201=0,"",IF(LEN(INDEX(Quotes!$V$9:$V$258,$AA201)&amp;"")=0,"",INDEX(Quotes!$V$9:$V$258,$AA201)))</f>
        <v/>
      </c>
      <c r="B202" s="39"/>
      <c r="C202" s="39"/>
      <c r="D202" s="39"/>
      <c r="E202" s="39"/>
      <c r="F202" s="39"/>
      <c r="G202" s="39"/>
      <c r="H202" s="40" t="str">
        <f>IF($AA201=0,"",IF(LEN(INDEX(Quotes!$W$9:$W$258,$AA201)&amp;"")=0,"",INDEX(Quotes!$W$9:$W$258,$AA201)))</f>
        <v/>
      </c>
      <c r="I202" s="39"/>
      <c r="J202" s="39"/>
      <c r="K202" s="39"/>
      <c r="L202" s="39"/>
      <c r="M202" s="39"/>
      <c r="N202" s="39"/>
      <c r="O202" s="39"/>
      <c r="P202" s="39"/>
      <c r="Q202" s="39"/>
      <c r="R202" s="77" t="str">
        <f>IF($AA201=0,"",IF(LEN(INDEX(Quotes!$X$9:$X$258,$AA201)&amp;"")=0,"",INDEX(Quotes!$X$9:$X$258,$AA201)))</f>
        <v/>
      </c>
      <c r="S202" s="39"/>
      <c r="T202" s="39"/>
      <c r="U202" s="39"/>
      <c r="V202" s="39"/>
    </row>
    <row r="203" spans="1:27" ht="21" hidden="1" customHeight="1" x14ac:dyDescent="0.35">
      <c r="A203" s="83" t="str">
        <f>IF($AA201=0,"","ORIGINAL EUR")</f>
        <v/>
      </c>
      <c r="B203" s="39"/>
      <c r="C203" s="39"/>
      <c r="D203" s="39"/>
      <c r="E203" s="39"/>
      <c r="F203" s="39"/>
      <c r="G203" s="39"/>
      <c r="I203" s="83" t="str">
        <f>IF($AA201=0,"","LATEST EUR")</f>
        <v/>
      </c>
      <c r="J203" s="39"/>
      <c r="K203" s="39"/>
      <c r="L203" s="39"/>
      <c r="M203" s="39"/>
      <c r="N203" s="39"/>
      <c r="O203" s="39"/>
      <c r="Q203" s="83" t="str">
        <f>IF($AA201=0,"","SAVED EUR")</f>
        <v/>
      </c>
      <c r="R203" s="39"/>
      <c r="S203" s="39"/>
      <c r="T203" s="39"/>
      <c r="U203" s="39"/>
      <c r="V203" s="39"/>
    </row>
    <row r="204" spans="1:27" ht="21" hidden="1" customHeight="1" x14ac:dyDescent="0.35">
      <c r="A204" s="82" t="str">
        <f>IF($AA201=0,"",IF(LEN(INDEX(Quotes!$AB$9:$AB$258,$AA201)&amp;"")=0,"",INDEX(Quotes!$AB$9:$AB$258,$AA201)))</f>
        <v/>
      </c>
      <c r="B204" s="39"/>
      <c r="C204" s="39"/>
      <c r="D204" s="39"/>
      <c r="E204" s="39"/>
      <c r="F204" s="39"/>
      <c r="G204" s="39"/>
      <c r="I204" s="82" t="str">
        <f>IF($AA201=0,"",IF(LEN(INDEX(Quotes!$AD$9:$AD$258,$AA201)&amp;"")=0,"",INDEX(Quotes!$AD$9:$AD$258,$AA201)))</f>
        <v/>
      </c>
      <c r="J204" s="39"/>
      <c r="K204" s="39"/>
      <c r="L204" s="39"/>
      <c r="M204" s="39"/>
      <c r="N204" s="39"/>
      <c r="O204" s="39"/>
      <c r="Q204" s="82" t="str">
        <f>IF($AA201=0,"",IF(LEN(INDEX(Quotes!$AF$9:$AF$258,$AA201)&amp;"")=0,"",INDEX(Quotes!$AF$9:$AF$258,$AA201)))</f>
        <v/>
      </c>
      <c r="R204" s="39"/>
      <c r="S204" s="39"/>
      <c r="T204" s="39"/>
      <c r="U204" s="39"/>
      <c r="V204" s="39"/>
    </row>
    <row r="205" spans="1:27" ht="21" hidden="1" customHeight="1" x14ac:dyDescent="0.35">
      <c r="A205" s="48" t="str">
        <f>IF($AA201=0,"","Reference: "&amp;IF(INDEX(Quotes!$M$9:$M$258,$AA201)="",INDEX(Quotes!$S$9:$S$258,$AA201),INDEX(Quotes!$M$9:$M$258,$AA201)))</f>
        <v/>
      </c>
      <c r="B205" s="39"/>
      <c r="C205" s="39"/>
      <c r="D205" s="39"/>
      <c r="E205" s="39"/>
      <c r="F205" s="39"/>
      <c r="G205" s="39"/>
      <c r="H205" s="39"/>
      <c r="I205" s="39"/>
      <c r="J205" s="39"/>
      <c r="K205" s="39"/>
      <c r="L205" s="39"/>
      <c r="M205" s="39"/>
      <c r="N205" s="39"/>
      <c r="O205" s="39"/>
      <c r="P205" s="39"/>
      <c r="Q205" s="48" t="str">
        <f>IF($AA201=0,"",INDEX(Quotes!$E$9:$E$258,$AA201))</f>
        <v/>
      </c>
      <c r="R205" s="39"/>
      <c r="S205" s="39"/>
      <c r="T205" s="39"/>
      <c r="U205" s="39"/>
      <c r="V205" s="39"/>
    </row>
    <row r="206" spans="1:27" ht="21" hidden="1" customHeight="1" x14ac:dyDescent="0.35">
      <c r="A206" s="81" t="str">
        <f>IF($AA201=0,"",IF(INDEX(Quotes!$N$9:$N$258,$AA201)="","No original link","Original quote"))</f>
        <v/>
      </c>
      <c r="B206" s="39"/>
      <c r="C206" s="39"/>
      <c r="D206" s="39"/>
      <c r="E206" s="39"/>
      <c r="F206" s="39"/>
      <c r="G206" s="39"/>
      <c r="I206" s="81" t="str">
        <f>IF($AA201=0,"",IF(INDEX(Quotes!$O$9:$O$258,$AA201)="","No revised link","Revised quote"))</f>
        <v/>
      </c>
      <c r="J206" s="39"/>
      <c r="K206" s="39"/>
      <c r="L206" s="39"/>
      <c r="M206" s="39"/>
      <c r="N206" s="39"/>
      <c r="O206" s="39"/>
      <c r="Q206" s="81" t="str">
        <f>IF($AA201=0,"",HYPERLINK("#'Quotes'!A"&amp;($AA201+8),"Open quote record"))</f>
        <v/>
      </c>
      <c r="R206" s="39"/>
      <c r="S206" s="39"/>
      <c r="T206" s="39"/>
      <c r="U206" s="39"/>
      <c r="V206" s="39"/>
    </row>
    <row r="207" spans="1:27" ht="21" hidden="1" customHeight="1" x14ac:dyDescent="0.35"/>
    <row r="208" spans="1:27" hidden="1" x14ac:dyDescent="0.35"/>
    <row r="209" spans="1:27" hidden="1" x14ac:dyDescent="0.35"/>
    <row r="210" spans="1:27" ht="29" hidden="1" customHeight="1" x14ac:dyDescent="0.35">
      <c r="A210" s="84" t="str">
        <f>IF($AA210=0,"",IF(LEN(INDEX(Quotes!$U$9:$U$258,$AA210)&amp;"")=0,"",INDEX(Quotes!$U$9:$U$258,$AA210)))</f>
        <v/>
      </c>
      <c r="B210" s="39"/>
      <c r="C210" s="39"/>
      <c r="D210" s="39"/>
      <c r="E210" s="39"/>
      <c r="F210" s="39"/>
      <c r="G210" s="39"/>
      <c r="H210" s="39"/>
      <c r="I210" s="39"/>
      <c r="J210" s="39"/>
      <c r="K210" s="85" t="str">
        <f>IF($AA210=0,"",IF(LEN(INDEX(Quotes!$Z$9:$Z$258,$AA210)&amp;"")=0,"",INDEX(Quotes!$Z$9:$Z$258,$AA210)))</f>
        <v/>
      </c>
      <c r="L210" s="39"/>
      <c r="M210" s="39"/>
      <c r="N210" s="39"/>
      <c r="O210" s="39"/>
      <c r="P210" s="39"/>
      <c r="Q210" s="39"/>
      <c r="R210" s="39"/>
      <c r="S210" s="39"/>
      <c r="T210" s="39"/>
      <c r="U210" s="39"/>
      <c r="V210" s="39"/>
      <c r="AA210">
        <f>IFERROR(MATCH(19,Quotes!$AK$9:$AK$258,0),0)</f>
        <v>0</v>
      </c>
    </row>
    <row r="211" spans="1:27" ht="21" hidden="1" customHeight="1" x14ac:dyDescent="0.35">
      <c r="A211" s="40" t="str">
        <f>IF($AA210=0,"",IF(LEN(INDEX(Quotes!$V$9:$V$258,$AA210)&amp;"")=0,"",INDEX(Quotes!$V$9:$V$258,$AA210)))</f>
        <v/>
      </c>
      <c r="B211" s="39"/>
      <c r="C211" s="39"/>
      <c r="D211" s="39"/>
      <c r="E211" s="39"/>
      <c r="F211" s="39"/>
      <c r="G211" s="39"/>
      <c r="H211" s="40" t="str">
        <f>IF($AA210=0,"",IF(LEN(INDEX(Quotes!$W$9:$W$258,$AA210)&amp;"")=0,"",INDEX(Quotes!$W$9:$W$258,$AA210)))</f>
        <v/>
      </c>
      <c r="I211" s="39"/>
      <c r="J211" s="39"/>
      <c r="K211" s="39"/>
      <c r="L211" s="39"/>
      <c r="M211" s="39"/>
      <c r="N211" s="39"/>
      <c r="O211" s="39"/>
      <c r="P211" s="39"/>
      <c r="Q211" s="39"/>
      <c r="R211" s="77" t="str">
        <f>IF($AA210=0,"",IF(LEN(INDEX(Quotes!$X$9:$X$258,$AA210)&amp;"")=0,"",INDEX(Quotes!$X$9:$X$258,$AA210)))</f>
        <v/>
      </c>
      <c r="S211" s="39"/>
      <c r="T211" s="39"/>
      <c r="U211" s="39"/>
      <c r="V211" s="39"/>
    </row>
    <row r="212" spans="1:27" ht="21" hidden="1" customHeight="1" x14ac:dyDescent="0.35">
      <c r="A212" s="83" t="str">
        <f>IF($AA210=0,"","ORIGINAL EUR")</f>
        <v/>
      </c>
      <c r="B212" s="39"/>
      <c r="C212" s="39"/>
      <c r="D212" s="39"/>
      <c r="E212" s="39"/>
      <c r="F212" s="39"/>
      <c r="G212" s="39"/>
      <c r="I212" s="83" t="str">
        <f>IF($AA210=0,"","LATEST EUR")</f>
        <v/>
      </c>
      <c r="J212" s="39"/>
      <c r="K212" s="39"/>
      <c r="L212" s="39"/>
      <c r="M212" s="39"/>
      <c r="N212" s="39"/>
      <c r="O212" s="39"/>
      <c r="Q212" s="83" t="str">
        <f>IF($AA210=0,"","SAVED EUR")</f>
        <v/>
      </c>
      <c r="R212" s="39"/>
      <c r="S212" s="39"/>
      <c r="T212" s="39"/>
      <c r="U212" s="39"/>
      <c r="V212" s="39"/>
    </row>
    <row r="213" spans="1:27" ht="21" hidden="1" customHeight="1" x14ac:dyDescent="0.35">
      <c r="A213" s="82" t="str">
        <f>IF($AA210=0,"",IF(LEN(INDEX(Quotes!$AB$9:$AB$258,$AA210)&amp;"")=0,"",INDEX(Quotes!$AB$9:$AB$258,$AA210)))</f>
        <v/>
      </c>
      <c r="B213" s="39"/>
      <c r="C213" s="39"/>
      <c r="D213" s="39"/>
      <c r="E213" s="39"/>
      <c r="F213" s="39"/>
      <c r="G213" s="39"/>
      <c r="I213" s="82" t="str">
        <f>IF($AA210=0,"",IF(LEN(INDEX(Quotes!$AD$9:$AD$258,$AA210)&amp;"")=0,"",INDEX(Quotes!$AD$9:$AD$258,$AA210)))</f>
        <v/>
      </c>
      <c r="J213" s="39"/>
      <c r="K213" s="39"/>
      <c r="L213" s="39"/>
      <c r="M213" s="39"/>
      <c r="N213" s="39"/>
      <c r="O213" s="39"/>
      <c r="Q213" s="82" t="str">
        <f>IF($AA210=0,"",IF(LEN(INDEX(Quotes!$AF$9:$AF$258,$AA210)&amp;"")=0,"",INDEX(Quotes!$AF$9:$AF$258,$AA210)))</f>
        <v/>
      </c>
      <c r="R213" s="39"/>
      <c r="S213" s="39"/>
      <c r="T213" s="39"/>
      <c r="U213" s="39"/>
      <c r="V213" s="39"/>
    </row>
    <row r="214" spans="1:27" ht="21" hidden="1" customHeight="1" x14ac:dyDescent="0.35">
      <c r="A214" s="48" t="str">
        <f>IF($AA210=0,"","Reference: "&amp;IF(INDEX(Quotes!$M$9:$M$258,$AA210)="",INDEX(Quotes!$S$9:$S$258,$AA210),INDEX(Quotes!$M$9:$M$258,$AA210)))</f>
        <v/>
      </c>
      <c r="B214" s="39"/>
      <c r="C214" s="39"/>
      <c r="D214" s="39"/>
      <c r="E214" s="39"/>
      <c r="F214" s="39"/>
      <c r="G214" s="39"/>
      <c r="H214" s="39"/>
      <c r="I214" s="39"/>
      <c r="J214" s="39"/>
      <c r="K214" s="39"/>
      <c r="L214" s="39"/>
      <c r="M214" s="39"/>
      <c r="N214" s="39"/>
      <c r="O214" s="39"/>
      <c r="P214" s="39"/>
      <c r="Q214" s="48" t="str">
        <f>IF($AA210=0,"",INDEX(Quotes!$E$9:$E$258,$AA210))</f>
        <v/>
      </c>
      <c r="R214" s="39"/>
      <c r="S214" s="39"/>
      <c r="T214" s="39"/>
      <c r="U214" s="39"/>
      <c r="V214" s="39"/>
    </row>
    <row r="215" spans="1:27" ht="21" hidden="1" customHeight="1" x14ac:dyDescent="0.35">
      <c r="A215" s="81" t="str">
        <f>IF($AA210=0,"",IF(INDEX(Quotes!$N$9:$N$258,$AA210)="","No original link","Original quote"))</f>
        <v/>
      </c>
      <c r="B215" s="39"/>
      <c r="C215" s="39"/>
      <c r="D215" s="39"/>
      <c r="E215" s="39"/>
      <c r="F215" s="39"/>
      <c r="G215" s="39"/>
      <c r="I215" s="81" t="str">
        <f>IF($AA210=0,"",IF(INDEX(Quotes!$O$9:$O$258,$AA210)="","No revised link","Revised quote"))</f>
        <v/>
      </c>
      <c r="J215" s="39"/>
      <c r="K215" s="39"/>
      <c r="L215" s="39"/>
      <c r="M215" s="39"/>
      <c r="N215" s="39"/>
      <c r="O215" s="39"/>
      <c r="Q215" s="81" t="str">
        <f>IF($AA210=0,"",HYPERLINK("#'Quotes'!A"&amp;($AA210+8),"Open quote record"))</f>
        <v/>
      </c>
      <c r="R215" s="39"/>
      <c r="S215" s="39"/>
      <c r="T215" s="39"/>
      <c r="U215" s="39"/>
      <c r="V215" s="39"/>
    </row>
    <row r="216" spans="1:27" ht="21" hidden="1" customHeight="1" x14ac:dyDescent="0.35"/>
    <row r="217" spans="1:27" hidden="1" x14ac:dyDescent="0.35"/>
    <row r="218" spans="1:27" hidden="1" x14ac:dyDescent="0.35"/>
    <row r="219" spans="1:27" ht="29" hidden="1" customHeight="1" x14ac:dyDescent="0.35">
      <c r="A219" s="84" t="str">
        <f>IF($AA219=0,"",IF(LEN(INDEX(Quotes!$U$9:$U$258,$AA219)&amp;"")=0,"",INDEX(Quotes!$U$9:$U$258,$AA219)))</f>
        <v/>
      </c>
      <c r="B219" s="39"/>
      <c r="C219" s="39"/>
      <c r="D219" s="39"/>
      <c r="E219" s="39"/>
      <c r="F219" s="39"/>
      <c r="G219" s="39"/>
      <c r="H219" s="39"/>
      <c r="I219" s="39"/>
      <c r="J219" s="39"/>
      <c r="K219" s="85" t="str">
        <f>IF($AA219=0,"",IF(LEN(INDEX(Quotes!$Z$9:$Z$258,$AA219)&amp;"")=0,"",INDEX(Quotes!$Z$9:$Z$258,$AA219)))</f>
        <v/>
      </c>
      <c r="L219" s="39"/>
      <c r="M219" s="39"/>
      <c r="N219" s="39"/>
      <c r="O219" s="39"/>
      <c r="P219" s="39"/>
      <c r="Q219" s="39"/>
      <c r="R219" s="39"/>
      <c r="S219" s="39"/>
      <c r="T219" s="39"/>
      <c r="U219" s="39"/>
      <c r="V219" s="39"/>
      <c r="AA219">
        <f>IFERROR(MATCH(20,Quotes!$AK$9:$AK$258,0),0)</f>
        <v>0</v>
      </c>
    </row>
    <row r="220" spans="1:27" ht="21" hidden="1" customHeight="1" x14ac:dyDescent="0.35">
      <c r="A220" s="40" t="str">
        <f>IF($AA219=0,"",IF(LEN(INDEX(Quotes!$V$9:$V$258,$AA219)&amp;"")=0,"",INDEX(Quotes!$V$9:$V$258,$AA219)))</f>
        <v/>
      </c>
      <c r="B220" s="39"/>
      <c r="C220" s="39"/>
      <c r="D220" s="39"/>
      <c r="E220" s="39"/>
      <c r="F220" s="39"/>
      <c r="G220" s="39"/>
      <c r="H220" s="40" t="str">
        <f>IF($AA219=0,"",IF(LEN(INDEX(Quotes!$W$9:$W$258,$AA219)&amp;"")=0,"",INDEX(Quotes!$W$9:$W$258,$AA219)))</f>
        <v/>
      </c>
      <c r="I220" s="39"/>
      <c r="J220" s="39"/>
      <c r="K220" s="39"/>
      <c r="L220" s="39"/>
      <c r="M220" s="39"/>
      <c r="N220" s="39"/>
      <c r="O220" s="39"/>
      <c r="P220" s="39"/>
      <c r="Q220" s="39"/>
      <c r="R220" s="77" t="str">
        <f>IF($AA219=0,"",IF(LEN(INDEX(Quotes!$X$9:$X$258,$AA219)&amp;"")=0,"",INDEX(Quotes!$X$9:$X$258,$AA219)))</f>
        <v/>
      </c>
      <c r="S220" s="39"/>
      <c r="T220" s="39"/>
      <c r="U220" s="39"/>
      <c r="V220" s="39"/>
    </row>
    <row r="221" spans="1:27" ht="21" hidden="1" customHeight="1" x14ac:dyDescent="0.35">
      <c r="A221" s="83" t="str">
        <f>IF($AA219=0,"","ORIGINAL EUR")</f>
        <v/>
      </c>
      <c r="B221" s="39"/>
      <c r="C221" s="39"/>
      <c r="D221" s="39"/>
      <c r="E221" s="39"/>
      <c r="F221" s="39"/>
      <c r="G221" s="39"/>
      <c r="I221" s="83" t="str">
        <f>IF($AA219=0,"","LATEST EUR")</f>
        <v/>
      </c>
      <c r="J221" s="39"/>
      <c r="K221" s="39"/>
      <c r="L221" s="39"/>
      <c r="M221" s="39"/>
      <c r="N221" s="39"/>
      <c r="O221" s="39"/>
      <c r="Q221" s="83" t="str">
        <f>IF($AA219=0,"","SAVED EUR")</f>
        <v/>
      </c>
      <c r="R221" s="39"/>
      <c r="S221" s="39"/>
      <c r="T221" s="39"/>
      <c r="U221" s="39"/>
      <c r="V221" s="39"/>
    </row>
    <row r="222" spans="1:27" ht="21" hidden="1" customHeight="1" x14ac:dyDescent="0.35">
      <c r="A222" s="82" t="str">
        <f>IF($AA219=0,"",IF(LEN(INDEX(Quotes!$AB$9:$AB$258,$AA219)&amp;"")=0,"",INDEX(Quotes!$AB$9:$AB$258,$AA219)))</f>
        <v/>
      </c>
      <c r="B222" s="39"/>
      <c r="C222" s="39"/>
      <c r="D222" s="39"/>
      <c r="E222" s="39"/>
      <c r="F222" s="39"/>
      <c r="G222" s="39"/>
      <c r="I222" s="82" t="str">
        <f>IF($AA219=0,"",IF(LEN(INDEX(Quotes!$AD$9:$AD$258,$AA219)&amp;"")=0,"",INDEX(Quotes!$AD$9:$AD$258,$AA219)))</f>
        <v/>
      </c>
      <c r="J222" s="39"/>
      <c r="K222" s="39"/>
      <c r="L222" s="39"/>
      <c r="M222" s="39"/>
      <c r="N222" s="39"/>
      <c r="O222" s="39"/>
      <c r="Q222" s="82" t="str">
        <f>IF($AA219=0,"",IF(LEN(INDEX(Quotes!$AF$9:$AF$258,$AA219)&amp;"")=0,"",INDEX(Quotes!$AF$9:$AF$258,$AA219)))</f>
        <v/>
      </c>
      <c r="R222" s="39"/>
      <c r="S222" s="39"/>
      <c r="T222" s="39"/>
      <c r="U222" s="39"/>
      <c r="V222" s="39"/>
    </row>
    <row r="223" spans="1:27" ht="21" hidden="1" customHeight="1" x14ac:dyDescent="0.35">
      <c r="A223" s="48" t="str">
        <f>IF($AA219=0,"","Reference: "&amp;IF(INDEX(Quotes!$M$9:$M$258,$AA219)="",INDEX(Quotes!$S$9:$S$258,$AA219),INDEX(Quotes!$M$9:$M$258,$AA219)))</f>
        <v/>
      </c>
      <c r="B223" s="39"/>
      <c r="C223" s="39"/>
      <c r="D223" s="39"/>
      <c r="E223" s="39"/>
      <c r="F223" s="39"/>
      <c r="G223" s="39"/>
      <c r="H223" s="39"/>
      <c r="I223" s="39"/>
      <c r="J223" s="39"/>
      <c r="K223" s="39"/>
      <c r="L223" s="39"/>
      <c r="M223" s="39"/>
      <c r="N223" s="39"/>
      <c r="O223" s="39"/>
      <c r="P223" s="39"/>
      <c r="Q223" s="48" t="str">
        <f>IF($AA219=0,"",INDEX(Quotes!$E$9:$E$258,$AA219))</f>
        <v/>
      </c>
      <c r="R223" s="39"/>
      <c r="S223" s="39"/>
      <c r="T223" s="39"/>
      <c r="U223" s="39"/>
      <c r="V223" s="39"/>
    </row>
    <row r="224" spans="1:27" ht="21" hidden="1" customHeight="1" x14ac:dyDescent="0.35">
      <c r="A224" s="81" t="str">
        <f>IF($AA219=0,"",IF(INDEX(Quotes!$N$9:$N$258,$AA219)="","No original link","Original quote"))</f>
        <v/>
      </c>
      <c r="B224" s="39"/>
      <c r="C224" s="39"/>
      <c r="D224" s="39"/>
      <c r="E224" s="39"/>
      <c r="F224" s="39"/>
      <c r="G224" s="39"/>
      <c r="I224" s="81" t="str">
        <f>IF($AA219=0,"",IF(INDEX(Quotes!$O$9:$O$258,$AA219)="","No revised link","Revised quote"))</f>
        <v/>
      </c>
      <c r="J224" s="39"/>
      <c r="K224" s="39"/>
      <c r="L224" s="39"/>
      <c r="M224" s="39"/>
      <c r="N224" s="39"/>
      <c r="O224" s="39"/>
      <c r="Q224" s="81" t="str">
        <f>IF($AA219=0,"",HYPERLINK("#'Quotes'!A"&amp;($AA219+8),"Open quote record"))</f>
        <v/>
      </c>
      <c r="R224" s="39"/>
      <c r="S224" s="39"/>
      <c r="T224" s="39"/>
      <c r="U224" s="39"/>
      <c r="V224" s="39"/>
    </row>
    <row r="225" spans="1:27" ht="21" hidden="1" customHeight="1" x14ac:dyDescent="0.35"/>
    <row r="226" spans="1:27" hidden="1" x14ac:dyDescent="0.35"/>
    <row r="227" spans="1:27" hidden="1" x14ac:dyDescent="0.35"/>
    <row r="228" spans="1:27" hidden="1" x14ac:dyDescent="0.35"/>
    <row r="229" spans="1:27" hidden="1" x14ac:dyDescent="0.35">
      <c r="A229" s="67" t="s">
        <v>655</v>
      </c>
      <c r="B229" s="39"/>
      <c r="C229" s="39"/>
      <c r="D229" s="39"/>
      <c r="E229" s="39"/>
      <c r="F229" s="39"/>
      <c r="G229" s="39"/>
      <c r="H229" s="39"/>
      <c r="I229" s="39"/>
      <c r="J229" s="39"/>
      <c r="K229" s="39"/>
      <c r="L229" s="39"/>
      <c r="M229" s="39"/>
      <c r="N229" s="39"/>
      <c r="O229" s="39"/>
      <c r="P229" s="39"/>
      <c r="Q229" s="39"/>
      <c r="R229" s="39"/>
      <c r="S229" s="39"/>
      <c r="T229" s="39"/>
      <c r="U229" s="39"/>
      <c r="V229" s="39"/>
    </row>
    <row r="230" spans="1:27" ht="29" hidden="1" customHeight="1" x14ac:dyDescent="0.35">
      <c r="A230" s="84" t="str">
        <f>IF($AA230=0,"",IF(LEN(INDEX(Quotes!$U$9:$U$258,$AA230)&amp;"")=0,"",INDEX(Quotes!$U$9:$U$258,$AA230)))</f>
        <v/>
      </c>
      <c r="B230" s="39"/>
      <c r="C230" s="39"/>
      <c r="D230" s="39"/>
      <c r="E230" s="39"/>
      <c r="F230" s="39"/>
      <c r="G230" s="39"/>
      <c r="H230" s="39"/>
      <c r="I230" s="39"/>
      <c r="J230" s="39"/>
      <c r="K230" s="85" t="str">
        <f>IF($AA230=0,"",IF(LEN(INDEX(Quotes!$Z$9:$Z$258,$AA230)&amp;"")=0,"",INDEX(Quotes!$Z$9:$Z$258,$AA230)))</f>
        <v/>
      </c>
      <c r="L230" s="39"/>
      <c r="M230" s="39"/>
      <c r="N230" s="39"/>
      <c r="O230" s="39"/>
      <c r="P230" s="39"/>
      <c r="Q230" s="39"/>
      <c r="R230" s="39"/>
      <c r="S230" s="39"/>
      <c r="T230" s="39"/>
      <c r="U230" s="39"/>
      <c r="V230" s="39"/>
      <c r="AA230">
        <f>IFERROR(MATCH(21,Quotes!$AK$9:$AK$258,0),0)</f>
        <v>0</v>
      </c>
    </row>
    <row r="231" spans="1:27" ht="21" hidden="1" customHeight="1" x14ac:dyDescent="0.35">
      <c r="A231" s="40" t="str">
        <f>IF($AA230=0,"",IF(LEN(INDEX(Quotes!$V$9:$V$258,$AA230)&amp;"")=0,"",INDEX(Quotes!$V$9:$V$258,$AA230)))</f>
        <v/>
      </c>
      <c r="B231" s="39"/>
      <c r="C231" s="39"/>
      <c r="D231" s="39"/>
      <c r="E231" s="39"/>
      <c r="F231" s="39"/>
      <c r="G231" s="39"/>
      <c r="H231" s="40" t="str">
        <f>IF($AA230=0,"",IF(LEN(INDEX(Quotes!$W$9:$W$258,$AA230)&amp;"")=0,"",INDEX(Quotes!$W$9:$W$258,$AA230)))</f>
        <v/>
      </c>
      <c r="I231" s="39"/>
      <c r="J231" s="39"/>
      <c r="K231" s="39"/>
      <c r="L231" s="39"/>
      <c r="M231" s="39"/>
      <c r="N231" s="39"/>
      <c r="O231" s="39"/>
      <c r="P231" s="39"/>
      <c r="Q231" s="39"/>
      <c r="R231" s="77" t="str">
        <f>IF($AA230=0,"",IF(LEN(INDEX(Quotes!$X$9:$X$258,$AA230)&amp;"")=0,"",INDEX(Quotes!$X$9:$X$258,$AA230)))</f>
        <v/>
      </c>
      <c r="S231" s="39"/>
      <c r="T231" s="39"/>
      <c r="U231" s="39"/>
      <c r="V231" s="39"/>
    </row>
    <row r="232" spans="1:27" ht="21" hidden="1" customHeight="1" x14ac:dyDescent="0.35">
      <c r="A232" s="83" t="str">
        <f>IF($AA230=0,"","ORIGINAL EUR")</f>
        <v/>
      </c>
      <c r="B232" s="39"/>
      <c r="C232" s="39"/>
      <c r="D232" s="39"/>
      <c r="E232" s="39"/>
      <c r="F232" s="39"/>
      <c r="G232" s="39"/>
      <c r="I232" s="83" t="str">
        <f>IF($AA230=0,"","LATEST EUR")</f>
        <v/>
      </c>
      <c r="J232" s="39"/>
      <c r="K232" s="39"/>
      <c r="L232" s="39"/>
      <c r="M232" s="39"/>
      <c r="N232" s="39"/>
      <c r="O232" s="39"/>
      <c r="Q232" s="83" t="str">
        <f>IF($AA230=0,"","SAVED EUR")</f>
        <v/>
      </c>
      <c r="R232" s="39"/>
      <c r="S232" s="39"/>
      <c r="T232" s="39"/>
      <c r="U232" s="39"/>
      <c r="V232" s="39"/>
    </row>
    <row r="233" spans="1:27" ht="21" hidden="1" customHeight="1" x14ac:dyDescent="0.35">
      <c r="A233" s="82" t="str">
        <f>IF($AA230=0,"",IF(LEN(INDEX(Quotes!$AB$9:$AB$258,$AA230)&amp;"")=0,"",INDEX(Quotes!$AB$9:$AB$258,$AA230)))</f>
        <v/>
      </c>
      <c r="B233" s="39"/>
      <c r="C233" s="39"/>
      <c r="D233" s="39"/>
      <c r="E233" s="39"/>
      <c r="F233" s="39"/>
      <c r="G233" s="39"/>
      <c r="I233" s="82" t="str">
        <f>IF($AA230=0,"",IF(LEN(INDEX(Quotes!$AD$9:$AD$258,$AA230)&amp;"")=0,"",INDEX(Quotes!$AD$9:$AD$258,$AA230)))</f>
        <v/>
      </c>
      <c r="J233" s="39"/>
      <c r="K233" s="39"/>
      <c r="L233" s="39"/>
      <c r="M233" s="39"/>
      <c r="N233" s="39"/>
      <c r="O233" s="39"/>
      <c r="Q233" s="82" t="str">
        <f>IF($AA230=0,"",IF(LEN(INDEX(Quotes!$AF$9:$AF$258,$AA230)&amp;"")=0,"",INDEX(Quotes!$AF$9:$AF$258,$AA230)))</f>
        <v/>
      </c>
      <c r="R233" s="39"/>
      <c r="S233" s="39"/>
      <c r="T233" s="39"/>
      <c r="U233" s="39"/>
      <c r="V233" s="39"/>
    </row>
    <row r="234" spans="1:27" ht="21" hidden="1" customHeight="1" x14ac:dyDescent="0.35">
      <c r="A234" s="48" t="str">
        <f>IF($AA230=0,"","Reference: "&amp;IF(INDEX(Quotes!$M$9:$M$258,$AA230)="",INDEX(Quotes!$S$9:$S$258,$AA230),INDEX(Quotes!$M$9:$M$258,$AA230)))</f>
        <v/>
      </c>
      <c r="B234" s="39"/>
      <c r="C234" s="39"/>
      <c r="D234" s="39"/>
      <c r="E234" s="39"/>
      <c r="F234" s="39"/>
      <c r="G234" s="39"/>
      <c r="H234" s="39"/>
      <c r="I234" s="39"/>
      <c r="J234" s="39"/>
      <c r="K234" s="39"/>
      <c r="L234" s="39"/>
      <c r="M234" s="39"/>
      <c r="N234" s="39"/>
      <c r="O234" s="39"/>
      <c r="P234" s="39"/>
      <c r="Q234" s="48" t="str">
        <f>IF($AA230=0,"",INDEX(Quotes!$E$9:$E$258,$AA230))</f>
        <v/>
      </c>
      <c r="R234" s="39"/>
      <c r="S234" s="39"/>
      <c r="T234" s="39"/>
      <c r="U234" s="39"/>
      <c r="V234" s="39"/>
    </row>
    <row r="235" spans="1:27" ht="21" hidden="1" customHeight="1" x14ac:dyDescent="0.35">
      <c r="A235" s="81" t="str">
        <f>IF($AA230=0,"",IF(INDEX(Quotes!$N$9:$N$258,$AA230)="","No original link","Original quote"))</f>
        <v/>
      </c>
      <c r="B235" s="39"/>
      <c r="C235" s="39"/>
      <c r="D235" s="39"/>
      <c r="E235" s="39"/>
      <c r="F235" s="39"/>
      <c r="G235" s="39"/>
      <c r="I235" s="81" t="str">
        <f>IF($AA230=0,"",IF(INDEX(Quotes!$O$9:$O$258,$AA230)="","No revised link","Revised quote"))</f>
        <v/>
      </c>
      <c r="J235" s="39"/>
      <c r="K235" s="39"/>
      <c r="L235" s="39"/>
      <c r="M235" s="39"/>
      <c r="N235" s="39"/>
      <c r="O235" s="39"/>
      <c r="Q235" s="81" t="str">
        <f>IF($AA230=0,"",HYPERLINK("#'Quotes'!A"&amp;($AA230+8),"Open quote record"))</f>
        <v/>
      </c>
      <c r="R235" s="39"/>
      <c r="S235" s="39"/>
      <c r="T235" s="39"/>
      <c r="U235" s="39"/>
      <c r="V235" s="39"/>
    </row>
    <row r="236" spans="1:27" ht="21" hidden="1" customHeight="1" x14ac:dyDescent="0.35"/>
    <row r="237" spans="1:27" hidden="1" x14ac:dyDescent="0.35"/>
    <row r="238" spans="1:27" hidden="1" x14ac:dyDescent="0.35"/>
    <row r="239" spans="1:27" ht="29" hidden="1" customHeight="1" x14ac:dyDescent="0.35">
      <c r="A239" s="84" t="str">
        <f>IF($AA239=0,"",IF(LEN(INDEX(Quotes!$U$9:$U$258,$AA239)&amp;"")=0,"",INDEX(Quotes!$U$9:$U$258,$AA239)))</f>
        <v/>
      </c>
      <c r="B239" s="39"/>
      <c r="C239" s="39"/>
      <c r="D239" s="39"/>
      <c r="E239" s="39"/>
      <c r="F239" s="39"/>
      <c r="G239" s="39"/>
      <c r="H239" s="39"/>
      <c r="I239" s="39"/>
      <c r="J239" s="39"/>
      <c r="K239" s="85" t="str">
        <f>IF($AA239=0,"",IF(LEN(INDEX(Quotes!$Z$9:$Z$258,$AA239)&amp;"")=0,"",INDEX(Quotes!$Z$9:$Z$258,$AA239)))</f>
        <v/>
      </c>
      <c r="L239" s="39"/>
      <c r="M239" s="39"/>
      <c r="N239" s="39"/>
      <c r="O239" s="39"/>
      <c r="P239" s="39"/>
      <c r="Q239" s="39"/>
      <c r="R239" s="39"/>
      <c r="S239" s="39"/>
      <c r="T239" s="39"/>
      <c r="U239" s="39"/>
      <c r="V239" s="39"/>
      <c r="AA239">
        <f>IFERROR(MATCH(22,Quotes!$AK$9:$AK$258,0),0)</f>
        <v>0</v>
      </c>
    </row>
    <row r="240" spans="1:27" ht="21" hidden="1" customHeight="1" x14ac:dyDescent="0.35">
      <c r="A240" s="40" t="str">
        <f>IF($AA239=0,"",IF(LEN(INDEX(Quotes!$V$9:$V$258,$AA239)&amp;"")=0,"",INDEX(Quotes!$V$9:$V$258,$AA239)))</f>
        <v/>
      </c>
      <c r="B240" s="39"/>
      <c r="C240" s="39"/>
      <c r="D240" s="39"/>
      <c r="E240" s="39"/>
      <c r="F240" s="39"/>
      <c r="G240" s="39"/>
      <c r="H240" s="40" t="str">
        <f>IF($AA239=0,"",IF(LEN(INDEX(Quotes!$W$9:$W$258,$AA239)&amp;"")=0,"",INDEX(Quotes!$W$9:$W$258,$AA239)))</f>
        <v/>
      </c>
      <c r="I240" s="39"/>
      <c r="J240" s="39"/>
      <c r="K240" s="39"/>
      <c r="L240" s="39"/>
      <c r="M240" s="39"/>
      <c r="N240" s="39"/>
      <c r="O240" s="39"/>
      <c r="P240" s="39"/>
      <c r="Q240" s="39"/>
      <c r="R240" s="77" t="str">
        <f>IF($AA239=0,"",IF(LEN(INDEX(Quotes!$X$9:$X$258,$AA239)&amp;"")=0,"",INDEX(Quotes!$X$9:$X$258,$AA239)))</f>
        <v/>
      </c>
      <c r="S240" s="39"/>
      <c r="T240" s="39"/>
      <c r="U240" s="39"/>
      <c r="V240" s="39"/>
    </row>
    <row r="241" spans="1:27" ht="21" hidden="1" customHeight="1" x14ac:dyDescent="0.35">
      <c r="A241" s="83" t="str">
        <f>IF($AA239=0,"","ORIGINAL EUR")</f>
        <v/>
      </c>
      <c r="B241" s="39"/>
      <c r="C241" s="39"/>
      <c r="D241" s="39"/>
      <c r="E241" s="39"/>
      <c r="F241" s="39"/>
      <c r="G241" s="39"/>
      <c r="I241" s="83" t="str">
        <f>IF($AA239=0,"","LATEST EUR")</f>
        <v/>
      </c>
      <c r="J241" s="39"/>
      <c r="K241" s="39"/>
      <c r="L241" s="39"/>
      <c r="M241" s="39"/>
      <c r="N241" s="39"/>
      <c r="O241" s="39"/>
      <c r="Q241" s="83" t="str">
        <f>IF($AA239=0,"","SAVED EUR")</f>
        <v/>
      </c>
      <c r="R241" s="39"/>
      <c r="S241" s="39"/>
      <c r="T241" s="39"/>
      <c r="U241" s="39"/>
      <c r="V241" s="39"/>
    </row>
    <row r="242" spans="1:27" ht="21" hidden="1" customHeight="1" x14ac:dyDescent="0.35">
      <c r="A242" s="82" t="str">
        <f>IF($AA239=0,"",IF(LEN(INDEX(Quotes!$AB$9:$AB$258,$AA239)&amp;"")=0,"",INDEX(Quotes!$AB$9:$AB$258,$AA239)))</f>
        <v/>
      </c>
      <c r="B242" s="39"/>
      <c r="C242" s="39"/>
      <c r="D242" s="39"/>
      <c r="E242" s="39"/>
      <c r="F242" s="39"/>
      <c r="G242" s="39"/>
      <c r="I242" s="82" t="str">
        <f>IF($AA239=0,"",IF(LEN(INDEX(Quotes!$AD$9:$AD$258,$AA239)&amp;"")=0,"",INDEX(Quotes!$AD$9:$AD$258,$AA239)))</f>
        <v/>
      </c>
      <c r="J242" s="39"/>
      <c r="K242" s="39"/>
      <c r="L242" s="39"/>
      <c r="M242" s="39"/>
      <c r="N242" s="39"/>
      <c r="O242" s="39"/>
      <c r="Q242" s="82" t="str">
        <f>IF($AA239=0,"",IF(LEN(INDEX(Quotes!$AF$9:$AF$258,$AA239)&amp;"")=0,"",INDEX(Quotes!$AF$9:$AF$258,$AA239)))</f>
        <v/>
      </c>
      <c r="R242" s="39"/>
      <c r="S242" s="39"/>
      <c r="T242" s="39"/>
      <c r="U242" s="39"/>
      <c r="V242" s="39"/>
    </row>
    <row r="243" spans="1:27" ht="21" hidden="1" customHeight="1" x14ac:dyDescent="0.35">
      <c r="A243" s="48" t="str">
        <f>IF($AA239=0,"","Reference: "&amp;IF(INDEX(Quotes!$M$9:$M$258,$AA239)="",INDEX(Quotes!$S$9:$S$258,$AA239),INDEX(Quotes!$M$9:$M$258,$AA239)))</f>
        <v/>
      </c>
      <c r="B243" s="39"/>
      <c r="C243" s="39"/>
      <c r="D243" s="39"/>
      <c r="E243" s="39"/>
      <c r="F243" s="39"/>
      <c r="G243" s="39"/>
      <c r="H243" s="39"/>
      <c r="I243" s="39"/>
      <c r="J243" s="39"/>
      <c r="K243" s="39"/>
      <c r="L243" s="39"/>
      <c r="M243" s="39"/>
      <c r="N243" s="39"/>
      <c r="O243" s="39"/>
      <c r="P243" s="39"/>
      <c r="Q243" s="48" t="str">
        <f>IF($AA239=0,"",INDEX(Quotes!$E$9:$E$258,$AA239))</f>
        <v/>
      </c>
      <c r="R243" s="39"/>
      <c r="S243" s="39"/>
      <c r="T243" s="39"/>
      <c r="U243" s="39"/>
      <c r="V243" s="39"/>
    </row>
    <row r="244" spans="1:27" ht="21" hidden="1" customHeight="1" x14ac:dyDescent="0.35">
      <c r="A244" s="81" t="str">
        <f>IF($AA239=0,"",IF(INDEX(Quotes!$N$9:$N$258,$AA239)="","No original link","Original quote"))</f>
        <v/>
      </c>
      <c r="B244" s="39"/>
      <c r="C244" s="39"/>
      <c r="D244" s="39"/>
      <c r="E244" s="39"/>
      <c r="F244" s="39"/>
      <c r="G244" s="39"/>
      <c r="I244" s="81" t="str">
        <f>IF($AA239=0,"",IF(INDEX(Quotes!$O$9:$O$258,$AA239)="","No revised link","Revised quote"))</f>
        <v/>
      </c>
      <c r="J244" s="39"/>
      <c r="K244" s="39"/>
      <c r="L244" s="39"/>
      <c r="M244" s="39"/>
      <c r="N244" s="39"/>
      <c r="O244" s="39"/>
      <c r="Q244" s="81" t="str">
        <f>IF($AA239=0,"",HYPERLINK("#'Quotes'!A"&amp;($AA239+8),"Open quote record"))</f>
        <v/>
      </c>
      <c r="R244" s="39"/>
      <c r="S244" s="39"/>
      <c r="T244" s="39"/>
      <c r="U244" s="39"/>
      <c r="V244" s="39"/>
    </row>
    <row r="245" spans="1:27" ht="21" hidden="1" customHeight="1" x14ac:dyDescent="0.35"/>
    <row r="246" spans="1:27" hidden="1" x14ac:dyDescent="0.35"/>
    <row r="247" spans="1:27" hidden="1" x14ac:dyDescent="0.35"/>
    <row r="248" spans="1:27" ht="29" hidden="1" customHeight="1" x14ac:dyDescent="0.35">
      <c r="A248" s="84" t="str">
        <f>IF($AA248=0,"",IF(LEN(INDEX(Quotes!$U$9:$U$258,$AA248)&amp;"")=0,"",INDEX(Quotes!$U$9:$U$258,$AA248)))</f>
        <v/>
      </c>
      <c r="B248" s="39"/>
      <c r="C248" s="39"/>
      <c r="D248" s="39"/>
      <c r="E248" s="39"/>
      <c r="F248" s="39"/>
      <c r="G248" s="39"/>
      <c r="H248" s="39"/>
      <c r="I248" s="39"/>
      <c r="J248" s="39"/>
      <c r="K248" s="85" t="str">
        <f>IF($AA248=0,"",IF(LEN(INDEX(Quotes!$Z$9:$Z$258,$AA248)&amp;"")=0,"",INDEX(Quotes!$Z$9:$Z$258,$AA248)))</f>
        <v/>
      </c>
      <c r="L248" s="39"/>
      <c r="M248" s="39"/>
      <c r="N248" s="39"/>
      <c r="O248" s="39"/>
      <c r="P248" s="39"/>
      <c r="Q248" s="39"/>
      <c r="R248" s="39"/>
      <c r="S248" s="39"/>
      <c r="T248" s="39"/>
      <c r="U248" s="39"/>
      <c r="V248" s="39"/>
      <c r="AA248">
        <f>IFERROR(MATCH(23,Quotes!$AK$9:$AK$258,0),0)</f>
        <v>0</v>
      </c>
    </row>
    <row r="249" spans="1:27" ht="21" hidden="1" customHeight="1" x14ac:dyDescent="0.35">
      <c r="A249" s="40" t="str">
        <f>IF($AA248=0,"",IF(LEN(INDEX(Quotes!$V$9:$V$258,$AA248)&amp;"")=0,"",INDEX(Quotes!$V$9:$V$258,$AA248)))</f>
        <v/>
      </c>
      <c r="B249" s="39"/>
      <c r="C249" s="39"/>
      <c r="D249" s="39"/>
      <c r="E249" s="39"/>
      <c r="F249" s="39"/>
      <c r="G249" s="39"/>
      <c r="H249" s="40" t="str">
        <f>IF($AA248=0,"",IF(LEN(INDEX(Quotes!$W$9:$W$258,$AA248)&amp;"")=0,"",INDEX(Quotes!$W$9:$W$258,$AA248)))</f>
        <v/>
      </c>
      <c r="I249" s="39"/>
      <c r="J249" s="39"/>
      <c r="K249" s="39"/>
      <c r="L249" s="39"/>
      <c r="M249" s="39"/>
      <c r="N249" s="39"/>
      <c r="O249" s="39"/>
      <c r="P249" s="39"/>
      <c r="Q249" s="39"/>
      <c r="R249" s="77" t="str">
        <f>IF($AA248=0,"",IF(LEN(INDEX(Quotes!$X$9:$X$258,$AA248)&amp;"")=0,"",INDEX(Quotes!$X$9:$X$258,$AA248)))</f>
        <v/>
      </c>
      <c r="S249" s="39"/>
      <c r="T249" s="39"/>
      <c r="U249" s="39"/>
      <c r="V249" s="39"/>
    </row>
    <row r="250" spans="1:27" ht="21" hidden="1" customHeight="1" x14ac:dyDescent="0.35">
      <c r="A250" s="83" t="str">
        <f>IF($AA248=0,"","ORIGINAL EUR")</f>
        <v/>
      </c>
      <c r="B250" s="39"/>
      <c r="C250" s="39"/>
      <c r="D250" s="39"/>
      <c r="E250" s="39"/>
      <c r="F250" s="39"/>
      <c r="G250" s="39"/>
      <c r="I250" s="83" t="str">
        <f>IF($AA248=0,"","LATEST EUR")</f>
        <v/>
      </c>
      <c r="J250" s="39"/>
      <c r="K250" s="39"/>
      <c r="L250" s="39"/>
      <c r="M250" s="39"/>
      <c r="N250" s="39"/>
      <c r="O250" s="39"/>
      <c r="Q250" s="83" t="str">
        <f>IF($AA248=0,"","SAVED EUR")</f>
        <v/>
      </c>
      <c r="R250" s="39"/>
      <c r="S250" s="39"/>
      <c r="T250" s="39"/>
      <c r="U250" s="39"/>
      <c r="V250" s="39"/>
    </row>
    <row r="251" spans="1:27" ht="21" hidden="1" customHeight="1" x14ac:dyDescent="0.35">
      <c r="A251" s="82" t="str">
        <f>IF($AA248=0,"",IF(LEN(INDEX(Quotes!$AB$9:$AB$258,$AA248)&amp;"")=0,"",INDEX(Quotes!$AB$9:$AB$258,$AA248)))</f>
        <v/>
      </c>
      <c r="B251" s="39"/>
      <c r="C251" s="39"/>
      <c r="D251" s="39"/>
      <c r="E251" s="39"/>
      <c r="F251" s="39"/>
      <c r="G251" s="39"/>
      <c r="I251" s="82" t="str">
        <f>IF($AA248=0,"",IF(LEN(INDEX(Quotes!$AD$9:$AD$258,$AA248)&amp;"")=0,"",INDEX(Quotes!$AD$9:$AD$258,$AA248)))</f>
        <v/>
      </c>
      <c r="J251" s="39"/>
      <c r="K251" s="39"/>
      <c r="L251" s="39"/>
      <c r="M251" s="39"/>
      <c r="N251" s="39"/>
      <c r="O251" s="39"/>
      <c r="Q251" s="82" t="str">
        <f>IF($AA248=0,"",IF(LEN(INDEX(Quotes!$AF$9:$AF$258,$AA248)&amp;"")=0,"",INDEX(Quotes!$AF$9:$AF$258,$AA248)))</f>
        <v/>
      </c>
      <c r="R251" s="39"/>
      <c r="S251" s="39"/>
      <c r="T251" s="39"/>
      <c r="U251" s="39"/>
      <c r="V251" s="39"/>
    </row>
    <row r="252" spans="1:27" ht="21" hidden="1" customHeight="1" x14ac:dyDescent="0.35">
      <c r="A252" s="48" t="str">
        <f>IF($AA248=0,"","Reference: "&amp;IF(INDEX(Quotes!$M$9:$M$258,$AA248)="",INDEX(Quotes!$S$9:$S$258,$AA248),INDEX(Quotes!$M$9:$M$258,$AA248)))</f>
        <v/>
      </c>
      <c r="B252" s="39"/>
      <c r="C252" s="39"/>
      <c r="D252" s="39"/>
      <c r="E252" s="39"/>
      <c r="F252" s="39"/>
      <c r="G252" s="39"/>
      <c r="H252" s="39"/>
      <c r="I252" s="39"/>
      <c r="J252" s="39"/>
      <c r="K252" s="39"/>
      <c r="L252" s="39"/>
      <c r="M252" s="39"/>
      <c r="N252" s="39"/>
      <c r="O252" s="39"/>
      <c r="P252" s="39"/>
      <c r="Q252" s="48" t="str">
        <f>IF($AA248=0,"",INDEX(Quotes!$E$9:$E$258,$AA248))</f>
        <v/>
      </c>
      <c r="R252" s="39"/>
      <c r="S252" s="39"/>
      <c r="T252" s="39"/>
      <c r="U252" s="39"/>
      <c r="V252" s="39"/>
    </row>
    <row r="253" spans="1:27" ht="21" hidden="1" customHeight="1" x14ac:dyDescent="0.35">
      <c r="A253" s="81" t="str">
        <f>IF($AA248=0,"",IF(INDEX(Quotes!$N$9:$N$258,$AA248)="","No original link","Original quote"))</f>
        <v/>
      </c>
      <c r="B253" s="39"/>
      <c r="C253" s="39"/>
      <c r="D253" s="39"/>
      <c r="E253" s="39"/>
      <c r="F253" s="39"/>
      <c r="G253" s="39"/>
      <c r="I253" s="81" t="str">
        <f>IF($AA248=0,"",IF(INDEX(Quotes!$O$9:$O$258,$AA248)="","No revised link","Revised quote"))</f>
        <v/>
      </c>
      <c r="J253" s="39"/>
      <c r="K253" s="39"/>
      <c r="L253" s="39"/>
      <c r="M253" s="39"/>
      <c r="N253" s="39"/>
      <c r="O253" s="39"/>
      <c r="Q253" s="81" t="str">
        <f>IF($AA248=0,"",HYPERLINK("#'Quotes'!A"&amp;($AA248+8),"Open quote record"))</f>
        <v/>
      </c>
      <c r="R253" s="39"/>
      <c r="S253" s="39"/>
      <c r="T253" s="39"/>
      <c r="U253" s="39"/>
      <c r="V253" s="39"/>
    </row>
    <row r="254" spans="1:27" ht="21" hidden="1" customHeight="1" x14ac:dyDescent="0.35"/>
    <row r="255" spans="1:27" hidden="1" x14ac:dyDescent="0.35"/>
    <row r="256" spans="1:27" hidden="1" x14ac:dyDescent="0.35"/>
    <row r="257" spans="1:27" ht="29" hidden="1" customHeight="1" x14ac:dyDescent="0.35">
      <c r="A257" s="84" t="str">
        <f>IF($AA257=0,"",IF(LEN(INDEX(Quotes!$U$9:$U$258,$AA257)&amp;"")=0,"",INDEX(Quotes!$U$9:$U$258,$AA257)))</f>
        <v/>
      </c>
      <c r="B257" s="39"/>
      <c r="C257" s="39"/>
      <c r="D257" s="39"/>
      <c r="E257" s="39"/>
      <c r="F257" s="39"/>
      <c r="G257" s="39"/>
      <c r="H257" s="39"/>
      <c r="I257" s="39"/>
      <c r="J257" s="39"/>
      <c r="K257" s="85" t="str">
        <f>IF($AA257=0,"",IF(LEN(INDEX(Quotes!$Z$9:$Z$258,$AA257)&amp;"")=0,"",INDEX(Quotes!$Z$9:$Z$258,$AA257)))</f>
        <v/>
      </c>
      <c r="L257" s="39"/>
      <c r="M257" s="39"/>
      <c r="N257" s="39"/>
      <c r="O257" s="39"/>
      <c r="P257" s="39"/>
      <c r="Q257" s="39"/>
      <c r="R257" s="39"/>
      <c r="S257" s="39"/>
      <c r="T257" s="39"/>
      <c r="U257" s="39"/>
      <c r="V257" s="39"/>
      <c r="AA257">
        <f>IFERROR(MATCH(24,Quotes!$AK$9:$AK$258,0),0)</f>
        <v>0</v>
      </c>
    </row>
    <row r="258" spans="1:27" ht="21" hidden="1" customHeight="1" x14ac:dyDescent="0.35">
      <c r="A258" s="40" t="str">
        <f>IF($AA257=0,"",IF(LEN(INDEX(Quotes!$V$9:$V$258,$AA257)&amp;"")=0,"",INDEX(Quotes!$V$9:$V$258,$AA257)))</f>
        <v/>
      </c>
      <c r="B258" s="39"/>
      <c r="C258" s="39"/>
      <c r="D258" s="39"/>
      <c r="E258" s="39"/>
      <c r="F258" s="39"/>
      <c r="G258" s="39"/>
      <c r="H258" s="40" t="str">
        <f>IF($AA257=0,"",IF(LEN(INDEX(Quotes!$W$9:$W$258,$AA257)&amp;"")=0,"",INDEX(Quotes!$W$9:$W$258,$AA257)))</f>
        <v/>
      </c>
      <c r="I258" s="39"/>
      <c r="J258" s="39"/>
      <c r="K258" s="39"/>
      <c r="L258" s="39"/>
      <c r="M258" s="39"/>
      <c r="N258" s="39"/>
      <c r="O258" s="39"/>
      <c r="P258" s="39"/>
      <c r="Q258" s="39"/>
      <c r="R258" s="77" t="str">
        <f>IF($AA257=0,"",IF(LEN(INDEX(Quotes!$X$9:$X$258,$AA257)&amp;"")=0,"",INDEX(Quotes!$X$9:$X$258,$AA257)))</f>
        <v/>
      </c>
      <c r="S258" s="39"/>
      <c r="T258" s="39"/>
      <c r="U258" s="39"/>
      <c r="V258" s="39"/>
    </row>
    <row r="259" spans="1:27" ht="21" hidden="1" customHeight="1" x14ac:dyDescent="0.35">
      <c r="A259" s="83" t="str">
        <f>IF($AA257=0,"","ORIGINAL EUR")</f>
        <v/>
      </c>
      <c r="B259" s="39"/>
      <c r="C259" s="39"/>
      <c r="D259" s="39"/>
      <c r="E259" s="39"/>
      <c r="F259" s="39"/>
      <c r="G259" s="39"/>
      <c r="I259" s="83" t="str">
        <f>IF($AA257=0,"","LATEST EUR")</f>
        <v/>
      </c>
      <c r="J259" s="39"/>
      <c r="K259" s="39"/>
      <c r="L259" s="39"/>
      <c r="M259" s="39"/>
      <c r="N259" s="39"/>
      <c r="O259" s="39"/>
      <c r="Q259" s="83" t="str">
        <f>IF($AA257=0,"","SAVED EUR")</f>
        <v/>
      </c>
      <c r="R259" s="39"/>
      <c r="S259" s="39"/>
      <c r="T259" s="39"/>
      <c r="U259" s="39"/>
      <c r="V259" s="39"/>
    </row>
    <row r="260" spans="1:27" ht="21" hidden="1" customHeight="1" x14ac:dyDescent="0.35">
      <c r="A260" s="82" t="str">
        <f>IF($AA257=0,"",IF(LEN(INDEX(Quotes!$AB$9:$AB$258,$AA257)&amp;"")=0,"",INDEX(Quotes!$AB$9:$AB$258,$AA257)))</f>
        <v/>
      </c>
      <c r="B260" s="39"/>
      <c r="C260" s="39"/>
      <c r="D260" s="39"/>
      <c r="E260" s="39"/>
      <c r="F260" s="39"/>
      <c r="G260" s="39"/>
      <c r="I260" s="82" t="str">
        <f>IF($AA257=0,"",IF(LEN(INDEX(Quotes!$AD$9:$AD$258,$AA257)&amp;"")=0,"",INDEX(Quotes!$AD$9:$AD$258,$AA257)))</f>
        <v/>
      </c>
      <c r="J260" s="39"/>
      <c r="K260" s="39"/>
      <c r="L260" s="39"/>
      <c r="M260" s="39"/>
      <c r="N260" s="39"/>
      <c r="O260" s="39"/>
      <c r="Q260" s="82" t="str">
        <f>IF($AA257=0,"",IF(LEN(INDEX(Quotes!$AF$9:$AF$258,$AA257)&amp;"")=0,"",INDEX(Quotes!$AF$9:$AF$258,$AA257)))</f>
        <v/>
      </c>
      <c r="R260" s="39"/>
      <c r="S260" s="39"/>
      <c r="T260" s="39"/>
      <c r="U260" s="39"/>
      <c r="V260" s="39"/>
    </row>
    <row r="261" spans="1:27" ht="21" hidden="1" customHeight="1" x14ac:dyDescent="0.35">
      <c r="A261" s="48" t="str">
        <f>IF($AA257=0,"","Reference: "&amp;IF(INDEX(Quotes!$M$9:$M$258,$AA257)="",INDEX(Quotes!$S$9:$S$258,$AA257),INDEX(Quotes!$M$9:$M$258,$AA257)))</f>
        <v/>
      </c>
      <c r="B261" s="39"/>
      <c r="C261" s="39"/>
      <c r="D261" s="39"/>
      <c r="E261" s="39"/>
      <c r="F261" s="39"/>
      <c r="G261" s="39"/>
      <c r="H261" s="39"/>
      <c r="I261" s="39"/>
      <c r="J261" s="39"/>
      <c r="K261" s="39"/>
      <c r="L261" s="39"/>
      <c r="M261" s="39"/>
      <c r="N261" s="39"/>
      <c r="O261" s="39"/>
      <c r="P261" s="39"/>
      <c r="Q261" s="48" t="str">
        <f>IF($AA257=0,"",INDEX(Quotes!$E$9:$E$258,$AA257))</f>
        <v/>
      </c>
      <c r="R261" s="39"/>
      <c r="S261" s="39"/>
      <c r="T261" s="39"/>
      <c r="U261" s="39"/>
      <c r="V261" s="39"/>
    </row>
    <row r="262" spans="1:27" ht="21" hidden="1" customHeight="1" x14ac:dyDescent="0.35">
      <c r="A262" s="81" t="str">
        <f>IF($AA257=0,"",IF(INDEX(Quotes!$N$9:$N$258,$AA257)="","No original link","Original quote"))</f>
        <v/>
      </c>
      <c r="B262" s="39"/>
      <c r="C262" s="39"/>
      <c r="D262" s="39"/>
      <c r="E262" s="39"/>
      <c r="F262" s="39"/>
      <c r="G262" s="39"/>
      <c r="I262" s="81" t="str">
        <f>IF($AA257=0,"",IF(INDEX(Quotes!$O$9:$O$258,$AA257)="","No revised link","Revised quote"))</f>
        <v/>
      </c>
      <c r="J262" s="39"/>
      <c r="K262" s="39"/>
      <c r="L262" s="39"/>
      <c r="M262" s="39"/>
      <c r="N262" s="39"/>
      <c r="O262" s="39"/>
      <c r="Q262" s="81" t="str">
        <f>IF($AA257=0,"",HYPERLINK("#'Quotes'!A"&amp;($AA257+8),"Open quote record"))</f>
        <v/>
      </c>
      <c r="R262" s="39"/>
      <c r="S262" s="39"/>
      <c r="T262" s="39"/>
      <c r="U262" s="39"/>
      <c r="V262" s="39"/>
    </row>
    <row r="263" spans="1:27" ht="21" hidden="1" customHeight="1" x14ac:dyDescent="0.35"/>
    <row r="264" spans="1:27" hidden="1" x14ac:dyDescent="0.35"/>
    <row r="265" spans="1:27" hidden="1" x14ac:dyDescent="0.35"/>
    <row r="266" spans="1:27" hidden="1" x14ac:dyDescent="0.35"/>
    <row r="267" spans="1:27" hidden="1" x14ac:dyDescent="0.35">
      <c r="A267" s="67" t="s">
        <v>655</v>
      </c>
      <c r="B267" s="39"/>
      <c r="C267" s="39"/>
      <c r="D267" s="39"/>
      <c r="E267" s="39"/>
      <c r="F267" s="39"/>
      <c r="G267" s="39"/>
      <c r="H267" s="39"/>
      <c r="I267" s="39"/>
      <c r="J267" s="39"/>
      <c r="K267" s="39"/>
      <c r="L267" s="39"/>
      <c r="M267" s="39"/>
      <c r="N267" s="39"/>
      <c r="O267" s="39"/>
      <c r="P267" s="39"/>
      <c r="Q267" s="39"/>
      <c r="R267" s="39"/>
      <c r="S267" s="39"/>
      <c r="T267" s="39"/>
      <c r="U267" s="39"/>
      <c r="V267" s="39"/>
    </row>
    <row r="268" spans="1:27" ht="29" hidden="1" customHeight="1" x14ac:dyDescent="0.35">
      <c r="A268" s="84" t="str">
        <f>IF($AA268=0,"",IF(LEN(INDEX(Quotes!$U$9:$U$258,$AA268)&amp;"")=0,"",INDEX(Quotes!$U$9:$U$258,$AA268)))</f>
        <v/>
      </c>
      <c r="B268" s="39"/>
      <c r="C268" s="39"/>
      <c r="D268" s="39"/>
      <c r="E268" s="39"/>
      <c r="F268" s="39"/>
      <c r="G268" s="39"/>
      <c r="H268" s="39"/>
      <c r="I268" s="39"/>
      <c r="J268" s="39"/>
      <c r="K268" s="85" t="str">
        <f>IF($AA268=0,"",IF(LEN(INDEX(Quotes!$Z$9:$Z$258,$AA268)&amp;"")=0,"",INDEX(Quotes!$Z$9:$Z$258,$AA268)))</f>
        <v/>
      </c>
      <c r="L268" s="39"/>
      <c r="M268" s="39"/>
      <c r="N268" s="39"/>
      <c r="O268" s="39"/>
      <c r="P268" s="39"/>
      <c r="Q268" s="39"/>
      <c r="R268" s="39"/>
      <c r="S268" s="39"/>
      <c r="T268" s="39"/>
      <c r="U268" s="39"/>
      <c r="V268" s="39"/>
      <c r="AA268">
        <f>IFERROR(MATCH(25,Quotes!$AK$9:$AK$258,0),0)</f>
        <v>0</v>
      </c>
    </row>
    <row r="269" spans="1:27" ht="21" hidden="1" customHeight="1" x14ac:dyDescent="0.35">
      <c r="A269" s="40" t="str">
        <f>IF($AA268=0,"",IF(LEN(INDEX(Quotes!$V$9:$V$258,$AA268)&amp;"")=0,"",INDEX(Quotes!$V$9:$V$258,$AA268)))</f>
        <v/>
      </c>
      <c r="B269" s="39"/>
      <c r="C269" s="39"/>
      <c r="D269" s="39"/>
      <c r="E269" s="39"/>
      <c r="F269" s="39"/>
      <c r="G269" s="39"/>
      <c r="H269" s="40" t="str">
        <f>IF($AA268=0,"",IF(LEN(INDEX(Quotes!$W$9:$W$258,$AA268)&amp;"")=0,"",INDEX(Quotes!$W$9:$W$258,$AA268)))</f>
        <v/>
      </c>
      <c r="I269" s="39"/>
      <c r="J269" s="39"/>
      <c r="K269" s="39"/>
      <c r="L269" s="39"/>
      <c r="M269" s="39"/>
      <c r="N269" s="39"/>
      <c r="O269" s="39"/>
      <c r="P269" s="39"/>
      <c r="Q269" s="39"/>
      <c r="R269" s="77" t="str">
        <f>IF($AA268=0,"",IF(LEN(INDEX(Quotes!$X$9:$X$258,$AA268)&amp;"")=0,"",INDEX(Quotes!$X$9:$X$258,$AA268)))</f>
        <v/>
      </c>
      <c r="S269" s="39"/>
      <c r="T269" s="39"/>
      <c r="U269" s="39"/>
      <c r="V269" s="39"/>
    </row>
    <row r="270" spans="1:27" ht="21" hidden="1" customHeight="1" x14ac:dyDescent="0.35">
      <c r="A270" s="83" t="str">
        <f>IF($AA268=0,"","ORIGINAL EUR")</f>
        <v/>
      </c>
      <c r="B270" s="39"/>
      <c r="C270" s="39"/>
      <c r="D270" s="39"/>
      <c r="E270" s="39"/>
      <c r="F270" s="39"/>
      <c r="G270" s="39"/>
      <c r="I270" s="83" t="str">
        <f>IF($AA268=0,"","LATEST EUR")</f>
        <v/>
      </c>
      <c r="J270" s="39"/>
      <c r="K270" s="39"/>
      <c r="L270" s="39"/>
      <c r="M270" s="39"/>
      <c r="N270" s="39"/>
      <c r="O270" s="39"/>
      <c r="Q270" s="83" t="str">
        <f>IF($AA268=0,"","SAVED EUR")</f>
        <v/>
      </c>
      <c r="R270" s="39"/>
      <c r="S270" s="39"/>
      <c r="T270" s="39"/>
      <c r="U270" s="39"/>
      <c r="V270" s="39"/>
    </row>
    <row r="271" spans="1:27" ht="21" hidden="1" customHeight="1" x14ac:dyDescent="0.35">
      <c r="A271" s="82" t="str">
        <f>IF($AA268=0,"",IF(LEN(INDEX(Quotes!$AB$9:$AB$258,$AA268)&amp;"")=0,"",INDEX(Quotes!$AB$9:$AB$258,$AA268)))</f>
        <v/>
      </c>
      <c r="B271" s="39"/>
      <c r="C271" s="39"/>
      <c r="D271" s="39"/>
      <c r="E271" s="39"/>
      <c r="F271" s="39"/>
      <c r="G271" s="39"/>
      <c r="I271" s="82" t="str">
        <f>IF($AA268=0,"",IF(LEN(INDEX(Quotes!$AD$9:$AD$258,$AA268)&amp;"")=0,"",INDEX(Quotes!$AD$9:$AD$258,$AA268)))</f>
        <v/>
      </c>
      <c r="J271" s="39"/>
      <c r="K271" s="39"/>
      <c r="L271" s="39"/>
      <c r="M271" s="39"/>
      <c r="N271" s="39"/>
      <c r="O271" s="39"/>
      <c r="Q271" s="82" t="str">
        <f>IF($AA268=0,"",IF(LEN(INDEX(Quotes!$AF$9:$AF$258,$AA268)&amp;"")=0,"",INDEX(Quotes!$AF$9:$AF$258,$AA268)))</f>
        <v/>
      </c>
      <c r="R271" s="39"/>
      <c r="S271" s="39"/>
      <c r="T271" s="39"/>
      <c r="U271" s="39"/>
      <c r="V271" s="39"/>
    </row>
    <row r="272" spans="1:27" ht="21" hidden="1" customHeight="1" x14ac:dyDescent="0.35">
      <c r="A272" s="48" t="str">
        <f>IF($AA268=0,"","Reference: "&amp;IF(INDEX(Quotes!$M$9:$M$258,$AA268)="",INDEX(Quotes!$S$9:$S$258,$AA268),INDEX(Quotes!$M$9:$M$258,$AA268)))</f>
        <v/>
      </c>
      <c r="B272" s="39"/>
      <c r="C272" s="39"/>
      <c r="D272" s="39"/>
      <c r="E272" s="39"/>
      <c r="F272" s="39"/>
      <c r="G272" s="39"/>
      <c r="H272" s="39"/>
      <c r="I272" s="39"/>
      <c r="J272" s="39"/>
      <c r="K272" s="39"/>
      <c r="L272" s="39"/>
      <c r="M272" s="39"/>
      <c r="N272" s="39"/>
      <c r="O272" s="39"/>
      <c r="P272" s="39"/>
      <c r="Q272" s="48" t="str">
        <f>IF($AA268=0,"",INDEX(Quotes!$E$9:$E$258,$AA268))</f>
        <v/>
      </c>
      <c r="R272" s="39"/>
      <c r="S272" s="39"/>
      <c r="T272" s="39"/>
      <c r="U272" s="39"/>
      <c r="V272" s="39"/>
    </row>
    <row r="273" spans="1:27" ht="21" hidden="1" customHeight="1" x14ac:dyDescent="0.35">
      <c r="A273" s="81" t="str">
        <f>IF($AA268=0,"",IF(INDEX(Quotes!$N$9:$N$258,$AA268)="","No original link","Original quote"))</f>
        <v/>
      </c>
      <c r="B273" s="39"/>
      <c r="C273" s="39"/>
      <c r="D273" s="39"/>
      <c r="E273" s="39"/>
      <c r="F273" s="39"/>
      <c r="G273" s="39"/>
      <c r="I273" s="81" t="str">
        <f>IF($AA268=0,"",IF(INDEX(Quotes!$O$9:$O$258,$AA268)="","No revised link","Revised quote"))</f>
        <v/>
      </c>
      <c r="J273" s="39"/>
      <c r="K273" s="39"/>
      <c r="L273" s="39"/>
      <c r="M273" s="39"/>
      <c r="N273" s="39"/>
      <c r="O273" s="39"/>
      <c r="Q273" s="81" t="str">
        <f>IF($AA268=0,"",HYPERLINK("#'Quotes'!A"&amp;($AA268+8),"Open quote record"))</f>
        <v/>
      </c>
      <c r="R273" s="39"/>
      <c r="S273" s="39"/>
      <c r="T273" s="39"/>
      <c r="U273" s="39"/>
      <c r="V273" s="39"/>
    </row>
    <row r="274" spans="1:27" ht="21" hidden="1" customHeight="1" x14ac:dyDescent="0.35"/>
    <row r="275" spans="1:27" hidden="1" x14ac:dyDescent="0.35"/>
    <row r="276" spans="1:27" hidden="1" x14ac:dyDescent="0.35"/>
    <row r="277" spans="1:27" ht="29" hidden="1" customHeight="1" x14ac:dyDescent="0.35">
      <c r="A277" s="84" t="str">
        <f>IF($AA277=0,"",IF(LEN(INDEX(Quotes!$U$9:$U$258,$AA277)&amp;"")=0,"",INDEX(Quotes!$U$9:$U$258,$AA277)))</f>
        <v/>
      </c>
      <c r="B277" s="39"/>
      <c r="C277" s="39"/>
      <c r="D277" s="39"/>
      <c r="E277" s="39"/>
      <c r="F277" s="39"/>
      <c r="G277" s="39"/>
      <c r="H277" s="39"/>
      <c r="I277" s="39"/>
      <c r="J277" s="39"/>
      <c r="K277" s="85" t="str">
        <f>IF($AA277=0,"",IF(LEN(INDEX(Quotes!$Z$9:$Z$258,$AA277)&amp;"")=0,"",INDEX(Quotes!$Z$9:$Z$258,$AA277)))</f>
        <v/>
      </c>
      <c r="L277" s="39"/>
      <c r="M277" s="39"/>
      <c r="N277" s="39"/>
      <c r="O277" s="39"/>
      <c r="P277" s="39"/>
      <c r="Q277" s="39"/>
      <c r="R277" s="39"/>
      <c r="S277" s="39"/>
      <c r="T277" s="39"/>
      <c r="U277" s="39"/>
      <c r="V277" s="39"/>
      <c r="AA277">
        <f>IFERROR(MATCH(26,Quotes!$AK$9:$AK$258,0),0)</f>
        <v>0</v>
      </c>
    </row>
    <row r="278" spans="1:27" ht="21" hidden="1" customHeight="1" x14ac:dyDescent="0.35">
      <c r="A278" s="40" t="str">
        <f>IF($AA277=0,"",IF(LEN(INDEX(Quotes!$V$9:$V$258,$AA277)&amp;"")=0,"",INDEX(Quotes!$V$9:$V$258,$AA277)))</f>
        <v/>
      </c>
      <c r="B278" s="39"/>
      <c r="C278" s="39"/>
      <c r="D278" s="39"/>
      <c r="E278" s="39"/>
      <c r="F278" s="39"/>
      <c r="G278" s="39"/>
      <c r="H278" s="40" t="str">
        <f>IF($AA277=0,"",IF(LEN(INDEX(Quotes!$W$9:$W$258,$AA277)&amp;"")=0,"",INDEX(Quotes!$W$9:$W$258,$AA277)))</f>
        <v/>
      </c>
      <c r="I278" s="39"/>
      <c r="J278" s="39"/>
      <c r="K278" s="39"/>
      <c r="L278" s="39"/>
      <c r="M278" s="39"/>
      <c r="N278" s="39"/>
      <c r="O278" s="39"/>
      <c r="P278" s="39"/>
      <c r="Q278" s="39"/>
      <c r="R278" s="77" t="str">
        <f>IF($AA277=0,"",IF(LEN(INDEX(Quotes!$X$9:$X$258,$AA277)&amp;"")=0,"",INDEX(Quotes!$X$9:$X$258,$AA277)))</f>
        <v/>
      </c>
      <c r="S278" s="39"/>
      <c r="T278" s="39"/>
      <c r="U278" s="39"/>
      <c r="V278" s="39"/>
    </row>
    <row r="279" spans="1:27" ht="21" hidden="1" customHeight="1" x14ac:dyDescent="0.35">
      <c r="A279" s="83" t="str">
        <f>IF($AA277=0,"","ORIGINAL EUR")</f>
        <v/>
      </c>
      <c r="B279" s="39"/>
      <c r="C279" s="39"/>
      <c r="D279" s="39"/>
      <c r="E279" s="39"/>
      <c r="F279" s="39"/>
      <c r="G279" s="39"/>
      <c r="I279" s="83" t="str">
        <f>IF($AA277=0,"","LATEST EUR")</f>
        <v/>
      </c>
      <c r="J279" s="39"/>
      <c r="K279" s="39"/>
      <c r="L279" s="39"/>
      <c r="M279" s="39"/>
      <c r="N279" s="39"/>
      <c r="O279" s="39"/>
      <c r="Q279" s="83" t="str">
        <f>IF($AA277=0,"","SAVED EUR")</f>
        <v/>
      </c>
      <c r="R279" s="39"/>
      <c r="S279" s="39"/>
      <c r="T279" s="39"/>
      <c r="U279" s="39"/>
      <c r="V279" s="39"/>
    </row>
    <row r="280" spans="1:27" ht="21" hidden="1" customHeight="1" x14ac:dyDescent="0.35">
      <c r="A280" s="82" t="str">
        <f>IF($AA277=0,"",IF(LEN(INDEX(Quotes!$AB$9:$AB$258,$AA277)&amp;"")=0,"",INDEX(Quotes!$AB$9:$AB$258,$AA277)))</f>
        <v/>
      </c>
      <c r="B280" s="39"/>
      <c r="C280" s="39"/>
      <c r="D280" s="39"/>
      <c r="E280" s="39"/>
      <c r="F280" s="39"/>
      <c r="G280" s="39"/>
      <c r="I280" s="82" t="str">
        <f>IF($AA277=0,"",IF(LEN(INDEX(Quotes!$AD$9:$AD$258,$AA277)&amp;"")=0,"",INDEX(Quotes!$AD$9:$AD$258,$AA277)))</f>
        <v/>
      </c>
      <c r="J280" s="39"/>
      <c r="K280" s="39"/>
      <c r="L280" s="39"/>
      <c r="M280" s="39"/>
      <c r="N280" s="39"/>
      <c r="O280" s="39"/>
      <c r="Q280" s="82" t="str">
        <f>IF($AA277=0,"",IF(LEN(INDEX(Quotes!$AF$9:$AF$258,$AA277)&amp;"")=0,"",INDEX(Quotes!$AF$9:$AF$258,$AA277)))</f>
        <v/>
      </c>
      <c r="R280" s="39"/>
      <c r="S280" s="39"/>
      <c r="T280" s="39"/>
      <c r="U280" s="39"/>
      <c r="V280" s="39"/>
    </row>
    <row r="281" spans="1:27" ht="21" hidden="1" customHeight="1" x14ac:dyDescent="0.35">
      <c r="A281" s="48" t="str">
        <f>IF($AA277=0,"","Reference: "&amp;IF(INDEX(Quotes!$M$9:$M$258,$AA277)="",INDEX(Quotes!$S$9:$S$258,$AA277),INDEX(Quotes!$M$9:$M$258,$AA277)))</f>
        <v/>
      </c>
      <c r="B281" s="39"/>
      <c r="C281" s="39"/>
      <c r="D281" s="39"/>
      <c r="E281" s="39"/>
      <c r="F281" s="39"/>
      <c r="G281" s="39"/>
      <c r="H281" s="39"/>
      <c r="I281" s="39"/>
      <c r="J281" s="39"/>
      <c r="K281" s="39"/>
      <c r="L281" s="39"/>
      <c r="M281" s="39"/>
      <c r="N281" s="39"/>
      <c r="O281" s="39"/>
      <c r="P281" s="39"/>
      <c r="Q281" s="48" t="str">
        <f>IF($AA277=0,"",INDEX(Quotes!$E$9:$E$258,$AA277))</f>
        <v/>
      </c>
      <c r="R281" s="39"/>
      <c r="S281" s="39"/>
      <c r="T281" s="39"/>
      <c r="U281" s="39"/>
      <c r="V281" s="39"/>
    </row>
    <row r="282" spans="1:27" ht="21" hidden="1" customHeight="1" x14ac:dyDescent="0.35">
      <c r="A282" s="81" t="str">
        <f>IF($AA277=0,"",IF(INDEX(Quotes!$N$9:$N$258,$AA277)="","No original link","Original quote"))</f>
        <v/>
      </c>
      <c r="B282" s="39"/>
      <c r="C282" s="39"/>
      <c r="D282" s="39"/>
      <c r="E282" s="39"/>
      <c r="F282" s="39"/>
      <c r="G282" s="39"/>
      <c r="I282" s="81" t="str">
        <f>IF($AA277=0,"",IF(INDEX(Quotes!$O$9:$O$258,$AA277)="","No revised link","Revised quote"))</f>
        <v/>
      </c>
      <c r="J282" s="39"/>
      <c r="K282" s="39"/>
      <c r="L282" s="39"/>
      <c r="M282" s="39"/>
      <c r="N282" s="39"/>
      <c r="O282" s="39"/>
      <c r="Q282" s="81" t="str">
        <f>IF($AA277=0,"",HYPERLINK("#'Quotes'!A"&amp;($AA277+8),"Open quote record"))</f>
        <v/>
      </c>
      <c r="R282" s="39"/>
      <c r="S282" s="39"/>
      <c r="T282" s="39"/>
      <c r="U282" s="39"/>
      <c r="V282" s="39"/>
    </row>
    <row r="283" spans="1:27" ht="21" hidden="1" customHeight="1" x14ac:dyDescent="0.35"/>
    <row r="284" spans="1:27" hidden="1" x14ac:dyDescent="0.35"/>
    <row r="285" spans="1:27" hidden="1" x14ac:dyDescent="0.35"/>
    <row r="286" spans="1:27" ht="29" hidden="1" customHeight="1" x14ac:dyDescent="0.35">
      <c r="A286" s="84" t="str">
        <f>IF($AA286=0,"",IF(LEN(INDEX(Quotes!$U$9:$U$258,$AA286)&amp;"")=0,"",INDEX(Quotes!$U$9:$U$258,$AA286)))</f>
        <v/>
      </c>
      <c r="B286" s="39"/>
      <c r="C286" s="39"/>
      <c r="D286" s="39"/>
      <c r="E286" s="39"/>
      <c r="F286" s="39"/>
      <c r="G286" s="39"/>
      <c r="H286" s="39"/>
      <c r="I286" s="39"/>
      <c r="J286" s="39"/>
      <c r="K286" s="85" t="str">
        <f>IF($AA286=0,"",IF(LEN(INDEX(Quotes!$Z$9:$Z$258,$AA286)&amp;"")=0,"",INDEX(Quotes!$Z$9:$Z$258,$AA286)))</f>
        <v/>
      </c>
      <c r="L286" s="39"/>
      <c r="M286" s="39"/>
      <c r="N286" s="39"/>
      <c r="O286" s="39"/>
      <c r="P286" s="39"/>
      <c r="Q286" s="39"/>
      <c r="R286" s="39"/>
      <c r="S286" s="39"/>
      <c r="T286" s="39"/>
      <c r="U286" s="39"/>
      <c r="V286" s="39"/>
      <c r="AA286">
        <f>IFERROR(MATCH(27,Quotes!$AK$9:$AK$258,0),0)</f>
        <v>0</v>
      </c>
    </row>
    <row r="287" spans="1:27" ht="21" hidden="1" customHeight="1" x14ac:dyDescent="0.35">
      <c r="A287" s="40" t="str">
        <f>IF($AA286=0,"",IF(LEN(INDEX(Quotes!$V$9:$V$258,$AA286)&amp;"")=0,"",INDEX(Quotes!$V$9:$V$258,$AA286)))</f>
        <v/>
      </c>
      <c r="B287" s="39"/>
      <c r="C287" s="39"/>
      <c r="D287" s="39"/>
      <c r="E287" s="39"/>
      <c r="F287" s="39"/>
      <c r="G287" s="39"/>
      <c r="H287" s="40" t="str">
        <f>IF($AA286=0,"",IF(LEN(INDEX(Quotes!$W$9:$W$258,$AA286)&amp;"")=0,"",INDEX(Quotes!$W$9:$W$258,$AA286)))</f>
        <v/>
      </c>
      <c r="I287" s="39"/>
      <c r="J287" s="39"/>
      <c r="K287" s="39"/>
      <c r="L287" s="39"/>
      <c r="M287" s="39"/>
      <c r="N287" s="39"/>
      <c r="O287" s="39"/>
      <c r="P287" s="39"/>
      <c r="Q287" s="39"/>
      <c r="R287" s="77" t="str">
        <f>IF($AA286=0,"",IF(LEN(INDEX(Quotes!$X$9:$X$258,$AA286)&amp;"")=0,"",INDEX(Quotes!$X$9:$X$258,$AA286)))</f>
        <v/>
      </c>
      <c r="S287" s="39"/>
      <c r="T287" s="39"/>
      <c r="U287" s="39"/>
      <c r="V287" s="39"/>
    </row>
    <row r="288" spans="1:27" ht="21" hidden="1" customHeight="1" x14ac:dyDescent="0.35">
      <c r="A288" s="83" t="str">
        <f>IF($AA286=0,"","ORIGINAL EUR")</f>
        <v/>
      </c>
      <c r="B288" s="39"/>
      <c r="C288" s="39"/>
      <c r="D288" s="39"/>
      <c r="E288" s="39"/>
      <c r="F288" s="39"/>
      <c r="G288" s="39"/>
      <c r="I288" s="83" t="str">
        <f>IF($AA286=0,"","LATEST EUR")</f>
        <v/>
      </c>
      <c r="J288" s="39"/>
      <c r="K288" s="39"/>
      <c r="L288" s="39"/>
      <c r="M288" s="39"/>
      <c r="N288" s="39"/>
      <c r="O288" s="39"/>
      <c r="Q288" s="83" t="str">
        <f>IF($AA286=0,"","SAVED EUR")</f>
        <v/>
      </c>
      <c r="R288" s="39"/>
      <c r="S288" s="39"/>
      <c r="T288" s="39"/>
      <c r="U288" s="39"/>
      <c r="V288" s="39"/>
    </row>
    <row r="289" spans="1:27" ht="21" hidden="1" customHeight="1" x14ac:dyDescent="0.35">
      <c r="A289" s="82" t="str">
        <f>IF($AA286=0,"",IF(LEN(INDEX(Quotes!$AB$9:$AB$258,$AA286)&amp;"")=0,"",INDEX(Quotes!$AB$9:$AB$258,$AA286)))</f>
        <v/>
      </c>
      <c r="B289" s="39"/>
      <c r="C289" s="39"/>
      <c r="D289" s="39"/>
      <c r="E289" s="39"/>
      <c r="F289" s="39"/>
      <c r="G289" s="39"/>
      <c r="I289" s="82" t="str">
        <f>IF($AA286=0,"",IF(LEN(INDEX(Quotes!$AD$9:$AD$258,$AA286)&amp;"")=0,"",INDEX(Quotes!$AD$9:$AD$258,$AA286)))</f>
        <v/>
      </c>
      <c r="J289" s="39"/>
      <c r="K289" s="39"/>
      <c r="L289" s="39"/>
      <c r="M289" s="39"/>
      <c r="N289" s="39"/>
      <c r="O289" s="39"/>
      <c r="Q289" s="82" t="str">
        <f>IF($AA286=0,"",IF(LEN(INDEX(Quotes!$AF$9:$AF$258,$AA286)&amp;"")=0,"",INDEX(Quotes!$AF$9:$AF$258,$AA286)))</f>
        <v/>
      </c>
      <c r="R289" s="39"/>
      <c r="S289" s="39"/>
      <c r="T289" s="39"/>
      <c r="U289" s="39"/>
      <c r="V289" s="39"/>
    </row>
    <row r="290" spans="1:27" ht="21" hidden="1" customHeight="1" x14ac:dyDescent="0.35">
      <c r="A290" s="48" t="str">
        <f>IF($AA286=0,"","Reference: "&amp;IF(INDEX(Quotes!$M$9:$M$258,$AA286)="",INDEX(Quotes!$S$9:$S$258,$AA286),INDEX(Quotes!$M$9:$M$258,$AA286)))</f>
        <v/>
      </c>
      <c r="B290" s="39"/>
      <c r="C290" s="39"/>
      <c r="D290" s="39"/>
      <c r="E290" s="39"/>
      <c r="F290" s="39"/>
      <c r="G290" s="39"/>
      <c r="H290" s="39"/>
      <c r="I290" s="39"/>
      <c r="J290" s="39"/>
      <c r="K290" s="39"/>
      <c r="L290" s="39"/>
      <c r="M290" s="39"/>
      <c r="N290" s="39"/>
      <c r="O290" s="39"/>
      <c r="P290" s="39"/>
      <c r="Q290" s="48" t="str">
        <f>IF($AA286=0,"",INDEX(Quotes!$E$9:$E$258,$AA286))</f>
        <v/>
      </c>
      <c r="R290" s="39"/>
      <c r="S290" s="39"/>
      <c r="T290" s="39"/>
      <c r="U290" s="39"/>
      <c r="V290" s="39"/>
    </row>
    <row r="291" spans="1:27" ht="21" hidden="1" customHeight="1" x14ac:dyDescent="0.35">
      <c r="A291" s="81" t="str">
        <f>IF($AA286=0,"",IF(INDEX(Quotes!$N$9:$N$258,$AA286)="","No original link","Original quote"))</f>
        <v/>
      </c>
      <c r="B291" s="39"/>
      <c r="C291" s="39"/>
      <c r="D291" s="39"/>
      <c r="E291" s="39"/>
      <c r="F291" s="39"/>
      <c r="G291" s="39"/>
      <c r="I291" s="81" t="str">
        <f>IF($AA286=0,"",IF(INDEX(Quotes!$O$9:$O$258,$AA286)="","No revised link","Revised quote"))</f>
        <v/>
      </c>
      <c r="J291" s="39"/>
      <c r="K291" s="39"/>
      <c r="L291" s="39"/>
      <c r="M291" s="39"/>
      <c r="N291" s="39"/>
      <c r="O291" s="39"/>
      <c r="Q291" s="81" t="str">
        <f>IF($AA286=0,"",HYPERLINK("#'Quotes'!A"&amp;($AA286+8),"Open quote record"))</f>
        <v/>
      </c>
      <c r="R291" s="39"/>
      <c r="S291" s="39"/>
      <c r="T291" s="39"/>
      <c r="U291" s="39"/>
      <c r="V291" s="39"/>
    </row>
    <row r="292" spans="1:27" ht="21" hidden="1" customHeight="1" x14ac:dyDescent="0.35"/>
    <row r="293" spans="1:27" hidden="1" x14ac:dyDescent="0.35"/>
    <row r="294" spans="1:27" hidden="1" x14ac:dyDescent="0.35"/>
    <row r="295" spans="1:27" ht="29" hidden="1" customHeight="1" x14ac:dyDescent="0.35">
      <c r="A295" s="84" t="str">
        <f>IF($AA295=0,"",IF(LEN(INDEX(Quotes!$U$9:$U$258,$AA295)&amp;"")=0,"",INDEX(Quotes!$U$9:$U$258,$AA295)))</f>
        <v/>
      </c>
      <c r="B295" s="39"/>
      <c r="C295" s="39"/>
      <c r="D295" s="39"/>
      <c r="E295" s="39"/>
      <c r="F295" s="39"/>
      <c r="G295" s="39"/>
      <c r="H295" s="39"/>
      <c r="I295" s="39"/>
      <c r="J295" s="39"/>
      <c r="K295" s="85" t="str">
        <f>IF($AA295=0,"",IF(LEN(INDEX(Quotes!$Z$9:$Z$258,$AA295)&amp;"")=0,"",INDEX(Quotes!$Z$9:$Z$258,$AA295)))</f>
        <v/>
      </c>
      <c r="L295" s="39"/>
      <c r="M295" s="39"/>
      <c r="N295" s="39"/>
      <c r="O295" s="39"/>
      <c r="P295" s="39"/>
      <c r="Q295" s="39"/>
      <c r="R295" s="39"/>
      <c r="S295" s="39"/>
      <c r="T295" s="39"/>
      <c r="U295" s="39"/>
      <c r="V295" s="39"/>
      <c r="AA295">
        <f>IFERROR(MATCH(28,Quotes!$AK$9:$AK$258,0),0)</f>
        <v>0</v>
      </c>
    </row>
    <row r="296" spans="1:27" ht="21" hidden="1" customHeight="1" x14ac:dyDescent="0.35">
      <c r="A296" s="40" t="str">
        <f>IF($AA295=0,"",IF(LEN(INDEX(Quotes!$V$9:$V$258,$AA295)&amp;"")=0,"",INDEX(Quotes!$V$9:$V$258,$AA295)))</f>
        <v/>
      </c>
      <c r="B296" s="39"/>
      <c r="C296" s="39"/>
      <c r="D296" s="39"/>
      <c r="E296" s="39"/>
      <c r="F296" s="39"/>
      <c r="G296" s="39"/>
      <c r="H296" s="40" t="str">
        <f>IF($AA295=0,"",IF(LEN(INDEX(Quotes!$W$9:$W$258,$AA295)&amp;"")=0,"",INDEX(Quotes!$W$9:$W$258,$AA295)))</f>
        <v/>
      </c>
      <c r="I296" s="39"/>
      <c r="J296" s="39"/>
      <c r="K296" s="39"/>
      <c r="L296" s="39"/>
      <c r="M296" s="39"/>
      <c r="N296" s="39"/>
      <c r="O296" s="39"/>
      <c r="P296" s="39"/>
      <c r="Q296" s="39"/>
      <c r="R296" s="77" t="str">
        <f>IF($AA295=0,"",IF(LEN(INDEX(Quotes!$X$9:$X$258,$AA295)&amp;"")=0,"",INDEX(Quotes!$X$9:$X$258,$AA295)))</f>
        <v/>
      </c>
      <c r="S296" s="39"/>
      <c r="T296" s="39"/>
      <c r="U296" s="39"/>
      <c r="V296" s="39"/>
    </row>
    <row r="297" spans="1:27" ht="21" hidden="1" customHeight="1" x14ac:dyDescent="0.35">
      <c r="A297" s="83" t="str">
        <f>IF($AA295=0,"","ORIGINAL EUR")</f>
        <v/>
      </c>
      <c r="B297" s="39"/>
      <c r="C297" s="39"/>
      <c r="D297" s="39"/>
      <c r="E297" s="39"/>
      <c r="F297" s="39"/>
      <c r="G297" s="39"/>
      <c r="I297" s="83" t="str">
        <f>IF($AA295=0,"","LATEST EUR")</f>
        <v/>
      </c>
      <c r="J297" s="39"/>
      <c r="K297" s="39"/>
      <c r="L297" s="39"/>
      <c r="M297" s="39"/>
      <c r="N297" s="39"/>
      <c r="O297" s="39"/>
      <c r="Q297" s="83" t="str">
        <f>IF($AA295=0,"","SAVED EUR")</f>
        <v/>
      </c>
      <c r="R297" s="39"/>
      <c r="S297" s="39"/>
      <c r="T297" s="39"/>
      <c r="U297" s="39"/>
      <c r="V297" s="39"/>
    </row>
    <row r="298" spans="1:27" ht="21" hidden="1" customHeight="1" x14ac:dyDescent="0.35">
      <c r="A298" s="82" t="str">
        <f>IF($AA295=0,"",IF(LEN(INDEX(Quotes!$AB$9:$AB$258,$AA295)&amp;"")=0,"",INDEX(Quotes!$AB$9:$AB$258,$AA295)))</f>
        <v/>
      </c>
      <c r="B298" s="39"/>
      <c r="C298" s="39"/>
      <c r="D298" s="39"/>
      <c r="E298" s="39"/>
      <c r="F298" s="39"/>
      <c r="G298" s="39"/>
      <c r="I298" s="82" t="str">
        <f>IF($AA295=0,"",IF(LEN(INDEX(Quotes!$AD$9:$AD$258,$AA295)&amp;"")=0,"",INDEX(Quotes!$AD$9:$AD$258,$AA295)))</f>
        <v/>
      </c>
      <c r="J298" s="39"/>
      <c r="K298" s="39"/>
      <c r="L298" s="39"/>
      <c r="M298" s="39"/>
      <c r="N298" s="39"/>
      <c r="O298" s="39"/>
      <c r="Q298" s="82" t="str">
        <f>IF($AA295=0,"",IF(LEN(INDEX(Quotes!$AF$9:$AF$258,$AA295)&amp;"")=0,"",INDEX(Quotes!$AF$9:$AF$258,$AA295)))</f>
        <v/>
      </c>
      <c r="R298" s="39"/>
      <c r="S298" s="39"/>
      <c r="T298" s="39"/>
      <c r="U298" s="39"/>
      <c r="V298" s="39"/>
    </row>
    <row r="299" spans="1:27" ht="21" hidden="1" customHeight="1" x14ac:dyDescent="0.35">
      <c r="A299" s="48" t="str">
        <f>IF($AA295=0,"","Reference: "&amp;IF(INDEX(Quotes!$M$9:$M$258,$AA295)="",INDEX(Quotes!$S$9:$S$258,$AA295),INDEX(Quotes!$M$9:$M$258,$AA295)))</f>
        <v/>
      </c>
      <c r="B299" s="39"/>
      <c r="C299" s="39"/>
      <c r="D299" s="39"/>
      <c r="E299" s="39"/>
      <c r="F299" s="39"/>
      <c r="G299" s="39"/>
      <c r="H299" s="39"/>
      <c r="I299" s="39"/>
      <c r="J299" s="39"/>
      <c r="K299" s="39"/>
      <c r="L299" s="39"/>
      <c r="M299" s="39"/>
      <c r="N299" s="39"/>
      <c r="O299" s="39"/>
      <c r="P299" s="39"/>
      <c r="Q299" s="48" t="str">
        <f>IF($AA295=0,"",INDEX(Quotes!$E$9:$E$258,$AA295))</f>
        <v/>
      </c>
      <c r="R299" s="39"/>
      <c r="S299" s="39"/>
      <c r="T299" s="39"/>
      <c r="U299" s="39"/>
      <c r="V299" s="39"/>
    </row>
    <row r="300" spans="1:27" ht="21" hidden="1" customHeight="1" x14ac:dyDescent="0.35">
      <c r="A300" s="81" t="str">
        <f>IF($AA295=0,"",IF(INDEX(Quotes!$N$9:$N$258,$AA295)="","No original link","Original quote"))</f>
        <v/>
      </c>
      <c r="B300" s="39"/>
      <c r="C300" s="39"/>
      <c r="D300" s="39"/>
      <c r="E300" s="39"/>
      <c r="F300" s="39"/>
      <c r="G300" s="39"/>
      <c r="I300" s="81" t="str">
        <f>IF($AA295=0,"",IF(INDEX(Quotes!$O$9:$O$258,$AA295)="","No revised link","Revised quote"))</f>
        <v/>
      </c>
      <c r="J300" s="39"/>
      <c r="K300" s="39"/>
      <c r="L300" s="39"/>
      <c r="M300" s="39"/>
      <c r="N300" s="39"/>
      <c r="O300" s="39"/>
      <c r="Q300" s="81" t="str">
        <f>IF($AA295=0,"",HYPERLINK("#'Quotes'!A"&amp;($AA295+8),"Open quote record"))</f>
        <v/>
      </c>
      <c r="R300" s="39"/>
      <c r="S300" s="39"/>
      <c r="T300" s="39"/>
      <c r="U300" s="39"/>
      <c r="V300" s="39"/>
    </row>
    <row r="301" spans="1:27" ht="21" hidden="1" customHeight="1" x14ac:dyDescent="0.35"/>
    <row r="302" spans="1:27" hidden="1" x14ac:dyDescent="0.35"/>
    <row r="303" spans="1:27" hidden="1" x14ac:dyDescent="0.35"/>
    <row r="304" spans="1:27" hidden="1" x14ac:dyDescent="0.35"/>
    <row r="305" spans="1:27" hidden="1" x14ac:dyDescent="0.35">
      <c r="A305" s="67" t="s">
        <v>655</v>
      </c>
      <c r="B305" s="39"/>
      <c r="C305" s="39"/>
      <c r="D305" s="39"/>
      <c r="E305" s="39"/>
      <c r="F305" s="39"/>
      <c r="G305" s="39"/>
      <c r="H305" s="39"/>
      <c r="I305" s="39"/>
      <c r="J305" s="39"/>
      <c r="K305" s="39"/>
      <c r="L305" s="39"/>
      <c r="M305" s="39"/>
      <c r="N305" s="39"/>
      <c r="O305" s="39"/>
      <c r="P305" s="39"/>
      <c r="Q305" s="39"/>
      <c r="R305" s="39"/>
      <c r="S305" s="39"/>
      <c r="T305" s="39"/>
      <c r="U305" s="39"/>
      <c r="V305" s="39"/>
    </row>
    <row r="306" spans="1:27" ht="29" hidden="1" customHeight="1" x14ac:dyDescent="0.35">
      <c r="A306" s="84" t="str">
        <f>IF($AA306=0,"",IF(LEN(INDEX(Quotes!$U$9:$U$258,$AA306)&amp;"")=0,"",INDEX(Quotes!$U$9:$U$258,$AA306)))</f>
        <v/>
      </c>
      <c r="B306" s="39"/>
      <c r="C306" s="39"/>
      <c r="D306" s="39"/>
      <c r="E306" s="39"/>
      <c r="F306" s="39"/>
      <c r="G306" s="39"/>
      <c r="H306" s="39"/>
      <c r="I306" s="39"/>
      <c r="J306" s="39"/>
      <c r="K306" s="85" t="str">
        <f>IF($AA306=0,"",IF(LEN(INDEX(Quotes!$Z$9:$Z$258,$AA306)&amp;"")=0,"",INDEX(Quotes!$Z$9:$Z$258,$AA306)))</f>
        <v/>
      </c>
      <c r="L306" s="39"/>
      <c r="M306" s="39"/>
      <c r="N306" s="39"/>
      <c r="O306" s="39"/>
      <c r="P306" s="39"/>
      <c r="Q306" s="39"/>
      <c r="R306" s="39"/>
      <c r="S306" s="39"/>
      <c r="T306" s="39"/>
      <c r="U306" s="39"/>
      <c r="V306" s="39"/>
      <c r="AA306">
        <f>IFERROR(MATCH(29,Quotes!$AK$9:$AK$258,0),0)</f>
        <v>0</v>
      </c>
    </row>
    <row r="307" spans="1:27" ht="21" hidden="1" customHeight="1" x14ac:dyDescent="0.35">
      <c r="A307" s="40" t="str">
        <f>IF($AA306=0,"",IF(LEN(INDEX(Quotes!$V$9:$V$258,$AA306)&amp;"")=0,"",INDEX(Quotes!$V$9:$V$258,$AA306)))</f>
        <v/>
      </c>
      <c r="B307" s="39"/>
      <c r="C307" s="39"/>
      <c r="D307" s="39"/>
      <c r="E307" s="39"/>
      <c r="F307" s="39"/>
      <c r="G307" s="39"/>
      <c r="H307" s="40" t="str">
        <f>IF($AA306=0,"",IF(LEN(INDEX(Quotes!$W$9:$W$258,$AA306)&amp;"")=0,"",INDEX(Quotes!$W$9:$W$258,$AA306)))</f>
        <v/>
      </c>
      <c r="I307" s="39"/>
      <c r="J307" s="39"/>
      <c r="K307" s="39"/>
      <c r="L307" s="39"/>
      <c r="M307" s="39"/>
      <c r="N307" s="39"/>
      <c r="O307" s="39"/>
      <c r="P307" s="39"/>
      <c r="Q307" s="39"/>
      <c r="R307" s="77" t="str">
        <f>IF($AA306=0,"",IF(LEN(INDEX(Quotes!$X$9:$X$258,$AA306)&amp;"")=0,"",INDEX(Quotes!$X$9:$X$258,$AA306)))</f>
        <v/>
      </c>
      <c r="S307" s="39"/>
      <c r="T307" s="39"/>
      <c r="U307" s="39"/>
      <c r="V307" s="39"/>
    </row>
    <row r="308" spans="1:27" ht="21" hidden="1" customHeight="1" x14ac:dyDescent="0.35">
      <c r="A308" s="83" t="str">
        <f>IF($AA306=0,"","ORIGINAL EUR")</f>
        <v/>
      </c>
      <c r="B308" s="39"/>
      <c r="C308" s="39"/>
      <c r="D308" s="39"/>
      <c r="E308" s="39"/>
      <c r="F308" s="39"/>
      <c r="G308" s="39"/>
      <c r="I308" s="83" t="str">
        <f>IF($AA306=0,"","LATEST EUR")</f>
        <v/>
      </c>
      <c r="J308" s="39"/>
      <c r="K308" s="39"/>
      <c r="L308" s="39"/>
      <c r="M308" s="39"/>
      <c r="N308" s="39"/>
      <c r="O308" s="39"/>
      <c r="Q308" s="83" t="str">
        <f>IF($AA306=0,"","SAVED EUR")</f>
        <v/>
      </c>
      <c r="R308" s="39"/>
      <c r="S308" s="39"/>
      <c r="T308" s="39"/>
      <c r="U308" s="39"/>
      <c r="V308" s="39"/>
    </row>
    <row r="309" spans="1:27" ht="21" hidden="1" customHeight="1" x14ac:dyDescent="0.35">
      <c r="A309" s="82" t="str">
        <f>IF($AA306=0,"",IF(LEN(INDEX(Quotes!$AB$9:$AB$258,$AA306)&amp;"")=0,"",INDEX(Quotes!$AB$9:$AB$258,$AA306)))</f>
        <v/>
      </c>
      <c r="B309" s="39"/>
      <c r="C309" s="39"/>
      <c r="D309" s="39"/>
      <c r="E309" s="39"/>
      <c r="F309" s="39"/>
      <c r="G309" s="39"/>
      <c r="I309" s="82" t="str">
        <f>IF($AA306=0,"",IF(LEN(INDEX(Quotes!$AD$9:$AD$258,$AA306)&amp;"")=0,"",INDEX(Quotes!$AD$9:$AD$258,$AA306)))</f>
        <v/>
      </c>
      <c r="J309" s="39"/>
      <c r="K309" s="39"/>
      <c r="L309" s="39"/>
      <c r="M309" s="39"/>
      <c r="N309" s="39"/>
      <c r="O309" s="39"/>
      <c r="Q309" s="82" t="str">
        <f>IF($AA306=0,"",IF(LEN(INDEX(Quotes!$AF$9:$AF$258,$AA306)&amp;"")=0,"",INDEX(Quotes!$AF$9:$AF$258,$AA306)))</f>
        <v/>
      </c>
      <c r="R309" s="39"/>
      <c r="S309" s="39"/>
      <c r="T309" s="39"/>
      <c r="U309" s="39"/>
      <c r="V309" s="39"/>
    </row>
    <row r="310" spans="1:27" ht="21" hidden="1" customHeight="1" x14ac:dyDescent="0.35">
      <c r="A310" s="48" t="str">
        <f>IF($AA306=0,"","Reference: "&amp;IF(INDEX(Quotes!$M$9:$M$258,$AA306)="",INDEX(Quotes!$S$9:$S$258,$AA306),INDEX(Quotes!$M$9:$M$258,$AA306)))</f>
        <v/>
      </c>
      <c r="B310" s="39"/>
      <c r="C310" s="39"/>
      <c r="D310" s="39"/>
      <c r="E310" s="39"/>
      <c r="F310" s="39"/>
      <c r="G310" s="39"/>
      <c r="H310" s="39"/>
      <c r="I310" s="39"/>
      <c r="J310" s="39"/>
      <c r="K310" s="39"/>
      <c r="L310" s="39"/>
      <c r="M310" s="39"/>
      <c r="N310" s="39"/>
      <c r="O310" s="39"/>
      <c r="P310" s="39"/>
      <c r="Q310" s="48" t="str">
        <f>IF($AA306=0,"",INDEX(Quotes!$E$9:$E$258,$AA306))</f>
        <v/>
      </c>
      <c r="R310" s="39"/>
      <c r="S310" s="39"/>
      <c r="T310" s="39"/>
      <c r="U310" s="39"/>
      <c r="V310" s="39"/>
    </row>
    <row r="311" spans="1:27" ht="21" hidden="1" customHeight="1" x14ac:dyDescent="0.35">
      <c r="A311" s="81" t="str">
        <f>IF($AA306=0,"",IF(INDEX(Quotes!$N$9:$N$258,$AA306)="","No original link","Original quote"))</f>
        <v/>
      </c>
      <c r="B311" s="39"/>
      <c r="C311" s="39"/>
      <c r="D311" s="39"/>
      <c r="E311" s="39"/>
      <c r="F311" s="39"/>
      <c r="G311" s="39"/>
      <c r="I311" s="81" t="str">
        <f>IF($AA306=0,"",IF(INDEX(Quotes!$O$9:$O$258,$AA306)="","No revised link","Revised quote"))</f>
        <v/>
      </c>
      <c r="J311" s="39"/>
      <c r="K311" s="39"/>
      <c r="L311" s="39"/>
      <c r="M311" s="39"/>
      <c r="N311" s="39"/>
      <c r="O311" s="39"/>
      <c r="Q311" s="81" t="str">
        <f>IF($AA306=0,"",HYPERLINK("#'Quotes'!A"&amp;($AA306+8),"Open quote record"))</f>
        <v/>
      </c>
      <c r="R311" s="39"/>
      <c r="S311" s="39"/>
      <c r="T311" s="39"/>
      <c r="U311" s="39"/>
      <c r="V311" s="39"/>
    </row>
    <row r="312" spans="1:27" ht="21" hidden="1" customHeight="1" x14ac:dyDescent="0.35"/>
    <row r="313" spans="1:27" hidden="1" x14ac:dyDescent="0.35"/>
    <row r="314" spans="1:27" hidden="1" x14ac:dyDescent="0.35"/>
    <row r="315" spans="1:27" ht="29" hidden="1" customHeight="1" x14ac:dyDescent="0.35">
      <c r="A315" s="84" t="str">
        <f>IF($AA315=0,"",IF(LEN(INDEX(Quotes!$U$9:$U$258,$AA315)&amp;"")=0,"",INDEX(Quotes!$U$9:$U$258,$AA315)))</f>
        <v/>
      </c>
      <c r="B315" s="39"/>
      <c r="C315" s="39"/>
      <c r="D315" s="39"/>
      <c r="E315" s="39"/>
      <c r="F315" s="39"/>
      <c r="G315" s="39"/>
      <c r="H315" s="39"/>
      <c r="I315" s="39"/>
      <c r="J315" s="39"/>
      <c r="K315" s="85" t="str">
        <f>IF($AA315=0,"",IF(LEN(INDEX(Quotes!$Z$9:$Z$258,$AA315)&amp;"")=0,"",INDEX(Quotes!$Z$9:$Z$258,$AA315)))</f>
        <v/>
      </c>
      <c r="L315" s="39"/>
      <c r="M315" s="39"/>
      <c r="N315" s="39"/>
      <c r="O315" s="39"/>
      <c r="P315" s="39"/>
      <c r="Q315" s="39"/>
      <c r="R315" s="39"/>
      <c r="S315" s="39"/>
      <c r="T315" s="39"/>
      <c r="U315" s="39"/>
      <c r="V315" s="39"/>
      <c r="AA315">
        <f>IFERROR(MATCH(30,Quotes!$AK$9:$AK$258,0),0)</f>
        <v>0</v>
      </c>
    </row>
    <row r="316" spans="1:27" ht="21" hidden="1" customHeight="1" x14ac:dyDescent="0.35">
      <c r="A316" s="40" t="str">
        <f>IF($AA315=0,"",IF(LEN(INDEX(Quotes!$V$9:$V$258,$AA315)&amp;"")=0,"",INDEX(Quotes!$V$9:$V$258,$AA315)))</f>
        <v/>
      </c>
      <c r="B316" s="39"/>
      <c r="C316" s="39"/>
      <c r="D316" s="39"/>
      <c r="E316" s="39"/>
      <c r="F316" s="39"/>
      <c r="G316" s="39"/>
      <c r="H316" s="40" t="str">
        <f>IF($AA315=0,"",IF(LEN(INDEX(Quotes!$W$9:$W$258,$AA315)&amp;"")=0,"",INDEX(Quotes!$W$9:$W$258,$AA315)))</f>
        <v/>
      </c>
      <c r="I316" s="39"/>
      <c r="J316" s="39"/>
      <c r="K316" s="39"/>
      <c r="L316" s="39"/>
      <c r="M316" s="39"/>
      <c r="N316" s="39"/>
      <c r="O316" s="39"/>
      <c r="P316" s="39"/>
      <c r="Q316" s="39"/>
      <c r="R316" s="77" t="str">
        <f>IF($AA315=0,"",IF(LEN(INDEX(Quotes!$X$9:$X$258,$AA315)&amp;"")=0,"",INDEX(Quotes!$X$9:$X$258,$AA315)))</f>
        <v/>
      </c>
      <c r="S316" s="39"/>
      <c r="T316" s="39"/>
      <c r="U316" s="39"/>
      <c r="V316" s="39"/>
    </row>
    <row r="317" spans="1:27" ht="21" hidden="1" customHeight="1" x14ac:dyDescent="0.35">
      <c r="A317" s="83" t="str">
        <f>IF($AA315=0,"","ORIGINAL EUR")</f>
        <v/>
      </c>
      <c r="B317" s="39"/>
      <c r="C317" s="39"/>
      <c r="D317" s="39"/>
      <c r="E317" s="39"/>
      <c r="F317" s="39"/>
      <c r="G317" s="39"/>
      <c r="I317" s="83" t="str">
        <f>IF($AA315=0,"","LATEST EUR")</f>
        <v/>
      </c>
      <c r="J317" s="39"/>
      <c r="K317" s="39"/>
      <c r="L317" s="39"/>
      <c r="M317" s="39"/>
      <c r="N317" s="39"/>
      <c r="O317" s="39"/>
      <c r="Q317" s="83" t="str">
        <f>IF($AA315=0,"","SAVED EUR")</f>
        <v/>
      </c>
      <c r="R317" s="39"/>
      <c r="S317" s="39"/>
      <c r="T317" s="39"/>
      <c r="U317" s="39"/>
      <c r="V317" s="39"/>
    </row>
    <row r="318" spans="1:27" ht="21" hidden="1" customHeight="1" x14ac:dyDescent="0.35">
      <c r="A318" s="82" t="str">
        <f>IF($AA315=0,"",IF(LEN(INDEX(Quotes!$AB$9:$AB$258,$AA315)&amp;"")=0,"",INDEX(Quotes!$AB$9:$AB$258,$AA315)))</f>
        <v/>
      </c>
      <c r="B318" s="39"/>
      <c r="C318" s="39"/>
      <c r="D318" s="39"/>
      <c r="E318" s="39"/>
      <c r="F318" s="39"/>
      <c r="G318" s="39"/>
      <c r="I318" s="82" t="str">
        <f>IF($AA315=0,"",IF(LEN(INDEX(Quotes!$AD$9:$AD$258,$AA315)&amp;"")=0,"",INDEX(Quotes!$AD$9:$AD$258,$AA315)))</f>
        <v/>
      </c>
      <c r="J318" s="39"/>
      <c r="K318" s="39"/>
      <c r="L318" s="39"/>
      <c r="M318" s="39"/>
      <c r="N318" s="39"/>
      <c r="O318" s="39"/>
      <c r="Q318" s="82" t="str">
        <f>IF($AA315=0,"",IF(LEN(INDEX(Quotes!$AF$9:$AF$258,$AA315)&amp;"")=0,"",INDEX(Quotes!$AF$9:$AF$258,$AA315)))</f>
        <v/>
      </c>
      <c r="R318" s="39"/>
      <c r="S318" s="39"/>
      <c r="T318" s="39"/>
      <c r="U318" s="39"/>
      <c r="V318" s="39"/>
    </row>
    <row r="319" spans="1:27" ht="21" hidden="1" customHeight="1" x14ac:dyDescent="0.35">
      <c r="A319" s="48" t="str">
        <f>IF($AA315=0,"","Reference: "&amp;IF(INDEX(Quotes!$M$9:$M$258,$AA315)="",INDEX(Quotes!$S$9:$S$258,$AA315),INDEX(Quotes!$M$9:$M$258,$AA315)))</f>
        <v/>
      </c>
      <c r="B319" s="39"/>
      <c r="C319" s="39"/>
      <c r="D319" s="39"/>
      <c r="E319" s="39"/>
      <c r="F319" s="39"/>
      <c r="G319" s="39"/>
      <c r="H319" s="39"/>
      <c r="I319" s="39"/>
      <c r="J319" s="39"/>
      <c r="K319" s="39"/>
      <c r="L319" s="39"/>
      <c r="M319" s="39"/>
      <c r="N319" s="39"/>
      <c r="O319" s="39"/>
      <c r="P319" s="39"/>
      <c r="Q319" s="48" t="str">
        <f>IF($AA315=0,"",INDEX(Quotes!$E$9:$E$258,$AA315))</f>
        <v/>
      </c>
      <c r="R319" s="39"/>
      <c r="S319" s="39"/>
      <c r="T319" s="39"/>
      <c r="U319" s="39"/>
      <c r="V319" s="39"/>
    </row>
    <row r="320" spans="1:27" ht="21" hidden="1" customHeight="1" x14ac:dyDescent="0.35">
      <c r="A320" s="81" t="str">
        <f>IF($AA315=0,"",IF(INDEX(Quotes!$N$9:$N$258,$AA315)="","No original link","Original quote"))</f>
        <v/>
      </c>
      <c r="B320" s="39"/>
      <c r="C320" s="39"/>
      <c r="D320" s="39"/>
      <c r="E320" s="39"/>
      <c r="F320" s="39"/>
      <c r="G320" s="39"/>
      <c r="I320" s="81" t="str">
        <f>IF($AA315=0,"",IF(INDEX(Quotes!$O$9:$O$258,$AA315)="","No revised link","Revised quote"))</f>
        <v/>
      </c>
      <c r="J320" s="39"/>
      <c r="K320" s="39"/>
      <c r="L320" s="39"/>
      <c r="M320" s="39"/>
      <c r="N320" s="39"/>
      <c r="O320" s="39"/>
      <c r="Q320" s="81" t="str">
        <f>IF($AA315=0,"",HYPERLINK("#'Quotes'!A"&amp;($AA315+8),"Open quote record"))</f>
        <v/>
      </c>
      <c r="R320" s="39"/>
      <c r="S320" s="39"/>
      <c r="T320" s="39"/>
      <c r="U320" s="39"/>
      <c r="V320" s="39"/>
    </row>
    <row r="321" spans="1:27" ht="21" hidden="1" customHeight="1" x14ac:dyDescent="0.35"/>
    <row r="322" spans="1:27" hidden="1" x14ac:dyDescent="0.35"/>
    <row r="323" spans="1:27" hidden="1" x14ac:dyDescent="0.35"/>
    <row r="324" spans="1:27" ht="29" hidden="1" customHeight="1" x14ac:dyDescent="0.35">
      <c r="A324" s="84" t="str">
        <f>IF($AA324=0,"",IF(LEN(INDEX(Quotes!$U$9:$U$258,$AA324)&amp;"")=0,"",INDEX(Quotes!$U$9:$U$258,$AA324)))</f>
        <v/>
      </c>
      <c r="B324" s="39"/>
      <c r="C324" s="39"/>
      <c r="D324" s="39"/>
      <c r="E324" s="39"/>
      <c r="F324" s="39"/>
      <c r="G324" s="39"/>
      <c r="H324" s="39"/>
      <c r="I324" s="39"/>
      <c r="J324" s="39"/>
      <c r="K324" s="85" t="str">
        <f>IF($AA324=0,"",IF(LEN(INDEX(Quotes!$Z$9:$Z$258,$AA324)&amp;"")=0,"",INDEX(Quotes!$Z$9:$Z$258,$AA324)))</f>
        <v/>
      </c>
      <c r="L324" s="39"/>
      <c r="M324" s="39"/>
      <c r="N324" s="39"/>
      <c r="O324" s="39"/>
      <c r="P324" s="39"/>
      <c r="Q324" s="39"/>
      <c r="R324" s="39"/>
      <c r="S324" s="39"/>
      <c r="T324" s="39"/>
      <c r="U324" s="39"/>
      <c r="V324" s="39"/>
      <c r="AA324">
        <f>IFERROR(MATCH(31,Quotes!$AK$9:$AK$258,0),0)</f>
        <v>0</v>
      </c>
    </row>
    <row r="325" spans="1:27" ht="21" hidden="1" customHeight="1" x14ac:dyDescent="0.35">
      <c r="A325" s="40" t="str">
        <f>IF($AA324=0,"",IF(LEN(INDEX(Quotes!$V$9:$V$258,$AA324)&amp;"")=0,"",INDEX(Quotes!$V$9:$V$258,$AA324)))</f>
        <v/>
      </c>
      <c r="B325" s="39"/>
      <c r="C325" s="39"/>
      <c r="D325" s="39"/>
      <c r="E325" s="39"/>
      <c r="F325" s="39"/>
      <c r="G325" s="39"/>
      <c r="H325" s="40" t="str">
        <f>IF($AA324=0,"",IF(LEN(INDEX(Quotes!$W$9:$W$258,$AA324)&amp;"")=0,"",INDEX(Quotes!$W$9:$W$258,$AA324)))</f>
        <v/>
      </c>
      <c r="I325" s="39"/>
      <c r="J325" s="39"/>
      <c r="K325" s="39"/>
      <c r="L325" s="39"/>
      <c r="M325" s="39"/>
      <c r="N325" s="39"/>
      <c r="O325" s="39"/>
      <c r="P325" s="39"/>
      <c r="Q325" s="39"/>
      <c r="R325" s="77" t="str">
        <f>IF($AA324=0,"",IF(LEN(INDEX(Quotes!$X$9:$X$258,$AA324)&amp;"")=0,"",INDEX(Quotes!$X$9:$X$258,$AA324)))</f>
        <v/>
      </c>
      <c r="S325" s="39"/>
      <c r="T325" s="39"/>
      <c r="U325" s="39"/>
      <c r="V325" s="39"/>
    </row>
    <row r="326" spans="1:27" ht="21" hidden="1" customHeight="1" x14ac:dyDescent="0.35">
      <c r="A326" s="83" t="str">
        <f>IF($AA324=0,"","ORIGINAL EUR")</f>
        <v/>
      </c>
      <c r="B326" s="39"/>
      <c r="C326" s="39"/>
      <c r="D326" s="39"/>
      <c r="E326" s="39"/>
      <c r="F326" s="39"/>
      <c r="G326" s="39"/>
      <c r="I326" s="83" t="str">
        <f>IF($AA324=0,"","LATEST EUR")</f>
        <v/>
      </c>
      <c r="J326" s="39"/>
      <c r="K326" s="39"/>
      <c r="L326" s="39"/>
      <c r="M326" s="39"/>
      <c r="N326" s="39"/>
      <c r="O326" s="39"/>
      <c r="Q326" s="83" t="str">
        <f>IF($AA324=0,"","SAVED EUR")</f>
        <v/>
      </c>
      <c r="R326" s="39"/>
      <c r="S326" s="39"/>
      <c r="T326" s="39"/>
      <c r="U326" s="39"/>
      <c r="V326" s="39"/>
    </row>
    <row r="327" spans="1:27" ht="21" hidden="1" customHeight="1" x14ac:dyDescent="0.35">
      <c r="A327" s="82" t="str">
        <f>IF($AA324=0,"",IF(LEN(INDEX(Quotes!$AB$9:$AB$258,$AA324)&amp;"")=0,"",INDEX(Quotes!$AB$9:$AB$258,$AA324)))</f>
        <v/>
      </c>
      <c r="B327" s="39"/>
      <c r="C327" s="39"/>
      <c r="D327" s="39"/>
      <c r="E327" s="39"/>
      <c r="F327" s="39"/>
      <c r="G327" s="39"/>
      <c r="I327" s="82" t="str">
        <f>IF($AA324=0,"",IF(LEN(INDEX(Quotes!$AD$9:$AD$258,$AA324)&amp;"")=0,"",INDEX(Quotes!$AD$9:$AD$258,$AA324)))</f>
        <v/>
      </c>
      <c r="J327" s="39"/>
      <c r="K327" s="39"/>
      <c r="L327" s="39"/>
      <c r="M327" s="39"/>
      <c r="N327" s="39"/>
      <c r="O327" s="39"/>
      <c r="Q327" s="82" t="str">
        <f>IF($AA324=0,"",IF(LEN(INDEX(Quotes!$AF$9:$AF$258,$AA324)&amp;"")=0,"",INDEX(Quotes!$AF$9:$AF$258,$AA324)))</f>
        <v/>
      </c>
      <c r="R327" s="39"/>
      <c r="S327" s="39"/>
      <c r="T327" s="39"/>
      <c r="U327" s="39"/>
      <c r="V327" s="39"/>
    </row>
    <row r="328" spans="1:27" ht="21" hidden="1" customHeight="1" x14ac:dyDescent="0.35">
      <c r="A328" s="48" t="str">
        <f>IF($AA324=0,"","Reference: "&amp;IF(INDEX(Quotes!$M$9:$M$258,$AA324)="",INDEX(Quotes!$S$9:$S$258,$AA324),INDEX(Quotes!$M$9:$M$258,$AA324)))</f>
        <v/>
      </c>
      <c r="B328" s="39"/>
      <c r="C328" s="39"/>
      <c r="D328" s="39"/>
      <c r="E328" s="39"/>
      <c r="F328" s="39"/>
      <c r="G328" s="39"/>
      <c r="H328" s="39"/>
      <c r="I328" s="39"/>
      <c r="J328" s="39"/>
      <c r="K328" s="39"/>
      <c r="L328" s="39"/>
      <c r="M328" s="39"/>
      <c r="N328" s="39"/>
      <c r="O328" s="39"/>
      <c r="P328" s="39"/>
      <c r="Q328" s="48" t="str">
        <f>IF($AA324=0,"",INDEX(Quotes!$E$9:$E$258,$AA324))</f>
        <v/>
      </c>
      <c r="R328" s="39"/>
      <c r="S328" s="39"/>
      <c r="T328" s="39"/>
      <c r="U328" s="39"/>
      <c r="V328" s="39"/>
    </row>
    <row r="329" spans="1:27" ht="21" hidden="1" customHeight="1" x14ac:dyDescent="0.35">
      <c r="A329" s="81" t="str">
        <f>IF($AA324=0,"",IF(INDEX(Quotes!$N$9:$N$258,$AA324)="","No original link","Original quote"))</f>
        <v/>
      </c>
      <c r="B329" s="39"/>
      <c r="C329" s="39"/>
      <c r="D329" s="39"/>
      <c r="E329" s="39"/>
      <c r="F329" s="39"/>
      <c r="G329" s="39"/>
      <c r="I329" s="81" t="str">
        <f>IF($AA324=0,"",IF(INDEX(Quotes!$O$9:$O$258,$AA324)="","No revised link","Revised quote"))</f>
        <v/>
      </c>
      <c r="J329" s="39"/>
      <c r="K329" s="39"/>
      <c r="L329" s="39"/>
      <c r="M329" s="39"/>
      <c r="N329" s="39"/>
      <c r="O329" s="39"/>
      <c r="Q329" s="81" t="str">
        <f>IF($AA324=0,"",HYPERLINK("#'Quotes'!A"&amp;($AA324+8),"Open quote record"))</f>
        <v/>
      </c>
      <c r="R329" s="39"/>
      <c r="S329" s="39"/>
      <c r="T329" s="39"/>
      <c r="U329" s="39"/>
      <c r="V329" s="39"/>
    </row>
    <row r="330" spans="1:27" ht="21" hidden="1" customHeight="1" x14ac:dyDescent="0.35"/>
    <row r="331" spans="1:27" hidden="1" x14ac:dyDescent="0.35"/>
    <row r="332" spans="1:27" hidden="1" x14ac:dyDescent="0.35"/>
    <row r="333" spans="1:27" ht="29" hidden="1" customHeight="1" x14ac:dyDescent="0.35">
      <c r="A333" s="84" t="str">
        <f>IF($AA333=0,"",IF(LEN(INDEX(Quotes!$U$9:$U$258,$AA333)&amp;"")=0,"",INDEX(Quotes!$U$9:$U$258,$AA333)))</f>
        <v/>
      </c>
      <c r="B333" s="39"/>
      <c r="C333" s="39"/>
      <c r="D333" s="39"/>
      <c r="E333" s="39"/>
      <c r="F333" s="39"/>
      <c r="G333" s="39"/>
      <c r="H333" s="39"/>
      <c r="I333" s="39"/>
      <c r="J333" s="39"/>
      <c r="K333" s="85" t="str">
        <f>IF($AA333=0,"",IF(LEN(INDEX(Quotes!$Z$9:$Z$258,$AA333)&amp;"")=0,"",INDEX(Quotes!$Z$9:$Z$258,$AA333)))</f>
        <v/>
      </c>
      <c r="L333" s="39"/>
      <c r="M333" s="39"/>
      <c r="N333" s="39"/>
      <c r="O333" s="39"/>
      <c r="P333" s="39"/>
      <c r="Q333" s="39"/>
      <c r="R333" s="39"/>
      <c r="S333" s="39"/>
      <c r="T333" s="39"/>
      <c r="U333" s="39"/>
      <c r="V333" s="39"/>
      <c r="AA333">
        <f>IFERROR(MATCH(32,Quotes!$AK$9:$AK$258,0),0)</f>
        <v>0</v>
      </c>
    </row>
    <row r="334" spans="1:27" ht="21" hidden="1" customHeight="1" x14ac:dyDescent="0.35">
      <c r="A334" s="40" t="str">
        <f>IF($AA333=0,"",IF(LEN(INDEX(Quotes!$V$9:$V$258,$AA333)&amp;"")=0,"",INDEX(Quotes!$V$9:$V$258,$AA333)))</f>
        <v/>
      </c>
      <c r="B334" s="39"/>
      <c r="C334" s="39"/>
      <c r="D334" s="39"/>
      <c r="E334" s="39"/>
      <c r="F334" s="39"/>
      <c r="G334" s="39"/>
      <c r="H334" s="40" t="str">
        <f>IF($AA333=0,"",IF(LEN(INDEX(Quotes!$W$9:$W$258,$AA333)&amp;"")=0,"",INDEX(Quotes!$W$9:$W$258,$AA333)))</f>
        <v/>
      </c>
      <c r="I334" s="39"/>
      <c r="J334" s="39"/>
      <c r="K334" s="39"/>
      <c r="L334" s="39"/>
      <c r="M334" s="39"/>
      <c r="N334" s="39"/>
      <c r="O334" s="39"/>
      <c r="P334" s="39"/>
      <c r="Q334" s="39"/>
      <c r="R334" s="77" t="str">
        <f>IF($AA333=0,"",IF(LEN(INDEX(Quotes!$X$9:$X$258,$AA333)&amp;"")=0,"",INDEX(Quotes!$X$9:$X$258,$AA333)))</f>
        <v/>
      </c>
      <c r="S334" s="39"/>
      <c r="T334" s="39"/>
      <c r="U334" s="39"/>
      <c r="V334" s="39"/>
    </row>
    <row r="335" spans="1:27" ht="21" hidden="1" customHeight="1" x14ac:dyDescent="0.35">
      <c r="A335" s="83" t="str">
        <f>IF($AA333=0,"","ORIGINAL EUR")</f>
        <v/>
      </c>
      <c r="B335" s="39"/>
      <c r="C335" s="39"/>
      <c r="D335" s="39"/>
      <c r="E335" s="39"/>
      <c r="F335" s="39"/>
      <c r="G335" s="39"/>
      <c r="I335" s="83" t="str">
        <f>IF($AA333=0,"","LATEST EUR")</f>
        <v/>
      </c>
      <c r="J335" s="39"/>
      <c r="K335" s="39"/>
      <c r="L335" s="39"/>
      <c r="M335" s="39"/>
      <c r="N335" s="39"/>
      <c r="O335" s="39"/>
      <c r="Q335" s="83" t="str">
        <f>IF($AA333=0,"","SAVED EUR")</f>
        <v/>
      </c>
      <c r="R335" s="39"/>
      <c r="S335" s="39"/>
      <c r="T335" s="39"/>
      <c r="U335" s="39"/>
      <c r="V335" s="39"/>
    </row>
    <row r="336" spans="1:27" ht="21" hidden="1" customHeight="1" x14ac:dyDescent="0.35">
      <c r="A336" s="82" t="str">
        <f>IF($AA333=0,"",IF(LEN(INDEX(Quotes!$AB$9:$AB$258,$AA333)&amp;"")=0,"",INDEX(Quotes!$AB$9:$AB$258,$AA333)))</f>
        <v/>
      </c>
      <c r="B336" s="39"/>
      <c r="C336" s="39"/>
      <c r="D336" s="39"/>
      <c r="E336" s="39"/>
      <c r="F336" s="39"/>
      <c r="G336" s="39"/>
      <c r="I336" s="82" t="str">
        <f>IF($AA333=0,"",IF(LEN(INDEX(Quotes!$AD$9:$AD$258,$AA333)&amp;"")=0,"",INDEX(Quotes!$AD$9:$AD$258,$AA333)))</f>
        <v/>
      </c>
      <c r="J336" s="39"/>
      <c r="K336" s="39"/>
      <c r="L336" s="39"/>
      <c r="M336" s="39"/>
      <c r="N336" s="39"/>
      <c r="O336" s="39"/>
      <c r="Q336" s="82" t="str">
        <f>IF($AA333=0,"",IF(LEN(INDEX(Quotes!$AF$9:$AF$258,$AA333)&amp;"")=0,"",INDEX(Quotes!$AF$9:$AF$258,$AA333)))</f>
        <v/>
      </c>
      <c r="R336" s="39"/>
      <c r="S336" s="39"/>
      <c r="T336" s="39"/>
      <c r="U336" s="39"/>
      <c r="V336" s="39"/>
    </row>
    <row r="337" spans="1:27" ht="21" hidden="1" customHeight="1" x14ac:dyDescent="0.35">
      <c r="A337" s="48" t="str">
        <f>IF($AA333=0,"","Reference: "&amp;IF(INDEX(Quotes!$M$9:$M$258,$AA333)="",INDEX(Quotes!$S$9:$S$258,$AA333),INDEX(Quotes!$M$9:$M$258,$AA333)))</f>
        <v/>
      </c>
      <c r="B337" s="39"/>
      <c r="C337" s="39"/>
      <c r="D337" s="39"/>
      <c r="E337" s="39"/>
      <c r="F337" s="39"/>
      <c r="G337" s="39"/>
      <c r="H337" s="39"/>
      <c r="I337" s="39"/>
      <c r="J337" s="39"/>
      <c r="K337" s="39"/>
      <c r="L337" s="39"/>
      <c r="M337" s="39"/>
      <c r="N337" s="39"/>
      <c r="O337" s="39"/>
      <c r="P337" s="39"/>
      <c r="Q337" s="48" t="str">
        <f>IF($AA333=0,"",INDEX(Quotes!$E$9:$E$258,$AA333))</f>
        <v/>
      </c>
      <c r="R337" s="39"/>
      <c r="S337" s="39"/>
      <c r="T337" s="39"/>
      <c r="U337" s="39"/>
      <c r="V337" s="39"/>
    </row>
    <row r="338" spans="1:27" ht="21" hidden="1" customHeight="1" x14ac:dyDescent="0.35">
      <c r="A338" s="81" t="str">
        <f>IF($AA333=0,"",IF(INDEX(Quotes!$N$9:$N$258,$AA333)="","No original link","Original quote"))</f>
        <v/>
      </c>
      <c r="B338" s="39"/>
      <c r="C338" s="39"/>
      <c r="D338" s="39"/>
      <c r="E338" s="39"/>
      <c r="F338" s="39"/>
      <c r="G338" s="39"/>
      <c r="I338" s="81" t="str">
        <f>IF($AA333=0,"",IF(INDEX(Quotes!$O$9:$O$258,$AA333)="","No revised link","Revised quote"))</f>
        <v/>
      </c>
      <c r="J338" s="39"/>
      <c r="K338" s="39"/>
      <c r="L338" s="39"/>
      <c r="M338" s="39"/>
      <c r="N338" s="39"/>
      <c r="O338" s="39"/>
      <c r="Q338" s="81" t="str">
        <f>IF($AA333=0,"",HYPERLINK("#'Quotes'!A"&amp;($AA333+8),"Open quote record"))</f>
        <v/>
      </c>
      <c r="R338" s="39"/>
      <c r="S338" s="39"/>
      <c r="T338" s="39"/>
      <c r="U338" s="39"/>
      <c r="V338" s="39"/>
    </row>
    <row r="339" spans="1:27" ht="21" hidden="1" customHeight="1" x14ac:dyDescent="0.35"/>
    <row r="340" spans="1:27" hidden="1" x14ac:dyDescent="0.35"/>
    <row r="341" spans="1:27" hidden="1" x14ac:dyDescent="0.35"/>
    <row r="342" spans="1:27" hidden="1" x14ac:dyDescent="0.35"/>
    <row r="343" spans="1:27" hidden="1" x14ac:dyDescent="0.35">
      <c r="A343" s="67" t="s">
        <v>655</v>
      </c>
      <c r="B343" s="39"/>
      <c r="C343" s="39"/>
      <c r="D343" s="39"/>
      <c r="E343" s="39"/>
      <c r="F343" s="39"/>
      <c r="G343" s="39"/>
      <c r="H343" s="39"/>
      <c r="I343" s="39"/>
      <c r="J343" s="39"/>
      <c r="K343" s="39"/>
      <c r="L343" s="39"/>
      <c r="M343" s="39"/>
      <c r="N343" s="39"/>
      <c r="O343" s="39"/>
      <c r="P343" s="39"/>
      <c r="Q343" s="39"/>
      <c r="R343" s="39"/>
      <c r="S343" s="39"/>
      <c r="T343" s="39"/>
      <c r="U343" s="39"/>
      <c r="V343" s="39"/>
    </row>
    <row r="344" spans="1:27" ht="29" hidden="1" customHeight="1" x14ac:dyDescent="0.35">
      <c r="A344" s="84" t="str">
        <f>IF($AA344=0,"",IF(LEN(INDEX(Quotes!$U$9:$U$258,$AA344)&amp;"")=0,"",INDEX(Quotes!$U$9:$U$258,$AA344)))</f>
        <v/>
      </c>
      <c r="B344" s="39"/>
      <c r="C344" s="39"/>
      <c r="D344" s="39"/>
      <c r="E344" s="39"/>
      <c r="F344" s="39"/>
      <c r="G344" s="39"/>
      <c r="H344" s="39"/>
      <c r="I344" s="39"/>
      <c r="J344" s="39"/>
      <c r="K344" s="85" t="str">
        <f>IF($AA344=0,"",IF(LEN(INDEX(Quotes!$Z$9:$Z$258,$AA344)&amp;"")=0,"",INDEX(Quotes!$Z$9:$Z$258,$AA344)))</f>
        <v/>
      </c>
      <c r="L344" s="39"/>
      <c r="M344" s="39"/>
      <c r="N344" s="39"/>
      <c r="O344" s="39"/>
      <c r="P344" s="39"/>
      <c r="Q344" s="39"/>
      <c r="R344" s="39"/>
      <c r="S344" s="39"/>
      <c r="T344" s="39"/>
      <c r="U344" s="39"/>
      <c r="V344" s="39"/>
      <c r="AA344">
        <f>IFERROR(MATCH(33,Quotes!$AK$9:$AK$258,0),0)</f>
        <v>0</v>
      </c>
    </row>
    <row r="345" spans="1:27" ht="21" hidden="1" customHeight="1" x14ac:dyDescent="0.35">
      <c r="A345" s="40" t="str">
        <f>IF($AA344=0,"",IF(LEN(INDEX(Quotes!$V$9:$V$258,$AA344)&amp;"")=0,"",INDEX(Quotes!$V$9:$V$258,$AA344)))</f>
        <v/>
      </c>
      <c r="B345" s="39"/>
      <c r="C345" s="39"/>
      <c r="D345" s="39"/>
      <c r="E345" s="39"/>
      <c r="F345" s="39"/>
      <c r="G345" s="39"/>
      <c r="H345" s="40" t="str">
        <f>IF($AA344=0,"",IF(LEN(INDEX(Quotes!$W$9:$W$258,$AA344)&amp;"")=0,"",INDEX(Quotes!$W$9:$W$258,$AA344)))</f>
        <v/>
      </c>
      <c r="I345" s="39"/>
      <c r="J345" s="39"/>
      <c r="K345" s="39"/>
      <c r="L345" s="39"/>
      <c r="M345" s="39"/>
      <c r="N345" s="39"/>
      <c r="O345" s="39"/>
      <c r="P345" s="39"/>
      <c r="Q345" s="39"/>
      <c r="R345" s="77" t="str">
        <f>IF($AA344=0,"",IF(LEN(INDEX(Quotes!$X$9:$X$258,$AA344)&amp;"")=0,"",INDEX(Quotes!$X$9:$X$258,$AA344)))</f>
        <v/>
      </c>
      <c r="S345" s="39"/>
      <c r="T345" s="39"/>
      <c r="U345" s="39"/>
      <c r="V345" s="39"/>
    </row>
    <row r="346" spans="1:27" ht="21" hidden="1" customHeight="1" x14ac:dyDescent="0.35">
      <c r="A346" s="83" t="str">
        <f>IF($AA344=0,"","ORIGINAL EUR")</f>
        <v/>
      </c>
      <c r="B346" s="39"/>
      <c r="C346" s="39"/>
      <c r="D346" s="39"/>
      <c r="E346" s="39"/>
      <c r="F346" s="39"/>
      <c r="G346" s="39"/>
      <c r="I346" s="83" t="str">
        <f>IF($AA344=0,"","LATEST EUR")</f>
        <v/>
      </c>
      <c r="J346" s="39"/>
      <c r="K346" s="39"/>
      <c r="L346" s="39"/>
      <c r="M346" s="39"/>
      <c r="N346" s="39"/>
      <c r="O346" s="39"/>
      <c r="Q346" s="83" t="str">
        <f>IF($AA344=0,"","SAVED EUR")</f>
        <v/>
      </c>
      <c r="R346" s="39"/>
      <c r="S346" s="39"/>
      <c r="T346" s="39"/>
      <c r="U346" s="39"/>
      <c r="V346" s="39"/>
    </row>
    <row r="347" spans="1:27" ht="21" hidden="1" customHeight="1" x14ac:dyDescent="0.35">
      <c r="A347" s="82" t="str">
        <f>IF($AA344=0,"",IF(LEN(INDEX(Quotes!$AB$9:$AB$258,$AA344)&amp;"")=0,"",INDEX(Quotes!$AB$9:$AB$258,$AA344)))</f>
        <v/>
      </c>
      <c r="B347" s="39"/>
      <c r="C347" s="39"/>
      <c r="D347" s="39"/>
      <c r="E347" s="39"/>
      <c r="F347" s="39"/>
      <c r="G347" s="39"/>
      <c r="I347" s="82" t="str">
        <f>IF($AA344=0,"",IF(LEN(INDEX(Quotes!$AD$9:$AD$258,$AA344)&amp;"")=0,"",INDEX(Quotes!$AD$9:$AD$258,$AA344)))</f>
        <v/>
      </c>
      <c r="J347" s="39"/>
      <c r="K347" s="39"/>
      <c r="L347" s="39"/>
      <c r="M347" s="39"/>
      <c r="N347" s="39"/>
      <c r="O347" s="39"/>
      <c r="Q347" s="82" t="str">
        <f>IF($AA344=0,"",IF(LEN(INDEX(Quotes!$AF$9:$AF$258,$AA344)&amp;"")=0,"",INDEX(Quotes!$AF$9:$AF$258,$AA344)))</f>
        <v/>
      </c>
      <c r="R347" s="39"/>
      <c r="S347" s="39"/>
      <c r="T347" s="39"/>
      <c r="U347" s="39"/>
      <c r="V347" s="39"/>
    </row>
    <row r="348" spans="1:27" ht="21" hidden="1" customHeight="1" x14ac:dyDescent="0.35">
      <c r="A348" s="48" t="str">
        <f>IF($AA344=0,"","Reference: "&amp;IF(INDEX(Quotes!$M$9:$M$258,$AA344)="",INDEX(Quotes!$S$9:$S$258,$AA344),INDEX(Quotes!$M$9:$M$258,$AA344)))</f>
        <v/>
      </c>
      <c r="B348" s="39"/>
      <c r="C348" s="39"/>
      <c r="D348" s="39"/>
      <c r="E348" s="39"/>
      <c r="F348" s="39"/>
      <c r="G348" s="39"/>
      <c r="H348" s="39"/>
      <c r="I348" s="39"/>
      <c r="J348" s="39"/>
      <c r="K348" s="39"/>
      <c r="L348" s="39"/>
      <c r="M348" s="39"/>
      <c r="N348" s="39"/>
      <c r="O348" s="39"/>
      <c r="P348" s="39"/>
      <c r="Q348" s="48" t="str">
        <f>IF($AA344=0,"",INDEX(Quotes!$E$9:$E$258,$AA344))</f>
        <v/>
      </c>
      <c r="R348" s="39"/>
      <c r="S348" s="39"/>
      <c r="T348" s="39"/>
      <c r="U348" s="39"/>
      <c r="V348" s="39"/>
    </row>
    <row r="349" spans="1:27" ht="21" hidden="1" customHeight="1" x14ac:dyDescent="0.35">
      <c r="A349" s="81" t="str">
        <f>IF($AA344=0,"",IF(INDEX(Quotes!$N$9:$N$258,$AA344)="","No original link","Original quote"))</f>
        <v/>
      </c>
      <c r="B349" s="39"/>
      <c r="C349" s="39"/>
      <c r="D349" s="39"/>
      <c r="E349" s="39"/>
      <c r="F349" s="39"/>
      <c r="G349" s="39"/>
      <c r="I349" s="81" t="str">
        <f>IF($AA344=0,"",IF(INDEX(Quotes!$O$9:$O$258,$AA344)="","No revised link","Revised quote"))</f>
        <v/>
      </c>
      <c r="J349" s="39"/>
      <c r="K349" s="39"/>
      <c r="L349" s="39"/>
      <c r="M349" s="39"/>
      <c r="N349" s="39"/>
      <c r="O349" s="39"/>
      <c r="Q349" s="81" t="str">
        <f>IF($AA344=0,"",HYPERLINK("#'Quotes'!A"&amp;($AA344+8),"Open quote record"))</f>
        <v/>
      </c>
      <c r="R349" s="39"/>
      <c r="S349" s="39"/>
      <c r="T349" s="39"/>
      <c r="U349" s="39"/>
      <c r="V349" s="39"/>
    </row>
    <row r="350" spans="1:27" ht="21" hidden="1" customHeight="1" x14ac:dyDescent="0.35"/>
    <row r="351" spans="1:27" hidden="1" x14ac:dyDescent="0.35"/>
    <row r="352" spans="1:27" hidden="1" x14ac:dyDescent="0.35"/>
    <row r="353" spans="1:27" ht="29" hidden="1" customHeight="1" x14ac:dyDescent="0.35">
      <c r="A353" s="84" t="str">
        <f>IF($AA353=0,"",IF(LEN(INDEX(Quotes!$U$9:$U$258,$AA353)&amp;"")=0,"",INDEX(Quotes!$U$9:$U$258,$AA353)))</f>
        <v/>
      </c>
      <c r="B353" s="39"/>
      <c r="C353" s="39"/>
      <c r="D353" s="39"/>
      <c r="E353" s="39"/>
      <c r="F353" s="39"/>
      <c r="G353" s="39"/>
      <c r="H353" s="39"/>
      <c r="I353" s="39"/>
      <c r="J353" s="39"/>
      <c r="K353" s="85" t="str">
        <f>IF($AA353=0,"",IF(LEN(INDEX(Quotes!$Z$9:$Z$258,$AA353)&amp;"")=0,"",INDEX(Quotes!$Z$9:$Z$258,$AA353)))</f>
        <v/>
      </c>
      <c r="L353" s="39"/>
      <c r="M353" s="39"/>
      <c r="N353" s="39"/>
      <c r="O353" s="39"/>
      <c r="P353" s="39"/>
      <c r="Q353" s="39"/>
      <c r="R353" s="39"/>
      <c r="S353" s="39"/>
      <c r="T353" s="39"/>
      <c r="U353" s="39"/>
      <c r="V353" s="39"/>
      <c r="AA353">
        <f>IFERROR(MATCH(34,Quotes!$AK$9:$AK$258,0),0)</f>
        <v>0</v>
      </c>
    </row>
    <row r="354" spans="1:27" ht="21" hidden="1" customHeight="1" x14ac:dyDescent="0.35">
      <c r="A354" s="40" t="str">
        <f>IF($AA353=0,"",IF(LEN(INDEX(Quotes!$V$9:$V$258,$AA353)&amp;"")=0,"",INDEX(Quotes!$V$9:$V$258,$AA353)))</f>
        <v/>
      </c>
      <c r="B354" s="39"/>
      <c r="C354" s="39"/>
      <c r="D354" s="39"/>
      <c r="E354" s="39"/>
      <c r="F354" s="39"/>
      <c r="G354" s="39"/>
      <c r="H354" s="40" t="str">
        <f>IF($AA353=0,"",IF(LEN(INDEX(Quotes!$W$9:$W$258,$AA353)&amp;"")=0,"",INDEX(Quotes!$W$9:$W$258,$AA353)))</f>
        <v/>
      </c>
      <c r="I354" s="39"/>
      <c r="J354" s="39"/>
      <c r="K354" s="39"/>
      <c r="L354" s="39"/>
      <c r="M354" s="39"/>
      <c r="N354" s="39"/>
      <c r="O354" s="39"/>
      <c r="P354" s="39"/>
      <c r="Q354" s="39"/>
      <c r="R354" s="77" t="str">
        <f>IF($AA353=0,"",IF(LEN(INDEX(Quotes!$X$9:$X$258,$AA353)&amp;"")=0,"",INDEX(Quotes!$X$9:$X$258,$AA353)))</f>
        <v/>
      </c>
      <c r="S354" s="39"/>
      <c r="T354" s="39"/>
      <c r="U354" s="39"/>
      <c r="V354" s="39"/>
    </row>
    <row r="355" spans="1:27" ht="21" hidden="1" customHeight="1" x14ac:dyDescent="0.35">
      <c r="A355" s="83" t="str">
        <f>IF($AA353=0,"","ORIGINAL EUR")</f>
        <v/>
      </c>
      <c r="B355" s="39"/>
      <c r="C355" s="39"/>
      <c r="D355" s="39"/>
      <c r="E355" s="39"/>
      <c r="F355" s="39"/>
      <c r="G355" s="39"/>
      <c r="I355" s="83" t="str">
        <f>IF($AA353=0,"","LATEST EUR")</f>
        <v/>
      </c>
      <c r="J355" s="39"/>
      <c r="K355" s="39"/>
      <c r="L355" s="39"/>
      <c r="M355" s="39"/>
      <c r="N355" s="39"/>
      <c r="O355" s="39"/>
      <c r="Q355" s="83" t="str">
        <f>IF($AA353=0,"","SAVED EUR")</f>
        <v/>
      </c>
      <c r="R355" s="39"/>
      <c r="S355" s="39"/>
      <c r="T355" s="39"/>
      <c r="U355" s="39"/>
      <c r="V355" s="39"/>
    </row>
    <row r="356" spans="1:27" ht="21" hidden="1" customHeight="1" x14ac:dyDescent="0.35">
      <c r="A356" s="82" t="str">
        <f>IF($AA353=0,"",IF(LEN(INDEX(Quotes!$AB$9:$AB$258,$AA353)&amp;"")=0,"",INDEX(Quotes!$AB$9:$AB$258,$AA353)))</f>
        <v/>
      </c>
      <c r="B356" s="39"/>
      <c r="C356" s="39"/>
      <c r="D356" s="39"/>
      <c r="E356" s="39"/>
      <c r="F356" s="39"/>
      <c r="G356" s="39"/>
      <c r="I356" s="82" t="str">
        <f>IF($AA353=0,"",IF(LEN(INDEX(Quotes!$AD$9:$AD$258,$AA353)&amp;"")=0,"",INDEX(Quotes!$AD$9:$AD$258,$AA353)))</f>
        <v/>
      </c>
      <c r="J356" s="39"/>
      <c r="K356" s="39"/>
      <c r="L356" s="39"/>
      <c r="M356" s="39"/>
      <c r="N356" s="39"/>
      <c r="O356" s="39"/>
      <c r="Q356" s="82" t="str">
        <f>IF($AA353=0,"",IF(LEN(INDEX(Quotes!$AF$9:$AF$258,$AA353)&amp;"")=0,"",INDEX(Quotes!$AF$9:$AF$258,$AA353)))</f>
        <v/>
      </c>
      <c r="R356" s="39"/>
      <c r="S356" s="39"/>
      <c r="T356" s="39"/>
      <c r="U356" s="39"/>
      <c r="V356" s="39"/>
    </row>
    <row r="357" spans="1:27" ht="21" hidden="1" customHeight="1" x14ac:dyDescent="0.35">
      <c r="A357" s="48" t="str">
        <f>IF($AA353=0,"","Reference: "&amp;IF(INDEX(Quotes!$M$9:$M$258,$AA353)="",INDEX(Quotes!$S$9:$S$258,$AA353),INDEX(Quotes!$M$9:$M$258,$AA353)))</f>
        <v/>
      </c>
      <c r="B357" s="39"/>
      <c r="C357" s="39"/>
      <c r="D357" s="39"/>
      <c r="E357" s="39"/>
      <c r="F357" s="39"/>
      <c r="G357" s="39"/>
      <c r="H357" s="39"/>
      <c r="I357" s="39"/>
      <c r="J357" s="39"/>
      <c r="K357" s="39"/>
      <c r="L357" s="39"/>
      <c r="M357" s="39"/>
      <c r="N357" s="39"/>
      <c r="O357" s="39"/>
      <c r="P357" s="39"/>
      <c r="Q357" s="48" t="str">
        <f>IF($AA353=0,"",INDEX(Quotes!$E$9:$E$258,$AA353))</f>
        <v/>
      </c>
      <c r="R357" s="39"/>
      <c r="S357" s="39"/>
      <c r="T357" s="39"/>
      <c r="U357" s="39"/>
      <c r="V357" s="39"/>
    </row>
    <row r="358" spans="1:27" ht="21" hidden="1" customHeight="1" x14ac:dyDescent="0.35">
      <c r="A358" s="81" t="str">
        <f>IF($AA353=0,"",IF(INDEX(Quotes!$N$9:$N$258,$AA353)="","No original link","Original quote"))</f>
        <v/>
      </c>
      <c r="B358" s="39"/>
      <c r="C358" s="39"/>
      <c r="D358" s="39"/>
      <c r="E358" s="39"/>
      <c r="F358" s="39"/>
      <c r="G358" s="39"/>
      <c r="I358" s="81" t="str">
        <f>IF($AA353=0,"",IF(INDEX(Quotes!$O$9:$O$258,$AA353)="","No revised link","Revised quote"))</f>
        <v/>
      </c>
      <c r="J358" s="39"/>
      <c r="K358" s="39"/>
      <c r="L358" s="39"/>
      <c r="M358" s="39"/>
      <c r="N358" s="39"/>
      <c r="O358" s="39"/>
      <c r="Q358" s="81" t="str">
        <f>IF($AA353=0,"",HYPERLINK("#'Quotes'!A"&amp;($AA353+8),"Open quote record"))</f>
        <v/>
      </c>
      <c r="R358" s="39"/>
      <c r="S358" s="39"/>
      <c r="T358" s="39"/>
      <c r="U358" s="39"/>
      <c r="V358" s="39"/>
    </row>
    <row r="359" spans="1:27" ht="21" hidden="1" customHeight="1" x14ac:dyDescent="0.35"/>
    <row r="360" spans="1:27" hidden="1" x14ac:dyDescent="0.35"/>
    <row r="361" spans="1:27" hidden="1" x14ac:dyDescent="0.35"/>
    <row r="362" spans="1:27" ht="29" hidden="1" customHeight="1" x14ac:dyDescent="0.35">
      <c r="A362" s="84" t="str">
        <f>IF($AA362=0,"",IF(LEN(INDEX(Quotes!$U$9:$U$258,$AA362)&amp;"")=0,"",INDEX(Quotes!$U$9:$U$258,$AA362)))</f>
        <v/>
      </c>
      <c r="B362" s="39"/>
      <c r="C362" s="39"/>
      <c r="D362" s="39"/>
      <c r="E362" s="39"/>
      <c r="F362" s="39"/>
      <c r="G362" s="39"/>
      <c r="H362" s="39"/>
      <c r="I362" s="39"/>
      <c r="J362" s="39"/>
      <c r="K362" s="85" t="str">
        <f>IF($AA362=0,"",IF(LEN(INDEX(Quotes!$Z$9:$Z$258,$AA362)&amp;"")=0,"",INDEX(Quotes!$Z$9:$Z$258,$AA362)))</f>
        <v/>
      </c>
      <c r="L362" s="39"/>
      <c r="M362" s="39"/>
      <c r="N362" s="39"/>
      <c r="O362" s="39"/>
      <c r="P362" s="39"/>
      <c r="Q362" s="39"/>
      <c r="R362" s="39"/>
      <c r="S362" s="39"/>
      <c r="T362" s="39"/>
      <c r="U362" s="39"/>
      <c r="V362" s="39"/>
      <c r="AA362">
        <f>IFERROR(MATCH(35,Quotes!$AK$9:$AK$258,0),0)</f>
        <v>0</v>
      </c>
    </row>
    <row r="363" spans="1:27" ht="21" hidden="1" customHeight="1" x14ac:dyDescent="0.35">
      <c r="A363" s="40" t="str">
        <f>IF($AA362=0,"",IF(LEN(INDEX(Quotes!$V$9:$V$258,$AA362)&amp;"")=0,"",INDEX(Quotes!$V$9:$V$258,$AA362)))</f>
        <v/>
      </c>
      <c r="B363" s="39"/>
      <c r="C363" s="39"/>
      <c r="D363" s="39"/>
      <c r="E363" s="39"/>
      <c r="F363" s="39"/>
      <c r="G363" s="39"/>
      <c r="H363" s="40" t="str">
        <f>IF($AA362=0,"",IF(LEN(INDEX(Quotes!$W$9:$W$258,$AA362)&amp;"")=0,"",INDEX(Quotes!$W$9:$W$258,$AA362)))</f>
        <v/>
      </c>
      <c r="I363" s="39"/>
      <c r="J363" s="39"/>
      <c r="K363" s="39"/>
      <c r="L363" s="39"/>
      <c r="M363" s="39"/>
      <c r="N363" s="39"/>
      <c r="O363" s="39"/>
      <c r="P363" s="39"/>
      <c r="Q363" s="39"/>
      <c r="R363" s="77" t="str">
        <f>IF($AA362=0,"",IF(LEN(INDEX(Quotes!$X$9:$X$258,$AA362)&amp;"")=0,"",INDEX(Quotes!$X$9:$X$258,$AA362)))</f>
        <v/>
      </c>
      <c r="S363" s="39"/>
      <c r="T363" s="39"/>
      <c r="U363" s="39"/>
      <c r="V363" s="39"/>
    </row>
    <row r="364" spans="1:27" ht="21" hidden="1" customHeight="1" x14ac:dyDescent="0.35">
      <c r="A364" s="83" t="str">
        <f>IF($AA362=0,"","ORIGINAL EUR")</f>
        <v/>
      </c>
      <c r="B364" s="39"/>
      <c r="C364" s="39"/>
      <c r="D364" s="39"/>
      <c r="E364" s="39"/>
      <c r="F364" s="39"/>
      <c r="G364" s="39"/>
      <c r="I364" s="83" t="str">
        <f>IF($AA362=0,"","LATEST EUR")</f>
        <v/>
      </c>
      <c r="J364" s="39"/>
      <c r="K364" s="39"/>
      <c r="L364" s="39"/>
      <c r="M364" s="39"/>
      <c r="N364" s="39"/>
      <c r="O364" s="39"/>
      <c r="Q364" s="83" t="str">
        <f>IF($AA362=0,"","SAVED EUR")</f>
        <v/>
      </c>
      <c r="R364" s="39"/>
      <c r="S364" s="39"/>
      <c r="T364" s="39"/>
      <c r="U364" s="39"/>
      <c r="V364" s="39"/>
    </row>
    <row r="365" spans="1:27" ht="21" hidden="1" customHeight="1" x14ac:dyDescent="0.35">
      <c r="A365" s="82" t="str">
        <f>IF($AA362=0,"",IF(LEN(INDEX(Quotes!$AB$9:$AB$258,$AA362)&amp;"")=0,"",INDEX(Quotes!$AB$9:$AB$258,$AA362)))</f>
        <v/>
      </c>
      <c r="B365" s="39"/>
      <c r="C365" s="39"/>
      <c r="D365" s="39"/>
      <c r="E365" s="39"/>
      <c r="F365" s="39"/>
      <c r="G365" s="39"/>
      <c r="I365" s="82" t="str">
        <f>IF($AA362=0,"",IF(LEN(INDEX(Quotes!$AD$9:$AD$258,$AA362)&amp;"")=0,"",INDEX(Quotes!$AD$9:$AD$258,$AA362)))</f>
        <v/>
      </c>
      <c r="J365" s="39"/>
      <c r="K365" s="39"/>
      <c r="L365" s="39"/>
      <c r="M365" s="39"/>
      <c r="N365" s="39"/>
      <c r="O365" s="39"/>
      <c r="Q365" s="82" t="str">
        <f>IF($AA362=0,"",IF(LEN(INDEX(Quotes!$AF$9:$AF$258,$AA362)&amp;"")=0,"",INDEX(Quotes!$AF$9:$AF$258,$AA362)))</f>
        <v/>
      </c>
      <c r="R365" s="39"/>
      <c r="S365" s="39"/>
      <c r="T365" s="39"/>
      <c r="U365" s="39"/>
      <c r="V365" s="39"/>
    </row>
    <row r="366" spans="1:27" ht="21" hidden="1" customHeight="1" x14ac:dyDescent="0.35">
      <c r="A366" s="48" t="str">
        <f>IF($AA362=0,"","Reference: "&amp;IF(INDEX(Quotes!$M$9:$M$258,$AA362)="",INDEX(Quotes!$S$9:$S$258,$AA362),INDEX(Quotes!$M$9:$M$258,$AA362)))</f>
        <v/>
      </c>
      <c r="B366" s="39"/>
      <c r="C366" s="39"/>
      <c r="D366" s="39"/>
      <c r="E366" s="39"/>
      <c r="F366" s="39"/>
      <c r="G366" s="39"/>
      <c r="H366" s="39"/>
      <c r="I366" s="39"/>
      <c r="J366" s="39"/>
      <c r="K366" s="39"/>
      <c r="L366" s="39"/>
      <c r="M366" s="39"/>
      <c r="N366" s="39"/>
      <c r="O366" s="39"/>
      <c r="P366" s="39"/>
      <c r="Q366" s="48" t="str">
        <f>IF($AA362=0,"",INDEX(Quotes!$E$9:$E$258,$AA362))</f>
        <v/>
      </c>
      <c r="R366" s="39"/>
      <c r="S366" s="39"/>
      <c r="T366" s="39"/>
      <c r="U366" s="39"/>
      <c r="V366" s="39"/>
    </row>
    <row r="367" spans="1:27" ht="21" hidden="1" customHeight="1" x14ac:dyDescent="0.35">
      <c r="A367" s="81" t="str">
        <f>IF($AA362=0,"",IF(INDEX(Quotes!$N$9:$N$258,$AA362)="","No original link","Original quote"))</f>
        <v/>
      </c>
      <c r="B367" s="39"/>
      <c r="C367" s="39"/>
      <c r="D367" s="39"/>
      <c r="E367" s="39"/>
      <c r="F367" s="39"/>
      <c r="G367" s="39"/>
      <c r="I367" s="81" t="str">
        <f>IF($AA362=0,"",IF(INDEX(Quotes!$O$9:$O$258,$AA362)="","No revised link","Revised quote"))</f>
        <v/>
      </c>
      <c r="J367" s="39"/>
      <c r="K367" s="39"/>
      <c r="L367" s="39"/>
      <c r="M367" s="39"/>
      <c r="N367" s="39"/>
      <c r="O367" s="39"/>
      <c r="Q367" s="81" t="str">
        <f>IF($AA362=0,"",HYPERLINK("#'Quotes'!A"&amp;($AA362+8),"Open quote record"))</f>
        <v/>
      </c>
      <c r="R367" s="39"/>
      <c r="S367" s="39"/>
      <c r="T367" s="39"/>
      <c r="U367" s="39"/>
      <c r="V367" s="39"/>
    </row>
    <row r="368" spans="1:27" ht="21" hidden="1" customHeight="1" x14ac:dyDescent="0.35"/>
    <row r="369" spans="1:27" hidden="1" x14ac:dyDescent="0.35"/>
    <row r="370" spans="1:27" hidden="1" x14ac:dyDescent="0.35"/>
    <row r="371" spans="1:27" ht="29" hidden="1" customHeight="1" x14ac:dyDescent="0.35">
      <c r="A371" s="84" t="str">
        <f>IF($AA371=0,"",IF(LEN(INDEX(Quotes!$U$9:$U$258,$AA371)&amp;"")=0,"",INDEX(Quotes!$U$9:$U$258,$AA371)))</f>
        <v/>
      </c>
      <c r="B371" s="39"/>
      <c r="C371" s="39"/>
      <c r="D371" s="39"/>
      <c r="E371" s="39"/>
      <c r="F371" s="39"/>
      <c r="G371" s="39"/>
      <c r="H371" s="39"/>
      <c r="I371" s="39"/>
      <c r="J371" s="39"/>
      <c r="K371" s="85" t="str">
        <f>IF($AA371=0,"",IF(LEN(INDEX(Quotes!$Z$9:$Z$258,$AA371)&amp;"")=0,"",INDEX(Quotes!$Z$9:$Z$258,$AA371)))</f>
        <v/>
      </c>
      <c r="L371" s="39"/>
      <c r="M371" s="39"/>
      <c r="N371" s="39"/>
      <c r="O371" s="39"/>
      <c r="P371" s="39"/>
      <c r="Q371" s="39"/>
      <c r="R371" s="39"/>
      <c r="S371" s="39"/>
      <c r="T371" s="39"/>
      <c r="U371" s="39"/>
      <c r="V371" s="39"/>
      <c r="AA371">
        <f>IFERROR(MATCH(36,Quotes!$AK$9:$AK$258,0),0)</f>
        <v>0</v>
      </c>
    </row>
    <row r="372" spans="1:27" ht="21" hidden="1" customHeight="1" x14ac:dyDescent="0.35">
      <c r="A372" s="40" t="str">
        <f>IF($AA371=0,"",IF(LEN(INDEX(Quotes!$V$9:$V$258,$AA371)&amp;"")=0,"",INDEX(Quotes!$V$9:$V$258,$AA371)))</f>
        <v/>
      </c>
      <c r="B372" s="39"/>
      <c r="C372" s="39"/>
      <c r="D372" s="39"/>
      <c r="E372" s="39"/>
      <c r="F372" s="39"/>
      <c r="G372" s="39"/>
      <c r="H372" s="40" t="str">
        <f>IF($AA371=0,"",IF(LEN(INDEX(Quotes!$W$9:$W$258,$AA371)&amp;"")=0,"",INDEX(Quotes!$W$9:$W$258,$AA371)))</f>
        <v/>
      </c>
      <c r="I372" s="39"/>
      <c r="J372" s="39"/>
      <c r="K372" s="39"/>
      <c r="L372" s="39"/>
      <c r="M372" s="39"/>
      <c r="N372" s="39"/>
      <c r="O372" s="39"/>
      <c r="P372" s="39"/>
      <c r="Q372" s="39"/>
      <c r="R372" s="77" t="str">
        <f>IF($AA371=0,"",IF(LEN(INDEX(Quotes!$X$9:$X$258,$AA371)&amp;"")=0,"",INDEX(Quotes!$X$9:$X$258,$AA371)))</f>
        <v/>
      </c>
      <c r="S372" s="39"/>
      <c r="T372" s="39"/>
      <c r="U372" s="39"/>
      <c r="V372" s="39"/>
    </row>
    <row r="373" spans="1:27" ht="21" hidden="1" customHeight="1" x14ac:dyDescent="0.35">
      <c r="A373" s="83" t="str">
        <f>IF($AA371=0,"","ORIGINAL EUR")</f>
        <v/>
      </c>
      <c r="B373" s="39"/>
      <c r="C373" s="39"/>
      <c r="D373" s="39"/>
      <c r="E373" s="39"/>
      <c r="F373" s="39"/>
      <c r="G373" s="39"/>
      <c r="I373" s="83" t="str">
        <f>IF($AA371=0,"","LATEST EUR")</f>
        <v/>
      </c>
      <c r="J373" s="39"/>
      <c r="K373" s="39"/>
      <c r="L373" s="39"/>
      <c r="M373" s="39"/>
      <c r="N373" s="39"/>
      <c r="O373" s="39"/>
      <c r="Q373" s="83" t="str">
        <f>IF($AA371=0,"","SAVED EUR")</f>
        <v/>
      </c>
      <c r="R373" s="39"/>
      <c r="S373" s="39"/>
      <c r="T373" s="39"/>
      <c r="U373" s="39"/>
      <c r="V373" s="39"/>
    </row>
    <row r="374" spans="1:27" ht="21" hidden="1" customHeight="1" x14ac:dyDescent="0.35">
      <c r="A374" s="82" t="str">
        <f>IF($AA371=0,"",IF(LEN(INDEX(Quotes!$AB$9:$AB$258,$AA371)&amp;"")=0,"",INDEX(Quotes!$AB$9:$AB$258,$AA371)))</f>
        <v/>
      </c>
      <c r="B374" s="39"/>
      <c r="C374" s="39"/>
      <c r="D374" s="39"/>
      <c r="E374" s="39"/>
      <c r="F374" s="39"/>
      <c r="G374" s="39"/>
      <c r="I374" s="82" t="str">
        <f>IF($AA371=0,"",IF(LEN(INDEX(Quotes!$AD$9:$AD$258,$AA371)&amp;"")=0,"",INDEX(Quotes!$AD$9:$AD$258,$AA371)))</f>
        <v/>
      </c>
      <c r="J374" s="39"/>
      <c r="K374" s="39"/>
      <c r="L374" s="39"/>
      <c r="M374" s="39"/>
      <c r="N374" s="39"/>
      <c r="O374" s="39"/>
      <c r="Q374" s="82" t="str">
        <f>IF($AA371=0,"",IF(LEN(INDEX(Quotes!$AF$9:$AF$258,$AA371)&amp;"")=0,"",INDEX(Quotes!$AF$9:$AF$258,$AA371)))</f>
        <v/>
      </c>
      <c r="R374" s="39"/>
      <c r="S374" s="39"/>
      <c r="T374" s="39"/>
      <c r="U374" s="39"/>
      <c r="V374" s="39"/>
    </row>
    <row r="375" spans="1:27" ht="21" hidden="1" customHeight="1" x14ac:dyDescent="0.35">
      <c r="A375" s="48" t="str">
        <f>IF($AA371=0,"","Reference: "&amp;IF(INDEX(Quotes!$M$9:$M$258,$AA371)="",INDEX(Quotes!$S$9:$S$258,$AA371),INDEX(Quotes!$M$9:$M$258,$AA371)))</f>
        <v/>
      </c>
      <c r="B375" s="39"/>
      <c r="C375" s="39"/>
      <c r="D375" s="39"/>
      <c r="E375" s="39"/>
      <c r="F375" s="39"/>
      <c r="G375" s="39"/>
      <c r="H375" s="39"/>
      <c r="I375" s="39"/>
      <c r="J375" s="39"/>
      <c r="K375" s="39"/>
      <c r="L375" s="39"/>
      <c r="M375" s="39"/>
      <c r="N375" s="39"/>
      <c r="O375" s="39"/>
      <c r="P375" s="39"/>
      <c r="Q375" s="48" t="str">
        <f>IF($AA371=0,"",INDEX(Quotes!$E$9:$E$258,$AA371))</f>
        <v/>
      </c>
      <c r="R375" s="39"/>
      <c r="S375" s="39"/>
      <c r="T375" s="39"/>
      <c r="U375" s="39"/>
      <c r="V375" s="39"/>
    </row>
    <row r="376" spans="1:27" ht="21" hidden="1" customHeight="1" x14ac:dyDescent="0.35">
      <c r="A376" s="81" t="str">
        <f>IF($AA371=0,"",IF(INDEX(Quotes!$N$9:$N$258,$AA371)="","No original link","Original quote"))</f>
        <v/>
      </c>
      <c r="B376" s="39"/>
      <c r="C376" s="39"/>
      <c r="D376" s="39"/>
      <c r="E376" s="39"/>
      <c r="F376" s="39"/>
      <c r="G376" s="39"/>
      <c r="I376" s="81" t="str">
        <f>IF($AA371=0,"",IF(INDEX(Quotes!$O$9:$O$258,$AA371)="","No revised link","Revised quote"))</f>
        <v/>
      </c>
      <c r="J376" s="39"/>
      <c r="K376" s="39"/>
      <c r="L376" s="39"/>
      <c r="M376" s="39"/>
      <c r="N376" s="39"/>
      <c r="O376" s="39"/>
      <c r="Q376" s="81" t="str">
        <f>IF($AA371=0,"",HYPERLINK("#'Quotes'!A"&amp;($AA371+8),"Open quote record"))</f>
        <v/>
      </c>
      <c r="R376" s="39"/>
      <c r="S376" s="39"/>
      <c r="T376" s="39"/>
      <c r="U376" s="39"/>
      <c r="V376" s="39"/>
    </row>
    <row r="377" spans="1:27" ht="21" hidden="1" customHeight="1" x14ac:dyDescent="0.35"/>
    <row r="378" spans="1:27" hidden="1" x14ac:dyDescent="0.35"/>
    <row r="379" spans="1:27" hidden="1" x14ac:dyDescent="0.35"/>
    <row r="380" spans="1:27" hidden="1" x14ac:dyDescent="0.35"/>
    <row r="381" spans="1:27" hidden="1" x14ac:dyDescent="0.35">
      <c r="A381" s="67" t="s">
        <v>655</v>
      </c>
      <c r="B381" s="39"/>
      <c r="C381" s="39"/>
      <c r="D381" s="39"/>
      <c r="E381" s="39"/>
      <c r="F381" s="39"/>
      <c r="G381" s="39"/>
      <c r="H381" s="39"/>
      <c r="I381" s="39"/>
      <c r="J381" s="39"/>
      <c r="K381" s="39"/>
      <c r="L381" s="39"/>
      <c r="M381" s="39"/>
      <c r="N381" s="39"/>
      <c r="O381" s="39"/>
      <c r="P381" s="39"/>
      <c r="Q381" s="39"/>
      <c r="R381" s="39"/>
      <c r="S381" s="39"/>
      <c r="T381" s="39"/>
      <c r="U381" s="39"/>
      <c r="V381" s="39"/>
    </row>
    <row r="382" spans="1:27" ht="29" hidden="1" customHeight="1" x14ac:dyDescent="0.35">
      <c r="A382" s="84" t="str">
        <f>IF($AA382=0,"",IF(LEN(INDEX(Quotes!$U$9:$U$258,$AA382)&amp;"")=0,"",INDEX(Quotes!$U$9:$U$258,$AA382)))</f>
        <v/>
      </c>
      <c r="B382" s="39"/>
      <c r="C382" s="39"/>
      <c r="D382" s="39"/>
      <c r="E382" s="39"/>
      <c r="F382" s="39"/>
      <c r="G382" s="39"/>
      <c r="H382" s="39"/>
      <c r="I382" s="39"/>
      <c r="J382" s="39"/>
      <c r="K382" s="85" t="str">
        <f>IF($AA382=0,"",IF(LEN(INDEX(Quotes!$Z$9:$Z$258,$AA382)&amp;"")=0,"",INDEX(Quotes!$Z$9:$Z$258,$AA382)))</f>
        <v/>
      </c>
      <c r="L382" s="39"/>
      <c r="M382" s="39"/>
      <c r="N382" s="39"/>
      <c r="O382" s="39"/>
      <c r="P382" s="39"/>
      <c r="Q382" s="39"/>
      <c r="R382" s="39"/>
      <c r="S382" s="39"/>
      <c r="T382" s="39"/>
      <c r="U382" s="39"/>
      <c r="V382" s="39"/>
      <c r="AA382">
        <f>IFERROR(MATCH(37,Quotes!$AK$9:$AK$258,0),0)</f>
        <v>0</v>
      </c>
    </row>
    <row r="383" spans="1:27" ht="21" hidden="1" customHeight="1" x14ac:dyDescent="0.35">
      <c r="A383" s="40" t="str">
        <f>IF($AA382=0,"",IF(LEN(INDEX(Quotes!$V$9:$V$258,$AA382)&amp;"")=0,"",INDEX(Quotes!$V$9:$V$258,$AA382)))</f>
        <v/>
      </c>
      <c r="B383" s="39"/>
      <c r="C383" s="39"/>
      <c r="D383" s="39"/>
      <c r="E383" s="39"/>
      <c r="F383" s="39"/>
      <c r="G383" s="39"/>
      <c r="H383" s="40" t="str">
        <f>IF($AA382=0,"",IF(LEN(INDEX(Quotes!$W$9:$W$258,$AA382)&amp;"")=0,"",INDEX(Quotes!$W$9:$W$258,$AA382)))</f>
        <v/>
      </c>
      <c r="I383" s="39"/>
      <c r="J383" s="39"/>
      <c r="K383" s="39"/>
      <c r="L383" s="39"/>
      <c r="M383" s="39"/>
      <c r="N383" s="39"/>
      <c r="O383" s="39"/>
      <c r="P383" s="39"/>
      <c r="Q383" s="39"/>
      <c r="R383" s="77" t="str">
        <f>IF($AA382=0,"",IF(LEN(INDEX(Quotes!$X$9:$X$258,$AA382)&amp;"")=0,"",INDEX(Quotes!$X$9:$X$258,$AA382)))</f>
        <v/>
      </c>
      <c r="S383" s="39"/>
      <c r="T383" s="39"/>
      <c r="U383" s="39"/>
      <c r="V383" s="39"/>
    </row>
    <row r="384" spans="1:27" ht="21" hidden="1" customHeight="1" x14ac:dyDescent="0.35">
      <c r="A384" s="83" t="str">
        <f>IF($AA382=0,"","ORIGINAL EUR")</f>
        <v/>
      </c>
      <c r="B384" s="39"/>
      <c r="C384" s="39"/>
      <c r="D384" s="39"/>
      <c r="E384" s="39"/>
      <c r="F384" s="39"/>
      <c r="G384" s="39"/>
      <c r="I384" s="83" t="str">
        <f>IF($AA382=0,"","LATEST EUR")</f>
        <v/>
      </c>
      <c r="J384" s="39"/>
      <c r="K384" s="39"/>
      <c r="L384" s="39"/>
      <c r="M384" s="39"/>
      <c r="N384" s="39"/>
      <c r="O384" s="39"/>
      <c r="Q384" s="83" t="str">
        <f>IF($AA382=0,"","SAVED EUR")</f>
        <v/>
      </c>
      <c r="R384" s="39"/>
      <c r="S384" s="39"/>
      <c r="T384" s="39"/>
      <c r="U384" s="39"/>
      <c r="V384" s="39"/>
    </row>
    <row r="385" spans="1:27" ht="21" hidden="1" customHeight="1" x14ac:dyDescent="0.35">
      <c r="A385" s="82" t="str">
        <f>IF($AA382=0,"",IF(LEN(INDEX(Quotes!$AB$9:$AB$258,$AA382)&amp;"")=0,"",INDEX(Quotes!$AB$9:$AB$258,$AA382)))</f>
        <v/>
      </c>
      <c r="B385" s="39"/>
      <c r="C385" s="39"/>
      <c r="D385" s="39"/>
      <c r="E385" s="39"/>
      <c r="F385" s="39"/>
      <c r="G385" s="39"/>
      <c r="I385" s="82" t="str">
        <f>IF($AA382=0,"",IF(LEN(INDEX(Quotes!$AD$9:$AD$258,$AA382)&amp;"")=0,"",INDEX(Quotes!$AD$9:$AD$258,$AA382)))</f>
        <v/>
      </c>
      <c r="J385" s="39"/>
      <c r="K385" s="39"/>
      <c r="L385" s="39"/>
      <c r="M385" s="39"/>
      <c r="N385" s="39"/>
      <c r="O385" s="39"/>
      <c r="Q385" s="82" t="str">
        <f>IF($AA382=0,"",IF(LEN(INDEX(Quotes!$AF$9:$AF$258,$AA382)&amp;"")=0,"",INDEX(Quotes!$AF$9:$AF$258,$AA382)))</f>
        <v/>
      </c>
      <c r="R385" s="39"/>
      <c r="S385" s="39"/>
      <c r="T385" s="39"/>
      <c r="U385" s="39"/>
      <c r="V385" s="39"/>
    </row>
    <row r="386" spans="1:27" ht="21" hidden="1" customHeight="1" x14ac:dyDescent="0.35">
      <c r="A386" s="48" t="str">
        <f>IF($AA382=0,"","Reference: "&amp;IF(INDEX(Quotes!$M$9:$M$258,$AA382)="",INDEX(Quotes!$S$9:$S$258,$AA382),INDEX(Quotes!$M$9:$M$258,$AA382)))</f>
        <v/>
      </c>
      <c r="B386" s="39"/>
      <c r="C386" s="39"/>
      <c r="D386" s="39"/>
      <c r="E386" s="39"/>
      <c r="F386" s="39"/>
      <c r="G386" s="39"/>
      <c r="H386" s="39"/>
      <c r="I386" s="39"/>
      <c r="J386" s="39"/>
      <c r="K386" s="39"/>
      <c r="L386" s="39"/>
      <c r="M386" s="39"/>
      <c r="N386" s="39"/>
      <c r="O386" s="39"/>
      <c r="P386" s="39"/>
      <c r="Q386" s="48" t="str">
        <f>IF($AA382=0,"",INDEX(Quotes!$E$9:$E$258,$AA382))</f>
        <v/>
      </c>
      <c r="R386" s="39"/>
      <c r="S386" s="39"/>
      <c r="T386" s="39"/>
      <c r="U386" s="39"/>
      <c r="V386" s="39"/>
    </row>
    <row r="387" spans="1:27" ht="21" hidden="1" customHeight="1" x14ac:dyDescent="0.35">
      <c r="A387" s="81" t="str">
        <f>IF($AA382=0,"",IF(INDEX(Quotes!$N$9:$N$258,$AA382)="","No original link","Original quote"))</f>
        <v/>
      </c>
      <c r="B387" s="39"/>
      <c r="C387" s="39"/>
      <c r="D387" s="39"/>
      <c r="E387" s="39"/>
      <c r="F387" s="39"/>
      <c r="G387" s="39"/>
      <c r="I387" s="81" t="str">
        <f>IF($AA382=0,"",IF(INDEX(Quotes!$O$9:$O$258,$AA382)="","No revised link","Revised quote"))</f>
        <v/>
      </c>
      <c r="J387" s="39"/>
      <c r="K387" s="39"/>
      <c r="L387" s="39"/>
      <c r="M387" s="39"/>
      <c r="N387" s="39"/>
      <c r="O387" s="39"/>
      <c r="Q387" s="81" t="str">
        <f>IF($AA382=0,"",HYPERLINK("#'Quotes'!A"&amp;($AA382+8),"Open quote record"))</f>
        <v/>
      </c>
      <c r="R387" s="39"/>
      <c r="S387" s="39"/>
      <c r="T387" s="39"/>
      <c r="U387" s="39"/>
      <c r="V387" s="39"/>
    </row>
    <row r="388" spans="1:27" ht="21" hidden="1" customHeight="1" x14ac:dyDescent="0.35"/>
    <row r="389" spans="1:27" hidden="1" x14ac:dyDescent="0.35"/>
    <row r="390" spans="1:27" hidden="1" x14ac:dyDescent="0.35"/>
    <row r="391" spans="1:27" ht="29" hidden="1" customHeight="1" x14ac:dyDescent="0.35">
      <c r="A391" s="84" t="str">
        <f>IF($AA391=0,"",IF(LEN(INDEX(Quotes!$U$9:$U$258,$AA391)&amp;"")=0,"",INDEX(Quotes!$U$9:$U$258,$AA391)))</f>
        <v/>
      </c>
      <c r="B391" s="39"/>
      <c r="C391" s="39"/>
      <c r="D391" s="39"/>
      <c r="E391" s="39"/>
      <c r="F391" s="39"/>
      <c r="G391" s="39"/>
      <c r="H391" s="39"/>
      <c r="I391" s="39"/>
      <c r="J391" s="39"/>
      <c r="K391" s="85" t="str">
        <f>IF($AA391=0,"",IF(LEN(INDEX(Quotes!$Z$9:$Z$258,$AA391)&amp;"")=0,"",INDEX(Quotes!$Z$9:$Z$258,$AA391)))</f>
        <v/>
      </c>
      <c r="L391" s="39"/>
      <c r="M391" s="39"/>
      <c r="N391" s="39"/>
      <c r="O391" s="39"/>
      <c r="P391" s="39"/>
      <c r="Q391" s="39"/>
      <c r="R391" s="39"/>
      <c r="S391" s="39"/>
      <c r="T391" s="39"/>
      <c r="U391" s="39"/>
      <c r="V391" s="39"/>
      <c r="AA391">
        <f>IFERROR(MATCH(38,Quotes!$AK$9:$AK$258,0),0)</f>
        <v>0</v>
      </c>
    </row>
    <row r="392" spans="1:27" ht="21" hidden="1" customHeight="1" x14ac:dyDescent="0.35">
      <c r="A392" s="40" t="str">
        <f>IF($AA391=0,"",IF(LEN(INDEX(Quotes!$V$9:$V$258,$AA391)&amp;"")=0,"",INDEX(Quotes!$V$9:$V$258,$AA391)))</f>
        <v/>
      </c>
      <c r="B392" s="39"/>
      <c r="C392" s="39"/>
      <c r="D392" s="39"/>
      <c r="E392" s="39"/>
      <c r="F392" s="39"/>
      <c r="G392" s="39"/>
      <c r="H392" s="40" t="str">
        <f>IF($AA391=0,"",IF(LEN(INDEX(Quotes!$W$9:$W$258,$AA391)&amp;"")=0,"",INDEX(Quotes!$W$9:$W$258,$AA391)))</f>
        <v/>
      </c>
      <c r="I392" s="39"/>
      <c r="J392" s="39"/>
      <c r="K392" s="39"/>
      <c r="L392" s="39"/>
      <c r="M392" s="39"/>
      <c r="N392" s="39"/>
      <c r="O392" s="39"/>
      <c r="P392" s="39"/>
      <c r="Q392" s="39"/>
      <c r="R392" s="77" t="str">
        <f>IF($AA391=0,"",IF(LEN(INDEX(Quotes!$X$9:$X$258,$AA391)&amp;"")=0,"",INDEX(Quotes!$X$9:$X$258,$AA391)))</f>
        <v/>
      </c>
      <c r="S392" s="39"/>
      <c r="T392" s="39"/>
      <c r="U392" s="39"/>
      <c r="V392" s="39"/>
    </row>
    <row r="393" spans="1:27" ht="21" hidden="1" customHeight="1" x14ac:dyDescent="0.35">
      <c r="A393" s="83" t="str">
        <f>IF($AA391=0,"","ORIGINAL EUR")</f>
        <v/>
      </c>
      <c r="B393" s="39"/>
      <c r="C393" s="39"/>
      <c r="D393" s="39"/>
      <c r="E393" s="39"/>
      <c r="F393" s="39"/>
      <c r="G393" s="39"/>
      <c r="I393" s="83" t="str">
        <f>IF($AA391=0,"","LATEST EUR")</f>
        <v/>
      </c>
      <c r="J393" s="39"/>
      <c r="K393" s="39"/>
      <c r="L393" s="39"/>
      <c r="M393" s="39"/>
      <c r="N393" s="39"/>
      <c r="O393" s="39"/>
      <c r="Q393" s="83" t="str">
        <f>IF($AA391=0,"","SAVED EUR")</f>
        <v/>
      </c>
      <c r="R393" s="39"/>
      <c r="S393" s="39"/>
      <c r="T393" s="39"/>
      <c r="U393" s="39"/>
      <c r="V393" s="39"/>
    </row>
    <row r="394" spans="1:27" ht="21" hidden="1" customHeight="1" x14ac:dyDescent="0.35">
      <c r="A394" s="82" t="str">
        <f>IF($AA391=0,"",IF(LEN(INDEX(Quotes!$AB$9:$AB$258,$AA391)&amp;"")=0,"",INDEX(Quotes!$AB$9:$AB$258,$AA391)))</f>
        <v/>
      </c>
      <c r="B394" s="39"/>
      <c r="C394" s="39"/>
      <c r="D394" s="39"/>
      <c r="E394" s="39"/>
      <c r="F394" s="39"/>
      <c r="G394" s="39"/>
      <c r="I394" s="82" t="str">
        <f>IF($AA391=0,"",IF(LEN(INDEX(Quotes!$AD$9:$AD$258,$AA391)&amp;"")=0,"",INDEX(Quotes!$AD$9:$AD$258,$AA391)))</f>
        <v/>
      </c>
      <c r="J394" s="39"/>
      <c r="K394" s="39"/>
      <c r="L394" s="39"/>
      <c r="M394" s="39"/>
      <c r="N394" s="39"/>
      <c r="O394" s="39"/>
      <c r="Q394" s="82" t="str">
        <f>IF($AA391=0,"",IF(LEN(INDEX(Quotes!$AF$9:$AF$258,$AA391)&amp;"")=0,"",INDEX(Quotes!$AF$9:$AF$258,$AA391)))</f>
        <v/>
      </c>
      <c r="R394" s="39"/>
      <c r="S394" s="39"/>
      <c r="T394" s="39"/>
      <c r="U394" s="39"/>
      <c r="V394" s="39"/>
    </row>
    <row r="395" spans="1:27" ht="21" hidden="1" customHeight="1" x14ac:dyDescent="0.35">
      <c r="A395" s="48" t="str">
        <f>IF($AA391=0,"","Reference: "&amp;IF(INDEX(Quotes!$M$9:$M$258,$AA391)="",INDEX(Quotes!$S$9:$S$258,$AA391),INDEX(Quotes!$M$9:$M$258,$AA391)))</f>
        <v/>
      </c>
      <c r="B395" s="39"/>
      <c r="C395" s="39"/>
      <c r="D395" s="39"/>
      <c r="E395" s="39"/>
      <c r="F395" s="39"/>
      <c r="G395" s="39"/>
      <c r="H395" s="39"/>
      <c r="I395" s="39"/>
      <c r="J395" s="39"/>
      <c r="K395" s="39"/>
      <c r="L395" s="39"/>
      <c r="M395" s="39"/>
      <c r="N395" s="39"/>
      <c r="O395" s="39"/>
      <c r="P395" s="39"/>
      <c r="Q395" s="48" t="str">
        <f>IF($AA391=0,"",INDEX(Quotes!$E$9:$E$258,$AA391))</f>
        <v/>
      </c>
      <c r="R395" s="39"/>
      <c r="S395" s="39"/>
      <c r="T395" s="39"/>
      <c r="U395" s="39"/>
      <c r="V395" s="39"/>
    </row>
    <row r="396" spans="1:27" ht="21" hidden="1" customHeight="1" x14ac:dyDescent="0.35">
      <c r="A396" s="81" t="str">
        <f>IF($AA391=0,"",IF(INDEX(Quotes!$N$9:$N$258,$AA391)="","No original link","Original quote"))</f>
        <v/>
      </c>
      <c r="B396" s="39"/>
      <c r="C396" s="39"/>
      <c r="D396" s="39"/>
      <c r="E396" s="39"/>
      <c r="F396" s="39"/>
      <c r="G396" s="39"/>
      <c r="I396" s="81" t="str">
        <f>IF($AA391=0,"",IF(INDEX(Quotes!$O$9:$O$258,$AA391)="","No revised link","Revised quote"))</f>
        <v/>
      </c>
      <c r="J396" s="39"/>
      <c r="K396" s="39"/>
      <c r="L396" s="39"/>
      <c r="M396" s="39"/>
      <c r="N396" s="39"/>
      <c r="O396" s="39"/>
      <c r="Q396" s="81" t="str">
        <f>IF($AA391=0,"",HYPERLINK("#'Quotes'!A"&amp;($AA391+8),"Open quote record"))</f>
        <v/>
      </c>
      <c r="R396" s="39"/>
      <c r="S396" s="39"/>
      <c r="T396" s="39"/>
      <c r="U396" s="39"/>
      <c r="V396" s="39"/>
    </row>
    <row r="397" spans="1:27" ht="21" hidden="1" customHeight="1" x14ac:dyDescent="0.35"/>
    <row r="398" spans="1:27" hidden="1" x14ac:dyDescent="0.35"/>
    <row r="399" spans="1:27" hidden="1" x14ac:dyDescent="0.35"/>
    <row r="400" spans="1:27" ht="29" hidden="1" customHeight="1" x14ac:dyDescent="0.35">
      <c r="A400" s="84" t="str">
        <f>IF($AA400=0,"",IF(LEN(INDEX(Quotes!$U$9:$U$258,$AA400)&amp;"")=0,"",INDEX(Quotes!$U$9:$U$258,$AA400)))</f>
        <v/>
      </c>
      <c r="B400" s="39"/>
      <c r="C400" s="39"/>
      <c r="D400" s="39"/>
      <c r="E400" s="39"/>
      <c r="F400" s="39"/>
      <c r="G400" s="39"/>
      <c r="H400" s="39"/>
      <c r="I400" s="39"/>
      <c r="J400" s="39"/>
      <c r="K400" s="85" t="str">
        <f>IF($AA400=0,"",IF(LEN(INDEX(Quotes!$Z$9:$Z$258,$AA400)&amp;"")=0,"",INDEX(Quotes!$Z$9:$Z$258,$AA400)))</f>
        <v/>
      </c>
      <c r="L400" s="39"/>
      <c r="M400" s="39"/>
      <c r="N400" s="39"/>
      <c r="O400" s="39"/>
      <c r="P400" s="39"/>
      <c r="Q400" s="39"/>
      <c r="R400" s="39"/>
      <c r="S400" s="39"/>
      <c r="T400" s="39"/>
      <c r="U400" s="39"/>
      <c r="V400" s="39"/>
      <c r="AA400">
        <f>IFERROR(MATCH(39,Quotes!$AK$9:$AK$258,0),0)</f>
        <v>0</v>
      </c>
    </row>
    <row r="401" spans="1:27" ht="21" hidden="1" customHeight="1" x14ac:dyDescent="0.35">
      <c r="A401" s="40" t="str">
        <f>IF($AA400=0,"",IF(LEN(INDEX(Quotes!$V$9:$V$258,$AA400)&amp;"")=0,"",INDEX(Quotes!$V$9:$V$258,$AA400)))</f>
        <v/>
      </c>
      <c r="B401" s="39"/>
      <c r="C401" s="39"/>
      <c r="D401" s="39"/>
      <c r="E401" s="39"/>
      <c r="F401" s="39"/>
      <c r="G401" s="39"/>
      <c r="H401" s="40" t="str">
        <f>IF($AA400=0,"",IF(LEN(INDEX(Quotes!$W$9:$W$258,$AA400)&amp;"")=0,"",INDEX(Quotes!$W$9:$W$258,$AA400)))</f>
        <v/>
      </c>
      <c r="I401" s="39"/>
      <c r="J401" s="39"/>
      <c r="K401" s="39"/>
      <c r="L401" s="39"/>
      <c r="M401" s="39"/>
      <c r="N401" s="39"/>
      <c r="O401" s="39"/>
      <c r="P401" s="39"/>
      <c r="Q401" s="39"/>
      <c r="R401" s="77" t="str">
        <f>IF($AA400=0,"",IF(LEN(INDEX(Quotes!$X$9:$X$258,$AA400)&amp;"")=0,"",INDEX(Quotes!$X$9:$X$258,$AA400)))</f>
        <v/>
      </c>
      <c r="S401" s="39"/>
      <c r="T401" s="39"/>
      <c r="U401" s="39"/>
      <c r="V401" s="39"/>
    </row>
    <row r="402" spans="1:27" ht="21" hidden="1" customHeight="1" x14ac:dyDescent="0.35">
      <c r="A402" s="83" t="str">
        <f>IF($AA400=0,"","ORIGINAL EUR")</f>
        <v/>
      </c>
      <c r="B402" s="39"/>
      <c r="C402" s="39"/>
      <c r="D402" s="39"/>
      <c r="E402" s="39"/>
      <c r="F402" s="39"/>
      <c r="G402" s="39"/>
      <c r="I402" s="83" t="str">
        <f>IF($AA400=0,"","LATEST EUR")</f>
        <v/>
      </c>
      <c r="J402" s="39"/>
      <c r="K402" s="39"/>
      <c r="L402" s="39"/>
      <c r="M402" s="39"/>
      <c r="N402" s="39"/>
      <c r="O402" s="39"/>
      <c r="Q402" s="83" t="str">
        <f>IF($AA400=0,"","SAVED EUR")</f>
        <v/>
      </c>
      <c r="R402" s="39"/>
      <c r="S402" s="39"/>
      <c r="T402" s="39"/>
      <c r="U402" s="39"/>
      <c r="V402" s="39"/>
    </row>
    <row r="403" spans="1:27" ht="21" hidden="1" customHeight="1" x14ac:dyDescent="0.35">
      <c r="A403" s="82" t="str">
        <f>IF($AA400=0,"",IF(LEN(INDEX(Quotes!$AB$9:$AB$258,$AA400)&amp;"")=0,"",INDEX(Quotes!$AB$9:$AB$258,$AA400)))</f>
        <v/>
      </c>
      <c r="B403" s="39"/>
      <c r="C403" s="39"/>
      <c r="D403" s="39"/>
      <c r="E403" s="39"/>
      <c r="F403" s="39"/>
      <c r="G403" s="39"/>
      <c r="I403" s="82" t="str">
        <f>IF($AA400=0,"",IF(LEN(INDEX(Quotes!$AD$9:$AD$258,$AA400)&amp;"")=0,"",INDEX(Quotes!$AD$9:$AD$258,$AA400)))</f>
        <v/>
      </c>
      <c r="J403" s="39"/>
      <c r="K403" s="39"/>
      <c r="L403" s="39"/>
      <c r="M403" s="39"/>
      <c r="N403" s="39"/>
      <c r="O403" s="39"/>
      <c r="Q403" s="82" t="str">
        <f>IF($AA400=0,"",IF(LEN(INDEX(Quotes!$AF$9:$AF$258,$AA400)&amp;"")=0,"",INDEX(Quotes!$AF$9:$AF$258,$AA400)))</f>
        <v/>
      </c>
      <c r="R403" s="39"/>
      <c r="S403" s="39"/>
      <c r="T403" s="39"/>
      <c r="U403" s="39"/>
      <c r="V403" s="39"/>
    </row>
    <row r="404" spans="1:27" ht="21" hidden="1" customHeight="1" x14ac:dyDescent="0.35">
      <c r="A404" s="48" t="str">
        <f>IF($AA400=0,"","Reference: "&amp;IF(INDEX(Quotes!$M$9:$M$258,$AA400)="",INDEX(Quotes!$S$9:$S$258,$AA400),INDEX(Quotes!$M$9:$M$258,$AA400)))</f>
        <v/>
      </c>
      <c r="B404" s="39"/>
      <c r="C404" s="39"/>
      <c r="D404" s="39"/>
      <c r="E404" s="39"/>
      <c r="F404" s="39"/>
      <c r="G404" s="39"/>
      <c r="H404" s="39"/>
      <c r="I404" s="39"/>
      <c r="J404" s="39"/>
      <c r="K404" s="39"/>
      <c r="L404" s="39"/>
      <c r="M404" s="39"/>
      <c r="N404" s="39"/>
      <c r="O404" s="39"/>
      <c r="P404" s="39"/>
      <c r="Q404" s="48" t="str">
        <f>IF($AA400=0,"",INDEX(Quotes!$E$9:$E$258,$AA400))</f>
        <v/>
      </c>
      <c r="R404" s="39"/>
      <c r="S404" s="39"/>
      <c r="T404" s="39"/>
      <c r="U404" s="39"/>
      <c r="V404" s="39"/>
    </row>
    <row r="405" spans="1:27" ht="21" hidden="1" customHeight="1" x14ac:dyDescent="0.35">
      <c r="A405" s="81" t="str">
        <f>IF($AA400=0,"",IF(INDEX(Quotes!$N$9:$N$258,$AA400)="","No original link","Original quote"))</f>
        <v/>
      </c>
      <c r="B405" s="39"/>
      <c r="C405" s="39"/>
      <c r="D405" s="39"/>
      <c r="E405" s="39"/>
      <c r="F405" s="39"/>
      <c r="G405" s="39"/>
      <c r="I405" s="81" t="str">
        <f>IF($AA400=0,"",IF(INDEX(Quotes!$O$9:$O$258,$AA400)="","No revised link","Revised quote"))</f>
        <v/>
      </c>
      <c r="J405" s="39"/>
      <c r="K405" s="39"/>
      <c r="L405" s="39"/>
      <c r="M405" s="39"/>
      <c r="N405" s="39"/>
      <c r="O405" s="39"/>
      <c r="Q405" s="81" t="str">
        <f>IF($AA400=0,"",HYPERLINK("#'Quotes'!A"&amp;($AA400+8),"Open quote record"))</f>
        <v/>
      </c>
      <c r="R405" s="39"/>
      <c r="S405" s="39"/>
      <c r="T405" s="39"/>
      <c r="U405" s="39"/>
      <c r="V405" s="39"/>
    </row>
    <row r="406" spans="1:27" ht="21" hidden="1" customHeight="1" x14ac:dyDescent="0.35"/>
    <row r="407" spans="1:27" hidden="1" x14ac:dyDescent="0.35"/>
    <row r="408" spans="1:27" hidden="1" x14ac:dyDescent="0.35"/>
    <row r="409" spans="1:27" ht="29" hidden="1" customHeight="1" x14ac:dyDescent="0.35">
      <c r="A409" s="84" t="str">
        <f>IF($AA409=0,"",IF(LEN(INDEX(Quotes!$U$9:$U$258,$AA409)&amp;"")=0,"",INDEX(Quotes!$U$9:$U$258,$AA409)))</f>
        <v/>
      </c>
      <c r="B409" s="39"/>
      <c r="C409" s="39"/>
      <c r="D409" s="39"/>
      <c r="E409" s="39"/>
      <c r="F409" s="39"/>
      <c r="G409" s="39"/>
      <c r="H409" s="39"/>
      <c r="I409" s="39"/>
      <c r="J409" s="39"/>
      <c r="K409" s="85" t="str">
        <f>IF($AA409=0,"",IF(LEN(INDEX(Quotes!$Z$9:$Z$258,$AA409)&amp;"")=0,"",INDEX(Quotes!$Z$9:$Z$258,$AA409)))</f>
        <v/>
      </c>
      <c r="L409" s="39"/>
      <c r="M409" s="39"/>
      <c r="N409" s="39"/>
      <c r="O409" s="39"/>
      <c r="P409" s="39"/>
      <c r="Q409" s="39"/>
      <c r="R409" s="39"/>
      <c r="S409" s="39"/>
      <c r="T409" s="39"/>
      <c r="U409" s="39"/>
      <c r="V409" s="39"/>
      <c r="AA409">
        <f>IFERROR(MATCH(40,Quotes!$AK$9:$AK$258,0),0)</f>
        <v>0</v>
      </c>
    </row>
    <row r="410" spans="1:27" ht="21" hidden="1" customHeight="1" x14ac:dyDescent="0.35">
      <c r="A410" s="40" t="str">
        <f>IF($AA409=0,"",IF(LEN(INDEX(Quotes!$V$9:$V$258,$AA409)&amp;"")=0,"",INDEX(Quotes!$V$9:$V$258,$AA409)))</f>
        <v/>
      </c>
      <c r="B410" s="39"/>
      <c r="C410" s="39"/>
      <c r="D410" s="39"/>
      <c r="E410" s="39"/>
      <c r="F410" s="39"/>
      <c r="G410" s="39"/>
      <c r="H410" s="40" t="str">
        <f>IF($AA409=0,"",IF(LEN(INDEX(Quotes!$W$9:$W$258,$AA409)&amp;"")=0,"",INDEX(Quotes!$W$9:$W$258,$AA409)))</f>
        <v/>
      </c>
      <c r="I410" s="39"/>
      <c r="J410" s="39"/>
      <c r="K410" s="39"/>
      <c r="L410" s="39"/>
      <c r="M410" s="39"/>
      <c r="N410" s="39"/>
      <c r="O410" s="39"/>
      <c r="P410" s="39"/>
      <c r="Q410" s="39"/>
      <c r="R410" s="77" t="str">
        <f>IF($AA409=0,"",IF(LEN(INDEX(Quotes!$X$9:$X$258,$AA409)&amp;"")=0,"",INDEX(Quotes!$X$9:$X$258,$AA409)))</f>
        <v/>
      </c>
      <c r="S410" s="39"/>
      <c r="T410" s="39"/>
      <c r="U410" s="39"/>
      <c r="V410" s="39"/>
    </row>
    <row r="411" spans="1:27" ht="21" hidden="1" customHeight="1" x14ac:dyDescent="0.35">
      <c r="A411" s="83" t="str">
        <f>IF($AA409=0,"","ORIGINAL EUR")</f>
        <v/>
      </c>
      <c r="B411" s="39"/>
      <c r="C411" s="39"/>
      <c r="D411" s="39"/>
      <c r="E411" s="39"/>
      <c r="F411" s="39"/>
      <c r="G411" s="39"/>
      <c r="I411" s="83" t="str">
        <f>IF($AA409=0,"","LATEST EUR")</f>
        <v/>
      </c>
      <c r="J411" s="39"/>
      <c r="K411" s="39"/>
      <c r="L411" s="39"/>
      <c r="M411" s="39"/>
      <c r="N411" s="39"/>
      <c r="O411" s="39"/>
      <c r="Q411" s="83" t="str">
        <f>IF($AA409=0,"","SAVED EUR")</f>
        <v/>
      </c>
      <c r="R411" s="39"/>
      <c r="S411" s="39"/>
      <c r="T411" s="39"/>
      <c r="U411" s="39"/>
      <c r="V411" s="39"/>
    </row>
    <row r="412" spans="1:27" ht="21" hidden="1" customHeight="1" x14ac:dyDescent="0.35">
      <c r="A412" s="82" t="str">
        <f>IF($AA409=0,"",IF(LEN(INDEX(Quotes!$AB$9:$AB$258,$AA409)&amp;"")=0,"",INDEX(Quotes!$AB$9:$AB$258,$AA409)))</f>
        <v/>
      </c>
      <c r="B412" s="39"/>
      <c r="C412" s="39"/>
      <c r="D412" s="39"/>
      <c r="E412" s="39"/>
      <c r="F412" s="39"/>
      <c r="G412" s="39"/>
      <c r="I412" s="82" t="str">
        <f>IF($AA409=0,"",IF(LEN(INDEX(Quotes!$AD$9:$AD$258,$AA409)&amp;"")=0,"",INDEX(Quotes!$AD$9:$AD$258,$AA409)))</f>
        <v/>
      </c>
      <c r="J412" s="39"/>
      <c r="K412" s="39"/>
      <c r="L412" s="39"/>
      <c r="M412" s="39"/>
      <c r="N412" s="39"/>
      <c r="O412" s="39"/>
      <c r="Q412" s="82" t="str">
        <f>IF($AA409=0,"",IF(LEN(INDEX(Quotes!$AF$9:$AF$258,$AA409)&amp;"")=0,"",INDEX(Quotes!$AF$9:$AF$258,$AA409)))</f>
        <v/>
      </c>
      <c r="R412" s="39"/>
      <c r="S412" s="39"/>
      <c r="T412" s="39"/>
      <c r="U412" s="39"/>
      <c r="V412" s="39"/>
    </row>
    <row r="413" spans="1:27" ht="21" hidden="1" customHeight="1" x14ac:dyDescent="0.35">
      <c r="A413" s="48" t="str">
        <f>IF($AA409=0,"","Reference: "&amp;IF(INDEX(Quotes!$M$9:$M$258,$AA409)="",INDEX(Quotes!$S$9:$S$258,$AA409),INDEX(Quotes!$M$9:$M$258,$AA409)))</f>
        <v/>
      </c>
      <c r="B413" s="39"/>
      <c r="C413" s="39"/>
      <c r="D413" s="39"/>
      <c r="E413" s="39"/>
      <c r="F413" s="39"/>
      <c r="G413" s="39"/>
      <c r="H413" s="39"/>
      <c r="I413" s="39"/>
      <c r="J413" s="39"/>
      <c r="K413" s="39"/>
      <c r="L413" s="39"/>
      <c r="M413" s="39"/>
      <c r="N413" s="39"/>
      <c r="O413" s="39"/>
      <c r="P413" s="39"/>
      <c r="Q413" s="48" t="str">
        <f>IF($AA409=0,"",INDEX(Quotes!$E$9:$E$258,$AA409))</f>
        <v/>
      </c>
      <c r="R413" s="39"/>
      <c r="S413" s="39"/>
      <c r="T413" s="39"/>
      <c r="U413" s="39"/>
      <c r="V413" s="39"/>
    </row>
    <row r="414" spans="1:27" ht="21" hidden="1" customHeight="1" x14ac:dyDescent="0.35">
      <c r="A414" s="81" t="str">
        <f>IF($AA409=0,"",IF(INDEX(Quotes!$N$9:$N$258,$AA409)="","No original link","Original quote"))</f>
        <v/>
      </c>
      <c r="B414" s="39"/>
      <c r="C414" s="39"/>
      <c r="D414" s="39"/>
      <c r="E414" s="39"/>
      <c r="F414" s="39"/>
      <c r="G414" s="39"/>
      <c r="I414" s="81" t="str">
        <f>IF($AA409=0,"",IF(INDEX(Quotes!$O$9:$O$258,$AA409)="","No revised link","Revised quote"))</f>
        <v/>
      </c>
      <c r="J414" s="39"/>
      <c r="K414" s="39"/>
      <c r="L414" s="39"/>
      <c r="M414" s="39"/>
      <c r="N414" s="39"/>
      <c r="O414" s="39"/>
      <c r="Q414" s="81" t="str">
        <f>IF($AA409=0,"",HYPERLINK("#'Quotes'!A"&amp;($AA409+8),"Open quote record"))</f>
        <v/>
      </c>
      <c r="R414" s="39"/>
      <c r="S414" s="39"/>
      <c r="T414" s="39"/>
      <c r="U414" s="39"/>
      <c r="V414" s="39"/>
    </row>
    <row r="415" spans="1:27" ht="21" hidden="1" customHeight="1" x14ac:dyDescent="0.35"/>
    <row r="416" spans="1:27" hidden="1" x14ac:dyDescent="0.35"/>
    <row r="417" spans="1:27" hidden="1" x14ac:dyDescent="0.35"/>
    <row r="418" spans="1:27" hidden="1" x14ac:dyDescent="0.35"/>
    <row r="419" spans="1:27" hidden="1" x14ac:dyDescent="0.35">
      <c r="A419" s="67" t="s">
        <v>655</v>
      </c>
      <c r="B419" s="39"/>
      <c r="C419" s="39"/>
      <c r="D419" s="39"/>
      <c r="E419" s="39"/>
      <c r="F419" s="39"/>
      <c r="G419" s="39"/>
      <c r="H419" s="39"/>
      <c r="I419" s="39"/>
      <c r="J419" s="39"/>
      <c r="K419" s="39"/>
      <c r="L419" s="39"/>
      <c r="M419" s="39"/>
      <c r="N419" s="39"/>
      <c r="O419" s="39"/>
      <c r="P419" s="39"/>
      <c r="Q419" s="39"/>
      <c r="R419" s="39"/>
      <c r="S419" s="39"/>
      <c r="T419" s="39"/>
      <c r="U419" s="39"/>
      <c r="V419" s="39"/>
    </row>
    <row r="420" spans="1:27" ht="29" hidden="1" customHeight="1" x14ac:dyDescent="0.35">
      <c r="A420" s="84" t="str">
        <f>IF($AA420=0,"",IF(LEN(INDEX(Quotes!$U$9:$U$258,$AA420)&amp;"")=0,"",INDEX(Quotes!$U$9:$U$258,$AA420)))</f>
        <v/>
      </c>
      <c r="B420" s="39"/>
      <c r="C420" s="39"/>
      <c r="D420" s="39"/>
      <c r="E420" s="39"/>
      <c r="F420" s="39"/>
      <c r="G420" s="39"/>
      <c r="H420" s="39"/>
      <c r="I420" s="39"/>
      <c r="J420" s="39"/>
      <c r="K420" s="85" t="str">
        <f>IF($AA420=0,"",IF(LEN(INDEX(Quotes!$Z$9:$Z$258,$AA420)&amp;"")=0,"",INDEX(Quotes!$Z$9:$Z$258,$AA420)))</f>
        <v/>
      </c>
      <c r="L420" s="39"/>
      <c r="M420" s="39"/>
      <c r="N420" s="39"/>
      <c r="O420" s="39"/>
      <c r="P420" s="39"/>
      <c r="Q420" s="39"/>
      <c r="R420" s="39"/>
      <c r="S420" s="39"/>
      <c r="T420" s="39"/>
      <c r="U420" s="39"/>
      <c r="V420" s="39"/>
      <c r="AA420">
        <f>IFERROR(MATCH(41,Quotes!$AK$9:$AK$258,0),0)</f>
        <v>0</v>
      </c>
    </row>
    <row r="421" spans="1:27" ht="21" hidden="1" customHeight="1" x14ac:dyDescent="0.35">
      <c r="A421" s="40" t="str">
        <f>IF($AA420=0,"",IF(LEN(INDEX(Quotes!$V$9:$V$258,$AA420)&amp;"")=0,"",INDEX(Quotes!$V$9:$V$258,$AA420)))</f>
        <v/>
      </c>
      <c r="B421" s="39"/>
      <c r="C421" s="39"/>
      <c r="D421" s="39"/>
      <c r="E421" s="39"/>
      <c r="F421" s="39"/>
      <c r="G421" s="39"/>
      <c r="H421" s="40" t="str">
        <f>IF($AA420=0,"",IF(LEN(INDEX(Quotes!$W$9:$W$258,$AA420)&amp;"")=0,"",INDEX(Quotes!$W$9:$W$258,$AA420)))</f>
        <v/>
      </c>
      <c r="I421" s="39"/>
      <c r="J421" s="39"/>
      <c r="K421" s="39"/>
      <c r="L421" s="39"/>
      <c r="M421" s="39"/>
      <c r="N421" s="39"/>
      <c r="O421" s="39"/>
      <c r="P421" s="39"/>
      <c r="Q421" s="39"/>
      <c r="R421" s="77" t="str">
        <f>IF($AA420=0,"",IF(LEN(INDEX(Quotes!$X$9:$X$258,$AA420)&amp;"")=0,"",INDEX(Quotes!$X$9:$X$258,$AA420)))</f>
        <v/>
      </c>
      <c r="S421" s="39"/>
      <c r="T421" s="39"/>
      <c r="U421" s="39"/>
      <c r="V421" s="39"/>
    </row>
    <row r="422" spans="1:27" ht="21" hidden="1" customHeight="1" x14ac:dyDescent="0.35">
      <c r="A422" s="83" t="str">
        <f>IF($AA420=0,"","ORIGINAL EUR")</f>
        <v/>
      </c>
      <c r="B422" s="39"/>
      <c r="C422" s="39"/>
      <c r="D422" s="39"/>
      <c r="E422" s="39"/>
      <c r="F422" s="39"/>
      <c r="G422" s="39"/>
      <c r="I422" s="83" t="str">
        <f>IF($AA420=0,"","LATEST EUR")</f>
        <v/>
      </c>
      <c r="J422" s="39"/>
      <c r="K422" s="39"/>
      <c r="L422" s="39"/>
      <c r="M422" s="39"/>
      <c r="N422" s="39"/>
      <c r="O422" s="39"/>
      <c r="Q422" s="83" t="str">
        <f>IF($AA420=0,"","SAVED EUR")</f>
        <v/>
      </c>
      <c r="R422" s="39"/>
      <c r="S422" s="39"/>
      <c r="T422" s="39"/>
      <c r="U422" s="39"/>
      <c r="V422" s="39"/>
    </row>
    <row r="423" spans="1:27" ht="21" hidden="1" customHeight="1" x14ac:dyDescent="0.35">
      <c r="A423" s="82" t="str">
        <f>IF($AA420=0,"",IF(LEN(INDEX(Quotes!$AB$9:$AB$258,$AA420)&amp;"")=0,"",INDEX(Quotes!$AB$9:$AB$258,$AA420)))</f>
        <v/>
      </c>
      <c r="B423" s="39"/>
      <c r="C423" s="39"/>
      <c r="D423" s="39"/>
      <c r="E423" s="39"/>
      <c r="F423" s="39"/>
      <c r="G423" s="39"/>
      <c r="I423" s="82" t="str">
        <f>IF($AA420=0,"",IF(LEN(INDEX(Quotes!$AD$9:$AD$258,$AA420)&amp;"")=0,"",INDEX(Quotes!$AD$9:$AD$258,$AA420)))</f>
        <v/>
      </c>
      <c r="J423" s="39"/>
      <c r="K423" s="39"/>
      <c r="L423" s="39"/>
      <c r="M423" s="39"/>
      <c r="N423" s="39"/>
      <c r="O423" s="39"/>
      <c r="Q423" s="82" t="str">
        <f>IF($AA420=0,"",IF(LEN(INDEX(Quotes!$AF$9:$AF$258,$AA420)&amp;"")=0,"",INDEX(Quotes!$AF$9:$AF$258,$AA420)))</f>
        <v/>
      </c>
      <c r="R423" s="39"/>
      <c r="S423" s="39"/>
      <c r="T423" s="39"/>
      <c r="U423" s="39"/>
      <c r="V423" s="39"/>
    </row>
    <row r="424" spans="1:27" ht="21" hidden="1" customHeight="1" x14ac:dyDescent="0.35">
      <c r="A424" s="48" t="str">
        <f>IF($AA420=0,"","Reference: "&amp;IF(INDEX(Quotes!$M$9:$M$258,$AA420)="",INDEX(Quotes!$S$9:$S$258,$AA420),INDEX(Quotes!$M$9:$M$258,$AA420)))</f>
        <v/>
      </c>
      <c r="B424" s="39"/>
      <c r="C424" s="39"/>
      <c r="D424" s="39"/>
      <c r="E424" s="39"/>
      <c r="F424" s="39"/>
      <c r="G424" s="39"/>
      <c r="H424" s="39"/>
      <c r="I424" s="39"/>
      <c r="J424" s="39"/>
      <c r="K424" s="39"/>
      <c r="L424" s="39"/>
      <c r="M424" s="39"/>
      <c r="N424" s="39"/>
      <c r="O424" s="39"/>
      <c r="P424" s="39"/>
      <c r="Q424" s="48" t="str">
        <f>IF($AA420=0,"",INDEX(Quotes!$E$9:$E$258,$AA420))</f>
        <v/>
      </c>
      <c r="R424" s="39"/>
      <c r="S424" s="39"/>
      <c r="T424" s="39"/>
      <c r="U424" s="39"/>
      <c r="V424" s="39"/>
    </row>
    <row r="425" spans="1:27" ht="21" hidden="1" customHeight="1" x14ac:dyDescent="0.35">
      <c r="A425" s="81" t="str">
        <f>IF($AA420=0,"",IF(INDEX(Quotes!$N$9:$N$258,$AA420)="","No original link","Original quote"))</f>
        <v/>
      </c>
      <c r="B425" s="39"/>
      <c r="C425" s="39"/>
      <c r="D425" s="39"/>
      <c r="E425" s="39"/>
      <c r="F425" s="39"/>
      <c r="G425" s="39"/>
      <c r="I425" s="81" t="str">
        <f>IF($AA420=0,"",IF(INDEX(Quotes!$O$9:$O$258,$AA420)="","No revised link","Revised quote"))</f>
        <v/>
      </c>
      <c r="J425" s="39"/>
      <c r="K425" s="39"/>
      <c r="L425" s="39"/>
      <c r="M425" s="39"/>
      <c r="N425" s="39"/>
      <c r="O425" s="39"/>
      <c r="Q425" s="81" t="str">
        <f>IF($AA420=0,"",HYPERLINK("#'Quotes'!A"&amp;($AA420+8),"Open quote record"))</f>
        <v/>
      </c>
      <c r="R425" s="39"/>
      <c r="S425" s="39"/>
      <c r="T425" s="39"/>
      <c r="U425" s="39"/>
      <c r="V425" s="39"/>
    </row>
    <row r="426" spans="1:27" ht="21" hidden="1" customHeight="1" x14ac:dyDescent="0.35"/>
    <row r="427" spans="1:27" hidden="1" x14ac:dyDescent="0.35"/>
    <row r="428" spans="1:27" hidden="1" x14ac:dyDescent="0.35"/>
    <row r="429" spans="1:27" ht="29" hidden="1" customHeight="1" x14ac:dyDescent="0.35">
      <c r="A429" s="84" t="str">
        <f>IF($AA429=0,"",IF(LEN(INDEX(Quotes!$U$9:$U$258,$AA429)&amp;"")=0,"",INDEX(Quotes!$U$9:$U$258,$AA429)))</f>
        <v/>
      </c>
      <c r="B429" s="39"/>
      <c r="C429" s="39"/>
      <c r="D429" s="39"/>
      <c r="E429" s="39"/>
      <c r="F429" s="39"/>
      <c r="G429" s="39"/>
      <c r="H429" s="39"/>
      <c r="I429" s="39"/>
      <c r="J429" s="39"/>
      <c r="K429" s="85" t="str">
        <f>IF($AA429=0,"",IF(LEN(INDEX(Quotes!$Z$9:$Z$258,$AA429)&amp;"")=0,"",INDEX(Quotes!$Z$9:$Z$258,$AA429)))</f>
        <v/>
      </c>
      <c r="L429" s="39"/>
      <c r="M429" s="39"/>
      <c r="N429" s="39"/>
      <c r="O429" s="39"/>
      <c r="P429" s="39"/>
      <c r="Q429" s="39"/>
      <c r="R429" s="39"/>
      <c r="S429" s="39"/>
      <c r="T429" s="39"/>
      <c r="U429" s="39"/>
      <c r="V429" s="39"/>
      <c r="AA429">
        <f>IFERROR(MATCH(42,Quotes!$AK$9:$AK$258,0),0)</f>
        <v>0</v>
      </c>
    </row>
    <row r="430" spans="1:27" ht="21" hidden="1" customHeight="1" x14ac:dyDescent="0.35">
      <c r="A430" s="40" t="str">
        <f>IF($AA429=0,"",IF(LEN(INDEX(Quotes!$V$9:$V$258,$AA429)&amp;"")=0,"",INDEX(Quotes!$V$9:$V$258,$AA429)))</f>
        <v/>
      </c>
      <c r="B430" s="39"/>
      <c r="C430" s="39"/>
      <c r="D430" s="39"/>
      <c r="E430" s="39"/>
      <c r="F430" s="39"/>
      <c r="G430" s="39"/>
      <c r="H430" s="40" t="str">
        <f>IF($AA429=0,"",IF(LEN(INDEX(Quotes!$W$9:$W$258,$AA429)&amp;"")=0,"",INDEX(Quotes!$W$9:$W$258,$AA429)))</f>
        <v/>
      </c>
      <c r="I430" s="39"/>
      <c r="J430" s="39"/>
      <c r="K430" s="39"/>
      <c r="L430" s="39"/>
      <c r="M430" s="39"/>
      <c r="N430" s="39"/>
      <c r="O430" s="39"/>
      <c r="P430" s="39"/>
      <c r="Q430" s="39"/>
      <c r="R430" s="77" t="str">
        <f>IF($AA429=0,"",IF(LEN(INDEX(Quotes!$X$9:$X$258,$AA429)&amp;"")=0,"",INDEX(Quotes!$X$9:$X$258,$AA429)))</f>
        <v/>
      </c>
      <c r="S430" s="39"/>
      <c r="T430" s="39"/>
      <c r="U430" s="39"/>
      <c r="V430" s="39"/>
    </row>
    <row r="431" spans="1:27" ht="21" hidden="1" customHeight="1" x14ac:dyDescent="0.35">
      <c r="A431" s="83" t="str">
        <f>IF($AA429=0,"","ORIGINAL EUR")</f>
        <v/>
      </c>
      <c r="B431" s="39"/>
      <c r="C431" s="39"/>
      <c r="D431" s="39"/>
      <c r="E431" s="39"/>
      <c r="F431" s="39"/>
      <c r="G431" s="39"/>
      <c r="I431" s="83" t="str">
        <f>IF($AA429=0,"","LATEST EUR")</f>
        <v/>
      </c>
      <c r="J431" s="39"/>
      <c r="K431" s="39"/>
      <c r="L431" s="39"/>
      <c r="M431" s="39"/>
      <c r="N431" s="39"/>
      <c r="O431" s="39"/>
      <c r="Q431" s="83" t="str">
        <f>IF($AA429=0,"","SAVED EUR")</f>
        <v/>
      </c>
      <c r="R431" s="39"/>
      <c r="S431" s="39"/>
      <c r="T431" s="39"/>
      <c r="U431" s="39"/>
      <c r="V431" s="39"/>
    </row>
    <row r="432" spans="1:27" ht="21" hidden="1" customHeight="1" x14ac:dyDescent="0.35">
      <c r="A432" s="82" t="str">
        <f>IF($AA429=0,"",IF(LEN(INDEX(Quotes!$AB$9:$AB$258,$AA429)&amp;"")=0,"",INDEX(Quotes!$AB$9:$AB$258,$AA429)))</f>
        <v/>
      </c>
      <c r="B432" s="39"/>
      <c r="C432" s="39"/>
      <c r="D432" s="39"/>
      <c r="E432" s="39"/>
      <c r="F432" s="39"/>
      <c r="G432" s="39"/>
      <c r="I432" s="82" t="str">
        <f>IF($AA429=0,"",IF(LEN(INDEX(Quotes!$AD$9:$AD$258,$AA429)&amp;"")=0,"",INDEX(Quotes!$AD$9:$AD$258,$AA429)))</f>
        <v/>
      </c>
      <c r="J432" s="39"/>
      <c r="K432" s="39"/>
      <c r="L432" s="39"/>
      <c r="M432" s="39"/>
      <c r="N432" s="39"/>
      <c r="O432" s="39"/>
      <c r="Q432" s="82" t="str">
        <f>IF($AA429=0,"",IF(LEN(INDEX(Quotes!$AF$9:$AF$258,$AA429)&amp;"")=0,"",INDEX(Quotes!$AF$9:$AF$258,$AA429)))</f>
        <v/>
      </c>
      <c r="R432" s="39"/>
      <c r="S432" s="39"/>
      <c r="T432" s="39"/>
      <c r="U432" s="39"/>
      <c r="V432" s="39"/>
    </row>
    <row r="433" spans="1:27" ht="21" hidden="1" customHeight="1" x14ac:dyDescent="0.35">
      <c r="A433" s="48" t="str">
        <f>IF($AA429=0,"","Reference: "&amp;IF(INDEX(Quotes!$M$9:$M$258,$AA429)="",INDEX(Quotes!$S$9:$S$258,$AA429),INDEX(Quotes!$M$9:$M$258,$AA429)))</f>
        <v/>
      </c>
      <c r="B433" s="39"/>
      <c r="C433" s="39"/>
      <c r="D433" s="39"/>
      <c r="E433" s="39"/>
      <c r="F433" s="39"/>
      <c r="G433" s="39"/>
      <c r="H433" s="39"/>
      <c r="I433" s="39"/>
      <c r="J433" s="39"/>
      <c r="K433" s="39"/>
      <c r="L433" s="39"/>
      <c r="M433" s="39"/>
      <c r="N433" s="39"/>
      <c r="O433" s="39"/>
      <c r="P433" s="39"/>
      <c r="Q433" s="48" t="str">
        <f>IF($AA429=0,"",INDEX(Quotes!$E$9:$E$258,$AA429))</f>
        <v/>
      </c>
      <c r="R433" s="39"/>
      <c r="S433" s="39"/>
      <c r="T433" s="39"/>
      <c r="U433" s="39"/>
      <c r="V433" s="39"/>
    </row>
    <row r="434" spans="1:27" ht="21" hidden="1" customHeight="1" x14ac:dyDescent="0.35">
      <c r="A434" s="81" t="str">
        <f>IF($AA429=0,"",IF(INDEX(Quotes!$N$9:$N$258,$AA429)="","No original link","Original quote"))</f>
        <v/>
      </c>
      <c r="B434" s="39"/>
      <c r="C434" s="39"/>
      <c r="D434" s="39"/>
      <c r="E434" s="39"/>
      <c r="F434" s="39"/>
      <c r="G434" s="39"/>
      <c r="I434" s="81" t="str">
        <f>IF($AA429=0,"",IF(INDEX(Quotes!$O$9:$O$258,$AA429)="","No revised link","Revised quote"))</f>
        <v/>
      </c>
      <c r="J434" s="39"/>
      <c r="K434" s="39"/>
      <c r="L434" s="39"/>
      <c r="M434" s="39"/>
      <c r="N434" s="39"/>
      <c r="O434" s="39"/>
      <c r="Q434" s="81" t="str">
        <f>IF($AA429=0,"",HYPERLINK("#'Quotes'!A"&amp;($AA429+8),"Open quote record"))</f>
        <v/>
      </c>
      <c r="R434" s="39"/>
      <c r="S434" s="39"/>
      <c r="T434" s="39"/>
      <c r="U434" s="39"/>
      <c r="V434" s="39"/>
    </row>
    <row r="435" spans="1:27" ht="21" hidden="1" customHeight="1" x14ac:dyDescent="0.35"/>
    <row r="436" spans="1:27" hidden="1" x14ac:dyDescent="0.35"/>
    <row r="437" spans="1:27" hidden="1" x14ac:dyDescent="0.35"/>
    <row r="438" spans="1:27" ht="29" hidden="1" customHeight="1" x14ac:dyDescent="0.35">
      <c r="A438" s="84" t="str">
        <f>IF($AA438=0,"",IF(LEN(INDEX(Quotes!$U$9:$U$258,$AA438)&amp;"")=0,"",INDEX(Quotes!$U$9:$U$258,$AA438)))</f>
        <v/>
      </c>
      <c r="B438" s="39"/>
      <c r="C438" s="39"/>
      <c r="D438" s="39"/>
      <c r="E438" s="39"/>
      <c r="F438" s="39"/>
      <c r="G438" s="39"/>
      <c r="H438" s="39"/>
      <c r="I438" s="39"/>
      <c r="J438" s="39"/>
      <c r="K438" s="85" t="str">
        <f>IF($AA438=0,"",IF(LEN(INDEX(Quotes!$Z$9:$Z$258,$AA438)&amp;"")=0,"",INDEX(Quotes!$Z$9:$Z$258,$AA438)))</f>
        <v/>
      </c>
      <c r="L438" s="39"/>
      <c r="M438" s="39"/>
      <c r="N438" s="39"/>
      <c r="O438" s="39"/>
      <c r="P438" s="39"/>
      <c r="Q438" s="39"/>
      <c r="R438" s="39"/>
      <c r="S438" s="39"/>
      <c r="T438" s="39"/>
      <c r="U438" s="39"/>
      <c r="V438" s="39"/>
      <c r="AA438">
        <f>IFERROR(MATCH(43,Quotes!$AK$9:$AK$258,0),0)</f>
        <v>0</v>
      </c>
    </row>
    <row r="439" spans="1:27" ht="21" hidden="1" customHeight="1" x14ac:dyDescent="0.35">
      <c r="A439" s="40" t="str">
        <f>IF($AA438=0,"",IF(LEN(INDEX(Quotes!$V$9:$V$258,$AA438)&amp;"")=0,"",INDEX(Quotes!$V$9:$V$258,$AA438)))</f>
        <v/>
      </c>
      <c r="B439" s="39"/>
      <c r="C439" s="39"/>
      <c r="D439" s="39"/>
      <c r="E439" s="39"/>
      <c r="F439" s="39"/>
      <c r="G439" s="39"/>
      <c r="H439" s="40" t="str">
        <f>IF($AA438=0,"",IF(LEN(INDEX(Quotes!$W$9:$W$258,$AA438)&amp;"")=0,"",INDEX(Quotes!$W$9:$W$258,$AA438)))</f>
        <v/>
      </c>
      <c r="I439" s="39"/>
      <c r="J439" s="39"/>
      <c r="K439" s="39"/>
      <c r="L439" s="39"/>
      <c r="M439" s="39"/>
      <c r="N439" s="39"/>
      <c r="O439" s="39"/>
      <c r="P439" s="39"/>
      <c r="Q439" s="39"/>
      <c r="R439" s="77" t="str">
        <f>IF($AA438=0,"",IF(LEN(INDEX(Quotes!$X$9:$X$258,$AA438)&amp;"")=0,"",INDEX(Quotes!$X$9:$X$258,$AA438)))</f>
        <v/>
      </c>
      <c r="S439" s="39"/>
      <c r="T439" s="39"/>
      <c r="U439" s="39"/>
      <c r="V439" s="39"/>
    </row>
    <row r="440" spans="1:27" ht="21" hidden="1" customHeight="1" x14ac:dyDescent="0.35">
      <c r="A440" s="83" t="str">
        <f>IF($AA438=0,"","ORIGINAL EUR")</f>
        <v/>
      </c>
      <c r="B440" s="39"/>
      <c r="C440" s="39"/>
      <c r="D440" s="39"/>
      <c r="E440" s="39"/>
      <c r="F440" s="39"/>
      <c r="G440" s="39"/>
      <c r="I440" s="83" t="str">
        <f>IF($AA438=0,"","LATEST EUR")</f>
        <v/>
      </c>
      <c r="J440" s="39"/>
      <c r="K440" s="39"/>
      <c r="L440" s="39"/>
      <c r="M440" s="39"/>
      <c r="N440" s="39"/>
      <c r="O440" s="39"/>
      <c r="Q440" s="83" t="str">
        <f>IF($AA438=0,"","SAVED EUR")</f>
        <v/>
      </c>
      <c r="R440" s="39"/>
      <c r="S440" s="39"/>
      <c r="T440" s="39"/>
      <c r="U440" s="39"/>
      <c r="V440" s="39"/>
    </row>
    <row r="441" spans="1:27" ht="21" hidden="1" customHeight="1" x14ac:dyDescent="0.35">
      <c r="A441" s="82" t="str">
        <f>IF($AA438=0,"",IF(LEN(INDEX(Quotes!$AB$9:$AB$258,$AA438)&amp;"")=0,"",INDEX(Quotes!$AB$9:$AB$258,$AA438)))</f>
        <v/>
      </c>
      <c r="B441" s="39"/>
      <c r="C441" s="39"/>
      <c r="D441" s="39"/>
      <c r="E441" s="39"/>
      <c r="F441" s="39"/>
      <c r="G441" s="39"/>
      <c r="I441" s="82" t="str">
        <f>IF($AA438=0,"",IF(LEN(INDEX(Quotes!$AD$9:$AD$258,$AA438)&amp;"")=0,"",INDEX(Quotes!$AD$9:$AD$258,$AA438)))</f>
        <v/>
      </c>
      <c r="J441" s="39"/>
      <c r="K441" s="39"/>
      <c r="L441" s="39"/>
      <c r="M441" s="39"/>
      <c r="N441" s="39"/>
      <c r="O441" s="39"/>
      <c r="Q441" s="82" t="str">
        <f>IF($AA438=0,"",IF(LEN(INDEX(Quotes!$AF$9:$AF$258,$AA438)&amp;"")=0,"",INDEX(Quotes!$AF$9:$AF$258,$AA438)))</f>
        <v/>
      </c>
      <c r="R441" s="39"/>
      <c r="S441" s="39"/>
      <c r="T441" s="39"/>
      <c r="U441" s="39"/>
      <c r="V441" s="39"/>
    </row>
    <row r="442" spans="1:27" ht="21" hidden="1" customHeight="1" x14ac:dyDescent="0.35">
      <c r="A442" s="48" t="str">
        <f>IF($AA438=0,"","Reference: "&amp;IF(INDEX(Quotes!$M$9:$M$258,$AA438)="",INDEX(Quotes!$S$9:$S$258,$AA438),INDEX(Quotes!$M$9:$M$258,$AA438)))</f>
        <v/>
      </c>
      <c r="B442" s="39"/>
      <c r="C442" s="39"/>
      <c r="D442" s="39"/>
      <c r="E442" s="39"/>
      <c r="F442" s="39"/>
      <c r="G442" s="39"/>
      <c r="H442" s="39"/>
      <c r="I442" s="39"/>
      <c r="J442" s="39"/>
      <c r="K442" s="39"/>
      <c r="L442" s="39"/>
      <c r="M442" s="39"/>
      <c r="N442" s="39"/>
      <c r="O442" s="39"/>
      <c r="P442" s="39"/>
      <c r="Q442" s="48" t="str">
        <f>IF($AA438=0,"",INDEX(Quotes!$E$9:$E$258,$AA438))</f>
        <v/>
      </c>
      <c r="R442" s="39"/>
      <c r="S442" s="39"/>
      <c r="T442" s="39"/>
      <c r="U442" s="39"/>
      <c r="V442" s="39"/>
    </row>
    <row r="443" spans="1:27" ht="21" hidden="1" customHeight="1" x14ac:dyDescent="0.35">
      <c r="A443" s="81" t="str">
        <f>IF($AA438=0,"",IF(INDEX(Quotes!$N$9:$N$258,$AA438)="","No original link","Original quote"))</f>
        <v/>
      </c>
      <c r="B443" s="39"/>
      <c r="C443" s="39"/>
      <c r="D443" s="39"/>
      <c r="E443" s="39"/>
      <c r="F443" s="39"/>
      <c r="G443" s="39"/>
      <c r="I443" s="81" t="str">
        <f>IF($AA438=0,"",IF(INDEX(Quotes!$O$9:$O$258,$AA438)="","No revised link","Revised quote"))</f>
        <v/>
      </c>
      <c r="J443" s="39"/>
      <c r="K443" s="39"/>
      <c r="L443" s="39"/>
      <c r="M443" s="39"/>
      <c r="N443" s="39"/>
      <c r="O443" s="39"/>
      <c r="Q443" s="81" t="str">
        <f>IF($AA438=0,"",HYPERLINK("#'Quotes'!A"&amp;($AA438+8),"Open quote record"))</f>
        <v/>
      </c>
      <c r="R443" s="39"/>
      <c r="S443" s="39"/>
      <c r="T443" s="39"/>
      <c r="U443" s="39"/>
      <c r="V443" s="39"/>
    </row>
    <row r="444" spans="1:27" ht="21" hidden="1" customHeight="1" x14ac:dyDescent="0.35"/>
    <row r="445" spans="1:27" hidden="1" x14ac:dyDescent="0.35"/>
    <row r="446" spans="1:27" hidden="1" x14ac:dyDescent="0.35"/>
    <row r="447" spans="1:27" ht="29" hidden="1" customHeight="1" x14ac:dyDescent="0.35">
      <c r="A447" s="84" t="str">
        <f>IF($AA447=0,"",IF(LEN(INDEX(Quotes!$U$9:$U$258,$AA447)&amp;"")=0,"",INDEX(Quotes!$U$9:$U$258,$AA447)))</f>
        <v/>
      </c>
      <c r="B447" s="39"/>
      <c r="C447" s="39"/>
      <c r="D447" s="39"/>
      <c r="E447" s="39"/>
      <c r="F447" s="39"/>
      <c r="G447" s="39"/>
      <c r="H447" s="39"/>
      <c r="I447" s="39"/>
      <c r="J447" s="39"/>
      <c r="K447" s="85" t="str">
        <f>IF($AA447=0,"",IF(LEN(INDEX(Quotes!$Z$9:$Z$258,$AA447)&amp;"")=0,"",INDEX(Quotes!$Z$9:$Z$258,$AA447)))</f>
        <v/>
      </c>
      <c r="L447" s="39"/>
      <c r="M447" s="39"/>
      <c r="N447" s="39"/>
      <c r="O447" s="39"/>
      <c r="P447" s="39"/>
      <c r="Q447" s="39"/>
      <c r="R447" s="39"/>
      <c r="S447" s="39"/>
      <c r="T447" s="39"/>
      <c r="U447" s="39"/>
      <c r="V447" s="39"/>
      <c r="AA447">
        <f>IFERROR(MATCH(44,Quotes!$AK$9:$AK$258,0),0)</f>
        <v>0</v>
      </c>
    </row>
    <row r="448" spans="1:27" ht="21" hidden="1" customHeight="1" x14ac:dyDescent="0.35">
      <c r="A448" s="40" t="str">
        <f>IF($AA447=0,"",IF(LEN(INDEX(Quotes!$V$9:$V$258,$AA447)&amp;"")=0,"",INDEX(Quotes!$V$9:$V$258,$AA447)))</f>
        <v/>
      </c>
      <c r="B448" s="39"/>
      <c r="C448" s="39"/>
      <c r="D448" s="39"/>
      <c r="E448" s="39"/>
      <c r="F448" s="39"/>
      <c r="G448" s="39"/>
      <c r="H448" s="40" t="str">
        <f>IF($AA447=0,"",IF(LEN(INDEX(Quotes!$W$9:$W$258,$AA447)&amp;"")=0,"",INDEX(Quotes!$W$9:$W$258,$AA447)))</f>
        <v/>
      </c>
      <c r="I448" s="39"/>
      <c r="J448" s="39"/>
      <c r="K448" s="39"/>
      <c r="L448" s="39"/>
      <c r="M448" s="39"/>
      <c r="N448" s="39"/>
      <c r="O448" s="39"/>
      <c r="P448" s="39"/>
      <c r="Q448" s="39"/>
      <c r="R448" s="77" t="str">
        <f>IF($AA447=0,"",IF(LEN(INDEX(Quotes!$X$9:$X$258,$AA447)&amp;"")=0,"",INDEX(Quotes!$X$9:$X$258,$AA447)))</f>
        <v/>
      </c>
      <c r="S448" s="39"/>
      <c r="T448" s="39"/>
      <c r="U448" s="39"/>
      <c r="V448" s="39"/>
    </row>
    <row r="449" spans="1:27" ht="21" hidden="1" customHeight="1" x14ac:dyDescent="0.35">
      <c r="A449" s="83" t="str">
        <f>IF($AA447=0,"","ORIGINAL EUR")</f>
        <v/>
      </c>
      <c r="B449" s="39"/>
      <c r="C449" s="39"/>
      <c r="D449" s="39"/>
      <c r="E449" s="39"/>
      <c r="F449" s="39"/>
      <c r="G449" s="39"/>
      <c r="I449" s="83" t="str">
        <f>IF($AA447=0,"","LATEST EUR")</f>
        <v/>
      </c>
      <c r="J449" s="39"/>
      <c r="K449" s="39"/>
      <c r="L449" s="39"/>
      <c r="M449" s="39"/>
      <c r="N449" s="39"/>
      <c r="O449" s="39"/>
      <c r="Q449" s="83" t="str">
        <f>IF($AA447=0,"","SAVED EUR")</f>
        <v/>
      </c>
      <c r="R449" s="39"/>
      <c r="S449" s="39"/>
      <c r="T449" s="39"/>
      <c r="U449" s="39"/>
      <c r="V449" s="39"/>
    </row>
    <row r="450" spans="1:27" ht="21" hidden="1" customHeight="1" x14ac:dyDescent="0.35">
      <c r="A450" s="82" t="str">
        <f>IF($AA447=0,"",IF(LEN(INDEX(Quotes!$AB$9:$AB$258,$AA447)&amp;"")=0,"",INDEX(Quotes!$AB$9:$AB$258,$AA447)))</f>
        <v/>
      </c>
      <c r="B450" s="39"/>
      <c r="C450" s="39"/>
      <c r="D450" s="39"/>
      <c r="E450" s="39"/>
      <c r="F450" s="39"/>
      <c r="G450" s="39"/>
      <c r="I450" s="82" t="str">
        <f>IF($AA447=0,"",IF(LEN(INDEX(Quotes!$AD$9:$AD$258,$AA447)&amp;"")=0,"",INDEX(Quotes!$AD$9:$AD$258,$AA447)))</f>
        <v/>
      </c>
      <c r="J450" s="39"/>
      <c r="K450" s="39"/>
      <c r="L450" s="39"/>
      <c r="M450" s="39"/>
      <c r="N450" s="39"/>
      <c r="O450" s="39"/>
      <c r="Q450" s="82" t="str">
        <f>IF($AA447=0,"",IF(LEN(INDEX(Quotes!$AF$9:$AF$258,$AA447)&amp;"")=0,"",INDEX(Quotes!$AF$9:$AF$258,$AA447)))</f>
        <v/>
      </c>
      <c r="R450" s="39"/>
      <c r="S450" s="39"/>
      <c r="T450" s="39"/>
      <c r="U450" s="39"/>
      <c r="V450" s="39"/>
    </row>
    <row r="451" spans="1:27" ht="21" hidden="1" customHeight="1" x14ac:dyDescent="0.35">
      <c r="A451" s="48" t="str">
        <f>IF($AA447=0,"","Reference: "&amp;IF(INDEX(Quotes!$M$9:$M$258,$AA447)="",INDEX(Quotes!$S$9:$S$258,$AA447),INDEX(Quotes!$M$9:$M$258,$AA447)))</f>
        <v/>
      </c>
      <c r="B451" s="39"/>
      <c r="C451" s="39"/>
      <c r="D451" s="39"/>
      <c r="E451" s="39"/>
      <c r="F451" s="39"/>
      <c r="G451" s="39"/>
      <c r="H451" s="39"/>
      <c r="I451" s="39"/>
      <c r="J451" s="39"/>
      <c r="K451" s="39"/>
      <c r="L451" s="39"/>
      <c r="M451" s="39"/>
      <c r="N451" s="39"/>
      <c r="O451" s="39"/>
      <c r="P451" s="39"/>
      <c r="Q451" s="48" t="str">
        <f>IF($AA447=0,"",INDEX(Quotes!$E$9:$E$258,$AA447))</f>
        <v/>
      </c>
      <c r="R451" s="39"/>
      <c r="S451" s="39"/>
      <c r="T451" s="39"/>
      <c r="U451" s="39"/>
      <c r="V451" s="39"/>
    </row>
    <row r="452" spans="1:27" ht="21" hidden="1" customHeight="1" x14ac:dyDescent="0.35">
      <c r="A452" s="81" t="str">
        <f>IF($AA447=0,"",IF(INDEX(Quotes!$N$9:$N$258,$AA447)="","No original link","Original quote"))</f>
        <v/>
      </c>
      <c r="B452" s="39"/>
      <c r="C452" s="39"/>
      <c r="D452" s="39"/>
      <c r="E452" s="39"/>
      <c r="F452" s="39"/>
      <c r="G452" s="39"/>
      <c r="I452" s="81" t="str">
        <f>IF($AA447=0,"",IF(INDEX(Quotes!$O$9:$O$258,$AA447)="","No revised link","Revised quote"))</f>
        <v/>
      </c>
      <c r="J452" s="39"/>
      <c r="K452" s="39"/>
      <c r="L452" s="39"/>
      <c r="M452" s="39"/>
      <c r="N452" s="39"/>
      <c r="O452" s="39"/>
      <c r="Q452" s="81" t="str">
        <f>IF($AA447=0,"",HYPERLINK("#'Quotes'!A"&amp;($AA447+8),"Open quote record"))</f>
        <v/>
      </c>
      <c r="R452" s="39"/>
      <c r="S452" s="39"/>
      <c r="T452" s="39"/>
      <c r="U452" s="39"/>
      <c r="V452" s="39"/>
    </row>
    <row r="453" spans="1:27" ht="21" hidden="1" customHeight="1" x14ac:dyDescent="0.35"/>
    <row r="454" spans="1:27" hidden="1" x14ac:dyDescent="0.35"/>
    <row r="455" spans="1:27" hidden="1" x14ac:dyDescent="0.35"/>
    <row r="456" spans="1:27" hidden="1" x14ac:dyDescent="0.35"/>
    <row r="457" spans="1:27" hidden="1" x14ac:dyDescent="0.35">
      <c r="A457" s="67" t="s">
        <v>655</v>
      </c>
      <c r="B457" s="39"/>
      <c r="C457" s="39"/>
      <c r="D457" s="39"/>
      <c r="E457" s="39"/>
      <c r="F457" s="39"/>
      <c r="G457" s="39"/>
      <c r="H457" s="39"/>
      <c r="I457" s="39"/>
      <c r="J457" s="39"/>
      <c r="K457" s="39"/>
      <c r="L457" s="39"/>
      <c r="M457" s="39"/>
      <c r="N457" s="39"/>
      <c r="O457" s="39"/>
      <c r="P457" s="39"/>
      <c r="Q457" s="39"/>
      <c r="R457" s="39"/>
      <c r="S457" s="39"/>
      <c r="T457" s="39"/>
      <c r="U457" s="39"/>
      <c r="V457" s="39"/>
    </row>
    <row r="458" spans="1:27" ht="29" hidden="1" customHeight="1" x14ac:dyDescent="0.35">
      <c r="A458" s="84" t="str">
        <f>IF($AA458=0,"",IF(LEN(INDEX(Quotes!$U$9:$U$258,$AA458)&amp;"")=0,"",INDEX(Quotes!$U$9:$U$258,$AA458)))</f>
        <v/>
      </c>
      <c r="B458" s="39"/>
      <c r="C458" s="39"/>
      <c r="D458" s="39"/>
      <c r="E458" s="39"/>
      <c r="F458" s="39"/>
      <c r="G458" s="39"/>
      <c r="H458" s="39"/>
      <c r="I458" s="39"/>
      <c r="J458" s="39"/>
      <c r="K458" s="85" t="str">
        <f>IF($AA458=0,"",IF(LEN(INDEX(Quotes!$Z$9:$Z$258,$AA458)&amp;"")=0,"",INDEX(Quotes!$Z$9:$Z$258,$AA458)))</f>
        <v/>
      </c>
      <c r="L458" s="39"/>
      <c r="M458" s="39"/>
      <c r="N458" s="39"/>
      <c r="O458" s="39"/>
      <c r="P458" s="39"/>
      <c r="Q458" s="39"/>
      <c r="R458" s="39"/>
      <c r="S458" s="39"/>
      <c r="T458" s="39"/>
      <c r="U458" s="39"/>
      <c r="V458" s="39"/>
      <c r="AA458">
        <f>IFERROR(MATCH(45,Quotes!$AK$9:$AK$258,0),0)</f>
        <v>0</v>
      </c>
    </row>
    <row r="459" spans="1:27" ht="21" hidden="1" customHeight="1" x14ac:dyDescent="0.35">
      <c r="A459" s="40" t="str">
        <f>IF($AA458=0,"",IF(LEN(INDEX(Quotes!$V$9:$V$258,$AA458)&amp;"")=0,"",INDEX(Quotes!$V$9:$V$258,$AA458)))</f>
        <v/>
      </c>
      <c r="B459" s="39"/>
      <c r="C459" s="39"/>
      <c r="D459" s="39"/>
      <c r="E459" s="39"/>
      <c r="F459" s="39"/>
      <c r="G459" s="39"/>
      <c r="H459" s="40" t="str">
        <f>IF($AA458=0,"",IF(LEN(INDEX(Quotes!$W$9:$W$258,$AA458)&amp;"")=0,"",INDEX(Quotes!$W$9:$W$258,$AA458)))</f>
        <v/>
      </c>
      <c r="I459" s="39"/>
      <c r="J459" s="39"/>
      <c r="K459" s="39"/>
      <c r="L459" s="39"/>
      <c r="M459" s="39"/>
      <c r="N459" s="39"/>
      <c r="O459" s="39"/>
      <c r="P459" s="39"/>
      <c r="Q459" s="39"/>
      <c r="R459" s="77" t="str">
        <f>IF($AA458=0,"",IF(LEN(INDEX(Quotes!$X$9:$X$258,$AA458)&amp;"")=0,"",INDEX(Quotes!$X$9:$X$258,$AA458)))</f>
        <v/>
      </c>
      <c r="S459" s="39"/>
      <c r="T459" s="39"/>
      <c r="U459" s="39"/>
      <c r="V459" s="39"/>
    </row>
    <row r="460" spans="1:27" ht="21" hidden="1" customHeight="1" x14ac:dyDescent="0.35">
      <c r="A460" s="83" t="str">
        <f>IF($AA458=0,"","ORIGINAL EUR")</f>
        <v/>
      </c>
      <c r="B460" s="39"/>
      <c r="C460" s="39"/>
      <c r="D460" s="39"/>
      <c r="E460" s="39"/>
      <c r="F460" s="39"/>
      <c r="G460" s="39"/>
      <c r="I460" s="83" t="str">
        <f>IF($AA458=0,"","LATEST EUR")</f>
        <v/>
      </c>
      <c r="J460" s="39"/>
      <c r="K460" s="39"/>
      <c r="L460" s="39"/>
      <c r="M460" s="39"/>
      <c r="N460" s="39"/>
      <c r="O460" s="39"/>
      <c r="Q460" s="83" t="str">
        <f>IF($AA458=0,"","SAVED EUR")</f>
        <v/>
      </c>
      <c r="R460" s="39"/>
      <c r="S460" s="39"/>
      <c r="T460" s="39"/>
      <c r="U460" s="39"/>
      <c r="V460" s="39"/>
    </row>
    <row r="461" spans="1:27" ht="21" hidden="1" customHeight="1" x14ac:dyDescent="0.35">
      <c r="A461" s="82" t="str">
        <f>IF($AA458=0,"",IF(LEN(INDEX(Quotes!$AB$9:$AB$258,$AA458)&amp;"")=0,"",INDEX(Quotes!$AB$9:$AB$258,$AA458)))</f>
        <v/>
      </c>
      <c r="B461" s="39"/>
      <c r="C461" s="39"/>
      <c r="D461" s="39"/>
      <c r="E461" s="39"/>
      <c r="F461" s="39"/>
      <c r="G461" s="39"/>
      <c r="I461" s="82" t="str">
        <f>IF($AA458=0,"",IF(LEN(INDEX(Quotes!$AD$9:$AD$258,$AA458)&amp;"")=0,"",INDEX(Quotes!$AD$9:$AD$258,$AA458)))</f>
        <v/>
      </c>
      <c r="J461" s="39"/>
      <c r="K461" s="39"/>
      <c r="L461" s="39"/>
      <c r="M461" s="39"/>
      <c r="N461" s="39"/>
      <c r="O461" s="39"/>
      <c r="Q461" s="82" t="str">
        <f>IF($AA458=0,"",IF(LEN(INDEX(Quotes!$AF$9:$AF$258,$AA458)&amp;"")=0,"",INDEX(Quotes!$AF$9:$AF$258,$AA458)))</f>
        <v/>
      </c>
      <c r="R461" s="39"/>
      <c r="S461" s="39"/>
      <c r="T461" s="39"/>
      <c r="U461" s="39"/>
      <c r="V461" s="39"/>
    </row>
    <row r="462" spans="1:27" ht="21" hidden="1" customHeight="1" x14ac:dyDescent="0.35">
      <c r="A462" s="48" t="str">
        <f>IF($AA458=0,"","Reference: "&amp;IF(INDEX(Quotes!$M$9:$M$258,$AA458)="",INDEX(Quotes!$S$9:$S$258,$AA458),INDEX(Quotes!$M$9:$M$258,$AA458)))</f>
        <v/>
      </c>
      <c r="B462" s="39"/>
      <c r="C462" s="39"/>
      <c r="D462" s="39"/>
      <c r="E462" s="39"/>
      <c r="F462" s="39"/>
      <c r="G462" s="39"/>
      <c r="H462" s="39"/>
      <c r="I462" s="39"/>
      <c r="J462" s="39"/>
      <c r="K462" s="39"/>
      <c r="L462" s="39"/>
      <c r="M462" s="39"/>
      <c r="N462" s="39"/>
      <c r="O462" s="39"/>
      <c r="P462" s="39"/>
      <c r="Q462" s="48" t="str">
        <f>IF($AA458=0,"",INDEX(Quotes!$E$9:$E$258,$AA458))</f>
        <v/>
      </c>
      <c r="R462" s="39"/>
      <c r="S462" s="39"/>
      <c r="T462" s="39"/>
      <c r="U462" s="39"/>
      <c r="V462" s="39"/>
    </row>
    <row r="463" spans="1:27" ht="21" hidden="1" customHeight="1" x14ac:dyDescent="0.35">
      <c r="A463" s="81" t="str">
        <f>IF($AA458=0,"",IF(INDEX(Quotes!$N$9:$N$258,$AA458)="","No original link","Original quote"))</f>
        <v/>
      </c>
      <c r="B463" s="39"/>
      <c r="C463" s="39"/>
      <c r="D463" s="39"/>
      <c r="E463" s="39"/>
      <c r="F463" s="39"/>
      <c r="G463" s="39"/>
      <c r="I463" s="81" t="str">
        <f>IF($AA458=0,"",IF(INDEX(Quotes!$O$9:$O$258,$AA458)="","No revised link","Revised quote"))</f>
        <v/>
      </c>
      <c r="J463" s="39"/>
      <c r="K463" s="39"/>
      <c r="L463" s="39"/>
      <c r="M463" s="39"/>
      <c r="N463" s="39"/>
      <c r="O463" s="39"/>
      <c r="Q463" s="81" t="str">
        <f>IF($AA458=0,"",HYPERLINK("#'Quotes'!A"&amp;($AA458+8),"Open quote record"))</f>
        <v/>
      </c>
      <c r="R463" s="39"/>
      <c r="S463" s="39"/>
      <c r="T463" s="39"/>
      <c r="U463" s="39"/>
      <c r="V463" s="39"/>
    </row>
    <row r="464" spans="1:27" ht="21" hidden="1" customHeight="1" x14ac:dyDescent="0.35"/>
    <row r="465" spans="1:27" hidden="1" x14ac:dyDescent="0.35"/>
    <row r="466" spans="1:27" hidden="1" x14ac:dyDescent="0.35"/>
    <row r="467" spans="1:27" ht="29" hidden="1" customHeight="1" x14ac:dyDescent="0.35">
      <c r="A467" s="84" t="str">
        <f>IF($AA467=0,"",IF(LEN(INDEX(Quotes!$U$9:$U$258,$AA467)&amp;"")=0,"",INDEX(Quotes!$U$9:$U$258,$AA467)))</f>
        <v/>
      </c>
      <c r="B467" s="39"/>
      <c r="C467" s="39"/>
      <c r="D467" s="39"/>
      <c r="E467" s="39"/>
      <c r="F467" s="39"/>
      <c r="G467" s="39"/>
      <c r="H467" s="39"/>
      <c r="I467" s="39"/>
      <c r="J467" s="39"/>
      <c r="K467" s="85" t="str">
        <f>IF($AA467=0,"",IF(LEN(INDEX(Quotes!$Z$9:$Z$258,$AA467)&amp;"")=0,"",INDEX(Quotes!$Z$9:$Z$258,$AA467)))</f>
        <v/>
      </c>
      <c r="L467" s="39"/>
      <c r="M467" s="39"/>
      <c r="N467" s="39"/>
      <c r="O467" s="39"/>
      <c r="P467" s="39"/>
      <c r="Q467" s="39"/>
      <c r="R467" s="39"/>
      <c r="S467" s="39"/>
      <c r="T467" s="39"/>
      <c r="U467" s="39"/>
      <c r="V467" s="39"/>
      <c r="AA467">
        <f>IFERROR(MATCH(46,Quotes!$AK$9:$AK$258,0),0)</f>
        <v>0</v>
      </c>
    </row>
    <row r="468" spans="1:27" ht="21" hidden="1" customHeight="1" x14ac:dyDescent="0.35">
      <c r="A468" s="40" t="str">
        <f>IF($AA467=0,"",IF(LEN(INDEX(Quotes!$V$9:$V$258,$AA467)&amp;"")=0,"",INDEX(Quotes!$V$9:$V$258,$AA467)))</f>
        <v/>
      </c>
      <c r="B468" s="39"/>
      <c r="C468" s="39"/>
      <c r="D468" s="39"/>
      <c r="E468" s="39"/>
      <c r="F468" s="39"/>
      <c r="G468" s="39"/>
      <c r="H468" s="40" t="str">
        <f>IF($AA467=0,"",IF(LEN(INDEX(Quotes!$W$9:$W$258,$AA467)&amp;"")=0,"",INDEX(Quotes!$W$9:$W$258,$AA467)))</f>
        <v/>
      </c>
      <c r="I468" s="39"/>
      <c r="J468" s="39"/>
      <c r="K468" s="39"/>
      <c r="L468" s="39"/>
      <c r="M468" s="39"/>
      <c r="N468" s="39"/>
      <c r="O468" s="39"/>
      <c r="P468" s="39"/>
      <c r="Q468" s="39"/>
      <c r="R468" s="77" t="str">
        <f>IF($AA467=0,"",IF(LEN(INDEX(Quotes!$X$9:$X$258,$AA467)&amp;"")=0,"",INDEX(Quotes!$X$9:$X$258,$AA467)))</f>
        <v/>
      </c>
      <c r="S468" s="39"/>
      <c r="T468" s="39"/>
      <c r="U468" s="39"/>
      <c r="V468" s="39"/>
    </row>
    <row r="469" spans="1:27" ht="21" hidden="1" customHeight="1" x14ac:dyDescent="0.35">
      <c r="A469" s="83" t="str">
        <f>IF($AA467=0,"","ORIGINAL EUR")</f>
        <v/>
      </c>
      <c r="B469" s="39"/>
      <c r="C469" s="39"/>
      <c r="D469" s="39"/>
      <c r="E469" s="39"/>
      <c r="F469" s="39"/>
      <c r="G469" s="39"/>
      <c r="I469" s="83" t="str">
        <f>IF($AA467=0,"","LATEST EUR")</f>
        <v/>
      </c>
      <c r="J469" s="39"/>
      <c r="K469" s="39"/>
      <c r="L469" s="39"/>
      <c r="M469" s="39"/>
      <c r="N469" s="39"/>
      <c r="O469" s="39"/>
      <c r="Q469" s="83" t="str">
        <f>IF($AA467=0,"","SAVED EUR")</f>
        <v/>
      </c>
      <c r="R469" s="39"/>
      <c r="S469" s="39"/>
      <c r="T469" s="39"/>
      <c r="U469" s="39"/>
      <c r="V469" s="39"/>
    </row>
    <row r="470" spans="1:27" ht="21" hidden="1" customHeight="1" x14ac:dyDescent="0.35">
      <c r="A470" s="82" t="str">
        <f>IF($AA467=0,"",IF(LEN(INDEX(Quotes!$AB$9:$AB$258,$AA467)&amp;"")=0,"",INDEX(Quotes!$AB$9:$AB$258,$AA467)))</f>
        <v/>
      </c>
      <c r="B470" s="39"/>
      <c r="C470" s="39"/>
      <c r="D470" s="39"/>
      <c r="E470" s="39"/>
      <c r="F470" s="39"/>
      <c r="G470" s="39"/>
      <c r="I470" s="82" t="str">
        <f>IF($AA467=0,"",IF(LEN(INDEX(Quotes!$AD$9:$AD$258,$AA467)&amp;"")=0,"",INDEX(Quotes!$AD$9:$AD$258,$AA467)))</f>
        <v/>
      </c>
      <c r="J470" s="39"/>
      <c r="K470" s="39"/>
      <c r="L470" s="39"/>
      <c r="M470" s="39"/>
      <c r="N470" s="39"/>
      <c r="O470" s="39"/>
      <c r="Q470" s="82" t="str">
        <f>IF($AA467=0,"",IF(LEN(INDEX(Quotes!$AF$9:$AF$258,$AA467)&amp;"")=0,"",INDEX(Quotes!$AF$9:$AF$258,$AA467)))</f>
        <v/>
      </c>
      <c r="R470" s="39"/>
      <c r="S470" s="39"/>
      <c r="T470" s="39"/>
      <c r="U470" s="39"/>
      <c r="V470" s="39"/>
    </row>
    <row r="471" spans="1:27" ht="21" hidden="1" customHeight="1" x14ac:dyDescent="0.35">
      <c r="A471" s="48" t="str">
        <f>IF($AA467=0,"","Reference: "&amp;IF(INDEX(Quotes!$M$9:$M$258,$AA467)="",INDEX(Quotes!$S$9:$S$258,$AA467),INDEX(Quotes!$M$9:$M$258,$AA467)))</f>
        <v/>
      </c>
      <c r="B471" s="39"/>
      <c r="C471" s="39"/>
      <c r="D471" s="39"/>
      <c r="E471" s="39"/>
      <c r="F471" s="39"/>
      <c r="G471" s="39"/>
      <c r="H471" s="39"/>
      <c r="I471" s="39"/>
      <c r="J471" s="39"/>
      <c r="K471" s="39"/>
      <c r="L471" s="39"/>
      <c r="M471" s="39"/>
      <c r="N471" s="39"/>
      <c r="O471" s="39"/>
      <c r="P471" s="39"/>
      <c r="Q471" s="48" t="str">
        <f>IF($AA467=0,"",INDEX(Quotes!$E$9:$E$258,$AA467))</f>
        <v/>
      </c>
      <c r="R471" s="39"/>
      <c r="S471" s="39"/>
      <c r="T471" s="39"/>
      <c r="U471" s="39"/>
      <c r="V471" s="39"/>
    </row>
    <row r="472" spans="1:27" ht="21" hidden="1" customHeight="1" x14ac:dyDescent="0.35">
      <c r="A472" s="81" t="str">
        <f>IF($AA467=0,"",IF(INDEX(Quotes!$N$9:$N$258,$AA467)="","No original link","Original quote"))</f>
        <v/>
      </c>
      <c r="B472" s="39"/>
      <c r="C472" s="39"/>
      <c r="D472" s="39"/>
      <c r="E472" s="39"/>
      <c r="F472" s="39"/>
      <c r="G472" s="39"/>
      <c r="I472" s="81" t="str">
        <f>IF($AA467=0,"",IF(INDEX(Quotes!$O$9:$O$258,$AA467)="","No revised link","Revised quote"))</f>
        <v/>
      </c>
      <c r="J472" s="39"/>
      <c r="K472" s="39"/>
      <c r="L472" s="39"/>
      <c r="M472" s="39"/>
      <c r="N472" s="39"/>
      <c r="O472" s="39"/>
      <c r="Q472" s="81" t="str">
        <f>IF($AA467=0,"",HYPERLINK("#'Quotes'!A"&amp;($AA467+8),"Open quote record"))</f>
        <v/>
      </c>
      <c r="R472" s="39"/>
      <c r="S472" s="39"/>
      <c r="T472" s="39"/>
      <c r="U472" s="39"/>
      <c r="V472" s="39"/>
    </row>
    <row r="473" spans="1:27" ht="21" hidden="1" customHeight="1" x14ac:dyDescent="0.35"/>
    <row r="474" spans="1:27" hidden="1" x14ac:dyDescent="0.35"/>
    <row r="475" spans="1:27" hidden="1" x14ac:dyDescent="0.35"/>
    <row r="476" spans="1:27" ht="29" hidden="1" customHeight="1" x14ac:dyDescent="0.35">
      <c r="A476" s="84" t="str">
        <f>IF($AA476=0,"",IF(LEN(INDEX(Quotes!$U$9:$U$258,$AA476)&amp;"")=0,"",INDEX(Quotes!$U$9:$U$258,$AA476)))</f>
        <v/>
      </c>
      <c r="B476" s="39"/>
      <c r="C476" s="39"/>
      <c r="D476" s="39"/>
      <c r="E476" s="39"/>
      <c r="F476" s="39"/>
      <c r="G476" s="39"/>
      <c r="H476" s="39"/>
      <c r="I476" s="39"/>
      <c r="J476" s="39"/>
      <c r="K476" s="85" t="str">
        <f>IF($AA476=0,"",IF(LEN(INDEX(Quotes!$Z$9:$Z$258,$AA476)&amp;"")=0,"",INDEX(Quotes!$Z$9:$Z$258,$AA476)))</f>
        <v/>
      </c>
      <c r="L476" s="39"/>
      <c r="M476" s="39"/>
      <c r="N476" s="39"/>
      <c r="O476" s="39"/>
      <c r="P476" s="39"/>
      <c r="Q476" s="39"/>
      <c r="R476" s="39"/>
      <c r="S476" s="39"/>
      <c r="T476" s="39"/>
      <c r="U476" s="39"/>
      <c r="V476" s="39"/>
      <c r="AA476">
        <f>IFERROR(MATCH(47,Quotes!$AK$9:$AK$258,0),0)</f>
        <v>0</v>
      </c>
    </row>
    <row r="477" spans="1:27" ht="21" hidden="1" customHeight="1" x14ac:dyDescent="0.35">
      <c r="A477" s="40" t="str">
        <f>IF($AA476=0,"",IF(LEN(INDEX(Quotes!$V$9:$V$258,$AA476)&amp;"")=0,"",INDEX(Quotes!$V$9:$V$258,$AA476)))</f>
        <v/>
      </c>
      <c r="B477" s="39"/>
      <c r="C477" s="39"/>
      <c r="D477" s="39"/>
      <c r="E477" s="39"/>
      <c r="F477" s="39"/>
      <c r="G477" s="39"/>
      <c r="H477" s="40" t="str">
        <f>IF($AA476=0,"",IF(LEN(INDEX(Quotes!$W$9:$W$258,$AA476)&amp;"")=0,"",INDEX(Quotes!$W$9:$W$258,$AA476)))</f>
        <v/>
      </c>
      <c r="I477" s="39"/>
      <c r="J477" s="39"/>
      <c r="K477" s="39"/>
      <c r="L477" s="39"/>
      <c r="M477" s="39"/>
      <c r="N477" s="39"/>
      <c r="O477" s="39"/>
      <c r="P477" s="39"/>
      <c r="Q477" s="39"/>
      <c r="R477" s="77" t="str">
        <f>IF($AA476=0,"",IF(LEN(INDEX(Quotes!$X$9:$X$258,$AA476)&amp;"")=0,"",INDEX(Quotes!$X$9:$X$258,$AA476)))</f>
        <v/>
      </c>
      <c r="S477" s="39"/>
      <c r="T477" s="39"/>
      <c r="U477" s="39"/>
      <c r="V477" s="39"/>
    </row>
    <row r="478" spans="1:27" ht="21" hidden="1" customHeight="1" x14ac:dyDescent="0.35">
      <c r="A478" s="83" t="str">
        <f>IF($AA476=0,"","ORIGINAL EUR")</f>
        <v/>
      </c>
      <c r="B478" s="39"/>
      <c r="C478" s="39"/>
      <c r="D478" s="39"/>
      <c r="E478" s="39"/>
      <c r="F478" s="39"/>
      <c r="G478" s="39"/>
      <c r="I478" s="83" t="str">
        <f>IF($AA476=0,"","LATEST EUR")</f>
        <v/>
      </c>
      <c r="J478" s="39"/>
      <c r="K478" s="39"/>
      <c r="L478" s="39"/>
      <c r="M478" s="39"/>
      <c r="N478" s="39"/>
      <c r="O478" s="39"/>
      <c r="Q478" s="83" t="str">
        <f>IF($AA476=0,"","SAVED EUR")</f>
        <v/>
      </c>
      <c r="R478" s="39"/>
      <c r="S478" s="39"/>
      <c r="T478" s="39"/>
      <c r="U478" s="39"/>
      <c r="V478" s="39"/>
    </row>
    <row r="479" spans="1:27" ht="21" hidden="1" customHeight="1" x14ac:dyDescent="0.35">
      <c r="A479" s="82" t="str">
        <f>IF($AA476=0,"",IF(LEN(INDEX(Quotes!$AB$9:$AB$258,$AA476)&amp;"")=0,"",INDEX(Quotes!$AB$9:$AB$258,$AA476)))</f>
        <v/>
      </c>
      <c r="B479" s="39"/>
      <c r="C479" s="39"/>
      <c r="D479" s="39"/>
      <c r="E479" s="39"/>
      <c r="F479" s="39"/>
      <c r="G479" s="39"/>
      <c r="I479" s="82" t="str">
        <f>IF($AA476=0,"",IF(LEN(INDEX(Quotes!$AD$9:$AD$258,$AA476)&amp;"")=0,"",INDEX(Quotes!$AD$9:$AD$258,$AA476)))</f>
        <v/>
      </c>
      <c r="J479" s="39"/>
      <c r="K479" s="39"/>
      <c r="L479" s="39"/>
      <c r="M479" s="39"/>
      <c r="N479" s="39"/>
      <c r="O479" s="39"/>
      <c r="Q479" s="82" t="str">
        <f>IF($AA476=0,"",IF(LEN(INDEX(Quotes!$AF$9:$AF$258,$AA476)&amp;"")=0,"",INDEX(Quotes!$AF$9:$AF$258,$AA476)))</f>
        <v/>
      </c>
      <c r="R479" s="39"/>
      <c r="S479" s="39"/>
      <c r="T479" s="39"/>
      <c r="U479" s="39"/>
      <c r="V479" s="39"/>
    </row>
    <row r="480" spans="1:27" ht="21" hidden="1" customHeight="1" x14ac:dyDescent="0.35">
      <c r="A480" s="48" t="str">
        <f>IF($AA476=0,"","Reference: "&amp;IF(INDEX(Quotes!$M$9:$M$258,$AA476)="",INDEX(Quotes!$S$9:$S$258,$AA476),INDEX(Quotes!$M$9:$M$258,$AA476)))</f>
        <v/>
      </c>
      <c r="B480" s="39"/>
      <c r="C480" s="39"/>
      <c r="D480" s="39"/>
      <c r="E480" s="39"/>
      <c r="F480" s="39"/>
      <c r="G480" s="39"/>
      <c r="H480" s="39"/>
      <c r="I480" s="39"/>
      <c r="J480" s="39"/>
      <c r="K480" s="39"/>
      <c r="L480" s="39"/>
      <c r="M480" s="39"/>
      <c r="N480" s="39"/>
      <c r="O480" s="39"/>
      <c r="P480" s="39"/>
      <c r="Q480" s="48" t="str">
        <f>IF($AA476=0,"",INDEX(Quotes!$E$9:$E$258,$AA476))</f>
        <v/>
      </c>
      <c r="R480" s="39"/>
      <c r="S480" s="39"/>
      <c r="T480" s="39"/>
      <c r="U480" s="39"/>
      <c r="V480" s="39"/>
    </row>
    <row r="481" spans="1:27" ht="21" hidden="1" customHeight="1" x14ac:dyDescent="0.35">
      <c r="A481" s="81" t="str">
        <f>IF($AA476=0,"",IF(INDEX(Quotes!$N$9:$N$258,$AA476)="","No original link","Original quote"))</f>
        <v/>
      </c>
      <c r="B481" s="39"/>
      <c r="C481" s="39"/>
      <c r="D481" s="39"/>
      <c r="E481" s="39"/>
      <c r="F481" s="39"/>
      <c r="G481" s="39"/>
      <c r="I481" s="81" t="str">
        <f>IF($AA476=0,"",IF(INDEX(Quotes!$O$9:$O$258,$AA476)="","No revised link","Revised quote"))</f>
        <v/>
      </c>
      <c r="J481" s="39"/>
      <c r="K481" s="39"/>
      <c r="L481" s="39"/>
      <c r="M481" s="39"/>
      <c r="N481" s="39"/>
      <c r="O481" s="39"/>
      <c r="Q481" s="81" t="str">
        <f>IF($AA476=0,"",HYPERLINK("#'Quotes'!A"&amp;($AA476+8),"Open quote record"))</f>
        <v/>
      </c>
      <c r="R481" s="39"/>
      <c r="S481" s="39"/>
      <c r="T481" s="39"/>
      <c r="U481" s="39"/>
      <c r="V481" s="39"/>
    </row>
    <row r="482" spans="1:27" ht="21" hidden="1" customHeight="1" x14ac:dyDescent="0.35"/>
    <row r="483" spans="1:27" hidden="1" x14ac:dyDescent="0.35"/>
    <row r="484" spans="1:27" hidden="1" x14ac:dyDescent="0.35"/>
    <row r="485" spans="1:27" ht="29" hidden="1" customHeight="1" x14ac:dyDescent="0.35">
      <c r="A485" s="84" t="str">
        <f>IF($AA485=0,"",IF(LEN(INDEX(Quotes!$U$9:$U$258,$AA485)&amp;"")=0,"",INDEX(Quotes!$U$9:$U$258,$AA485)))</f>
        <v/>
      </c>
      <c r="B485" s="39"/>
      <c r="C485" s="39"/>
      <c r="D485" s="39"/>
      <c r="E485" s="39"/>
      <c r="F485" s="39"/>
      <c r="G485" s="39"/>
      <c r="H485" s="39"/>
      <c r="I485" s="39"/>
      <c r="J485" s="39"/>
      <c r="K485" s="85" t="str">
        <f>IF($AA485=0,"",IF(LEN(INDEX(Quotes!$Z$9:$Z$258,$AA485)&amp;"")=0,"",INDEX(Quotes!$Z$9:$Z$258,$AA485)))</f>
        <v/>
      </c>
      <c r="L485" s="39"/>
      <c r="M485" s="39"/>
      <c r="N485" s="39"/>
      <c r="O485" s="39"/>
      <c r="P485" s="39"/>
      <c r="Q485" s="39"/>
      <c r="R485" s="39"/>
      <c r="S485" s="39"/>
      <c r="T485" s="39"/>
      <c r="U485" s="39"/>
      <c r="V485" s="39"/>
      <c r="AA485">
        <f>IFERROR(MATCH(48,Quotes!$AK$9:$AK$258,0),0)</f>
        <v>0</v>
      </c>
    </row>
    <row r="486" spans="1:27" ht="21" hidden="1" customHeight="1" x14ac:dyDescent="0.35">
      <c r="A486" s="40" t="str">
        <f>IF($AA485=0,"",IF(LEN(INDEX(Quotes!$V$9:$V$258,$AA485)&amp;"")=0,"",INDEX(Quotes!$V$9:$V$258,$AA485)))</f>
        <v/>
      </c>
      <c r="B486" s="39"/>
      <c r="C486" s="39"/>
      <c r="D486" s="39"/>
      <c r="E486" s="39"/>
      <c r="F486" s="39"/>
      <c r="G486" s="39"/>
      <c r="H486" s="40" t="str">
        <f>IF($AA485=0,"",IF(LEN(INDEX(Quotes!$W$9:$W$258,$AA485)&amp;"")=0,"",INDEX(Quotes!$W$9:$W$258,$AA485)))</f>
        <v/>
      </c>
      <c r="I486" s="39"/>
      <c r="J486" s="39"/>
      <c r="K486" s="39"/>
      <c r="L486" s="39"/>
      <c r="M486" s="39"/>
      <c r="N486" s="39"/>
      <c r="O486" s="39"/>
      <c r="P486" s="39"/>
      <c r="Q486" s="39"/>
      <c r="R486" s="77" t="str">
        <f>IF($AA485=0,"",IF(LEN(INDEX(Quotes!$X$9:$X$258,$AA485)&amp;"")=0,"",INDEX(Quotes!$X$9:$X$258,$AA485)))</f>
        <v/>
      </c>
      <c r="S486" s="39"/>
      <c r="T486" s="39"/>
      <c r="U486" s="39"/>
      <c r="V486" s="39"/>
    </row>
    <row r="487" spans="1:27" ht="21" hidden="1" customHeight="1" x14ac:dyDescent="0.35">
      <c r="A487" s="83" t="str">
        <f>IF($AA485=0,"","ORIGINAL EUR")</f>
        <v/>
      </c>
      <c r="B487" s="39"/>
      <c r="C487" s="39"/>
      <c r="D487" s="39"/>
      <c r="E487" s="39"/>
      <c r="F487" s="39"/>
      <c r="G487" s="39"/>
      <c r="I487" s="83" t="str">
        <f>IF($AA485=0,"","LATEST EUR")</f>
        <v/>
      </c>
      <c r="J487" s="39"/>
      <c r="K487" s="39"/>
      <c r="L487" s="39"/>
      <c r="M487" s="39"/>
      <c r="N487" s="39"/>
      <c r="O487" s="39"/>
      <c r="Q487" s="83" t="str">
        <f>IF($AA485=0,"","SAVED EUR")</f>
        <v/>
      </c>
      <c r="R487" s="39"/>
      <c r="S487" s="39"/>
      <c r="T487" s="39"/>
      <c r="U487" s="39"/>
      <c r="V487" s="39"/>
    </row>
    <row r="488" spans="1:27" ht="21" hidden="1" customHeight="1" x14ac:dyDescent="0.35">
      <c r="A488" s="82" t="str">
        <f>IF($AA485=0,"",IF(LEN(INDEX(Quotes!$AB$9:$AB$258,$AA485)&amp;"")=0,"",INDEX(Quotes!$AB$9:$AB$258,$AA485)))</f>
        <v/>
      </c>
      <c r="B488" s="39"/>
      <c r="C488" s="39"/>
      <c r="D488" s="39"/>
      <c r="E488" s="39"/>
      <c r="F488" s="39"/>
      <c r="G488" s="39"/>
      <c r="I488" s="82" t="str">
        <f>IF($AA485=0,"",IF(LEN(INDEX(Quotes!$AD$9:$AD$258,$AA485)&amp;"")=0,"",INDEX(Quotes!$AD$9:$AD$258,$AA485)))</f>
        <v/>
      </c>
      <c r="J488" s="39"/>
      <c r="K488" s="39"/>
      <c r="L488" s="39"/>
      <c r="M488" s="39"/>
      <c r="N488" s="39"/>
      <c r="O488" s="39"/>
      <c r="Q488" s="82" t="str">
        <f>IF($AA485=0,"",IF(LEN(INDEX(Quotes!$AF$9:$AF$258,$AA485)&amp;"")=0,"",INDEX(Quotes!$AF$9:$AF$258,$AA485)))</f>
        <v/>
      </c>
      <c r="R488" s="39"/>
      <c r="S488" s="39"/>
      <c r="T488" s="39"/>
      <c r="U488" s="39"/>
      <c r="V488" s="39"/>
    </row>
    <row r="489" spans="1:27" ht="21" hidden="1" customHeight="1" x14ac:dyDescent="0.35">
      <c r="A489" s="48" t="str">
        <f>IF($AA485=0,"","Reference: "&amp;IF(INDEX(Quotes!$M$9:$M$258,$AA485)="",INDEX(Quotes!$S$9:$S$258,$AA485),INDEX(Quotes!$M$9:$M$258,$AA485)))</f>
        <v/>
      </c>
      <c r="B489" s="39"/>
      <c r="C489" s="39"/>
      <c r="D489" s="39"/>
      <c r="E489" s="39"/>
      <c r="F489" s="39"/>
      <c r="G489" s="39"/>
      <c r="H489" s="39"/>
      <c r="I489" s="39"/>
      <c r="J489" s="39"/>
      <c r="K489" s="39"/>
      <c r="L489" s="39"/>
      <c r="M489" s="39"/>
      <c r="N489" s="39"/>
      <c r="O489" s="39"/>
      <c r="P489" s="39"/>
      <c r="Q489" s="48" t="str">
        <f>IF($AA485=0,"",INDEX(Quotes!$E$9:$E$258,$AA485))</f>
        <v/>
      </c>
      <c r="R489" s="39"/>
      <c r="S489" s="39"/>
      <c r="T489" s="39"/>
      <c r="U489" s="39"/>
      <c r="V489" s="39"/>
    </row>
    <row r="490" spans="1:27" ht="21" hidden="1" customHeight="1" x14ac:dyDescent="0.35">
      <c r="A490" s="81" t="str">
        <f>IF($AA485=0,"",IF(INDEX(Quotes!$N$9:$N$258,$AA485)="","No original link","Original quote"))</f>
        <v/>
      </c>
      <c r="B490" s="39"/>
      <c r="C490" s="39"/>
      <c r="D490" s="39"/>
      <c r="E490" s="39"/>
      <c r="F490" s="39"/>
      <c r="G490" s="39"/>
      <c r="I490" s="81" t="str">
        <f>IF($AA485=0,"",IF(INDEX(Quotes!$O$9:$O$258,$AA485)="","No revised link","Revised quote"))</f>
        <v/>
      </c>
      <c r="J490" s="39"/>
      <c r="K490" s="39"/>
      <c r="L490" s="39"/>
      <c r="M490" s="39"/>
      <c r="N490" s="39"/>
      <c r="O490" s="39"/>
      <c r="Q490" s="81" t="str">
        <f>IF($AA485=0,"",HYPERLINK("#'Quotes'!A"&amp;($AA485+8),"Open quote record"))</f>
        <v/>
      </c>
      <c r="R490" s="39"/>
      <c r="S490" s="39"/>
      <c r="T490" s="39"/>
      <c r="U490" s="39"/>
      <c r="V490" s="39"/>
    </row>
    <row r="491" spans="1:27" ht="21" hidden="1" customHeight="1" x14ac:dyDescent="0.35"/>
    <row r="492" spans="1:27" hidden="1" x14ac:dyDescent="0.35"/>
    <row r="493" spans="1:27" hidden="1" x14ac:dyDescent="0.35"/>
    <row r="494" spans="1:27" hidden="1" x14ac:dyDescent="0.35"/>
    <row r="495" spans="1:27" hidden="1" x14ac:dyDescent="0.35">
      <c r="A495" s="67" t="s">
        <v>655</v>
      </c>
      <c r="B495" s="39"/>
      <c r="C495" s="39"/>
      <c r="D495" s="39"/>
      <c r="E495" s="39"/>
      <c r="F495" s="39"/>
      <c r="G495" s="39"/>
      <c r="H495" s="39"/>
      <c r="I495" s="39"/>
      <c r="J495" s="39"/>
      <c r="K495" s="39"/>
      <c r="L495" s="39"/>
      <c r="M495" s="39"/>
      <c r="N495" s="39"/>
      <c r="O495" s="39"/>
      <c r="P495" s="39"/>
      <c r="Q495" s="39"/>
      <c r="R495" s="39"/>
      <c r="S495" s="39"/>
      <c r="T495" s="39"/>
      <c r="U495" s="39"/>
      <c r="V495" s="39"/>
    </row>
    <row r="496" spans="1:27" ht="29" hidden="1" customHeight="1" x14ac:dyDescent="0.35">
      <c r="A496" s="84" t="str">
        <f>IF($AA496=0,"",IF(LEN(INDEX(Quotes!$U$9:$U$258,$AA496)&amp;"")=0,"",INDEX(Quotes!$U$9:$U$258,$AA496)))</f>
        <v/>
      </c>
      <c r="B496" s="39"/>
      <c r="C496" s="39"/>
      <c r="D496" s="39"/>
      <c r="E496" s="39"/>
      <c r="F496" s="39"/>
      <c r="G496" s="39"/>
      <c r="H496" s="39"/>
      <c r="I496" s="39"/>
      <c r="J496" s="39"/>
      <c r="K496" s="85" t="str">
        <f>IF($AA496=0,"",IF(LEN(INDEX(Quotes!$Z$9:$Z$258,$AA496)&amp;"")=0,"",INDEX(Quotes!$Z$9:$Z$258,$AA496)))</f>
        <v/>
      </c>
      <c r="L496" s="39"/>
      <c r="M496" s="39"/>
      <c r="N496" s="39"/>
      <c r="O496" s="39"/>
      <c r="P496" s="39"/>
      <c r="Q496" s="39"/>
      <c r="R496" s="39"/>
      <c r="S496" s="39"/>
      <c r="T496" s="39"/>
      <c r="U496" s="39"/>
      <c r="V496" s="39"/>
      <c r="AA496">
        <f>IFERROR(MATCH(49,Quotes!$AK$9:$AK$258,0),0)</f>
        <v>0</v>
      </c>
    </row>
    <row r="497" spans="1:27" ht="21" hidden="1" customHeight="1" x14ac:dyDescent="0.35">
      <c r="A497" s="40" t="str">
        <f>IF($AA496=0,"",IF(LEN(INDEX(Quotes!$V$9:$V$258,$AA496)&amp;"")=0,"",INDEX(Quotes!$V$9:$V$258,$AA496)))</f>
        <v/>
      </c>
      <c r="B497" s="39"/>
      <c r="C497" s="39"/>
      <c r="D497" s="39"/>
      <c r="E497" s="39"/>
      <c r="F497" s="39"/>
      <c r="G497" s="39"/>
      <c r="H497" s="40" t="str">
        <f>IF($AA496=0,"",IF(LEN(INDEX(Quotes!$W$9:$W$258,$AA496)&amp;"")=0,"",INDEX(Quotes!$W$9:$W$258,$AA496)))</f>
        <v/>
      </c>
      <c r="I497" s="39"/>
      <c r="J497" s="39"/>
      <c r="K497" s="39"/>
      <c r="L497" s="39"/>
      <c r="M497" s="39"/>
      <c r="N497" s="39"/>
      <c r="O497" s="39"/>
      <c r="P497" s="39"/>
      <c r="Q497" s="39"/>
      <c r="R497" s="77" t="str">
        <f>IF($AA496=0,"",IF(LEN(INDEX(Quotes!$X$9:$X$258,$AA496)&amp;"")=0,"",INDEX(Quotes!$X$9:$X$258,$AA496)))</f>
        <v/>
      </c>
      <c r="S497" s="39"/>
      <c r="T497" s="39"/>
      <c r="U497" s="39"/>
      <c r="V497" s="39"/>
    </row>
    <row r="498" spans="1:27" ht="21" hidden="1" customHeight="1" x14ac:dyDescent="0.35">
      <c r="A498" s="83" t="str">
        <f>IF($AA496=0,"","ORIGINAL EUR")</f>
        <v/>
      </c>
      <c r="B498" s="39"/>
      <c r="C498" s="39"/>
      <c r="D498" s="39"/>
      <c r="E498" s="39"/>
      <c r="F498" s="39"/>
      <c r="G498" s="39"/>
      <c r="I498" s="83" t="str">
        <f>IF($AA496=0,"","LATEST EUR")</f>
        <v/>
      </c>
      <c r="J498" s="39"/>
      <c r="K498" s="39"/>
      <c r="L498" s="39"/>
      <c r="M498" s="39"/>
      <c r="N498" s="39"/>
      <c r="O498" s="39"/>
      <c r="Q498" s="83" t="str">
        <f>IF($AA496=0,"","SAVED EUR")</f>
        <v/>
      </c>
      <c r="R498" s="39"/>
      <c r="S498" s="39"/>
      <c r="T498" s="39"/>
      <c r="U498" s="39"/>
      <c r="V498" s="39"/>
    </row>
    <row r="499" spans="1:27" ht="21" hidden="1" customHeight="1" x14ac:dyDescent="0.35">
      <c r="A499" s="82" t="str">
        <f>IF($AA496=0,"",IF(LEN(INDEX(Quotes!$AB$9:$AB$258,$AA496)&amp;"")=0,"",INDEX(Quotes!$AB$9:$AB$258,$AA496)))</f>
        <v/>
      </c>
      <c r="B499" s="39"/>
      <c r="C499" s="39"/>
      <c r="D499" s="39"/>
      <c r="E499" s="39"/>
      <c r="F499" s="39"/>
      <c r="G499" s="39"/>
      <c r="I499" s="82" t="str">
        <f>IF($AA496=0,"",IF(LEN(INDEX(Quotes!$AD$9:$AD$258,$AA496)&amp;"")=0,"",INDEX(Quotes!$AD$9:$AD$258,$AA496)))</f>
        <v/>
      </c>
      <c r="J499" s="39"/>
      <c r="K499" s="39"/>
      <c r="L499" s="39"/>
      <c r="M499" s="39"/>
      <c r="N499" s="39"/>
      <c r="O499" s="39"/>
      <c r="Q499" s="82" t="str">
        <f>IF($AA496=0,"",IF(LEN(INDEX(Quotes!$AF$9:$AF$258,$AA496)&amp;"")=0,"",INDEX(Quotes!$AF$9:$AF$258,$AA496)))</f>
        <v/>
      </c>
      <c r="R499" s="39"/>
      <c r="S499" s="39"/>
      <c r="T499" s="39"/>
      <c r="U499" s="39"/>
      <c r="V499" s="39"/>
    </row>
    <row r="500" spans="1:27" ht="21" hidden="1" customHeight="1" x14ac:dyDescent="0.35">
      <c r="A500" s="48" t="str">
        <f>IF($AA496=0,"","Reference: "&amp;IF(INDEX(Quotes!$M$9:$M$258,$AA496)="",INDEX(Quotes!$S$9:$S$258,$AA496),INDEX(Quotes!$M$9:$M$258,$AA496)))</f>
        <v/>
      </c>
      <c r="B500" s="39"/>
      <c r="C500" s="39"/>
      <c r="D500" s="39"/>
      <c r="E500" s="39"/>
      <c r="F500" s="39"/>
      <c r="G500" s="39"/>
      <c r="H500" s="39"/>
      <c r="I500" s="39"/>
      <c r="J500" s="39"/>
      <c r="K500" s="39"/>
      <c r="L500" s="39"/>
      <c r="M500" s="39"/>
      <c r="N500" s="39"/>
      <c r="O500" s="39"/>
      <c r="P500" s="39"/>
      <c r="Q500" s="48" t="str">
        <f>IF($AA496=0,"",INDEX(Quotes!$E$9:$E$258,$AA496))</f>
        <v/>
      </c>
      <c r="R500" s="39"/>
      <c r="S500" s="39"/>
      <c r="T500" s="39"/>
      <c r="U500" s="39"/>
      <c r="V500" s="39"/>
    </row>
    <row r="501" spans="1:27" ht="21" hidden="1" customHeight="1" x14ac:dyDescent="0.35">
      <c r="A501" s="81" t="str">
        <f>IF($AA496=0,"",IF(INDEX(Quotes!$N$9:$N$258,$AA496)="","No original link","Original quote"))</f>
        <v/>
      </c>
      <c r="B501" s="39"/>
      <c r="C501" s="39"/>
      <c r="D501" s="39"/>
      <c r="E501" s="39"/>
      <c r="F501" s="39"/>
      <c r="G501" s="39"/>
      <c r="I501" s="81" t="str">
        <f>IF($AA496=0,"",IF(INDEX(Quotes!$O$9:$O$258,$AA496)="","No revised link","Revised quote"))</f>
        <v/>
      </c>
      <c r="J501" s="39"/>
      <c r="K501" s="39"/>
      <c r="L501" s="39"/>
      <c r="M501" s="39"/>
      <c r="N501" s="39"/>
      <c r="O501" s="39"/>
      <c r="Q501" s="81" t="str">
        <f>IF($AA496=0,"",HYPERLINK("#'Quotes'!A"&amp;($AA496+8),"Open quote record"))</f>
        <v/>
      </c>
      <c r="R501" s="39"/>
      <c r="S501" s="39"/>
      <c r="T501" s="39"/>
      <c r="U501" s="39"/>
      <c r="V501" s="39"/>
    </row>
    <row r="502" spans="1:27" ht="21" hidden="1" customHeight="1" x14ac:dyDescent="0.35"/>
    <row r="503" spans="1:27" hidden="1" x14ac:dyDescent="0.35"/>
    <row r="504" spans="1:27" hidden="1" x14ac:dyDescent="0.35"/>
    <row r="505" spans="1:27" ht="29" hidden="1" customHeight="1" x14ac:dyDescent="0.35">
      <c r="A505" s="84" t="str">
        <f>IF($AA505=0,"",IF(LEN(INDEX(Quotes!$U$9:$U$258,$AA505)&amp;"")=0,"",INDEX(Quotes!$U$9:$U$258,$AA505)))</f>
        <v/>
      </c>
      <c r="B505" s="39"/>
      <c r="C505" s="39"/>
      <c r="D505" s="39"/>
      <c r="E505" s="39"/>
      <c r="F505" s="39"/>
      <c r="G505" s="39"/>
      <c r="H505" s="39"/>
      <c r="I505" s="39"/>
      <c r="J505" s="39"/>
      <c r="K505" s="85" t="str">
        <f>IF($AA505=0,"",IF(LEN(INDEX(Quotes!$Z$9:$Z$258,$AA505)&amp;"")=0,"",INDEX(Quotes!$Z$9:$Z$258,$AA505)))</f>
        <v/>
      </c>
      <c r="L505" s="39"/>
      <c r="M505" s="39"/>
      <c r="N505" s="39"/>
      <c r="O505" s="39"/>
      <c r="P505" s="39"/>
      <c r="Q505" s="39"/>
      <c r="R505" s="39"/>
      <c r="S505" s="39"/>
      <c r="T505" s="39"/>
      <c r="U505" s="39"/>
      <c r="V505" s="39"/>
      <c r="AA505">
        <f>IFERROR(MATCH(50,Quotes!$AK$9:$AK$258,0),0)</f>
        <v>0</v>
      </c>
    </row>
    <row r="506" spans="1:27" ht="21" hidden="1" customHeight="1" x14ac:dyDescent="0.35">
      <c r="A506" s="40" t="str">
        <f>IF($AA505=0,"",IF(LEN(INDEX(Quotes!$V$9:$V$258,$AA505)&amp;"")=0,"",INDEX(Quotes!$V$9:$V$258,$AA505)))</f>
        <v/>
      </c>
      <c r="B506" s="39"/>
      <c r="C506" s="39"/>
      <c r="D506" s="39"/>
      <c r="E506" s="39"/>
      <c r="F506" s="39"/>
      <c r="G506" s="39"/>
      <c r="H506" s="40" t="str">
        <f>IF($AA505=0,"",IF(LEN(INDEX(Quotes!$W$9:$W$258,$AA505)&amp;"")=0,"",INDEX(Quotes!$W$9:$W$258,$AA505)))</f>
        <v/>
      </c>
      <c r="I506" s="39"/>
      <c r="J506" s="39"/>
      <c r="K506" s="39"/>
      <c r="L506" s="39"/>
      <c r="M506" s="39"/>
      <c r="N506" s="39"/>
      <c r="O506" s="39"/>
      <c r="P506" s="39"/>
      <c r="Q506" s="39"/>
      <c r="R506" s="77" t="str">
        <f>IF($AA505=0,"",IF(LEN(INDEX(Quotes!$X$9:$X$258,$AA505)&amp;"")=0,"",INDEX(Quotes!$X$9:$X$258,$AA505)))</f>
        <v/>
      </c>
      <c r="S506" s="39"/>
      <c r="T506" s="39"/>
      <c r="U506" s="39"/>
      <c r="V506" s="39"/>
    </row>
    <row r="507" spans="1:27" ht="21" hidden="1" customHeight="1" x14ac:dyDescent="0.35">
      <c r="A507" s="83" t="str">
        <f>IF($AA505=0,"","ORIGINAL EUR")</f>
        <v/>
      </c>
      <c r="B507" s="39"/>
      <c r="C507" s="39"/>
      <c r="D507" s="39"/>
      <c r="E507" s="39"/>
      <c r="F507" s="39"/>
      <c r="G507" s="39"/>
      <c r="I507" s="83" t="str">
        <f>IF($AA505=0,"","LATEST EUR")</f>
        <v/>
      </c>
      <c r="J507" s="39"/>
      <c r="K507" s="39"/>
      <c r="L507" s="39"/>
      <c r="M507" s="39"/>
      <c r="N507" s="39"/>
      <c r="O507" s="39"/>
      <c r="Q507" s="83" t="str">
        <f>IF($AA505=0,"","SAVED EUR")</f>
        <v/>
      </c>
      <c r="R507" s="39"/>
      <c r="S507" s="39"/>
      <c r="T507" s="39"/>
      <c r="U507" s="39"/>
      <c r="V507" s="39"/>
    </row>
    <row r="508" spans="1:27" ht="21" hidden="1" customHeight="1" x14ac:dyDescent="0.35">
      <c r="A508" s="82" t="str">
        <f>IF($AA505=0,"",IF(LEN(INDEX(Quotes!$AB$9:$AB$258,$AA505)&amp;"")=0,"",INDEX(Quotes!$AB$9:$AB$258,$AA505)))</f>
        <v/>
      </c>
      <c r="B508" s="39"/>
      <c r="C508" s="39"/>
      <c r="D508" s="39"/>
      <c r="E508" s="39"/>
      <c r="F508" s="39"/>
      <c r="G508" s="39"/>
      <c r="I508" s="82" t="str">
        <f>IF($AA505=0,"",IF(LEN(INDEX(Quotes!$AD$9:$AD$258,$AA505)&amp;"")=0,"",INDEX(Quotes!$AD$9:$AD$258,$AA505)))</f>
        <v/>
      </c>
      <c r="J508" s="39"/>
      <c r="K508" s="39"/>
      <c r="L508" s="39"/>
      <c r="M508" s="39"/>
      <c r="N508" s="39"/>
      <c r="O508" s="39"/>
      <c r="Q508" s="82" t="str">
        <f>IF($AA505=0,"",IF(LEN(INDEX(Quotes!$AF$9:$AF$258,$AA505)&amp;"")=0,"",INDEX(Quotes!$AF$9:$AF$258,$AA505)))</f>
        <v/>
      </c>
      <c r="R508" s="39"/>
      <c r="S508" s="39"/>
      <c r="T508" s="39"/>
      <c r="U508" s="39"/>
      <c r="V508" s="39"/>
    </row>
    <row r="509" spans="1:27" ht="21" hidden="1" customHeight="1" x14ac:dyDescent="0.35">
      <c r="A509" s="48" t="str">
        <f>IF($AA505=0,"","Reference: "&amp;IF(INDEX(Quotes!$M$9:$M$258,$AA505)="",INDEX(Quotes!$S$9:$S$258,$AA505),INDEX(Quotes!$M$9:$M$258,$AA505)))</f>
        <v/>
      </c>
      <c r="B509" s="39"/>
      <c r="C509" s="39"/>
      <c r="D509" s="39"/>
      <c r="E509" s="39"/>
      <c r="F509" s="39"/>
      <c r="G509" s="39"/>
      <c r="H509" s="39"/>
      <c r="I509" s="39"/>
      <c r="J509" s="39"/>
      <c r="K509" s="39"/>
      <c r="L509" s="39"/>
      <c r="M509" s="39"/>
      <c r="N509" s="39"/>
      <c r="O509" s="39"/>
      <c r="P509" s="39"/>
      <c r="Q509" s="48" t="str">
        <f>IF($AA505=0,"",INDEX(Quotes!$E$9:$E$258,$AA505))</f>
        <v/>
      </c>
      <c r="R509" s="39"/>
      <c r="S509" s="39"/>
      <c r="T509" s="39"/>
      <c r="U509" s="39"/>
      <c r="V509" s="39"/>
    </row>
    <row r="510" spans="1:27" ht="21" hidden="1" customHeight="1" x14ac:dyDescent="0.35">
      <c r="A510" s="81" t="str">
        <f>IF($AA505=0,"",IF(INDEX(Quotes!$N$9:$N$258,$AA505)="","No original link","Original quote"))</f>
        <v/>
      </c>
      <c r="B510" s="39"/>
      <c r="C510" s="39"/>
      <c r="D510" s="39"/>
      <c r="E510" s="39"/>
      <c r="F510" s="39"/>
      <c r="G510" s="39"/>
      <c r="I510" s="81" t="str">
        <f>IF($AA505=0,"",IF(INDEX(Quotes!$O$9:$O$258,$AA505)="","No revised link","Revised quote"))</f>
        <v/>
      </c>
      <c r="J510" s="39"/>
      <c r="K510" s="39"/>
      <c r="L510" s="39"/>
      <c r="M510" s="39"/>
      <c r="N510" s="39"/>
      <c r="O510" s="39"/>
      <c r="Q510" s="81" t="str">
        <f>IF($AA505=0,"",HYPERLINK("#'Quotes'!A"&amp;($AA505+8),"Open quote record"))</f>
        <v/>
      </c>
      <c r="R510" s="39"/>
      <c r="S510" s="39"/>
      <c r="T510" s="39"/>
      <c r="U510" s="39"/>
      <c r="V510" s="39"/>
    </row>
    <row r="511" spans="1:27" ht="21" hidden="1" customHeight="1" x14ac:dyDescent="0.35"/>
    <row r="512" spans="1:27" hidden="1" x14ac:dyDescent="0.35"/>
    <row r="513" spans="1:27" hidden="1" x14ac:dyDescent="0.35"/>
    <row r="514" spans="1:27" ht="29" hidden="1" customHeight="1" x14ac:dyDescent="0.35">
      <c r="A514" s="84" t="str">
        <f>IF($AA514=0,"",IF(LEN(INDEX(Quotes!$U$9:$U$258,$AA514)&amp;"")=0,"",INDEX(Quotes!$U$9:$U$258,$AA514)))</f>
        <v/>
      </c>
      <c r="B514" s="39"/>
      <c r="C514" s="39"/>
      <c r="D514" s="39"/>
      <c r="E514" s="39"/>
      <c r="F514" s="39"/>
      <c r="G514" s="39"/>
      <c r="H514" s="39"/>
      <c r="I514" s="39"/>
      <c r="J514" s="39"/>
      <c r="K514" s="85" t="str">
        <f>IF($AA514=0,"",IF(LEN(INDEX(Quotes!$Z$9:$Z$258,$AA514)&amp;"")=0,"",INDEX(Quotes!$Z$9:$Z$258,$AA514)))</f>
        <v/>
      </c>
      <c r="L514" s="39"/>
      <c r="M514" s="39"/>
      <c r="N514" s="39"/>
      <c r="O514" s="39"/>
      <c r="P514" s="39"/>
      <c r="Q514" s="39"/>
      <c r="R514" s="39"/>
      <c r="S514" s="39"/>
      <c r="T514" s="39"/>
      <c r="U514" s="39"/>
      <c r="V514" s="39"/>
      <c r="AA514">
        <f>IFERROR(MATCH(51,Quotes!$AK$9:$AK$258,0),0)</f>
        <v>0</v>
      </c>
    </row>
    <row r="515" spans="1:27" ht="21" hidden="1" customHeight="1" x14ac:dyDescent="0.35">
      <c r="A515" s="40" t="str">
        <f>IF($AA514=0,"",IF(LEN(INDEX(Quotes!$V$9:$V$258,$AA514)&amp;"")=0,"",INDEX(Quotes!$V$9:$V$258,$AA514)))</f>
        <v/>
      </c>
      <c r="B515" s="39"/>
      <c r="C515" s="39"/>
      <c r="D515" s="39"/>
      <c r="E515" s="39"/>
      <c r="F515" s="39"/>
      <c r="G515" s="39"/>
      <c r="H515" s="40" t="str">
        <f>IF($AA514=0,"",IF(LEN(INDEX(Quotes!$W$9:$W$258,$AA514)&amp;"")=0,"",INDEX(Quotes!$W$9:$W$258,$AA514)))</f>
        <v/>
      </c>
      <c r="I515" s="39"/>
      <c r="J515" s="39"/>
      <c r="K515" s="39"/>
      <c r="L515" s="39"/>
      <c r="M515" s="39"/>
      <c r="N515" s="39"/>
      <c r="O515" s="39"/>
      <c r="P515" s="39"/>
      <c r="Q515" s="39"/>
      <c r="R515" s="77" t="str">
        <f>IF($AA514=0,"",IF(LEN(INDEX(Quotes!$X$9:$X$258,$AA514)&amp;"")=0,"",INDEX(Quotes!$X$9:$X$258,$AA514)))</f>
        <v/>
      </c>
      <c r="S515" s="39"/>
      <c r="T515" s="39"/>
      <c r="U515" s="39"/>
      <c r="V515" s="39"/>
    </row>
    <row r="516" spans="1:27" ht="21" hidden="1" customHeight="1" x14ac:dyDescent="0.35">
      <c r="A516" s="83" t="str">
        <f>IF($AA514=0,"","ORIGINAL EUR")</f>
        <v/>
      </c>
      <c r="B516" s="39"/>
      <c r="C516" s="39"/>
      <c r="D516" s="39"/>
      <c r="E516" s="39"/>
      <c r="F516" s="39"/>
      <c r="G516" s="39"/>
      <c r="I516" s="83" t="str">
        <f>IF($AA514=0,"","LATEST EUR")</f>
        <v/>
      </c>
      <c r="J516" s="39"/>
      <c r="K516" s="39"/>
      <c r="L516" s="39"/>
      <c r="M516" s="39"/>
      <c r="N516" s="39"/>
      <c r="O516" s="39"/>
      <c r="Q516" s="83" t="str">
        <f>IF($AA514=0,"","SAVED EUR")</f>
        <v/>
      </c>
      <c r="R516" s="39"/>
      <c r="S516" s="39"/>
      <c r="T516" s="39"/>
      <c r="U516" s="39"/>
      <c r="V516" s="39"/>
    </row>
    <row r="517" spans="1:27" ht="21" hidden="1" customHeight="1" x14ac:dyDescent="0.35">
      <c r="A517" s="82" t="str">
        <f>IF($AA514=0,"",IF(LEN(INDEX(Quotes!$AB$9:$AB$258,$AA514)&amp;"")=0,"",INDEX(Quotes!$AB$9:$AB$258,$AA514)))</f>
        <v/>
      </c>
      <c r="B517" s="39"/>
      <c r="C517" s="39"/>
      <c r="D517" s="39"/>
      <c r="E517" s="39"/>
      <c r="F517" s="39"/>
      <c r="G517" s="39"/>
      <c r="I517" s="82" t="str">
        <f>IF($AA514=0,"",IF(LEN(INDEX(Quotes!$AD$9:$AD$258,$AA514)&amp;"")=0,"",INDEX(Quotes!$AD$9:$AD$258,$AA514)))</f>
        <v/>
      </c>
      <c r="J517" s="39"/>
      <c r="K517" s="39"/>
      <c r="L517" s="39"/>
      <c r="M517" s="39"/>
      <c r="N517" s="39"/>
      <c r="O517" s="39"/>
      <c r="Q517" s="82" t="str">
        <f>IF($AA514=0,"",IF(LEN(INDEX(Quotes!$AF$9:$AF$258,$AA514)&amp;"")=0,"",INDEX(Quotes!$AF$9:$AF$258,$AA514)))</f>
        <v/>
      </c>
      <c r="R517" s="39"/>
      <c r="S517" s="39"/>
      <c r="T517" s="39"/>
      <c r="U517" s="39"/>
      <c r="V517" s="39"/>
    </row>
    <row r="518" spans="1:27" ht="21" hidden="1" customHeight="1" x14ac:dyDescent="0.35">
      <c r="A518" s="48" t="str">
        <f>IF($AA514=0,"","Reference: "&amp;IF(INDEX(Quotes!$M$9:$M$258,$AA514)="",INDEX(Quotes!$S$9:$S$258,$AA514),INDEX(Quotes!$M$9:$M$258,$AA514)))</f>
        <v/>
      </c>
      <c r="B518" s="39"/>
      <c r="C518" s="39"/>
      <c r="D518" s="39"/>
      <c r="E518" s="39"/>
      <c r="F518" s="39"/>
      <c r="G518" s="39"/>
      <c r="H518" s="39"/>
      <c r="I518" s="39"/>
      <c r="J518" s="39"/>
      <c r="K518" s="39"/>
      <c r="L518" s="39"/>
      <c r="M518" s="39"/>
      <c r="N518" s="39"/>
      <c r="O518" s="39"/>
      <c r="P518" s="39"/>
      <c r="Q518" s="48" t="str">
        <f>IF($AA514=0,"",INDEX(Quotes!$E$9:$E$258,$AA514))</f>
        <v/>
      </c>
      <c r="R518" s="39"/>
      <c r="S518" s="39"/>
      <c r="T518" s="39"/>
      <c r="U518" s="39"/>
      <c r="V518" s="39"/>
    </row>
    <row r="519" spans="1:27" ht="21" hidden="1" customHeight="1" x14ac:dyDescent="0.35">
      <c r="A519" s="81" t="str">
        <f>IF($AA514=0,"",IF(INDEX(Quotes!$N$9:$N$258,$AA514)="","No original link","Original quote"))</f>
        <v/>
      </c>
      <c r="B519" s="39"/>
      <c r="C519" s="39"/>
      <c r="D519" s="39"/>
      <c r="E519" s="39"/>
      <c r="F519" s="39"/>
      <c r="G519" s="39"/>
      <c r="I519" s="81" t="str">
        <f>IF($AA514=0,"",IF(INDEX(Quotes!$O$9:$O$258,$AA514)="","No revised link","Revised quote"))</f>
        <v/>
      </c>
      <c r="J519" s="39"/>
      <c r="K519" s="39"/>
      <c r="L519" s="39"/>
      <c r="M519" s="39"/>
      <c r="N519" s="39"/>
      <c r="O519" s="39"/>
      <c r="Q519" s="81" t="str">
        <f>IF($AA514=0,"",HYPERLINK("#'Quotes'!A"&amp;($AA514+8),"Open quote record"))</f>
        <v/>
      </c>
      <c r="R519" s="39"/>
      <c r="S519" s="39"/>
      <c r="T519" s="39"/>
      <c r="U519" s="39"/>
      <c r="V519" s="39"/>
    </row>
    <row r="520" spans="1:27" ht="21" hidden="1" customHeight="1" x14ac:dyDescent="0.35"/>
    <row r="521" spans="1:27" hidden="1" x14ac:dyDescent="0.35"/>
    <row r="522" spans="1:27" hidden="1" x14ac:dyDescent="0.35"/>
    <row r="523" spans="1:27" ht="29" hidden="1" customHeight="1" x14ac:dyDescent="0.35">
      <c r="A523" s="84" t="str">
        <f>IF($AA523=0,"",IF(LEN(INDEX(Quotes!$U$9:$U$258,$AA523)&amp;"")=0,"",INDEX(Quotes!$U$9:$U$258,$AA523)))</f>
        <v/>
      </c>
      <c r="B523" s="39"/>
      <c r="C523" s="39"/>
      <c r="D523" s="39"/>
      <c r="E523" s="39"/>
      <c r="F523" s="39"/>
      <c r="G523" s="39"/>
      <c r="H523" s="39"/>
      <c r="I523" s="39"/>
      <c r="J523" s="39"/>
      <c r="K523" s="85" t="str">
        <f>IF($AA523=0,"",IF(LEN(INDEX(Quotes!$Z$9:$Z$258,$AA523)&amp;"")=0,"",INDEX(Quotes!$Z$9:$Z$258,$AA523)))</f>
        <v/>
      </c>
      <c r="L523" s="39"/>
      <c r="M523" s="39"/>
      <c r="N523" s="39"/>
      <c r="O523" s="39"/>
      <c r="P523" s="39"/>
      <c r="Q523" s="39"/>
      <c r="R523" s="39"/>
      <c r="S523" s="39"/>
      <c r="T523" s="39"/>
      <c r="U523" s="39"/>
      <c r="V523" s="39"/>
      <c r="AA523">
        <f>IFERROR(MATCH(52,Quotes!$AK$9:$AK$258,0),0)</f>
        <v>0</v>
      </c>
    </row>
    <row r="524" spans="1:27" ht="21" hidden="1" customHeight="1" x14ac:dyDescent="0.35">
      <c r="A524" s="40" t="str">
        <f>IF($AA523=0,"",IF(LEN(INDEX(Quotes!$V$9:$V$258,$AA523)&amp;"")=0,"",INDEX(Quotes!$V$9:$V$258,$AA523)))</f>
        <v/>
      </c>
      <c r="B524" s="39"/>
      <c r="C524" s="39"/>
      <c r="D524" s="39"/>
      <c r="E524" s="39"/>
      <c r="F524" s="39"/>
      <c r="G524" s="39"/>
      <c r="H524" s="40" t="str">
        <f>IF($AA523=0,"",IF(LEN(INDEX(Quotes!$W$9:$W$258,$AA523)&amp;"")=0,"",INDEX(Quotes!$W$9:$W$258,$AA523)))</f>
        <v/>
      </c>
      <c r="I524" s="39"/>
      <c r="J524" s="39"/>
      <c r="K524" s="39"/>
      <c r="L524" s="39"/>
      <c r="M524" s="39"/>
      <c r="N524" s="39"/>
      <c r="O524" s="39"/>
      <c r="P524" s="39"/>
      <c r="Q524" s="39"/>
      <c r="R524" s="77" t="str">
        <f>IF($AA523=0,"",IF(LEN(INDEX(Quotes!$X$9:$X$258,$AA523)&amp;"")=0,"",INDEX(Quotes!$X$9:$X$258,$AA523)))</f>
        <v/>
      </c>
      <c r="S524" s="39"/>
      <c r="T524" s="39"/>
      <c r="U524" s="39"/>
      <c r="V524" s="39"/>
    </row>
    <row r="525" spans="1:27" ht="21" hidden="1" customHeight="1" x14ac:dyDescent="0.35">
      <c r="A525" s="83" t="str">
        <f>IF($AA523=0,"","ORIGINAL EUR")</f>
        <v/>
      </c>
      <c r="B525" s="39"/>
      <c r="C525" s="39"/>
      <c r="D525" s="39"/>
      <c r="E525" s="39"/>
      <c r="F525" s="39"/>
      <c r="G525" s="39"/>
      <c r="I525" s="83" t="str">
        <f>IF($AA523=0,"","LATEST EUR")</f>
        <v/>
      </c>
      <c r="J525" s="39"/>
      <c r="K525" s="39"/>
      <c r="L525" s="39"/>
      <c r="M525" s="39"/>
      <c r="N525" s="39"/>
      <c r="O525" s="39"/>
      <c r="Q525" s="83" t="str">
        <f>IF($AA523=0,"","SAVED EUR")</f>
        <v/>
      </c>
      <c r="R525" s="39"/>
      <c r="S525" s="39"/>
      <c r="T525" s="39"/>
      <c r="U525" s="39"/>
      <c r="V525" s="39"/>
    </row>
    <row r="526" spans="1:27" ht="21" hidden="1" customHeight="1" x14ac:dyDescent="0.35">
      <c r="A526" s="82" t="str">
        <f>IF($AA523=0,"",IF(LEN(INDEX(Quotes!$AB$9:$AB$258,$AA523)&amp;"")=0,"",INDEX(Quotes!$AB$9:$AB$258,$AA523)))</f>
        <v/>
      </c>
      <c r="B526" s="39"/>
      <c r="C526" s="39"/>
      <c r="D526" s="39"/>
      <c r="E526" s="39"/>
      <c r="F526" s="39"/>
      <c r="G526" s="39"/>
      <c r="I526" s="82" t="str">
        <f>IF($AA523=0,"",IF(LEN(INDEX(Quotes!$AD$9:$AD$258,$AA523)&amp;"")=0,"",INDEX(Quotes!$AD$9:$AD$258,$AA523)))</f>
        <v/>
      </c>
      <c r="J526" s="39"/>
      <c r="K526" s="39"/>
      <c r="L526" s="39"/>
      <c r="M526" s="39"/>
      <c r="N526" s="39"/>
      <c r="O526" s="39"/>
      <c r="Q526" s="82" t="str">
        <f>IF($AA523=0,"",IF(LEN(INDEX(Quotes!$AF$9:$AF$258,$AA523)&amp;"")=0,"",INDEX(Quotes!$AF$9:$AF$258,$AA523)))</f>
        <v/>
      </c>
      <c r="R526" s="39"/>
      <c r="S526" s="39"/>
      <c r="T526" s="39"/>
      <c r="U526" s="39"/>
      <c r="V526" s="39"/>
    </row>
    <row r="527" spans="1:27" ht="21" hidden="1" customHeight="1" x14ac:dyDescent="0.35">
      <c r="A527" s="48" t="str">
        <f>IF($AA523=0,"","Reference: "&amp;IF(INDEX(Quotes!$M$9:$M$258,$AA523)="",INDEX(Quotes!$S$9:$S$258,$AA523),INDEX(Quotes!$M$9:$M$258,$AA523)))</f>
        <v/>
      </c>
      <c r="B527" s="39"/>
      <c r="C527" s="39"/>
      <c r="D527" s="39"/>
      <c r="E527" s="39"/>
      <c r="F527" s="39"/>
      <c r="G527" s="39"/>
      <c r="H527" s="39"/>
      <c r="I527" s="39"/>
      <c r="J527" s="39"/>
      <c r="K527" s="39"/>
      <c r="L527" s="39"/>
      <c r="M527" s="39"/>
      <c r="N527" s="39"/>
      <c r="O527" s="39"/>
      <c r="P527" s="39"/>
      <c r="Q527" s="48" t="str">
        <f>IF($AA523=0,"",INDEX(Quotes!$E$9:$E$258,$AA523))</f>
        <v/>
      </c>
      <c r="R527" s="39"/>
      <c r="S527" s="39"/>
      <c r="T527" s="39"/>
      <c r="U527" s="39"/>
      <c r="V527" s="39"/>
    </row>
    <row r="528" spans="1:27" ht="21" hidden="1" customHeight="1" x14ac:dyDescent="0.35">
      <c r="A528" s="81" t="str">
        <f>IF($AA523=0,"",IF(INDEX(Quotes!$N$9:$N$258,$AA523)="","No original link","Original quote"))</f>
        <v/>
      </c>
      <c r="B528" s="39"/>
      <c r="C528" s="39"/>
      <c r="D528" s="39"/>
      <c r="E528" s="39"/>
      <c r="F528" s="39"/>
      <c r="G528" s="39"/>
      <c r="I528" s="81" t="str">
        <f>IF($AA523=0,"",IF(INDEX(Quotes!$O$9:$O$258,$AA523)="","No revised link","Revised quote"))</f>
        <v/>
      </c>
      <c r="J528" s="39"/>
      <c r="K528" s="39"/>
      <c r="L528" s="39"/>
      <c r="M528" s="39"/>
      <c r="N528" s="39"/>
      <c r="O528" s="39"/>
      <c r="Q528" s="81" t="str">
        <f>IF($AA523=0,"",HYPERLINK("#'Quotes'!A"&amp;($AA523+8),"Open quote record"))</f>
        <v/>
      </c>
      <c r="R528" s="39"/>
      <c r="S528" s="39"/>
      <c r="T528" s="39"/>
      <c r="U528" s="39"/>
      <c r="V528" s="39"/>
    </row>
    <row r="529" spans="1:27" ht="21" hidden="1" customHeight="1" x14ac:dyDescent="0.35"/>
    <row r="530" spans="1:27" hidden="1" x14ac:dyDescent="0.35"/>
    <row r="531" spans="1:27" hidden="1" x14ac:dyDescent="0.35"/>
    <row r="532" spans="1:27" hidden="1" x14ac:dyDescent="0.35"/>
    <row r="533" spans="1:27" hidden="1" x14ac:dyDescent="0.35">
      <c r="A533" s="67" t="s">
        <v>655</v>
      </c>
      <c r="B533" s="39"/>
      <c r="C533" s="39"/>
      <c r="D533" s="39"/>
      <c r="E533" s="39"/>
      <c r="F533" s="39"/>
      <c r="G533" s="39"/>
      <c r="H533" s="39"/>
      <c r="I533" s="39"/>
      <c r="J533" s="39"/>
      <c r="K533" s="39"/>
      <c r="L533" s="39"/>
      <c r="M533" s="39"/>
      <c r="N533" s="39"/>
      <c r="O533" s="39"/>
      <c r="P533" s="39"/>
      <c r="Q533" s="39"/>
      <c r="R533" s="39"/>
      <c r="S533" s="39"/>
      <c r="T533" s="39"/>
      <c r="U533" s="39"/>
      <c r="V533" s="39"/>
    </row>
    <row r="534" spans="1:27" ht="29" hidden="1" customHeight="1" x14ac:dyDescent="0.35">
      <c r="A534" s="84" t="str">
        <f>IF($AA534=0,"",IF(LEN(INDEX(Quotes!$U$9:$U$258,$AA534)&amp;"")=0,"",INDEX(Quotes!$U$9:$U$258,$AA534)))</f>
        <v/>
      </c>
      <c r="B534" s="39"/>
      <c r="C534" s="39"/>
      <c r="D534" s="39"/>
      <c r="E534" s="39"/>
      <c r="F534" s="39"/>
      <c r="G534" s="39"/>
      <c r="H534" s="39"/>
      <c r="I534" s="39"/>
      <c r="J534" s="39"/>
      <c r="K534" s="85" t="str">
        <f>IF($AA534=0,"",IF(LEN(INDEX(Quotes!$Z$9:$Z$258,$AA534)&amp;"")=0,"",INDEX(Quotes!$Z$9:$Z$258,$AA534)))</f>
        <v/>
      </c>
      <c r="L534" s="39"/>
      <c r="M534" s="39"/>
      <c r="N534" s="39"/>
      <c r="O534" s="39"/>
      <c r="P534" s="39"/>
      <c r="Q534" s="39"/>
      <c r="R534" s="39"/>
      <c r="S534" s="39"/>
      <c r="T534" s="39"/>
      <c r="U534" s="39"/>
      <c r="V534" s="39"/>
      <c r="AA534">
        <f>IFERROR(MATCH(53,Quotes!$AK$9:$AK$258,0),0)</f>
        <v>0</v>
      </c>
    </row>
    <row r="535" spans="1:27" ht="21" hidden="1" customHeight="1" x14ac:dyDescent="0.35">
      <c r="A535" s="40" t="str">
        <f>IF($AA534=0,"",IF(LEN(INDEX(Quotes!$V$9:$V$258,$AA534)&amp;"")=0,"",INDEX(Quotes!$V$9:$V$258,$AA534)))</f>
        <v/>
      </c>
      <c r="B535" s="39"/>
      <c r="C535" s="39"/>
      <c r="D535" s="39"/>
      <c r="E535" s="39"/>
      <c r="F535" s="39"/>
      <c r="G535" s="39"/>
      <c r="H535" s="40" t="str">
        <f>IF($AA534=0,"",IF(LEN(INDEX(Quotes!$W$9:$W$258,$AA534)&amp;"")=0,"",INDEX(Quotes!$W$9:$W$258,$AA534)))</f>
        <v/>
      </c>
      <c r="I535" s="39"/>
      <c r="J535" s="39"/>
      <c r="K535" s="39"/>
      <c r="L535" s="39"/>
      <c r="M535" s="39"/>
      <c r="N535" s="39"/>
      <c r="O535" s="39"/>
      <c r="P535" s="39"/>
      <c r="Q535" s="39"/>
      <c r="R535" s="77" t="str">
        <f>IF($AA534=0,"",IF(LEN(INDEX(Quotes!$X$9:$X$258,$AA534)&amp;"")=0,"",INDEX(Quotes!$X$9:$X$258,$AA534)))</f>
        <v/>
      </c>
      <c r="S535" s="39"/>
      <c r="T535" s="39"/>
      <c r="U535" s="39"/>
      <c r="V535" s="39"/>
    </row>
    <row r="536" spans="1:27" ht="21" hidden="1" customHeight="1" x14ac:dyDescent="0.35">
      <c r="A536" s="83" t="str">
        <f>IF($AA534=0,"","ORIGINAL EUR")</f>
        <v/>
      </c>
      <c r="B536" s="39"/>
      <c r="C536" s="39"/>
      <c r="D536" s="39"/>
      <c r="E536" s="39"/>
      <c r="F536" s="39"/>
      <c r="G536" s="39"/>
      <c r="I536" s="83" t="str">
        <f>IF($AA534=0,"","LATEST EUR")</f>
        <v/>
      </c>
      <c r="J536" s="39"/>
      <c r="K536" s="39"/>
      <c r="L536" s="39"/>
      <c r="M536" s="39"/>
      <c r="N536" s="39"/>
      <c r="O536" s="39"/>
      <c r="Q536" s="83" t="str">
        <f>IF($AA534=0,"","SAVED EUR")</f>
        <v/>
      </c>
      <c r="R536" s="39"/>
      <c r="S536" s="39"/>
      <c r="T536" s="39"/>
      <c r="U536" s="39"/>
      <c r="V536" s="39"/>
    </row>
    <row r="537" spans="1:27" ht="21" hidden="1" customHeight="1" x14ac:dyDescent="0.35">
      <c r="A537" s="82" t="str">
        <f>IF($AA534=0,"",IF(LEN(INDEX(Quotes!$AB$9:$AB$258,$AA534)&amp;"")=0,"",INDEX(Quotes!$AB$9:$AB$258,$AA534)))</f>
        <v/>
      </c>
      <c r="B537" s="39"/>
      <c r="C537" s="39"/>
      <c r="D537" s="39"/>
      <c r="E537" s="39"/>
      <c r="F537" s="39"/>
      <c r="G537" s="39"/>
      <c r="I537" s="82" t="str">
        <f>IF($AA534=0,"",IF(LEN(INDEX(Quotes!$AD$9:$AD$258,$AA534)&amp;"")=0,"",INDEX(Quotes!$AD$9:$AD$258,$AA534)))</f>
        <v/>
      </c>
      <c r="J537" s="39"/>
      <c r="K537" s="39"/>
      <c r="L537" s="39"/>
      <c r="M537" s="39"/>
      <c r="N537" s="39"/>
      <c r="O537" s="39"/>
      <c r="Q537" s="82" t="str">
        <f>IF($AA534=0,"",IF(LEN(INDEX(Quotes!$AF$9:$AF$258,$AA534)&amp;"")=0,"",INDEX(Quotes!$AF$9:$AF$258,$AA534)))</f>
        <v/>
      </c>
      <c r="R537" s="39"/>
      <c r="S537" s="39"/>
      <c r="T537" s="39"/>
      <c r="U537" s="39"/>
      <c r="V537" s="39"/>
    </row>
    <row r="538" spans="1:27" ht="21" hidden="1" customHeight="1" x14ac:dyDescent="0.35">
      <c r="A538" s="48" t="str">
        <f>IF($AA534=0,"","Reference: "&amp;IF(INDEX(Quotes!$M$9:$M$258,$AA534)="",INDEX(Quotes!$S$9:$S$258,$AA534),INDEX(Quotes!$M$9:$M$258,$AA534)))</f>
        <v/>
      </c>
      <c r="B538" s="39"/>
      <c r="C538" s="39"/>
      <c r="D538" s="39"/>
      <c r="E538" s="39"/>
      <c r="F538" s="39"/>
      <c r="G538" s="39"/>
      <c r="H538" s="39"/>
      <c r="I538" s="39"/>
      <c r="J538" s="39"/>
      <c r="K538" s="39"/>
      <c r="L538" s="39"/>
      <c r="M538" s="39"/>
      <c r="N538" s="39"/>
      <c r="O538" s="39"/>
      <c r="P538" s="39"/>
      <c r="Q538" s="48" t="str">
        <f>IF($AA534=0,"",INDEX(Quotes!$E$9:$E$258,$AA534))</f>
        <v/>
      </c>
      <c r="R538" s="39"/>
      <c r="S538" s="39"/>
      <c r="T538" s="39"/>
      <c r="U538" s="39"/>
      <c r="V538" s="39"/>
    </row>
    <row r="539" spans="1:27" ht="21" hidden="1" customHeight="1" x14ac:dyDescent="0.35">
      <c r="A539" s="81" t="str">
        <f>IF($AA534=0,"",IF(INDEX(Quotes!$N$9:$N$258,$AA534)="","No original link","Original quote"))</f>
        <v/>
      </c>
      <c r="B539" s="39"/>
      <c r="C539" s="39"/>
      <c r="D539" s="39"/>
      <c r="E539" s="39"/>
      <c r="F539" s="39"/>
      <c r="G539" s="39"/>
      <c r="I539" s="81" t="str">
        <f>IF($AA534=0,"",IF(INDEX(Quotes!$O$9:$O$258,$AA534)="","No revised link","Revised quote"))</f>
        <v/>
      </c>
      <c r="J539" s="39"/>
      <c r="K539" s="39"/>
      <c r="L539" s="39"/>
      <c r="M539" s="39"/>
      <c r="N539" s="39"/>
      <c r="O539" s="39"/>
      <c r="Q539" s="81" t="str">
        <f>IF($AA534=0,"",HYPERLINK("#'Quotes'!A"&amp;($AA534+8),"Open quote record"))</f>
        <v/>
      </c>
      <c r="R539" s="39"/>
      <c r="S539" s="39"/>
      <c r="T539" s="39"/>
      <c r="U539" s="39"/>
      <c r="V539" s="39"/>
    </row>
    <row r="540" spans="1:27" ht="21" hidden="1" customHeight="1" x14ac:dyDescent="0.35"/>
    <row r="541" spans="1:27" hidden="1" x14ac:dyDescent="0.35"/>
    <row r="542" spans="1:27" hidden="1" x14ac:dyDescent="0.35"/>
    <row r="543" spans="1:27" ht="29" hidden="1" customHeight="1" x14ac:dyDescent="0.35">
      <c r="A543" s="84" t="str">
        <f>IF($AA543=0,"",IF(LEN(INDEX(Quotes!$U$9:$U$258,$AA543)&amp;"")=0,"",INDEX(Quotes!$U$9:$U$258,$AA543)))</f>
        <v/>
      </c>
      <c r="B543" s="39"/>
      <c r="C543" s="39"/>
      <c r="D543" s="39"/>
      <c r="E543" s="39"/>
      <c r="F543" s="39"/>
      <c r="G543" s="39"/>
      <c r="H543" s="39"/>
      <c r="I543" s="39"/>
      <c r="J543" s="39"/>
      <c r="K543" s="85" t="str">
        <f>IF($AA543=0,"",IF(LEN(INDEX(Quotes!$Z$9:$Z$258,$AA543)&amp;"")=0,"",INDEX(Quotes!$Z$9:$Z$258,$AA543)))</f>
        <v/>
      </c>
      <c r="L543" s="39"/>
      <c r="M543" s="39"/>
      <c r="N543" s="39"/>
      <c r="O543" s="39"/>
      <c r="P543" s="39"/>
      <c r="Q543" s="39"/>
      <c r="R543" s="39"/>
      <c r="S543" s="39"/>
      <c r="T543" s="39"/>
      <c r="U543" s="39"/>
      <c r="V543" s="39"/>
      <c r="AA543">
        <f>IFERROR(MATCH(54,Quotes!$AK$9:$AK$258,0),0)</f>
        <v>0</v>
      </c>
    </row>
    <row r="544" spans="1:27" ht="21" hidden="1" customHeight="1" x14ac:dyDescent="0.35">
      <c r="A544" s="40" t="str">
        <f>IF($AA543=0,"",IF(LEN(INDEX(Quotes!$V$9:$V$258,$AA543)&amp;"")=0,"",INDEX(Quotes!$V$9:$V$258,$AA543)))</f>
        <v/>
      </c>
      <c r="B544" s="39"/>
      <c r="C544" s="39"/>
      <c r="D544" s="39"/>
      <c r="E544" s="39"/>
      <c r="F544" s="39"/>
      <c r="G544" s="39"/>
      <c r="H544" s="40" t="str">
        <f>IF($AA543=0,"",IF(LEN(INDEX(Quotes!$W$9:$W$258,$AA543)&amp;"")=0,"",INDEX(Quotes!$W$9:$W$258,$AA543)))</f>
        <v/>
      </c>
      <c r="I544" s="39"/>
      <c r="J544" s="39"/>
      <c r="K544" s="39"/>
      <c r="L544" s="39"/>
      <c r="M544" s="39"/>
      <c r="N544" s="39"/>
      <c r="O544" s="39"/>
      <c r="P544" s="39"/>
      <c r="Q544" s="39"/>
      <c r="R544" s="77" t="str">
        <f>IF($AA543=0,"",IF(LEN(INDEX(Quotes!$X$9:$X$258,$AA543)&amp;"")=0,"",INDEX(Quotes!$X$9:$X$258,$AA543)))</f>
        <v/>
      </c>
      <c r="S544" s="39"/>
      <c r="T544" s="39"/>
      <c r="U544" s="39"/>
      <c r="V544" s="39"/>
    </row>
    <row r="545" spans="1:27" ht="21" hidden="1" customHeight="1" x14ac:dyDescent="0.35">
      <c r="A545" s="83" t="str">
        <f>IF($AA543=0,"","ORIGINAL EUR")</f>
        <v/>
      </c>
      <c r="B545" s="39"/>
      <c r="C545" s="39"/>
      <c r="D545" s="39"/>
      <c r="E545" s="39"/>
      <c r="F545" s="39"/>
      <c r="G545" s="39"/>
      <c r="I545" s="83" t="str">
        <f>IF($AA543=0,"","LATEST EUR")</f>
        <v/>
      </c>
      <c r="J545" s="39"/>
      <c r="K545" s="39"/>
      <c r="L545" s="39"/>
      <c r="M545" s="39"/>
      <c r="N545" s="39"/>
      <c r="O545" s="39"/>
      <c r="Q545" s="83" t="str">
        <f>IF($AA543=0,"","SAVED EUR")</f>
        <v/>
      </c>
      <c r="R545" s="39"/>
      <c r="S545" s="39"/>
      <c r="T545" s="39"/>
      <c r="U545" s="39"/>
      <c r="V545" s="39"/>
    </row>
    <row r="546" spans="1:27" ht="21" hidden="1" customHeight="1" x14ac:dyDescent="0.35">
      <c r="A546" s="82" t="str">
        <f>IF($AA543=0,"",IF(LEN(INDEX(Quotes!$AB$9:$AB$258,$AA543)&amp;"")=0,"",INDEX(Quotes!$AB$9:$AB$258,$AA543)))</f>
        <v/>
      </c>
      <c r="B546" s="39"/>
      <c r="C546" s="39"/>
      <c r="D546" s="39"/>
      <c r="E546" s="39"/>
      <c r="F546" s="39"/>
      <c r="G546" s="39"/>
      <c r="I546" s="82" t="str">
        <f>IF($AA543=0,"",IF(LEN(INDEX(Quotes!$AD$9:$AD$258,$AA543)&amp;"")=0,"",INDEX(Quotes!$AD$9:$AD$258,$AA543)))</f>
        <v/>
      </c>
      <c r="J546" s="39"/>
      <c r="K546" s="39"/>
      <c r="L546" s="39"/>
      <c r="M546" s="39"/>
      <c r="N546" s="39"/>
      <c r="O546" s="39"/>
      <c r="Q546" s="82" t="str">
        <f>IF($AA543=0,"",IF(LEN(INDEX(Quotes!$AF$9:$AF$258,$AA543)&amp;"")=0,"",INDEX(Quotes!$AF$9:$AF$258,$AA543)))</f>
        <v/>
      </c>
      <c r="R546" s="39"/>
      <c r="S546" s="39"/>
      <c r="T546" s="39"/>
      <c r="U546" s="39"/>
      <c r="V546" s="39"/>
    </row>
    <row r="547" spans="1:27" ht="21" hidden="1" customHeight="1" x14ac:dyDescent="0.35">
      <c r="A547" s="48" t="str">
        <f>IF($AA543=0,"","Reference: "&amp;IF(INDEX(Quotes!$M$9:$M$258,$AA543)="",INDEX(Quotes!$S$9:$S$258,$AA543),INDEX(Quotes!$M$9:$M$258,$AA543)))</f>
        <v/>
      </c>
      <c r="B547" s="39"/>
      <c r="C547" s="39"/>
      <c r="D547" s="39"/>
      <c r="E547" s="39"/>
      <c r="F547" s="39"/>
      <c r="G547" s="39"/>
      <c r="H547" s="39"/>
      <c r="I547" s="39"/>
      <c r="J547" s="39"/>
      <c r="K547" s="39"/>
      <c r="L547" s="39"/>
      <c r="M547" s="39"/>
      <c r="N547" s="39"/>
      <c r="O547" s="39"/>
      <c r="P547" s="39"/>
      <c r="Q547" s="48" t="str">
        <f>IF($AA543=0,"",INDEX(Quotes!$E$9:$E$258,$AA543))</f>
        <v/>
      </c>
      <c r="R547" s="39"/>
      <c r="S547" s="39"/>
      <c r="T547" s="39"/>
      <c r="U547" s="39"/>
      <c r="V547" s="39"/>
    </row>
    <row r="548" spans="1:27" ht="21" hidden="1" customHeight="1" x14ac:dyDescent="0.35">
      <c r="A548" s="81" t="str">
        <f>IF($AA543=0,"",IF(INDEX(Quotes!$N$9:$N$258,$AA543)="","No original link","Original quote"))</f>
        <v/>
      </c>
      <c r="B548" s="39"/>
      <c r="C548" s="39"/>
      <c r="D548" s="39"/>
      <c r="E548" s="39"/>
      <c r="F548" s="39"/>
      <c r="G548" s="39"/>
      <c r="I548" s="81" t="str">
        <f>IF($AA543=0,"",IF(INDEX(Quotes!$O$9:$O$258,$AA543)="","No revised link","Revised quote"))</f>
        <v/>
      </c>
      <c r="J548" s="39"/>
      <c r="K548" s="39"/>
      <c r="L548" s="39"/>
      <c r="M548" s="39"/>
      <c r="N548" s="39"/>
      <c r="O548" s="39"/>
      <c r="Q548" s="81" t="str">
        <f>IF($AA543=0,"",HYPERLINK("#'Quotes'!A"&amp;($AA543+8),"Open quote record"))</f>
        <v/>
      </c>
      <c r="R548" s="39"/>
      <c r="S548" s="39"/>
      <c r="T548" s="39"/>
      <c r="U548" s="39"/>
      <c r="V548" s="39"/>
    </row>
    <row r="549" spans="1:27" ht="21" hidden="1" customHeight="1" x14ac:dyDescent="0.35"/>
    <row r="550" spans="1:27" hidden="1" x14ac:dyDescent="0.35"/>
    <row r="551" spans="1:27" hidden="1" x14ac:dyDescent="0.35"/>
    <row r="552" spans="1:27" ht="29" hidden="1" customHeight="1" x14ac:dyDescent="0.35">
      <c r="A552" s="84" t="str">
        <f>IF($AA552=0,"",IF(LEN(INDEX(Quotes!$U$9:$U$258,$AA552)&amp;"")=0,"",INDEX(Quotes!$U$9:$U$258,$AA552)))</f>
        <v/>
      </c>
      <c r="B552" s="39"/>
      <c r="C552" s="39"/>
      <c r="D552" s="39"/>
      <c r="E552" s="39"/>
      <c r="F552" s="39"/>
      <c r="G552" s="39"/>
      <c r="H552" s="39"/>
      <c r="I552" s="39"/>
      <c r="J552" s="39"/>
      <c r="K552" s="85" t="str">
        <f>IF($AA552=0,"",IF(LEN(INDEX(Quotes!$Z$9:$Z$258,$AA552)&amp;"")=0,"",INDEX(Quotes!$Z$9:$Z$258,$AA552)))</f>
        <v/>
      </c>
      <c r="L552" s="39"/>
      <c r="M552" s="39"/>
      <c r="N552" s="39"/>
      <c r="O552" s="39"/>
      <c r="P552" s="39"/>
      <c r="Q552" s="39"/>
      <c r="R552" s="39"/>
      <c r="S552" s="39"/>
      <c r="T552" s="39"/>
      <c r="U552" s="39"/>
      <c r="V552" s="39"/>
      <c r="AA552">
        <f>IFERROR(MATCH(55,Quotes!$AK$9:$AK$258,0),0)</f>
        <v>0</v>
      </c>
    </row>
    <row r="553" spans="1:27" ht="21" hidden="1" customHeight="1" x14ac:dyDescent="0.35">
      <c r="A553" s="40" t="str">
        <f>IF($AA552=0,"",IF(LEN(INDEX(Quotes!$V$9:$V$258,$AA552)&amp;"")=0,"",INDEX(Quotes!$V$9:$V$258,$AA552)))</f>
        <v/>
      </c>
      <c r="B553" s="39"/>
      <c r="C553" s="39"/>
      <c r="D553" s="39"/>
      <c r="E553" s="39"/>
      <c r="F553" s="39"/>
      <c r="G553" s="39"/>
      <c r="H553" s="40" t="str">
        <f>IF($AA552=0,"",IF(LEN(INDEX(Quotes!$W$9:$W$258,$AA552)&amp;"")=0,"",INDEX(Quotes!$W$9:$W$258,$AA552)))</f>
        <v/>
      </c>
      <c r="I553" s="39"/>
      <c r="J553" s="39"/>
      <c r="K553" s="39"/>
      <c r="L553" s="39"/>
      <c r="M553" s="39"/>
      <c r="N553" s="39"/>
      <c r="O553" s="39"/>
      <c r="P553" s="39"/>
      <c r="Q553" s="39"/>
      <c r="R553" s="77" t="str">
        <f>IF($AA552=0,"",IF(LEN(INDEX(Quotes!$X$9:$X$258,$AA552)&amp;"")=0,"",INDEX(Quotes!$X$9:$X$258,$AA552)))</f>
        <v/>
      </c>
      <c r="S553" s="39"/>
      <c r="T553" s="39"/>
      <c r="U553" s="39"/>
      <c r="V553" s="39"/>
    </row>
    <row r="554" spans="1:27" ht="21" hidden="1" customHeight="1" x14ac:dyDescent="0.35">
      <c r="A554" s="83" t="str">
        <f>IF($AA552=0,"","ORIGINAL EUR")</f>
        <v/>
      </c>
      <c r="B554" s="39"/>
      <c r="C554" s="39"/>
      <c r="D554" s="39"/>
      <c r="E554" s="39"/>
      <c r="F554" s="39"/>
      <c r="G554" s="39"/>
      <c r="I554" s="83" t="str">
        <f>IF($AA552=0,"","LATEST EUR")</f>
        <v/>
      </c>
      <c r="J554" s="39"/>
      <c r="K554" s="39"/>
      <c r="L554" s="39"/>
      <c r="M554" s="39"/>
      <c r="N554" s="39"/>
      <c r="O554" s="39"/>
      <c r="Q554" s="83" t="str">
        <f>IF($AA552=0,"","SAVED EUR")</f>
        <v/>
      </c>
      <c r="R554" s="39"/>
      <c r="S554" s="39"/>
      <c r="T554" s="39"/>
      <c r="U554" s="39"/>
      <c r="V554" s="39"/>
    </row>
    <row r="555" spans="1:27" ht="21" hidden="1" customHeight="1" x14ac:dyDescent="0.35">
      <c r="A555" s="82" t="str">
        <f>IF($AA552=0,"",IF(LEN(INDEX(Quotes!$AB$9:$AB$258,$AA552)&amp;"")=0,"",INDEX(Quotes!$AB$9:$AB$258,$AA552)))</f>
        <v/>
      </c>
      <c r="B555" s="39"/>
      <c r="C555" s="39"/>
      <c r="D555" s="39"/>
      <c r="E555" s="39"/>
      <c r="F555" s="39"/>
      <c r="G555" s="39"/>
      <c r="I555" s="82" t="str">
        <f>IF($AA552=0,"",IF(LEN(INDEX(Quotes!$AD$9:$AD$258,$AA552)&amp;"")=0,"",INDEX(Quotes!$AD$9:$AD$258,$AA552)))</f>
        <v/>
      </c>
      <c r="J555" s="39"/>
      <c r="K555" s="39"/>
      <c r="L555" s="39"/>
      <c r="M555" s="39"/>
      <c r="N555" s="39"/>
      <c r="O555" s="39"/>
      <c r="Q555" s="82" t="str">
        <f>IF($AA552=0,"",IF(LEN(INDEX(Quotes!$AF$9:$AF$258,$AA552)&amp;"")=0,"",INDEX(Quotes!$AF$9:$AF$258,$AA552)))</f>
        <v/>
      </c>
      <c r="R555" s="39"/>
      <c r="S555" s="39"/>
      <c r="T555" s="39"/>
      <c r="U555" s="39"/>
      <c r="V555" s="39"/>
    </row>
    <row r="556" spans="1:27" ht="21" hidden="1" customHeight="1" x14ac:dyDescent="0.35">
      <c r="A556" s="48" t="str">
        <f>IF($AA552=0,"","Reference: "&amp;IF(INDEX(Quotes!$M$9:$M$258,$AA552)="",INDEX(Quotes!$S$9:$S$258,$AA552),INDEX(Quotes!$M$9:$M$258,$AA552)))</f>
        <v/>
      </c>
      <c r="B556" s="39"/>
      <c r="C556" s="39"/>
      <c r="D556" s="39"/>
      <c r="E556" s="39"/>
      <c r="F556" s="39"/>
      <c r="G556" s="39"/>
      <c r="H556" s="39"/>
      <c r="I556" s="39"/>
      <c r="J556" s="39"/>
      <c r="K556" s="39"/>
      <c r="L556" s="39"/>
      <c r="M556" s="39"/>
      <c r="N556" s="39"/>
      <c r="O556" s="39"/>
      <c r="P556" s="39"/>
      <c r="Q556" s="48" t="str">
        <f>IF($AA552=0,"",INDEX(Quotes!$E$9:$E$258,$AA552))</f>
        <v/>
      </c>
      <c r="R556" s="39"/>
      <c r="S556" s="39"/>
      <c r="T556" s="39"/>
      <c r="U556" s="39"/>
      <c r="V556" s="39"/>
    </row>
    <row r="557" spans="1:27" ht="21" hidden="1" customHeight="1" x14ac:dyDescent="0.35">
      <c r="A557" s="81" t="str">
        <f>IF($AA552=0,"",IF(INDEX(Quotes!$N$9:$N$258,$AA552)="","No original link","Original quote"))</f>
        <v/>
      </c>
      <c r="B557" s="39"/>
      <c r="C557" s="39"/>
      <c r="D557" s="39"/>
      <c r="E557" s="39"/>
      <c r="F557" s="39"/>
      <c r="G557" s="39"/>
      <c r="I557" s="81" t="str">
        <f>IF($AA552=0,"",IF(INDEX(Quotes!$O$9:$O$258,$AA552)="","No revised link","Revised quote"))</f>
        <v/>
      </c>
      <c r="J557" s="39"/>
      <c r="K557" s="39"/>
      <c r="L557" s="39"/>
      <c r="M557" s="39"/>
      <c r="N557" s="39"/>
      <c r="O557" s="39"/>
      <c r="Q557" s="81" t="str">
        <f>IF($AA552=0,"",HYPERLINK("#'Quotes'!A"&amp;($AA552+8),"Open quote record"))</f>
        <v/>
      </c>
      <c r="R557" s="39"/>
      <c r="S557" s="39"/>
      <c r="T557" s="39"/>
      <c r="U557" s="39"/>
      <c r="V557" s="39"/>
    </row>
    <row r="558" spans="1:27" ht="21" hidden="1" customHeight="1" x14ac:dyDescent="0.35"/>
    <row r="559" spans="1:27" hidden="1" x14ac:dyDescent="0.35"/>
    <row r="560" spans="1:27" hidden="1" x14ac:dyDescent="0.35"/>
    <row r="561" spans="1:27" ht="29" hidden="1" customHeight="1" x14ac:dyDescent="0.35">
      <c r="A561" s="84" t="str">
        <f>IF($AA561=0,"",IF(LEN(INDEX(Quotes!$U$9:$U$258,$AA561)&amp;"")=0,"",INDEX(Quotes!$U$9:$U$258,$AA561)))</f>
        <v/>
      </c>
      <c r="B561" s="39"/>
      <c r="C561" s="39"/>
      <c r="D561" s="39"/>
      <c r="E561" s="39"/>
      <c r="F561" s="39"/>
      <c r="G561" s="39"/>
      <c r="H561" s="39"/>
      <c r="I561" s="39"/>
      <c r="J561" s="39"/>
      <c r="K561" s="85" t="str">
        <f>IF($AA561=0,"",IF(LEN(INDEX(Quotes!$Z$9:$Z$258,$AA561)&amp;"")=0,"",INDEX(Quotes!$Z$9:$Z$258,$AA561)))</f>
        <v/>
      </c>
      <c r="L561" s="39"/>
      <c r="M561" s="39"/>
      <c r="N561" s="39"/>
      <c r="O561" s="39"/>
      <c r="P561" s="39"/>
      <c r="Q561" s="39"/>
      <c r="R561" s="39"/>
      <c r="S561" s="39"/>
      <c r="T561" s="39"/>
      <c r="U561" s="39"/>
      <c r="V561" s="39"/>
      <c r="AA561">
        <f>IFERROR(MATCH(56,Quotes!$AK$9:$AK$258,0),0)</f>
        <v>0</v>
      </c>
    </row>
    <row r="562" spans="1:27" ht="21" hidden="1" customHeight="1" x14ac:dyDescent="0.35">
      <c r="A562" s="40" t="str">
        <f>IF($AA561=0,"",IF(LEN(INDEX(Quotes!$V$9:$V$258,$AA561)&amp;"")=0,"",INDEX(Quotes!$V$9:$V$258,$AA561)))</f>
        <v/>
      </c>
      <c r="B562" s="39"/>
      <c r="C562" s="39"/>
      <c r="D562" s="39"/>
      <c r="E562" s="39"/>
      <c r="F562" s="39"/>
      <c r="G562" s="39"/>
      <c r="H562" s="40" t="str">
        <f>IF($AA561=0,"",IF(LEN(INDEX(Quotes!$W$9:$W$258,$AA561)&amp;"")=0,"",INDEX(Quotes!$W$9:$W$258,$AA561)))</f>
        <v/>
      </c>
      <c r="I562" s="39"/>
      <c r="J562" s="39"/>
      <c r="K562" s="39"/>
      <c r="L562" s="39"/>
      <c r="M562" s="39"/>
      <c r="N562" s="39"/>
      <c r="O562" s="39"/>
      <c r="P562" s="39"/>
      <c r="Q562" s="39"/>
      <c r="R562" s="77" t="str">
        <f>IF($AA561=0,"",IF(LEN(INDEX(Quotes!$X$9:$X$258,$AA561)&amp;"")=0,"",INDEX(Quotes!$X$9:$X$258,$AA561)))</f>
        <v/>
      </c>
      <c r="S562" s="39"/>
      <c r="T562" s="39"/>
      <c r="U562" s="39"/>
      <c r="V562" s="39"/>
    </row>
    <row r="563" spans="1:27" ht="21" hidden="1" customHeight="1" x14ac:dyDescent="0.35">
      <c r="A563" s="83" t="str">
        <f>IF($AA561=0,"","ORIGINAL EUR")</f>
        <v/>
      </c>
      <c r="B563" s="39"/>
      <c r="C563" s="39"/>
      <c r="D563" s="39"/>
      <c r="E563" s="39"/>
      <c r="F563" s="39"/>
      <c r="G563" s="39"/>
      <c r="I563" s="83" t="str">
        <f>IF($AA561=0,"","LATEST EUR")</f>
        <v/>
      </c>
      <c r="J563" s="39"/>
      <c r="K563" s="39"/>
      <c r="L563" s="39"/>
      <c r="M563" s="39"/>
      <c r="N563" s="39"/>
      <c r="O563" s="39"/>
      <c r="Q563" s="83" t="str">
        <f>IF($AA561=0,"","SAVED EUR")</f>
        <v/>
      </c>
      <c r="R563" s="39"/>
      <c r="S563" s="39"/>
      <c r="T563" s="39"/>
      <c r="U563" s="39"/>
      <c r="V563" s="39"/>
    </row>
    <row r="564" spans="1:27" ht="21" hidden="1" customHeight="1" x14ac:dyDescent="0.35">
      <c r="A564" s="82" t="str">
        <f>IF($AA561=0,"",IF(LEN(INDEX(Quotes!$AB$9:$AB$258,$AA561)&amp;"")=0,"",INDEX(Quotes!$AB$9:$AB$258,$AA561)))</f>
        <v/>
      </c>
      <c r="B564" s="39"/>
      <c r="C564" s="39"/>
      <c r="D564" s="39"/>
      <c r="E564" s="39"/>
      <c r="F564" s="39"/>
      <c r="G564" s="39"/>
      <c r="I564" s="82" t="str">
        <f>IF($AA561=0,"",IF(LEN(INDEX(Quotes!$AD$9:$AD$258,$AA561)&amp;"")=0,"",INDEX(Quotes!$AD$9:$AD$258,$AA561)))</f>
        <v/>
      </c>
      <c r="J564" s="39"/>
      <c r="K564" s="39"/>
      <c r="L564" s="39"/>
      <c r="M564" s="39"/>
      <c r="N564" s="39"/>
      <c r="O564" s="39"/>
      <c r="Q564" s="82" t="str">
        <f>IF($AA561=0,"",IF(LEN(INDEX(Quotes!$AF$9:$AF$258,$AA561)&amp;"")=0,"",INDEX(Quotes!$AF$9:$AF$258,$AA561)))</f>
        <v/>
      </c>
      <c r="R564" s="39"/>
      <c r="S564" s="39"/>
      <c r="T564" s="39"/>
      <c r="U564" s="39"/>
      <c r="V564" s="39"/>
    </row>
    <row r="565" spans="1:27" ht="21" hidden="1" customHeight="1" x14ac:dyDescent="0.35">
      <c r="A565" s="48" t="str">
        <f>IF($AA561=0,"","Reference: "&amp;IF(INDEX(Quotes!$M$9:$M$258,$AA561)="",INDEX(Quotes!$S$9:$S$258,$AA561),INDEX(Quotes!$M$9:$M$258,$AA561)))</f>
        <v/>
      </c>
      <c r="B565" s="39"/>
      <c r="C565" s="39"/>
      <c r="D565" s="39"/>
      <c r="E565" s="39"/>
      <c r="F565" s="39"/>
      <c r="G565" s="39"/>
      <c r="H565" s="39"/>
      <c r="I565" s="39"/>
      <c r="J565" s="39"/>
      <c r="K565" s="39"/>
      <c r="L565" s="39"/>
      <c r="M565" s="39"/>
      <c r="N565" s="39"/>
      <c r="O565" s="39"/>
      <c r="P565" s="39"/>
      <c r="Q565" s="48" t="str">
        <f>IF($AA561=0,"",INDEX(Quotes!$E$9:$E$258,$AA561))</f>
        <v/>
      </c>
      <c r="R565" s="39"/>
      <c r="S565" s="39"/>
      <c r="T565" s="39"/>
      <c r="U565" s="39"/>
      <c r="V565" s="39"/>
    </row>
    <row r="566" spans="1:27" ht="21" hidden="1" customHeight="1" x14ac:dyDescent="0.35">
      <c r="A566" s="81" t="str">
        <f>IF($AA561=0,"",IF(INDEX(Quotes!$N$9:$N$258,$AA561)="","No original link","Original quote"))</f>
        <v/>
      </c>
      <c r="B566" s="39"/>
      <c r="C566" s="39"/>
      <c r="D566" s="39"/>
      <c r="E566" s="39"/>
      <c r="F566" s="39"/>
      <c r="G566" s="39"/>
      <c r="I566" s="81" t="str">
        <f>IF($AA561=0,"",IF(INDEX(Quotes!$O$9:$O$258,$AA561)="","No revised link","Revised quote"))</f>
        <v/>
      </c>
      <c r="J566" s="39"/>
      <c r="K566" s="39"/>
      <c r="L566" s="39"/>
      <c r="M566" s="39"/>
      <c r="N566" s="39"/>
      <c r="O566" s="39"/>
      <c r="Q566" s="81" t="str">
        <f>IF($AA561=0,"",HYPERLINK("#'Quotes'!A"&amp;($AA561+8),"Open quote record"))</f>
        <v/>
      </c>
      <c r="R566" s="39"/>
      <c r="S566" s="39"/>
      <c r="T566" s="39"/>
      <c r="U566" s="39"/>
      <c r="V566" s="39"/>
    </row>
    <row r="567" spans="1:27" ht="21" hidden="1" customHeight="1" x14ac:dyDescent="0.35"/>
    <row r="568" spans="1:27" hidden="1" x14ac:dyDescent="0.35"/>
    <row r="569" spans="1:27" hidden="1" x14ac:dyDescent="0.35"/>
    <row r="570" spans="1:27" hidden="1" x14ac:dyDescent="0.35"/>
    <row r="571" spans="1:27" hidden="1" x14ac:dyDescent="0.35">
      <c r="A571" s="67" t="s">
        <v>655</v>
      </c>
      <c r="B571" s="39"/>
      <c r="C571" s="39"/>
      <c r="D571" s="39"/>
      <c r="E571" s="39"/>
      <c r="F571" s="39"/>
      <c r="G571" s="39"/>
      <c r="H571" s="39"/>
      <c r="I571" s="39"/>
      <c r="J571" s="39"/>
      <c r="K571" s="39"/>
      <c r="L571" s="39"/>
      <c r="M571" s="39"/>
      <c r="N571" s="39"/>
      <c r="O571" s="39"/>
      <c r="P571" s="39"/>
      <c r="Q571" s="39"/>
      <c r="R571" s="39"/>
      <c r="S571" s="39"/>
      <c r="T571" s="39"/>
      <c r="U571" s="39"/>
      <c r="V571" s="39"/>
    </row>
    <row r="572" spans="1:27" ht="29" hidden="1" customHeight="1" x14ac:dyDescent="0.35">
      <c r="A572" s="84" t="str">
        <f>IF($AA572=0,"",IF(LEN(INDEX(Quotes!$U$9:$U$258,$AA572)&amp;"")=0,"",INDEX(Quotes!$U$9:$U$258,$AA572)))</f>
        <v/>
      </c>
      <c r="B572" s="39"/>
      <c r="C572" s="39"/>
      <c r="D572" s="39"/>
      <c r="E572" s="39"/>
      <c r="F572" s="39"/>
      <c r="G572" s="39"/>
      <c r="H572" s="39"/>
      <c r="I572" s="39"/>
      <c r="J572" s="39"/>
      <c r="K572" s="85" t="str">
        <f>IF($AA572=0,"",IF(LEN(INDEX(Quotes!$Z$9:$Z$258,$AA572)&amp;"")=0,"",INDEX(Quotes!$Z$9:$Z$258,$AA572)))</f>
        <v/>
      </c>
      <c r="L572" s="39"/>
      <c r="M572" s="39"/>
      <c r="N572" s="39"/>
      <c r="O572" s="39"/>
      <c r="P572" s="39"/>
      <c r="Q572" s="39"/>
      <c r="R572" s="39"/>
      <c r="S572" s="39"/>
      <c r="T572" s="39"/>
      <c r="U572" s="39"/>
      <c r="V572" s="39"/>
      <c r="AA572">
        <f>IFERROR(MATCH(57,Quotes!$AK$9:$AK$258,0),0)</f>
        <v>0</v>
      </c>
    </row>
    <row r="573" spans="1:27" ht="21" hidden="1" customHeight="1" x14ac:dyDescent="0.35">
      <c r="A573" s="40" t="str">
        <f>IF($AA572=0,"",IF(LEN(INDEX(Quotes!$V$9:$V$258,$AA572)&amp;"")=0,"",INDEX(Quotes!$V$9:$V$258,$AA572)))</f>
        <v/>
      </c>
      <c r="B573" s="39"/>
      <c r="C573" s="39"/>
      <c r="D573" s="39"/>
      <c r="E573" s="39"/>
      <c r="F573" s="39"/>
      <c r="G573" s="39"/>
      <c r="H573" s="40" t="str">
        <f>IF($AA572=0,"",IF(LEN(INDEX(Quotes!$W$9:$W$258,$AA572)&amp;"")=0,"",INDEX(Quotes!$W$9:$W$258,$AA572)))</f>
        <v/>
      </c>
      <c r="I573" s="39"/>
      <c r="J573" s="39"/>
      <c r="K573" s="39"/>
      <c r="L573" s="39"/>
      <c r="M573" s="39"/>
      <c r="N573" s="39"/>
      <c r="O573" s="39"/>
      <c r="P573" s="39"/>
      <c r="Q573" s="39"/>
      <c r="R573" s="77" t="str">
        <f>IF($AA572=0,"",IF(LEN(INDEX(Quotes!$X$9:$X$258,$AA572)&amp;"")=0,"",INDEX(Quotes!$X$9:$X$258,$AA572)))</f>
        <v/>
      </c>
      <c r="S573" s="39"/>
      <c r="T573" s="39"/>
      <c r="U573" s="39"/>
      <c r="V573" s="39"/>
    </row>
    <row r="574" spans="1:27" ht="21" hidden="1" customHeight="1" x14ac:dyDescent="0.35">
      <c r="A574" s="83" t="str">
        <f>IF($AA572=0,"","ORIGINAL EUR")</f>
        <v/>
      </c>
      <c r="B574" s="39"/>
      <c r="C574" s="39"/>
      <c r="D574" s="39"/>
      <c r="E574" s="39"/>
      <c r="F574" s="39"/>
      <c r="G574" s="39"/>
      <c r="I574" s="83" t="str">
        <f>IF($AA572=0,"","LATEST EUR")</f>
        <v/>
      </c>
      <c r="J574" s="39"/>
      <c r="K574" s="39"/>
      <c r="L574" s="39"/>
      <c r="M574" s="39"/>
      <c r="N574" s="39"/>
      <c r="O574" s="39"/>
      <c r="Q574" s="83" t="str">
        <f>IF($AA572=0,"","SAVED EUR")</f>
        <v/>
      </c>
      <c r="R574" s="39"/>
      <c r="S574" s="39"/>
      <c r="T574" s="39"/>
      <c r="U574" s="39"/>
      <c r="V574" s="39"/>
    </row>
    <row r="575" spans="1:27" ht="21" hidden="1" customHeight="1" x14ac:dyDescent="0.35">
      <c r="A575" s="82" t="str">
        <f>IF($AA572=0,"",IF(LEN(INDEX(Quotes!$AB$9:$AB$258,$AA572)&amp;"")=0,"",INDEX(Quotes!$AB$9:$AB$258,$AA572)))</f>
        <v/>
      </c>
      <c r="B575" s="39"/>
      <c r="C575" s="39"/>
      <c r="D575" s="39"/>
      <c r="E575" s="39"/>
      <c r="F575" s="39"/>
      <c r="G575" s="39"/>
      <c r="I575" s="82" t="str">
        <f>IF($AA572=0,"",IF(LEN(INDEX(Quotes!$AD$9:$AD$258,$AA572)&amp;"")=0,"",INDEX(Quotes!$AD$9:$AD$258,$AA572)))</f>
        <v/>
      </c>
      <c r="J575" s="39"/>
      <c r="K575" s="39"/>
      <c r="L575" s="39"/>
      <c r="M575" s="39"/>
      <c r="N575" s="39"/>
      <c r="O575" s="39"/>
      <c r="Q575" s="82" t="str">
        <f>IF($AA572=0,"",IF(LEN(INDEX(Quotes!$AF$9:$AF$258,$AA572)&amp;"")=0,"",INDEX(Quotes!$AF$9:$AF$258,$AA572)))</f>
        <v/>
      </c>
      <c r="R575" s="39"/>
      <c r="S575" s="39"/>
      <c r="T575" s="39"/>
      <c r="U575" s="39"/>
      <c r="V575" s="39"/>
    </row>
    <row r="576" spans="1:27" ht="21" hidden="1" customHeight="1" x14ac:dyDescent="0.35">
      <c r="A576" s="48" t="str">
        <f>IF($AA572=0,"","Reference: "&amp;IF(INDEX(Quotes!$M$9:$M$258,$AA572)="",INDEX(Quotes!$S$9:$S$258,$AA572),INDEX(Quotes!$M$9:$M$258,$AA572)))</f>
        <v/>
      </c>
      <c r="B576" s="39"/>
      <c r="C576" s="39"/>
      <c r="D576" s="39"/>
      <c r="E576" s="39"/>
      <c r="F576" s="39"/>
      <c r="G576" s="39"/>
      <c r="H576" s="39"/>
      <c r="I576" s="39"/>
      <c r="J576" s="39"/>
      <c r="K576" s="39"/>
      <c r="L576" s="39"/>
      <c r="M576" s="39"/>
      <c r="N576" s="39"/>
      <c r="O576" s="39"/>
      <c r="P576" s="39"/>
      <c r="Q576" s="48" t="str">
        <f>IF($AA572=0,"",INDEX(Quotes!$E$9:$E$258,$AA572))</f>
        <v/>
      </c>
      <c r="R576" s="39"/>
      <c r="S576" s="39"/>
      <c r="T576" s="39"/>
      <c r="U576" s="39"/>
      <c r="V576" s="39"/>
    </row>
    <row r="577" spans="1:27" ht="21" hidden="1" customHeight="1" x14ac:dyDescent="0.35">
      <c r="A577" s="81" t="str">
        <f>IF($AA572=0,"",IF(INDEX(Quotes!$N$9:$N$258,$AA572)="","No original link","Original quote"))</f>
        <v/>
      </c>
      <c r="B577" s="39"/>
      <c r="C577" s="39"/>
      <c r="D577" s="39"/>
      <c r="E577" s="39"/>
      <c r="F577" s="39"/>
      <c r="G577" s="39"/>
      <c r="I577" s="81" t="str">
        <f>IF($AA572=0,"",IF(INDEX(Quotes!$O$9:$O$258,$AA572)="","No revised link","Revised quote"))</f>
        <v/>
      </c>
      <c r="J577" s="39"/>
      <c r="K577" s="39"/>
      <c r="L577" s="39"/>
      <c r="M577" s="39"/>
      <c r="N577" s="39"/>
      <c r="O577" s="39"/>
      <c r="Q577" s="81" t="str">
        <f>IF($AA572=0,"",HYPERLINK("#'Quotes'!A"&amp;($AA572+8),"Open quote record"))</f>
        <v/>
      </c>
      <c r="R577" s="39"/>
      <c r="S577" s="39"/>
      <c r="T577" s="39"/>
      <c r="U577" s="39"/>
      <c r="V577" s="39"/>
    </row>
    <row r="578" spans="1:27" ht="21" hidden="1" customHeight="1" x14ac:dyDescent="0.35"/>
    <row r="579" spans="1:27" hidden="1" x14ac:dyDescent="0.35"/>
    <row r="580" spans="1:27" hidden="1" x14ac:dyDescent="0.35"/>
    <row r="581" spans="1:27" ht="29" hidden="1" customHeight="1" x14ac:dyDescent="0.35">
      <c r="A581" s="84" t="str">
        <f>IF($AA581=0,"",IF(LEN(INDEX(Quotes!$U$9:$U$258,$AA581)&amp;"")=0,"",INDEX(Quotes!$U$9:$U$258,$AA581)))</f>
        <v/>
      </c>
      <c r="B581" s="39"/>
      <c r="C581" s="39"/>
      <c r="D581" s="39"/>
      <c r="E581" s="39"/>
      <c r="F581" s="39"/>
      <c r="G581" s="39"/>
      <c r="H581" s="39"/>
      <c r="I581" s="39"/>
      <c r="J581" s="39"/>
      <c r="K581" s="85" t="str">
        <f>IF($AA581=0,"",IF(LEN(INDEX(Quotes!$Z$9:$Z$258,$AA581)&amp;"")=0,"",INDEX(Quotes!$Z$9:$Z$258,$AA581)))</f>
        <v/>
      </c>
      <c r="L581" s="39"/>
      <c r="M581" s="39"/>
      <c r="N581" s="39"/>
      <c r="O581" s="39"/>
      <c r="P581" s="39"/>
      <c r="Q581" s="39"/>
      <c r="R581" s="39"/>
      <c r="S581" s="39"/>
      <c r="T581" s="39"/>
      <c r="U581" s="39"/>
      <c r="V581" s="39"/>
      <c r="AA581">
        <f>IFERROR(MATCH(58,Quotes!$AK$9:$AK$258,0),0)</f>
        <v>0</v>
      </c>
    </row>
    <row r="582" spans="1:27" ht="21" hidden="1" customHeight="1" x14ac:dyDescent="0.35">
      <c r="A582" s="40" t="str">
        <f>IF($AA581=0,"",IF(LEN(INDEX(Quotes!$V$9:$V$258,$AA581)&amp;"")=0,"",INDEX(Quotes!$V$9:$V$258,$AA581)))</f>
        <v/>
      </c>
      <c r="B582" s="39"/>
      <c r="C582" s="39"/>
      <c r="D582" s="39"/>
      <c r="E582" s="39"/>
      <c r="F582" s="39"/>
      <c r="G582" s="39"/>
      <c r="H582" s="40" t="str">
        <f>IF($AA581=0,"",IF(LEN(INDEX(Quotes!$W$9:$W$258,$AA581)&amp;"")=0,"",INDEX(Quotes!$W$9:$W$258,$AA581)))</f>
        <v/>
      </c>
      <c r="I582" s="39"/>
      <c r="J582" s="39"/>
      <c r="K582" s="39"/>
      <c r="L582" s="39"/>
      <c r="M582" s="39"/>
      <c r="N582" s="39"/>
      <c r="O582" s="39"/>
      <c r="P582" s="39"/>
      <c r="Q582" s="39"/>
      <c r="R582" s="77" t="str">
        <f>IF($AA581=0,"",IF(LEN(INDEX(Quotes!$X$9:$X$258,$AA581)&amp;"")=0,"",INDEX(Quotes!$X$9:$X$258,$AA581)))</f>
        <v/>
      </c>
      <c r="S582" s="39"/>
      <c r="T582" s="39"/>
      <c r="U582" s="39"/>
      <c r="V582" s="39"/>
    </row>
    <row r="583" spans="1:27" ht="21" hidden="1" customHeight="1" x14ac:dyDescent="0.35">
      <c r="A583" s="83" t="str">
        <f>IF($AA581=0,"","ORIGINAL EUR")</f>
        <v/>
      </c>
      <c r="B583" s="39"/>
      <c r="C583" s="39"/>
      <c r="D583" s="39"/>
      <c r="E583" s="39"/>
      <c r="F583" s="39"/>
      <c r="G583" s="39"/>
      <c r="I583" s="83" t="str">
        <f>IF($AA581=0,"","LATEST EUR")</f>
        <v/>
      </c>
      <c r="J583" s="39"/>
      <c r="K583" s="39"/>
      <c r="L583" s="39"/>
      <c r="M583" s="39"/>
      <c r="N583" s="39"/>
      <c r="O583" s="39"/>
      <c r="Q583" s="83" t="str">
        <f>IF($AA581=0,"","SAVED EUR")</f>
        <v/>
      </c>
      <c r="R583" s="39"/>
      <c r="S583" s="39"/>
      <c r="T583" s="39"/>
      <c r="U583" s="39"/>
      <c r="V583" s="39"/>
    </row>
    <row r="584" spans="1:27" ht="21" hidden="1" customHeight="1" x14ac:dyDescent="0.35">
      <c r="A584" s="82" t="str">
        <f>IF($AA581=0,"",IF(LEN(INDEX(Quotes!$AB$9:$AB$258,$AA581)&amp;"")=0,"",INDEX(Quotes!$AB$9:$AB$258,$AA581)))</f>
        <v/>
      </c>
      <c r="B584" s="39"/>
      <c r="C584" s="39"/>
      <c r="D584" s="39"/>
      <c r="E584" s="39"/>
      <c r="F584" s="39"/>
      <c r="G584" s="39"/>
      <c r="I584" s="82" t="str">
        <f>IF($AA581=0,"",IF(LEN(INDEX(Quotes!$AD$9:$AD$258,$AA581)&amp;"")=0,"",INDEX(Quotes!$AD$9:$AD$258,$AA581)))</f>
        <v/>
      </c>
      <c r="J584" s="39"/>
      <c r="K584" s="39"/>
      <c r="L584" s="39"/>
      <c r="M584" s="39"/>
      <c r="N584" s="39"/>
      <c r="O584" s="39"/>
      <c r="Q584" s="82" t="str">
        <f>IF($AA581=0,"",IF(LEN(INDEX(Quotes!$AF$9:$AF$258,$AA581)&amp;"")=0,"",INDEX(Quotes!$AF$9:$AF$258,$AA581)))</f>
        <v/>
      </c>
      <c r="R584" s="39"/>
      <c r="S584" s="39"/>
      <c r="T584" s="39"/>
      <c r="U584" s="39"/>
      <c r="V584" s="39"/>
    </row>
    <row r="585" spans="1:27" ht="21" hidden="1" customHeight="1" x14ac:dyDescent="0.35">
      <c r="A585" s="48" t="str">
        <f>IF($AA581=0,"","Reference: "&amp;IF(INDEX(Quotes!$M$9:$M$258,$AA581)="",INDEX(Quotes!$S$9:$S$258,$AA581),INDEX(Quotes!$M$9:$M$258,$AA581)))</f>
        <v/>
      </c>
      <c r="B585" s="39"/>
      <c r="C585" s="39"/>
      <c r="D585" s="39"/>
      <c r="E585" s="39"/>
      <c r="F585" s="39"/>
      <c r="G585" s="39"/>
      <c r="H585" s="39"/>
      <c r="I585" s="39"/>
      <c r="J585" s="39"/>
      <c r="K585" s="39"/>
      <c r="L585" s="39"/>
      <c r="M585" s="39"/>
      <c r="N585" s="39"/>
      <c r="O585" s="39"/>
      <c r="P585" s="39"/>
      <c r="Q585" s="48" t="str">
        <f>IF($AA581=0,"",INDEX(Quotes!$E$9:$E$258,$AA581))</f>
        <v/>
      </c>
      <c r="R585" s="39"/>
      <c r="S585" s="39"/>
      <c r="T585" s="39"/>
      <c r="U585" s="39"/>
      <c r="V585" s="39"/>
    </row>
    <row r="586" spans="1:27" ht="21" hidden="1" customHeight="1" x14ac:dyDescent="0.35">
      <c r="A586" s="81" t="str">
        <f>IF($AA581=0,"",IF(INDEX(Quotes!$N$9:$N$258,$AA581)="","No original link","Original quote"))</f>
        <v/>
      </c>
      <c r="B586" s="39"/>
      <c r="C586" s="39"/>
      <c r="D586" s="39"/>
      <c r="E586" s="39"/>
      <c r="F586" s="39"/>
      <c r="G586" s="39"/>
      <c r="I586" s="81" t="str">
        <f>IF($AA581=0,"",IF(INDEX(Quotes!$O$9:$O$258,$AA581)="","No revised link","Revised quote"))</f>
        <v/>
      </c>
      <c r="J586" s="39"/>
      <c r="K586" s="39"/>
      <c r="L586" s="39"/>
      <c r="M586" s="39"/>
      <c r="N586" s="39"/>
      <c r="O586" s="39"/>
      <c r="Q586" s="81" t="str">
        <f>IF($AA581=0,"",HYPERLINK("#'Quotes'!A"&amp;($AA581+8),"Open quote record"))</f>
        <v/>
      </c>
      <c r="R586" s="39"/>
      <c r="S586" s="39"/>
      <c r="T586" s="39"/>
      <c r="U586" s="39"/>
      <c r="V586" s="39"/>
    </row>
    <row r="587" spans="1:27" ht="21" hidden="1" customHeight="1" x14ac:dyDescent="0.35"/>
    <row r="588" spans="1:27" hidden="1" x14ac:dyDescent="0.35"/>
    <row r="589" spans="1:27" hidden="1" x14ac:dyDescent="0.35"/>
    <row r="590" spans="1:27" ht="29" hidden="1" customHeight="1" x14ac:dyDescent="0.35">
      <c r="A590" s="84" t="str">
        <f>IF($AA590=0,"",IF(LEN(INDEX(Quotes!$U$9:$U$258,$AA590)&amp;"")=0,"",INDEX(Quotes!$U$9:$U$258,$AA590)))</f>
        <v/>
      </c>
      <c r="B590" s="39"/>
      <c r="C590" s="39"/>
      <c r="D590" s="39"/>
      <c r="E590" s="39"/>
      <c r="F590" s="39"/>
      <c r="G590" s="39"/>
      <c r="H590" s="39"/>
      <c r="I590" s="39"/>
      <c r="J590" s="39"/>
      <c r="K590" s="85" t="str">
        <f>IF($AA590=0,"",IF(LEN(INDEX(Quotes!$Z$9:$Z$258,$AA590)&amp;"")=0,"",INDEX(Quotes!$Z$9:$Z$258,$AA590)))</f>
        <v/>
      </c>
      <c r="L590" s="39"/>
      <c r="M590" s="39"/>
      <c r="N590" s="39"/>
      <c r="O590" s="39"/>
      <c r="P590" s="39"/>
      <c r="Q590" s="39"/>
      <c r="R590" s="39"/>
      <c r="S590" s="39"/>
      <c r="T590" s="39"/>
      <c r="U590" s="39"/>
      <c r="V590" s="39"/>
      <c r="AA590">
        <f>IFERROR(MATCH(59,Quotes!$AK$9:$AK$258,0),0)</f>
        <v>0</v>
      </c>
    </row>
    <row r="591" spans="1:27" ht="21" hidden="1" customHeight="1" x14ac:dyDescent="0.35">
      <c r="A591" s="40" t="str">
        <f>IF($AA590=0,"",IF(LEN(INDEX(Quotes!$V$9:$V$258,$AA590)&amp;"")=0,"",INDEX(Quotes!$V$9:$V$258,$AA590)))</f>
        <v/>
      </c>
      <c r="B591" s="39"/>
      <c r="C591" s="39"/>
      <c r="D591" s="39"/>
      <c r="E591" s="39"/>
      <c r="F591" s="39"/>
      <c r="G591" s="39"/>
      <c r="H591" s="40" t="str">
        <f>IF($AA590=0,"",IF(LEN(INDEX(Quotes!$W$9:$W$258,$AA590)&amp;"")=0,"",INDEX(Quotes!$W$9:$W$258,$AA590)))</f>
        <v/>
      </c>
      <c r="I591" s="39"/>
      <c r="J591" s="39"/>
      <c r="K591" s="39"/>
      <c r="L591" s="39"/>
      <c r="M591" s="39"/>
      <c r="N591" s="39"/>
      <c r="O591" s="39"/>
      <c r="P591" s="39"/>
      <c r="Q591" s="39"/>
      <c r="R591" s="77" t="str">
        <f>IF($AA590=0,"",IF(LEN(INDEX(Quotes!$X$9:$X$258,$AA590)&amp;"")=0,"",INDEX(Quotes!$X$9:$X$258,$AA590)))</f>
        <v/>
      </c>
      <c r="S591" s="39"/>
      <c r="T591" s="39"/>
      <c r="U591" s="39"/>
      <c r="V591" s="39"/>
    </row>
    <row r="592" spans="1:27" ht="21" hidden="1" customHeight="1" x14ac:dyDescent="0.35">
      <c r="A592" s="83" t="str">
        <f>IF($AA590=0,"","ORIGINAL EUR")</f>
        <v/>
      </c>
      <c r="B592" s="39"/>
      <c r="C592" s="39"/>
      <c r="D592" s="39"/>
      <c r="E592" s="39"/>
      <c r="F592" s="39"/>
      <c r="G592" s="39"/>
      <c r="I592" s="83" t="str">
        <f>IF($AA590=0,"","LATEST EUR")</f>
        <v/>
      </c>
      <c r="J592" s="39"/>
      <c r="K592" s="39"/>
      <c r="L592" s="39"/>
      <c r="M592" s="39"/>
      <c r="N592" s="39"/>
      <c r="O592" s="39"/>
      <c r="Q592" s="83" t="str">
        <f>IF($AA590=0,"","SAVED EUR")</f>
        <v/>
      </c>
      <c r="R592" s="39"/>
      <c r="S592" s="39"/>
      <c r="T592" s="39"/>
      <c r="U592" s="39"/>
      <c r="V592" s="39"/>
    </row>
    <row r="593" spans="1:27" ht="21" hidden="1" customHeight="1" x14ac:dyDescent="0.35">
      <c r="A593" s="82" t="str">
        <f>IF($AA590=0,"",IF(LEN(INDEX(Quotes!$AB$9:$AB$258,$AA590)&amp;"")=0,"",INDEX(Quotes!$AB$9:$AB$258,$AA590)))</f>
        <v/>
      </c>
      <c r="B593" s="39"/>
      <c r="C593" s="39"/>
      <c r="D593" s="39"/>
      <c r="E593" s="39"/>
      <c r="F593" s="39"/>
      <c r="G593" s="39"/>
      <c r="I593" s="82" t="str">
        <f>IF($AA590=0,"",IF(LEN(INDEX(Quotes!$AD$9:$AD$258,$AA590)&amp;"")=0,"",INDEX(Quotes!$AD$9:$AD$258,$AA590)))</f>
        <v/>
      </c>
      <c r="J593" s="39"/>
      <c r="K593" s="39"/>
      <c r="L593" s="39"/>
      <c r="M593" s="39"/>
      <c r="N593" s="39"/>
      <c r="O593" s="39"/>
      <c r="Q593" s="82" t="str">
        <f>IF($AA590=0,"",IF(LEN(INDEX(Quotes!$AF$9:$AF$258,$AA590)&amp;"")=0,"",INDEX(Quotes!$AF$9:$AF$258,$AA590)))</f>
        <v/>
      </c>
      <c r="R593" s="39"/>
      <c r="S593" s="39"/>
      <c r="T593" s="39"/>
      <c r="U593" s="39"/>
      <c r="V593" s="39"/>
    </row>
    <row r="594" spans="1:27" ht="21" hidden="1" customHeight="1" x14ac:dyDescent="0.35">
      <c r="A594" s="48" t="str">
        <f>IF($AA590=0,"","Reference: "&amp;IF(INDEX(Quotes!$M$9:$M$258,$AA590)="",INDEX(Quotes!$S$9:$S$258,$AA590),INDEX(Quotes!$M$9:$M$258,$AA590)))</f>
        <v/>
      </c>
      <c r="B594" s="39"/>
      <c r="C594" s="39"/>
      <c r="D594" s="39"/>
      <c r="E594" s="39"/>
      <c r="F594" s="39"/>
      <c r="G594" s="39"/>
      <c r="H594" s="39"/>
      <c r="I594" s="39"/>
      <c r="J594" s="39"/>
      <c r="K594" s="39"/>
      <c r="L594" s="39"/>
      <c r="M594" s="39"/>
      <c r="N594" s="39"/>
      <c r="O594" s="39"/>
      <c r="P594" s="39"/>
      <c r="Q594" s="48" t="str">
        <f>IF($AA590=0,"",INDEX(Quotes!$E$9:$E$258,$AA590))</f>
        <v/>
      </c>
      <c r="R594" s="39"/>
      <c r="S594" s="39"/>
      <c r="T594" s="39"/>
      <c r="U594" s="39"/>
      <c r="V594" s="39"/>
    </row>
    <row r="595" spans="1:27" ht="21" hidden="1" customHeight="1" x14ac:dyDescent="0.35">
      <c r="A595" s="81" t="str">
        <f>IF($AA590=0,"",IF(INDEX(Quotes!$N$9:$N$258,$AA590)="","No original link","Original quote"))</f>
        <v/>
      </c>
      <c r="B595" s="39"/>
      <c r="C595" s="39"/>
      <c r="D595" s="39"/>
      <c r="E595" s="39"/>
      <c r="F595" s="39"/>
      <c r="G595" s="39"/>
      <c r="I595" s="81" t="str">
        <f>IF($AA590=0,"",IF(INDEX(Quotes!$O$9:$O$258,$AA590)="","No revised link","Revised quote"))</f>
        <v/>
      </c>
      <c r="J595" s="39"/>
      <c r="K595" s="39"/>
      <c r="L595" s="39"/>
      <c r="M595" s="39"/>
      <c r="N595" s="39"/>
      <c r="O595" s="39"/>
      <c r="Q595" s="81" t="str">
        <f>IF($AA590=0,"",HYPERLINK("#'Quotes'!A"&amp;($AA590+8),"Open quote record"))</f>
        <v/>
      </c>
      <c r="R595" s="39"/>
      <c r="S595" s="39"/>
      <c r="T595" s="39"/>
      <c r="U595" s="39"/>
      <c r="V595" s="39"/>
    </row>
    <row r="596" spans="1:27" ht="21" hidden="1" customHeight="1" x14ac:dyDescent="0.35"/>
    <row r="597" spans="1:27" hidden="1" x14ac:dyDescent="0.35"/>
    <row r="598" spans="1:27" hidden="1" x14ac:dyDescent="0.35"/>
    <row r="599" spans="1:27" ht="29" hidden="1" customHeight="1" x14ac:dyDescent="0.35">
      <c r="A599" s="84" t="str">
        <f>IF($AA599=0,"",IF(LEN(INDEX(Quotes!$U$9:$U$258,$AA599)&amp;"")=0,"",INDEX(Quotes!$U$9:$U$258,$AA599)))</f>
        <v/>
      </c>
      <c r="B599" s="39"/>
      <c r="C599" s="39"/>
      <c r="D599" s="39"/>
      <c r="E599" s="39"/>
      <c r="F599" s="39"/>
      <c r="G599" s="39"/>
      <c r="H599" s="39"/>
      <c r="I599" s="39"/>
      <c r="J599" s="39"/>
      <c r="K599" s="85" t="str">
        <f>IF($AA599=0,"",IF(LEN(INDEX(Quotes!$Z$9:$Z$258,$AA599)&amp;"")=0,"",INDEX(Quotes!$Z$9:$Z$258,$AA599)))</f>
        <v/>
      </c>
      <c r="L599" s="39"/>
      <c r="M599" s="39"/>
      <c r="N599" s="39"/>
      <c r="O599" s="39"/>
      <c r="P599" s="39"/>
      <c r="Q599" s="39"/>
      <c r="R599" s="39"/>
      <c r="S599" s="39"/>
      <c r="T599" s="39"/>
      <c r="U599" s="39"/>
      <c r="V599" s="39"/>
      <c r="AA599">
        <f>IFERROR(MATCH(60,Quotes!$AK$9:$AK$258,0),0)</f>
        <v>0</v>
      </c>
    </row>
    <row r="600" spans="1:27" ht="21" hidden="1" customHeight="1" x14ac:dyDescent="0.35">
      <c r="A600" s="40" t="str">
        <f>IF($AA599=0,"",IF(LEN(INDEX(Quotes!$V$9:$V$258,$AA599)&amp;"")=0,"",INDEX(Quotes!$V$9:$V$258,$AA599)))</f>
        <v/>
      </c>
      <c r="B600" s="39"/>
      <c r="C600" s="39"/>
      <c r="D600" s="39"/>
      <c r="E600" s="39"/>
      <c r="F600" s="39"/>
      <c r="G600" s="39"/>
      <c r="H600" s="40" t="str">
        <f>IF($AA599=0,"",IF(LEN(INDEX(Quotes!$W$9:$W$258,$AA599)&amp;"")=0,"",INDEX(Quotes!$W$9:$W$258,$AA599)))</f>
        <v/>
      </c>
      <c r="I600" s="39"/>
      <c r="J600" s="39"/>
      <c r="K600" s="39"/>
      <c r="L600" s="39"/>
      <c r="M600" s="39"/>
      <c r="N600" s="39"/>
      <c r="O600" s="39"/>
      <c r="P600" s="39"/>
      <c r="Q600" s="39"/>
      <c r="R600" s="77" t="str">
        <f>IF($AA599=0,"",IF(LEN(INDEX(Quotes!$X$9:$X$258,$AA599)&amp;"")=0,"",INDEX(Quotes!$X$9:$X$258,$AA599)))</f>
        <v/>
      </c>
      <c r="S600" s="39"/>
      <c r="T600" s="39"/>
      <c r="U600" s="39"/>
      <c r="V600" s="39"/>
    </row>
    <row r="601" spans="1:27" ht="21" hidden="1" customHeight="1" x14ac:dyDescent="0.35">
      <c r="A601" s="83" t="str">
        <f>IF($AA599=0,"","ORIGINAL EUR")</f>
        <v/>
      </c>
      <c r="B601" s="39"/>
      <c r="C601" s="39"/>
      <c r="D601" s="39"/>
      <c r="E601" s="39"/>
      <c r="F601" s="39"/>
      <c r="G601" s="39"/>
      <c r="I601" s="83" t="str">
        <f>IF($AA599=0,"","LATEST EUR")</f>
        <v/>
      </c>
      <c r="J601" s="39"/>
      <c r="K601" s="39"/>
      <c r="L601" s="39"/>
      <c r="M601" s="39"/>
      <c r="N601" s="39"/>
      <c r="O601" s="39"/>
      <c r="Q601" s="83" t="str">
        <f>IF($AA599=0,"","SAVED EUR")</f>
        <v/>
      </c>
      <c r="R601" s="39"/>
      <c r="S601" s="39"/>
      <c r="T601" s="39"/>
      <c r="U601" s="39"/>
      <c r="V601" s="39"/>
    </row>
    <row r="602" spans="1:27" ht="21" hidden="1" customHeight="1" x14ac:dyDescent="0.35">
      <c r="A602" s="82" t="str">
        <f>IF($AA599=0,"",IF(LEN(INDEX(Quotes!$AB$9:$AB$258,$AA599)&amp;"")=0,"",INDEX(Quotes!$AB$9:$AB$258,$AA599)))</f>
        <v/>
      </c>
      <c r="B602" s="39"/>
      <c r="C602" s="39"/>
      <c r="D602" s="39"/>
      <c r="E602" s="39"/>
      <c r="F602" s="39"/>
      <c r="G602" s="39"/>
      <c r="I602" s="82" t="str">
        <f>IF($AA599=0,"",IF(LEN(INDEX(Quotes!$AD$9:$AD$258,$AA599)&amp;"")=0,"",INDEX(Quotes!$AD$9:$AD$258,$AA599)))</f>
        <v/>
      </c>
      <c r="J602" s="39"/>
      <c r="K602" s="39"/>
      <c r="L602" s="39"/>
      <c r="M602" s="39"/>
      <c r="N602" s="39"/>
      <c r="O602" s="39"/>
      <c r="Q602" s="82" t="str">
        <f>IF($AA599=0,"",IF(LEN(INDEX(Quotes!$AF$9:$AF$258,$AA599)&amp;"")=0,"",INDEX(Quotes!$AF$9:$AF$258,$AA599)))</f>
        <v/>
      </c>
      <c r="R602" s="39"/>
      <c r="S602" s="39"/>
      <c r="T602" s="39"/>
      <c r="U602" s="39"/>
      <c r="V602" s="39"/>
    </row>
    <row r="603" spans="1:27" ht="21" hidden="1" customHeight="1" x14ac:dyDescent="0.35">
      <c r="A603" s="48" t="str">
        <f>IF($AA599=0,"","Reference: "&amp;IF(INDEX(Quotes!$M$9:$M$258,$AA599)="",INDEX(Quotes!$S$9:$S$258,$AA599),INDEX(Quotes!$M$9:$M$258,$AA599)))</f>
        <v/>
      </c>
      <c r="B603" s="39"/>
      <c r="C603" s="39"/>
      <c r="D603" s="39"/>
      <c r="E603" s="39"/>
      <c r="F603" s="39"/>
      <c r="G603" s="39"/>
      <c r="H603" s="39"/>
      <c r="I603" s="39"/>
      <c r="J603" s="39"/>
      <c r="K603" s="39"/>
      <c r="L603" s="39"/>
      <c r="M603" s="39"/>
      <c r="N603" s="39"/>
      <c r="O603" s="39"/>
      <c r="P603" s="39"/>
      <c r="Q603" s="48" t="str">
        <f>IF($AA599=0,"",INDEX(Quotes!$E$9:$E$258,$AA599))</f>
        <v/>
      </c>
      <c r="R603" s="39"/>
      <c r="S603" s="39"/>
      <c r="T603" s="39"/>
      <c r="U603" s="39"/>
      <c r="V603" s="39"/>
    </row>
    <row r="604" spans="1:27" ht="21" hidden="1" customHeight="1" x14ac:dyDescent="0.35">
      <c r="A604" s="81" t="str">
        <f>IF($AA599=0,"",IF(INDEX(Quotes!$N$9:$N$258,$AA599)="","No original link","Original quote"))</f>
        <v/>
      </c>
      <c r="B604" s="39"/>
      <c r="C604" s="39"/>
      <c r="D604" s="39"/>
      <c r="E604" s="39"/>
      <c r="F604" s="39"/>
      <c r="G604" s="39"/>
      <c r="I604" s="81" t="str">
        <f>IF($AA599=0,"",IF(INDEX(Quotes!$O$9:$O$258,$AA599)="","No revised link","Revised quote"))</f>
        <v/>
      </c>
      <c r="J604" s="39"/>
      <c r="K604" s="39"/>
      <c r="L604" s="39"/>
      <c r="M604" s="39"/>
      <c r="N604" s="39"/>
      <c r="O604" s="39"/>
      <c r="Q604" s="81" t="str">
        <f>IF($AA599=0,"",HYPERLINK("#'Quotes'!A"&amp;($AA599+8),"Open quote record"))</f>
        <v/>
      </c>
      <c r="R604" s="39"/>
      <c r="S604" s="39"/>
      <c r="T604" s="39"/>
      <c r="U604" s="39"/>
      <c r="V604" s="39"/>
    </row>
    <row r="605" spans="1:27" ht="21" hidden="1" customHeight="1" x14ac:dyDescent="0.35"/>
    <row r="606" spans="1:27" hidden="1" x14ac:dyDescent="0.35"/>
    <row r="607" spans="1:27" hidden="1" x14ac:dyDescent="0.35"/>
    <row r="608" spans="1:27" hidden="1" x14ac:dyDescent="0.35"/>
    <row r="609" spans="1:27" hidden="1" x14ac:dyDescent="0.35">
      <c r="A609" s="67" t="s">
        <v>655</v>
      </c>
      <c r="B609" s="39"/>
      <c r="C609" s="39"/>
      <c r="D609" s="39"/>
      <c r="E609" s="39"/>
      <c r="F609" s="39"/>
      <c r="G609" s="39"/>
      <c r="H609" s="39"/>
      <c r="I609" s="39"/>
      <c r="J609" s="39"/>
      <c r="K609" s="39"/>
      <c r="L609" s="39"/>
      <c r="M609" s="39"/>
      <c r="N609" s="39"/>
      <c r="O609" s="39"/>
      <c r="P609" s="39"/>
      <c r="Q609" s="39"/>
      <c r="R609" s="39"/>
      <c r="S609" s="39"/>
      <c r="T609" s="39"/>
      <c r="U609" s="39"/>
      <c r="V609" s="39"/>
    </row>
    <row r="610" spans="1:27" ht="29" hidden="1" customHeight="1" x14ac:dyDescent="0.35">
      <c r="A610" s="84" t="str">
        <f>IF($AA610=0,"",IF(LEN(INDEX(Quotes!$U$9:$U$258,$AA610)&amp;"")=0,"",INDEX(Quotes!$U$9:$U$258,$AA610)))</f>
        <v/>
      </c>
      <c r="B610" s="39"/>
      <c r="C610" s="39"/>
      <c r="D610" s="39"/>
      <c r="E610" s="39"/>
      <c r="F610" s="39"/>
      <c r="G610" s="39"/>
      <c r="H610" s="39"/>
      <c r="I610" s="39"/>
      <c r="J610" s="39"/>
      <c r="K610" s="85" t="str">
        <f>IF($AA610=0,"",IF(LEN(INDEX(Quotes!$Z$9:$Z$258,$AA610)&amp;"")=0,"",INDEX(Quotes!$Z$9:$Z$258,$AA610)))</f>
        <v/>
      </c>
      <c r="L610" s="39"/>
      <c r="M610" s="39"/>
      <c r="N610" s="39"/>
      <c r="O610" s="39"/>
      <c r="P610" s="39"/>
      <c r="Q610" s="39"/>
      <c r="R610" s="39"/>
      <c r="S610" s="39"/>
      <c r="T610" s="39"/>
      <c r="U610" s="39"/>
      <c r="V610" s="39"/>
      <c r="AA610">
        <f>IFERROR(MATCH(61,Quotes!$AK$9:$AK$258,0),0)</f>
        <v>0</v>
      </c>
    </row>
    <row r="611" spans="1:27" ht="21" hidden="1" customHeight="1" x14ac:dyDescent="0.35">
      <c r="A611" s="40" t="str">
        <f>IF($AA610=0,"",IF(LEN(INDEX(Quotes!$V$9:$V$258,$AA610)&amp;"")=0,"",INDEX(Quotes!$V$9:$V$258,$AA610)))</f>
        <v/>
      </c>
      <c r="B611" s="39"/>
      <c r="C611" s="39"/>
      <c r="D611" s="39"/>
      <c r="E611" s="39"/>
      <c r="F611" s="39"/>
      <c r="G611" s="39"/>
      <c r="H611" s="40" t="str">
        <f>IF($AA610=0,"",IF(LEN(INDEX(Quotes!$W$9:$W$258,$AA610)&amp;"")=0,"",INDEX(Quotes!$W$9:$W$258,$AA610)))</f>
        <v/>
      </c>
      <c r="I611" s="39"/>
      <c r="J611" s="39"/>
      <c r="K611" s="39"/>
      <c r="L611" s="39"/>
      <c r="M611" s="39"/>
      <c r="N611" s="39"/>
      <c r="O611" s="39"/>
      <c r="P611" s="39"/>
      <c r="Q611" s="39"/>
      <c r="R611" s="77" t="str">
        <f>IF($AA610=0,"",IF(LEN(INDEX(Quotes!$X$9:$X$258,$AA610)&amp;"")=0,"",INDEX(Quotes!$X$9:$X$258,$AA610)))</f>
        <v/>
      </c>
      <c r="S611" s="39"/>
      <c r="T611" s="39"/>
      <c r="U611" s="39"/>
      <c r="V611" s="39"/>
    </row>
    <row r="612" spans="1:27" ht="21" hidden="1" customHeight="1" x14ac:dyDescent="0.35">
      <c r="A612" s="83" t="str">
        <f>IF($AA610=0,"","ORIGINAL EUR")</f>
        <v/>
      </c>
      <c r="B612" s="39"/>
      <c r="C612" s="39"/>
      <c r="D612" s="39"/>
      <c r="E612" s="39"/>
      <c r="F612" s="39"/>
      <c r="G612" s="39"/>
      <c r="I612" s="83" t="str">
        <f>IF($AA610=0,"","LATEST EUR")</f>
        <v/>
      </c>
      <c r="J612" s="39"/>
      <c r="K612" s="39"/>
      <c r="L612" s="39"/>
      <c r="M612" s="39"/>
      <c r="N612" s="39"/>
      <c r="O612" s="39"/>
      <c r="Q612" s="83" t="str">
        <f>IF($AA610=0,"","SAVED EUR")</f>
        <v/>
      </c>
      <c r="R612" s="39"/>
      <c r="S612" s="39"/>
      <c r="T612" s="39"/>
      <c r="U612" s="39"/>
      <c r="V612" s="39"/>
    </row>
    <row r="613" spans="1:27" ht="21" hidden="1" customHeight="1" x14ac:dyDescent="0.35">
      <c r="A613" s="82" t="str">
        <f>IF($AA610=0,"",IF(LEN(INDEX(Quotes!$AB$9:$AB$258,$AA610)&amp;"")=0,"",INDEX(Quotes!$AB$9:$AB$258,$AA610)))</f>
        <v/>
      </c>
      <c r="B613" s="39"/>
      <c r="C613" s="39"/>
      <c r="D613" s="39"/>
      <c r="E613" s="39"/>
      <c r="F613" s="39"/>
      <c r="G613" s="39"/>
      <c r="I613" s="82" t="str">
        <f>IF($AA610=0,"",IF(LEN(INDEX(Quotes!$AD$9:$AD$258,$AA610)&amp;"")=0,"",INDEX(Quotes!$AD$9:$AD$258,$AA610)))</f>
        <v/>
      </c>
      <c r="J613" s="39"/>
      <c r="K613" s="39"/>
      <c r="L613" s="39"/>
      <c r="M613" s="39"/>
      <c r="N613" s="39"/>
      <c r="O613" s="39"/>
      <c r="Q613" s="82" t="str">
        <f>IF($AA610=0,"",IF(LEN(INDEX(Quotes!$AF$9:$AF$258,$AA610)&amp;"")=0,"",INDEX(Quotes!$AF$9:$AF$258,$AA610)))</f>
        <v/>
      </c>
      <c r="R613" s="39"/>
      <c r="S613" s="39"/>
      <c r="T613" s="39"/>
      <c r="U613" s="39"/>
      <c r="V613" s="39"/>
    </row>
    <row r="614" spans="1:27" ht="21" hidden="1" customHeight="1" x14ac:dyDescent="0.35">
      <c r="A614" s="48" t="str">
        <f>IF($AA610=0,"","Reference: "&amp;IF(INDEX(Quotes!$M$9:$M$258,$AA610)="",INDEX(Quotes!$S$9:$S$258,$AA610),INDEX(Quotes!$M$9:$M$258,$AA610)))</f>
        <v/>
      </c>
      <c r="B614" s="39"/>
      <c r="C614" s="39"/>
      <c r="D614" s="39"/>
      <c r="E614" s="39"/>
      <c r="F614" s="39"/>
      <c r="G614" s="39"/>
      <c r="H614" s="39"/>
      <c r="I614" s="39"/>
      <c r="J614" s="39"/>
      <c r="K614" s="39"/>
      <c r="L614" s="39"/>
      <c r="M614" s="39"/>
      <c r="N614" s="39"/>
      <c r="O614" s="39"/>
      <c r="P614" s="39"/>
      <c r="Q614" s="48" t="str">
        <f>IF($AA610=0,"",INDEX(Quotes!$E$9:$E$258,$AA610))</f>
        <v/>
      </c>
      <c r="R614" s="39"/>
      <c r="S614" s="39"/>
      <c r="T614" s="39"/>
      <c r="U614" s="39"/>
      <c r="V614" s="39"/>
    </row>
    <row r="615" spans="1:27" ht="21" hidden="1" customHeight="1" x14ac:dyDescent="0.35">
      <c r="A615" s="81" t="str">
        <f>IF($AA610=0,"",IF(INDEX(Quotes!$N$9:$N$258,$AA610)="","No original link","Original quote"))</f>
        <v/>
      </c>
      <c r="B615" s="39"/>
      <c r="C615" s="39"/>
      <c r="D615" s="39"/>
      <c r="E615" s="39"/>
      <c r="F615" s="39"/>
      <c r="G615" s="39"/>
      <c r="I615" s="81" t="str">
        <f>IF($AA610=0,"",IF(INDEX(Quotes!$O$9:$O$258,$AA610)="","No revised link","Revised quote"))</f>
        <v/>
      </c>
      <c r="J615" s="39"/>
      <c r="K615" s="39"/>
      <c r="L615" s="39"/>
      <c r="M615" s="39"/>
      <c r="N615" s="39"/>
      <c r="O615" s="39"/>
      <c r="Q615" s="81" t="str">
        <f>IF($AA610=0,"",HYPERLINK("#'Quotes'!A"&amp;($AA610+8),"Open quote record"))</f>
        <v/>
      </c>
      <c r="R615" s="39"/>
      <c r="S615" s="39"/>
      <c r="T615" s="39"/>
      <c r="U615" s="39"/>
      <c r="V615" s="39"/>
    </row>
    <row r="616" spans="1:27" ht="21" hidden="1" customHeight="1" x14ac:dyDescent="0.35"/>
    <row r="617" spans="1:27" hidden="1" x14ac:dyDescent="0.35"/>
    <row r="618" spans="1:27" hidden="1" x14ac:dyDescent="0.35"/>
    <row r="619" spans="1:27" ht="29" hidden="1" customHeight="1" x14ac:dyDescent="0.35">
      <c r="A619" s="84" t="str">
        <f>IF($AA619=0,"",IF(LEN(INDEX(Quotes!$U$9:$U$258,$AA619)&amp;"")=0,"",INDEX(Quotes!$U$9:$U$258,$AA619)))</f>
        <v/>
      </c>
      <c r="B619" s="39"/>
      <c r="C619" s="39"/>
      <c r="D619" s="39"/>
      <c r="E619" s="39"/>
      <c r="F619" s="39"/>
      <c r="G619" s="39"/>
      <c r="H619" s="39"/>
      <c r="I619" s="39"/>
      <c r="J619" s="39"/>
      <c r="K619" s="85" t="str">
        <f>IF($AA619=0,"",IF(LEN(INDEX(Quotes!$Z$9:$Z$258,$AA619)&amp;"")=0,"",INDEX(Quotes!$Z$9:$Z$258,$AA619)))</f>
        <v/>
      </c>
      <c r="L619" s="39"/>
      <c r="M619" s="39"/>
      <c r="N619" s="39"/>
      <c r="O619" s="39"/>
      <c r="P619" s="39"/>
      <c r="Q619" s="39"/>
      <c r="R619" s="39"/>
      <c r="S619" s="39"/>
      <c r="T619" s="39"/>
      <c r="U619" s="39"/>
      <c r="V619" s="39"/>
      <c r="AA619">
        <f>IFERROR(MATCH(62,Quotes!$AK$9:$AK$258,0),0)</f>
        <v>0</v>
      </c>
    </row>
    <row r="620" spans="1:27" ht="21" hidden="1" customHeight="1" x14ac:dyDescent="0.35">
      <c r="A620" s="40" t="str">
        <f>IF($AA619=0,"",IF(LEN(INDEX(Quotes!$V$9:$V$258,$AA619)&amp;"")=0,"",INDEX(Quotes!$V$9:$V$258,$AA619)))</f>
        <v/>
      </c>
      <c r="B620" s="39"/>
      <c r="C620" s="39"/>
      <c r="D620" s="39"/>
      <c r="E620" s="39"/>
      <c r="F620" s="39"/>
      <c r="G620" s="39"/>
      <c r="H620" s="40" t="str">
        <f>IF($AA619=0,"",IF(LEN(INDEX(Quotes!$W$9:$W$258,$AA619)&amp;"")=0,"",INDEX(Quotes!$W$9:$W$258,$AA619)))</f>
        <v/>
      </c>
      <c r="I620" s="39"/>
      <c r="J620" s="39"/>
      <c r="K620" s="39"/>
      <c r="L620" s="39"/>
      <c r="M620" s="39"/>
      <c r="N620" s="39"/>
      <c r="O620" s="39"/>
      <c r="P620" s="39"/>
      <c r="Q620" s="39"/>
      <c r="R620" s="77" t="str">
        <f>IF($AA619=0,"",IF(LEN(INDEX(Quotes!$X$9:$X$258,$AA619)&amp;"")=0,"",INDEX(Quotes!$X$9:$X$258,$AA619)))</f>
        <v/>
      </c>
      <c r="S620" s="39"/>
      <c r="T620" s="39"/>
      <c r="U620" s="39"/>
      <c r="V620" s="39"/>
    </row>
    <row r="621" spans="1:27" ht="21" hidden="1" customHeight="1" x14ac:dyDescent="0.35">
      <c r="A621" s="83" t="str">
        <f>IF($AA619=0,"","ORIGINAL EUR")</f>
        <v/>
      </c>
      <c r="B621" s="39"/>
      <c r="C621" s="39"/>
      <c r="D621" s="39"/>
      <c r="E621" s="39"/>
      <c r="F621" s="39"/>
      <c r="G621" s="39"/>
      <c r="I621" s="83" t="str">
        <f>IF($AA619=0,"","LATEST EUR")</f>
        <v/>
      </c>
      <c r="J621" s="39"/>
      <c r="K621" s="39"/>
      <c r="L621" s="39"/>
      <c r="M621" s="39"/>
      <c r="N621" s="39"/>
      <c r="O621" s="39"/>
      <c r="Q621" s="83" t="str">
        <f>IF($AA619=0,"","SAVED EUR")</f>
        <v/>
      </c>
      <c r="R621" s="39"/>
      <c r="S621" s="39"/>
      <c r="T621" s="39"/>
      <c r="U621" s="39"/>
      <c r="V621" s="39"/>
    </row>
    <row r="622" spans="1:27" ht="21" hidden="1" customHeight="1" x14ac:dyDescent="0.35">
      <c r="A622" s="82" t="str">
        <f>IF($AA619=0,"",IF(LEN(INDEX(Quotes!$AB$9:$AB$258,$AA619)&amp;"")=0,"",INDEX(Quotes!$AB$9:$AB$258,$AA619)))</f>
        <v/>
      </c>
      <c r="B622" s="39"/>
      <c r="C622" s="39"/>
      <c r="D622" s="39"/>
      <c r="E622" s="39"/>
      <c r="F622" s="39"/>
      <c r="G622" s="39"/>
      <c r="I622" s="82" t="str">
        <f>IF($AA619=0,"",IF(LEN(INDEX(Quotes!$AD$9:$AD$258,$AA619)&amp;"")=0,"",INDEX(Quotes!$AD$9:$AD$258,$AA619)))</f>
        <v/>
      </c>
      <c r="J622" s="39"/>
      <c r="K622" s="39"/>
      <c r="L622" s="39"/>
      <c r="M622" s="39"/>
      <c r="N622" s="39"/>
      <c r="O622" s="39"/>
      <c r="Q622" s="82" t="str">
        <f>IF($AA619=0,"",IF(LEN(INDEX(Quotes!$AF$9:$AF$258,$AA619)&amp;"")=0,"",INDEX(Quotes!$AF$9:$AF$258,$AA619)))</f>
        <v/>
      </c>
      <c r="R622" s="39"/>
      <c r="S622" s="39"/>
      <c r="T622" s="39"/>
      <c r="U622" s="39"/>
      <c r="V622" s="39"/>
    </row>
    <row r="623" spans="1:27" ht="21" hidden="1" customHeight="1" x14ac:dyDescent="0.35">
      <c r="A623" s="48" t="str">
        <f>IF($AA619=0,"","Reference: "&amp;IF(INDEX(Quotes!$M$9:$M$258,$AA619)="",INDEX(Quotes!$S$9:$S$258,$AA619),INDEX(Quotes!$M$9:$M$258,$AA619)))</f>
        <v/>
      </c>
      <c r="B623" s="39"/>
      <c r="C623" s="39"/>
      <c r="D623" s="39"/>
      <c r="E623" s="39"/>
      <c r="F623" s="39"/>
      <c r="G623" s="39"/>
      <c r="H623" s="39"/>
      <c r="I623" s="39"/>
      <c r="J623" s="39"/>
      <c r="K623" s="39"/>
      <c r="L623" s="39"/>
      <c r="M623" s="39"/>
      <c r="N623" s="39"/>
      <c r="O623" s="39"/>
      <c r="P623" s="39"/>
      <c r="Q623" s="48" t="str">
        <f>IF($AA619=0,"",INDEX(Quotes!$E$9:$E$258,$AA619))</f>
        <v/>
      </c>
      <c r="R623" s="39"/>
      <c r="S623" s="39"/>
      <c r="T623" s="39"/>
      <c r="U623" s="39"/>
      <c r="V623" s="39"/>
    </row>
    <row r="624" spans="1:27" ht="21" hidden="1" customHeight="1" x14ac:dyDescent="0.35">
      <c r="A624" s="81" t="str">
        <f>IF($AA619=0,"",IF(INDEX(Quotes!$N$9:$N$258,$AA619)="","No original link","Original quote"))</f>
        <v/>
      </c>
      <c r="B624" s="39"/>
      <c r="C624" s="39"/>
      <c r="D624" s="39"/>
      <c r="E624" s="39"/>
      <c r="F624" s="39"/>
      <c r="G624" s="39"/>
      <c r="I624" s="81" t="str">
        <f>IF($AA619=0,"",IF(INDEX(Quotes!$O$9:$O$258,$AA619)="","No revised link","Revised quote"))</f>
        <v/>
      </c>
      <c r="J624" s="39"/>
      <c r="K624" s="39"/>
      <c r="L624" s="39"/>
      <c r="M624" s="39"/>
      <c r="N624" s="39"/>
      <c r="O624" s="39"/>
      <c r="Q624" s="81" t="str">
        <f>IF($AA619=0,"",HYPERLINK("#'Quotes'!A"&amp;($AA619+8),"Open quote record"))</f>
        <v/>
      </c>
      <c r="R624" s="39"/>
      <c r="S624" s="39"/>
      <c r="T624" s="39"/>
      <c r="U624" s="39"/>
      <c r="V624" s="39"/>
    </row>
    <row r="625" spans="1:27" ht="21" hidden="1" customHeight="1" x14ac:dyDescent="0.35"/>
    <row r="626" spans="1:27" hidden="1" x14ac:dyDescent="0.35"/>
    <row r="627" spans="1:27" hidden="1" x14ac:dyDescent="0.35"/>
    <row r="628" spans="1:27" ht="29" hidden="1" customHeight="1" x14ac:dyDescent="0.35">
      <c r="A628" s="84" t="str">
        <f>IF($AA628=0,"",IF(LEN(INDEX(Quotes!$U$9:$U$258,$AA628)&amp;"")=0,"",INDEX(Quotes!$U$9:$U$258,$AA628)))</f>
        <v/>
      </c>
      <c r="B628" s="39"/>
      <c r="C628" s="39"/>
      <c r="D628" s="39"/>
      <c r="E628" s="39"/>
      <c r="F628" s="39"/>
      <c r="G628" s="39"/>
      <c r="H628" s="39"/>
      <c r="I628" s="39"/>
      <c r="J628" s="39"/>
      <c r="K628" s="85" t="str">
        <f>IF($AA628=0,"",IF(LEN(INDEX(Quotes!$Z$9:$Z$258,$AA628)&amp;"")=0,"",INDEX(Quotes!$Z$9:$Z$258,$AA628)))</f>
        <v/>
      </c>
      <c r="L628" s="39"/>
      <c r="M628" s="39"/>
      <c r="N628" s="39"/>
      <c r="O628" s="39"/>
      <c r="P628" s="39"/>
      <c r="Q628" s="39"/>
      <c r="R628" s="39"/>
      <c r="S628" s="39"/>
      <c r="T628" s="39"/>
      <c r="U628" s="39"/>
      <c r="V628" s="39"/>
      <c r="AA628">
        <f>IFERROR(MATCH(63,Quotes!$AK$9:$AK$258,0),0)</f>
        <v>0</v>
      </c>
    </row>
    <row r="629" spans="1:27" ht="21" hidden="1" customHeight="1" x14ac:dyDescent="0.35">
      <c r="A629" s="40" t="str">
        <f>IF($AA628=0,"",IF(LEN(INDEX(Quotes!$V$9:$V$258,$AA628)&amp;"")=0,"",INDEX(Quotes!$V$9:$V$258,$AA628)))</f>
        <v/>
      </c>
      <c r="B629" s="39"/>
      <c r="C629" s="39"/>
      <c r="D629" s="39"/>
      <c r="E629" s="39"/>
      <c r="F629" s="39"/>
      <c r="G629" s="39"/>
      <c r="H629" s="40" t="str">
        <f>IF($AA628=0,"",IF(LEN(INDEX(Quotes!$W$9:$W$258,$AA628)&amp;"")=0,"",INDEX(Quotes!$W$9:$W$258,$AA628)))</f>
        <v/>
      </c>
      <c r="I629" s="39"/>
      <c r="J629" s="39"/>
      <c r="K629" s="39"/>
      <c r="L629" s="39"/>
      <c r="M629" s="39"/>
      <c r="N629" s="39"/>
      <c r="O629" s="39"/>
      <c r="P629" s="39"/>
      <c r="Q629" s="39"/>
      <c r="R629" s="77" t="str">
        <f>IF($AA628=0,"",IF(LEN(INDEX(Quotes!$X$9:$X$258,$AA628)&amp;"")=0,"",INDEX(Quotes!$X$9:$X$258,$AA628)))</f>
        <v/>
      </c>
      <c r="S629" s="39"/>
      <c r="T629" s="39"/>
      <c r="U629" s="39"/>
      <c r="V629" s="39"/>
    </row>
    <row r="630" spans="1:27" ht="21" hidden="1" customHeight="1" x14ac:dyDescent="0.35">
      <c r="A630" s="83" t="str">
        <f>IF($AA628=0,"","ORIGINAL EUR")</f>
        <v/>
      </c>
      <c r="B630" s="39"/>
      <c r="C630" s="39"/>
      <c r="D630" s="39"/>
      <c r="E630" s="39"/>
      <c r="F630" s="39"/>
      <c r="G630" s="39"/>
      <c r="I630" s="83" t="str">
        <f>IF($AA628=0,"","LATEST EUR")</f>
        <v/>
      </c>
      <c r="J630" s="39"/>
      <c r="K630" s="39"/>
      <c r="L630" s="39"/>
      <c r="M630" s="39"/>
      <c r="N630" s="39"/>
      <c r="O630" s="39"/>
      <c r="Q630" s="83" t="str">
        <f>IF($AA628=0,"","SAVED EUR")</f>
        <v/>
      </c>
      <c r="R630" s="39"/>
      <c r="S630" s="39"/>
      <c r="T630" s="39"/>
      <c r="U630" s="39"/>
      <c r="V630" s="39"/>
    </row>
    <row r="631" spans="1:27" ht="21" hidden="1" customHeight="1" x14ac:dyDescent="0.35">
      <c r="A631" s="82" t="str">
        <f>IF($AA628=0,"",IF(LEN(INDEX(Quotes!$AB$9:$AB$258,$AA628)&amp;"")=0,"",INDEX(Quotes!$AB$9:$AB$258,$AA628)))</f>
        <v/>
      </c>
      <c r="B631" s="39"/>
      <c r="C631" s="39"/>
      <c r="D631" s="39"/>
      <c r="E631" s="39"/>
      <c r="F631" s="39"/>
      <c r="G631" s="39"/>
      <c r="I631" s="82" t="str">
        <f>IF($AA628=0,"",IF(LEN(INDEX(Quotes!$AD$9:$AD$258,$AA628)&amp;"")=0,"",INDEX(Quotes!$AD$9:$AD$258,$AA628)))</f>
        <v/>
      </c>
      <c r="J631" s="39"/>
      <c r="K631" s="39"/>
      <c r="L631" s="39"/>
      <c r="M631" s="39"/>
      <c r="N631" s="39"/>
      <c r="O631" s="39"/>
      <c r="Q631" s="82" t="str">
        <f>IF($AA628=0,"",IF(LEN(INDEX(Quotes!$AF$9:$AF$258,$AA628)&amp;"")=0,"",INDEX(Quotes!$AF$9:$AF$258,$AA628)))</f>
        <v/>
      </c>
      <c r="R631" s="39"/>
      <c r="S631" s="39"/>
      <c r="T631" s="39"/>
      <c r="U631" s="39"/>
      <c r="V631" s="39"/>
    </row>
    <row r="632" spans="1:27" ht="21" hidden="1" customHeight="1" x14ac:dyDescent="0.35">
      <c r="A632" s="48" t="str">
        <f>IF($AA628=0,"","Reference: "&amp;IF(INDEX(Quotes!$M$9:$M$258,$AA628)="",INDEX(Quotes!$S$9:$S$258,$AA628),INDEX(Quotes!$M$9:$M$258,$AA628)))</f>
        <v/>
      </c>
      <c r="B632" s="39"/>
      <c r="C632" s="39"/>
      <c r="D632" s="39"/>
      <c r="E632" s="39"/>
      <c r="F632" s="39"/>
      <c r="G632" s="39"/>
      <c r="H632" s="39"/>
      <c r="I632" s="39"/>
      <c r="J632" s="39"/>
      <c r="K632" s="39"/>
      <c r="L632" s="39"/>
      <c r="M632" s="39"/>
      <c r="N632" s="39"/>
      <c r="O632" s="39"/>
      <c r="P632" s="39"/>
      <c r="Q632" s="48" t="str">
        <f>IF($AA628=0,"",INDEX(Quotes!$E$9:$E$258,$AA628))</f>
        <v/>
      </c>
      <c r="R632" s="39"/>
      <c r="S632" s="39"/>
      <c r="T632" s="39"/>
      <c r="U632" s="39"/>
      <c r="V632" s="39"/>
    </row>
    <row r="633" spans="1:27" ht="21" hidden="1" customHeight="1" x14ac:dyDescent="0.35">
      <c r="A633" s="81" t="str">
        <f>IF($AA628=0,"",IF(INDEX(Quotes!$N$9:$N$258,$AA628)="","No original link","Original quote"))</f>
        <v/>
      </c>
      <c r="B633" s="39"/>
      <c r="C633" s="39"/>
      <c r="D633" s="39"/>
      <c r="E633" s="39"/>
      <c r="F633" s="39"/>
      <c r="G633" s="39"/>
      <c r="I633" s="81" t="str">
        <f>IF($AA628=0,"",IF(INDEX(Quotes!$O$9:$O$258,$AA628)="","No revised link","Revised quote"))</f>
        <v/>
      </c>
      <c r="J633" s="39"/>
      <c r="K633" s="39"/>
      <c r="L633" s="39"/>
      <c r="M633" s="39"/>
      <c r="N633" s="39"/>
      <c r="O633" s="39"/>
      <c r="Q633" s="81" t="str">
        <f>IF($AA628=0,"",HYPERLINK("#'Quotes'!A"&amp;($AA628+8),"Open quote record"))</f>
        <v/>
      </c>
      <c r="R633" s="39"/>
      <c r="S633" s="39"/>
      <c r="T633" s="39"/>
      <c r="U633" s="39"/>
      <c r="V633" s="39"/>
    </row>
    <row r="634" spans="1:27" ht="21" hidden="1" customHeight="1" x14ac:dyDescent="0.35"/>
    <row r="635" spans="1:27" hidden="1" x14ac:dyDescent="0.35"/>
    <row r="636" spans="1:27" hidden="1" x14ac:dyDescent="0.35"/>
    <row r="637" spans="1:27" ht="29" hidden="1" customHeight="1" x14ac:dyDescent="0.35">
      <c r="A637" s="84" t="str">
        <f>IF($AA637=0,"",IF(LEN(INDEX(Quotes!$U$9:$U$258,$AA637)&amp;"")=0,"",INDEX(Quotes!$U$9:$U$258,$AA637)))</f>
        <v/>
      </c>
      <c r="B637" s="39"/>
      <c r="C637" s="39"/>
      <c r="D637" s="39"/>
      <c r="E637" s="39"/>
      <c r="F637" s="39"/>
      <c r="G637" s="39"/>
      <c r="H637" s="39"/>
      <c r="I637" s="39"/>
      <c r="J637" s="39"/>
      <c r="K637" s="85" t="str">
        <f>IF($AA637=0,"",IF(LEN(INDEX(Quotes!$Z$9:$Z$258,$AA637)&amp;"")=0,"",INDEX(Quotes!$Z$9:$Z$258,$AA637)))</f>
        <v/>
      </c>
      <c r="L637" s="39"/>
      <c r="M637" s="39"/>
      <c r="N637" s="39"/>
      <c r="O637" s="39"/>
      <c r="P637" s="39"/>
      <c r="Q637" s="39"/>
      <c r="R637" s="39"/>
      <c r="S637" s="39"/>
      <c r="T637" s="39"/>
      <c r="U637" s="39"/>
      <c r="V637" s="39"/>
      <c r="AA637">
        <f>IFERROR(MATCH(64,Quotes!$AK$9:$AK$258,0),0)</f>
        <v>0</v>
      </c>
    </row>
    <row r="638" spans="1:27" ht="21" hidden="1" customHeight="1" x14ac:dyDescent="0.35">
      <c r="A638" s="40" t="str">
        <f>IF($AA637=0,"",IF(LEN(INDEX(Quotes!$V$9:$V$258,$AA637)&amp;"")=0,"",INDEX(Quotes!$V$9:$V$258,$AA637)))</f>
        <v/>
      </c>
      <c r="B638" s="39"/>
      <c r="C638" s="39"/>
      <c r="D638" s="39"/>
      <c r="E638" s="39"/>
      <c r="F638" s="39"/>
      <c r="G638" s="39"/>
      <c r="H638" s="40" t="str">
        <f>IF($AA637=0,"",IF(LEN(INDEX(Quotes!$W$9:$W$258,$AA637)&amp;"")=0,"",INDEX(Quotes!$W$9:$W$258,$AA637)))</f>
        <v/>
      </c>
      <c r="I638" s="39"/>
      <c r="J638" s="39"/>
      <c r="K638" s="39"/>
      <c r="L638" s="39"/>
      <c r="M638" s="39"/>
      <c r="N638" s="39"/>
      <c r="O638" s="39"/>
      <c r="P638" s="39"/>
      <c r="Q638" s="39"/>
      <c r="R638" s="77" t="str">
        <f>IF($AA637=0,"",IF(LEN(INDEX(Quotes!$X$9:$X$258,$AA637)&amp;"")=0,"",INDEX(Quotes!$X$9:$X$258,$AA637)))</f>
        <v/>
      </c>
      <c r="S638" s="39"/>
      <c r="T638" s="39"/>
      <c r="U638" s="39"/>
      <c r="V638" s="39"/>
    </row>
    <row r="639" spans="1:27" ht="21" hidden="1" customHeight="1" x14ac:dyDescent="0.35">
      <c r="A639" s="83" t="str">
        <f>IF($AA637=0,"","ORIGINAL EUR")</f>
        <v/>
      </c>
      <c r="B639" s="39"/>
      <c r="C639" s="39"/>
      <c r="D639" s="39"/>
      <c r="E639" s="39"/>
      <c r="F639" s="39"/>
      <c r="G639" s="39"/>
      <c r="I639" s="83" t="str">
        <f>IF($AA637=0,"","LATEST EUR")</f>
        <v/>
      </c>
      <c r="J639" s="39"/>
      <c r="K639" s="39"/>
      <c r="L639" s="39"/>
      <c r="M639" s="39"/>
      <c r="N639" s="39"/>
      <c r="O639" s="39"/>
      <c r="Q639" s="83" t="str">
        <f>IF($AA637=0,"","SAVED EUR")</f>
        <v/>
      </c>
      <c r="R639" s="39"/>
      <c r="S639" s="39"/>
      <c r="T639" s="39"/>
      <c r="U639" s="39"/>
      <c r="V639" s="39"/>
    </row>
    <row r="640" spans="1:27" ht="21" hidden="1" customHeight="1" x14ac:dyDescent="0.35">
      <c r="A640" s="82" t="str">
        <f>IF($AA637=0,"",IF(LEN(INDEX(Quotes!$AB$9:$AB$258,$AA637)&amp;"")=0,"",INDEX(Quotes!$AB$9:$AB$258,$AA637)))</f>
        <v/>
      </c>
      <c r="B640" s="39"/>
      <c r="C640" s="39"/>
      <c r="D640" s="39"/>
      <c r="E640" s="39"/>
      <c r="F640" s="39"/>
      <c r="G640" s="39"/>
      <c r="I640" s="82" t="str">
        <f>IF($AA637=0,"",IF(LEN(INDEX(Quotes!$AD$9:$AD$258,$AA637)&amp;"")=0,"",INDEX(Quotes!$AD$9:$AD$258,$AA637)))</f>
        <v/>
      </c>
      <c r="J640" s="39"/>
      <c r="K640" s="39"/>
      <c r="L640" s="39"/>
      <c r="M640" s="39"/>
      <c r="N640" s="39"/>
      <c r="O640" s="39"/>
      <c r="Q640" s="82" t="str">
        <f>IF($AA637=0,"",IF(LEN(INDEX(Quotes!$AF$9:$AF$258,$AA637)&amp;"")=0,"",INDEX(Quotes!$AF$9:$AF$258,$AA637)))</f>
        <v/>
      </c>
      <c r="R640" s="39"/>
      <c r="S640" s="39"/>
      <c r="T640" s="39"/>
      <c r="U640" s="39"/>
      <c r="V640" s="39"/>
    </row>
    <row r="641" spans="1:27" ht="21" hidden="1" customHeight="1" x14ac:dyDescent="0.35">
      <c r="A641" s="48" t="str">
        <f>IF($AA637=0,"","Reference: "&amp;IF(INDEX(Quotes!$M$9:$M$258,$AA637)="",INDEX(Quotes!$S$9:$S$258,$AA637),INDEX(Quotes!$M$9:$M$258,$AA637)))</f>
        <v/>
      </c>
      <c r="B641" s="39"/>
      <c r="C641" s="39"/>
      <c r="D641" s="39"/>
      <c r="E641" s="39"/>
      <c r="F641" s="39"/>
      <c r="G641" s="39"/>
      <c r="H641" s="39"/>
      <c r="I641" s="39"/>
      <c r="J641" s="39"/>
      <c r="K641" s="39"/>
      <c r="L641" s="39"/>
      <c r="M641" s="39"/>
      <c r="N641" s="39"/>
      <c r="O641" s="39"/>
      <c r="P641" s="39"/>
      <c r="Q641" s="48" t="str">
        <f>IF($AA637=0,"",INDEX(Quotes!$E$9:$E$258,$AA637))</f>
        <v/>
      </c>
      <c r="R641" s="39"/>
      <c r="S641" s="39"/>
      <c r="T641" s="39"/>
      <c r="U641" s="39"/>
      <c r="V641" s="39"/>
    </row>
    <row r="642" spans="1:27" ht="21" hidden="1" customHeight="1" x14ac:dyDescent="0.35">
      <c r="A642" s="81" t="str">
        <f>IF($AA637=0,"",IF(INDEX(Quotes!$N$9:$N$258,$AA637)="","No original link","Original quote"))</f>
        <v/>
      </c>
      <c r="B642" s="39"/>
      <c r="C642" s="39"/>
      <c r="D642" s="39"/>
      <c r="E642" s="39"/>
      <c r="F642" s="39"/>
      <c r="G642" s="39"/>
      <c r="I642" s="81" t="str">
        <f>IF($AA637=0,"",IF(INDEX(Quotes!$O$9:$O$258,$AA637)="","No revised link","Revised quote"))</f>
        <v/>
      </c>
      <c r="J642" s="39"/>
      <c r="K642" s="39"/>
      <c r="L642" s="39"/>
      <c r="M642" s="39"/>
      <c r="N642" s="39"/>
      <c r="O642" s="39"/>
      <c r="Q642" s="81" t="str">
        <f>IF($AA637=0,"",HYPERLINK("#'Quotes'!A"&amp;($AA637+8),"Open quote record"))</f>
        <v/>
      </c>
      <c r="R642" s="39"/>
      <c r="S642" s="39"/>
      <c r="T642" s="39"/>
      <c r="U642" s="39"/>
      <c r="V642" s="39"/>
    </row>
    <row r="643" spans="1:27" ht="21" hidden="1" customHeight="1" x14ac:dyDescent="0.35"/>
    <row r="644" spans="1:27" hidden="1" x14ac:dyDescent="0.35"/>
    <row r="645" spans="1:27" hidden="1" x14ac:dyDescent="0.35"/>
    <row r="646" spans="1:27" hidden="1" x14ac:dyDescent="0.35"/>
    <row r="647" spans="1:27" hidden="1" x14ac:dyDescent="0.35">
      <c r="A647" s="67" t="s">
        <v>655</v>
      </c>
      <c r="B647" s="39"/>
      <c r="C647" s="39"/>
      <c r="D647" s="39"/>
      <c r="E647" s="39"/>
      <c r="F647" s="39"/>
      <c r="G647" s="39"/>
      <c r="H647" s="39"/>
      <c r="I647" s="39"/>
      <c r="J647" s="39"/>
      <c r="K647" s="39"/>
      <c r="L647" s="39"/>
      <c r="M647" s="39"/>
      <c r="N647" s="39"/>
      <c r="O647" s="39"/>
      <c r="P647" s="39"/>
      <c r="Q647" s="39"/>
      <c r="R647" s="39"/>
      <c r="S647" s="39"/>
      <c r="T647" s="39"/>
      <c r="U647" s="39"/>
      <c r="V647" s="39"/>
    </row>
    <row r="648" spans="1:27" ht="29" hidden="1" customHeight="1" x14ac:dyDescent="0.35">
      <c r="A648" s="84" t="str">
        <f>IF($AA648=0,"",IF(LEN(INDEX(Quotes!$U$9:$U$258,$AA648)&amp;"")=0,"",INDEX(Quotes!$U$9:$U$258,$AA648)))</f>
        <v/>
      </c>
      <c r="B648" s="39"/>
      <c r="C648" s="39"/>
      <c r="D648" s="39"/>
      <c r="E648" s="39"/>
      <c r="F648" s="39"/>
      <c r="G648" s="39"/>
      <c r="H648" s="39"/>
      <c r="I648" s="39"/>
      <c r="J648" s="39"/>
      <c r="K648" s="85" t="str">
        <f>IF($AA648=0,"",IF(LEN(INDEX(Quotes!$Z$9:$Z$258,$AA648)&amp;"")=0,"",INDEX(Quotes!$Z$9:$Z$258,$AA648)))</f>
        <v/>
      </c>
      <c r="L648" s="39"/>
      <c r="M648" s="39"/>
      <c r="N648" s="39"/>
      <c r="O648" s="39"/>
      <c r="P648" s="39"/>
      <c r="Q648" s="39"/>
      <c r="R648" s="39"/>
      <c r="S648" s="39"/>
      <c r="T648" s="39"/>
      <c r="U648" s="39"/>
      <c r="V648" s="39"/>
      <c r="AA648">
        <f>IFERROR(MATCH(65,Quotes!$AK$9:$AK$258,0),0)</f>
        <v>0</v>
      </c>
    </row>
    <row r="649" spans="1:27" ht="21" hidden="1" customHeight="1" x14ac:dyDescent="0.35">
      <c r="A649" s="40" t="str">
        <f>IF($AA648=0,"",IF(LEN(INDEX(Quotes!$V$9:$V$258,$AA648)&amp;"")=0,"",INDEX(Quotes!$V$9:$V$258,$AA648)))</f>
        <v/>
      </c>
      <c r="B649" s="39"/>
      <c r="C649" s="39"/>
      <c r="D649" s="39"/>
      <c r="E649" s="39"/>
      <c r="F649" s="39"/>
      <c r="G649" s="39"/>
      <c r="H649" s="40" t="str">
        <f>IF($AA648=0,"",IF(LEN(INDEX(Quotes!$W$9:$W$258,$AA648)&amp;"")=0,"",INDEX(Quotes!$W$9:$W$258,$AA648)))</f>
        <v/>
      </c>
      <c r="I649" s="39"/>
      <c r="J649" s="39"/>
      <c r="K649" s="39"/>
      <c r="L649" s="39"/>
      <c r="M649" s="39"/>
      <c r="N649" s="39"/>
      <c r="O649" s="39"/>
      <c r="P649" s="39"/>
      <c r="Q649" s="39"/>
      <c r="R649" s="77" t="str">
        <f>IF($AA648=0,"",IF(LEN(INDEX(Quotes!$X$9:$X$258,$AA648)&amp;"")=0,"",INDEX(Quotes!$X$9:$X$258,$AA648)))</f>
        <v/>
      </c>
      <c r="S649" s="39"/>
      <c r="T649" s="39"/>
      <c r="U649" s="39"/>
      <c r="V649" s="39"/>
    </row>
    <row r="650" spans="1:27" ht="21" hidden="1" customHeight="1" x14ac:dyDescent="0.35">
      <c r="A650" s="83" t="str">
        <f>IF($AA648=0,"","ORIGINAL EUR")</f>
        <v/>
      </c>
      <c r="B650" s="39"/>
      <c r="C650" s="39"/>
      <c r="D650" s="39"/>
      <c r="E650" s="39"/>
      <c r="F650" s="39"/>
      <c r="G650" s="39"/>
      <c r="I650" s="83" t="str">
        <f>IF($AA648=0,"","LATEST EUR")</f>
        <v/>
      </c>
      <c r="J650" s="39"/>
      <c r="K650" s="39"/>
      <c r="L650" s="39"/>
      <c r="M650" s="39"/>
      <c r="N650" s="39"/>
      <c r="O650" s="39"/>
      <c r="Q650" s="83" t="str">
        <f>IF($AA648=0,"","SAVED EUR")</f>
        <v/>
      </c>
      <c r="R650" s="39"/>
      <c r="S650" s="39"/>
      <c r="T650" s="39"/>
      <c r="U650" s="39"/>
      <c r="V650" s="39"/>
    </row>
    <row r="651" spans="1:27" ht="21" hidden="1" customHeight="1" x14ac:dyDescent="0.35">
      <c r="A651" s="82" t="str">
        <f>IF($AA648=0,"",IF(LEN(INDEX(Quotes!$AB$9:$AB$258,$AA648)&amp;"")=0,"",INDEX(Quotes!$AB$9:$AB$258,$AA648)))</f>
        <v/>
      </c>
      <c r="B651" s="39"/>
      <c r="C651" s="39"/>
      <c r="D651" s="39"/>
      <c r="E651" s="39"/>
      <c r="F651" s="39"/>
      <c r="G651" s="39"/>
      <c r="I651" s="82" t="str">
        <f>IF($AA648=0,"",IF(LEN(INDEX(Quotes!$AD$9:$AD$258,$AA648)&amp;"")=0,"",INDEX(Quotes!$AD$9:$AD$258,$AA648)))</f>
        <v/>
      </c>
      <c r="J651" s="39"/>
      <c r="K651" s="39"/>
      <c r="L651" s="39"/>
      <c r="M651" s="39"/>
      <c r="N651" s="39"/>
      <c r="O651" s="39"/>
      <c r="Q651" s="82" t="str">
        <f>IF($AA648=0,"",IF(LEN(INDEX(Quotes!$AF$9:$AF$258,$AA648)&amp;"")=0,"",INDEX(Quotes!$AF$9:$AF$258,$AA648)))</f>
        <v/>
      </c>
      <c r="R651" s="39"/>
      <c r="S651" s="39"/>
      <c r="T651" s="39"/>
      <c r="U651" s="39"/>
      <c r="V651" s="39"/>
    </row>
    <row r="652" spans="1:27" ht="21" hidden="1" customHeight="1" x14ac:dyDescent="0.35">
      <c r="A652" s="48" t="str">
        <f>IF($AA648=0,"","Reference: "&amp;IF(INDEX(Quotes!$M$9:$M$258,$AA648)="",INDEX(Quotes!$S$9:$S$258,$AA648),INDEX(Quotes!$M$9:$M$258,$AA648)))</f>
        <v/>
      </c>
      <c r="B652" s="39"/>
      <c r="C652" s="39"/>
      <c r="D652" s="39"/>
      <c r="E652" s="39"/>
      <c r="F652" s="39"/>
      <c r="G652" s="39"/>
      <c r="H652" s="39"/>
      <c r="I652" s="39"/>
      <c r="J652" s="39"/>
      <c r="K652" s="39"/>
      <c r="L652" s="39"/>
      <c r="M652" s="39"/>
      <c r="N652" s="39"/>
      <c r="O652" s="39"/>
      <c r="P652" s="39"/>
      <c r="Q652" s="48" t="str">
        <f>IF($AA648=0,"",INDEX(Quotes!$E$9:$E$258,$AA648))</f>
        <v/>
      </c>
      <c r="R652" s="39"/>
      <c r="S652" s="39"/>
      <c r="T652" s="39"/>
      <c r="U652" s="39"/>
      <c r="V652" s="39"/>
    </row>
    <row r="653" spans="1:27" ht="21" hidden="1" customHeight="1" x14ac:dyDescent="0.35">
      <c r="A653" s="81" t="str">
        <f>IF($AA648=0,"",IF(INDEX(Quotes!$N$9:$N$258,$AA648)="","No original link","Original quote"))</f>
        <v/>
      </c>
      <c r="B653" s="39"/>
      <c r="C653" s="39"/>
      <c r="D653" s="39"/>
      <c r="E653" s="39"/>
      <c r="F653" s="39"/>
      <c r="G653" s="39"/>
      <c r="I653" s="81" t="str">
        <f>IF($AA648=0,"",IF(INDEX(Quotes!$O$9:$O$258,$AA648)="","No revised link","Revised quote"))</f>
        <v/>
      </c>
      <c r="J653" s="39"/>
      <c r="K653" s="39"/>
      <c r="L653" s="39"/>
      <c r="M653" s="39"/>
      <c r="N653" s="39"/>
      <c r="O653" s="39"/>
      <c r="Q653" s="81" t="str">
        <f>IF($AA648=0,"",HYPERLINK("#'Quotes'!A"&amp;($AA648+8),"Open quote record"))</f>
        <v/>
      </c>
      <c r="R653" s="39"/>
      <c r="S653" s="39"/>
      <c r="T653" s="39"/>
      <c r="U653" s="39"/>
      <c r="V653" s="39"/>
    </row>
    <row r="654" spans="1:27" ht="21" hidden="1" customHeight="1" x14ac:dyDescent="0.35"/>
    <row r="655" spans="1:27" hidden="1" x14ac:dyDescent="0.35"/>
    <row r="656" spans="1:27" hidden="1" x14ac:dyDescent="0.35"/>
    <row r="657" spans="1:27" ht="29" hidden="1" customHeight="1" x14ac:dyDescent="0.35">
      <c r="A657" s="84" t="str">
        <f>IF($AA657=0,"",IF(LEN(INDEX(Quotes!$U$9:$U$258,$AA657)&amp;"")=0,"",INDEX(Quotes!$U$9:$U$258,$AA657)))</f>
        <v/>
      </c>
      <c r="B657" s="39"/>
      <c r="C657" s="39"/>
      <c r="D657" s="39"/>
      <c r="E657" s="39"/>
      <c r="F657" s="39"/>
      <c r="G657" s="39"/>
      <c r="H657" s="39"/>
      <c r="I657" s="39"/>
      <c r="J657" s="39"/>
      <c r="K657" s="85" t="str">
        <f>IF($AA657=0,"",IF(LEN(INDEX(Quotes!$Z$9:$Z$258,$AA657)&amp;"")=0,"",INDEX(Quotes!$Z$9:$Z$258,$AA657)))</f>
        <v/>
      </c>
      <c r="L657" s="39"/>
      <c r="M657" s="39"/>
      <c r="N657" s="39"/>
      <c r="O657" s="39"/>
      <c r="P657" s="39"/>
      <c r="Q657" s="39"/>
      <c r="R657" s="39"/>
      <c r="S657" s="39"/>
      <c r="T657" s="39"/>
      <c r="U657" s="39"/>
      <c r="V657" s="39"/>
      <c r="AA657">
        <f>IFERROR(MATCH(66,Quotes!$AK$9:$AK$258,0),0)</f>
        <v>0</v>
      </c>
    </row>
    <row r="658" spans="1:27" ht="21" hidden="1" customHeight="1" x14ac:dyDescent="0.35">
      <c r="A658" s="40" t="str">
        <f>IF($AA657=0,"",IF(LEN(INDEX(Quotes!$V$9:$V$258,$AA657)&amp;"")=0,"",INDEX(Quotes!$V$9:$V$258,$AA657)))</f>
        <v/>
      </c>
      <c r="B658" s="39"/>
      <c r="C658" s="39"/>
      <c r="D658" s="39"/>
      <c r="E658" s="39"/>
      <c r="F658" s="39"/>
      <c r="G658" s="39"/>
      <c r="H658" s="40" t="str">
        <f>IF($AA657=0,"",IF(LEN(INDEX(Quotes!$W$9:$W$258,$AA657)&amp;"")=0,"",INDEX(Quotes!$W$9:$W$258,$AA657)))</f>
        <v/>
      </c>
      <c r="I658" s="39"/>
      <c r="J658" s="39"/>
      <c r="K658" s="39"/>
      <c r="L658" s="39"/>
      <c r="M658" s="39"/>
      <c r="N658" s="39"/>
      <c r="O658" s="39"/>
      <c r="P658" s="39"/>
      <c r="Q658" s="39"/>
      <c r="R658" s="77" t="str">
        <f>IF($AA657=0,"",IF(LEN(INDEX(Quotes!$X$9:$X$258,$AA657)&amp;"")=0,"",INDEX(Quotes!$X$9:$X$258,$AA657)))</f>
        <v/>
      </c>
      <c r="S658" s="39"/>
      <c r="T658" s="39"/>
      <c r="U658" s="39"/>
      <c r="V658" s="39"/>
    </row>
    <row r="659" spans="1:27" ht="21" hidden="1" customHeight="1" x14ac:dyDescent="0.35">
      <c r="A659" s="83" t="str">
        <f>IF($AA657=0,"","ORIGINAL EUR")</f>
        <v/>
      </c>
      <c r="B659" s="39"/>
      <c r="C659" s="39"/>
      <c r="D659" s="39"/>
      <c r="E659" s="39"/>
      <c r="F659" s="39"/>
      <c r="G659" s="39"/>
      <c r="I659" s="83" t="str">
        <f>IF($AA657=0,"","LATEST EUR")</f>
        <v/>
      </c>
      <c r="J659" s="39"/>
      <c r="K659" s="39"/>
      <c r="L659" s="39"/>
      <c r="M659" s="39"/>
      <c r="N659" s="39"/>
      <c r="O659" s="39"/>
      <c r="Q659" s="83" t="str">
        <f>IF($AA657=0,"","SAVED EUR")</f>
        <v/>
      </c>
      <c r="R659" s="39"/>
      <c r="S659" s="39"/>
      <c r="T659" s="39"/>
      <c r="U659" s="39"/>
      <c r="V659" s="39"/>
    </row>
    <row r="660" spans="1:27" ht="21" hidden="1" customHeight="1" x14ac:dyDescent="0.35">
      <c r="A660" s="82" t="str">
        <f>IF($AA657=0,"",IF(LEN(INDEX(Quotes!$AB$9:$AB$258,$AA657)&amp;"")=0,"",INDEX(Quotes!$AB$9:$AB$258,$AA657)))</f>
        <v/>
      </c>
      <c r="B660" s="39"/>
      <c r="C660" s="39"/>
      <c r="D660" s="39"/>
      <c r="E660" s="39"/>
      <c r="F660" s="39"/>
      <c r="G660" s="39"/>
      <c r="I660" s="82" t="str">
        <f>IF($AA657=0,"",IF(LEN(INDEX(Quotes!$AD$9:$AD$258,$AA657)&amp;"")=0,"",INDEX(Quotes!$AD$9:$AD$258,$AA657)))</f>
        <v/>
      </c>
      <c r="J660" s="39"/>
      <c r="K660" s="39"/>
      <c r="L660" s="39"/>
      <c r="M660" s="39"/>
      <c r="N660" s="39"/>
      <c r="O660" s="39"/>
      <c r="Q660" s="82" t="str">
        <f>IF($AA657=0,"",IF(LEN(INDEX(Quotes!$AF$9:$AF$258,$AA657)&amp;"")=0,"",INDEX(Quotes!$AF$9:$AF$258,$AA657)))</f>
        <v/>
      </c>
      <c r="R660" s="39"/>
      <c r="S660" s="39"/>
      <c r="T660" s="39"/>
      <c r="U660" s="39"/>
      <c r="V660" s="39"/>
    </row>
    <row r="661" spans="1:27" ht="21" hidden="1" customHeight="1" x14ac:dyDescent="0.35">
      <c r="A661" s="48" t="str">
        <f>IF($AA657=0,"","Reference: "&amp;IF(INDEX(Quotes!$M$9:$M$258,$AA657)="",INDEX(Quotes!$S$9:$S$258,$AA657),INDEX(Quotes!$M$9:$M$258,$AA657)))</f>
        <v/>
      </c>
      <c r="B661" s="39"/>
      <c r="C661" s="39"/>
      <c r="D661" s="39"/>
      <c r="E661" s="39"/>
      <c r="F661" s="39"/>
      <c r="G661" s="39"/>
      <c r="H661" s="39"/>
      <c r="I661" s="39"/>
      <c r="J661" s="39"/>
      <c r="K661" s="39"/>
      <c r="L661" s="39"/>
      <c r="M661" s="39"/>
      <c r="N661" s="39"/>
      <c r="O661" s="39"/>
      <c r="P661" s="39"/>
      <c r="Q661" s="48" t="str">
        <f>IF($AA657=0,"",INDEX(Quotes!$E$9:$E$258,$AA657))</f>
        <v/>
      </c>
      <c r="R661" s="39"/>
      <c r="S661" s="39"/>
      <c r="T661" s="39"/>
      <c r="U661" s="39"/>
      <c r="V661" s="39"/>
    </row>
    <row r="662" spans="1:27" ht="21" hidden="1" customHeight="1" x14ac:dyDescent="0.35">
      <c r="A662" s="81" t="str">
        <f>IF($AA657=0,"",IF(INDEX(Quotes!$N$9:$N$258,$AA657)="","No original link","Original quote"))</f>
        <v/>
      </c>
      <c r="B662" s="39"/>
      <c r="C662" s="39"/>
      <c r="D662" s="39"/>
      <c r="E662" s="39"/>
      <c r="F662" s="39"/>
      <c r="G662" s="39"/>
      <c r="I662" s="81" t="str">
        <f>IF($AA657=0,"",IF(INDEX(Quotes!$O$9:$O$258,$AA657)="","No revised link","Revised quote"))</f>
        <v/>
      </c>
      <c r="J662" s="39"/>
      <c r="K662" s="39"/>
      <c r="L662" s="39"/>
      <c r="M662" s="39"/>
      <c r="N662" s="39"/>
      <c r="O662" s="39"/>
      <c r="Q662" s="81" t="str">
        <f>IF($AA657=0,"",HYPERLINK("#'Quotes'!A"&amp;($AA657+8),"Open quote record"))</f>
        <v/>
      </c>
      <c r="R662" s="39"/>
      <c r="S662" s="39"/>
      <c r="T662" s="39"/>
      <c r="U662" s="39"/>
      <c r="V662" s="39"/>
    </row>
    <row r="663" spans="1:27" ht="21" hidden="1" customHeight="1" x14ac:dyDescent="0.35"/>
    <row r="664" spans="1:27" hidden="1" x14ac:dyDescent="0.35"/>
    <row r="665" spans="1:27" hidden="1" x14ac:dyDescent="0.35"/>
    <row r="666" spans="1:27" ht="29" hidden="1" customHeight="1" x14ac:dyDescent="0.35">
      <c r="A666" s="84" t="str">
        <f>IF($AA666=0,"",IF(LEN(INDEX(Quotes!$U$9:$U$258,$AA666)&amp;"")=0,"",INDEX(Quotes!$U$9:$U$258,$AA666)))</f>
        <v/>
      </c>
      <c r="B666" s="39"/>
      <c r="C666" s="39"/>
      <c r="D666" s="39"/>
      <c r="E666" s="39"/>
      <c r="F666" s="39"/>
      <c r="G666" s="39"/>
      <c r="H666" s="39"/>
      <c r="I666" s="39"/>
      <c r="J666" s="39"/>
      <c r="K666" s="85" t="str">
        <f>IF($AA666=0,"",IF(LEN(INDEX(Quotes!$Z$9:$Z$258,$AA666)&amp;"")=0,"",INDEX(Quotes!$Z$9:$Z$258,$AA666)))</f>
        <v/>
      </c>
      <c r="L666" s="39"/>
      <c r="M666" s="39"/>
      <c r="N666" s="39"/>
      <c r="O666" s="39"/>
      <c r="P666" s="39"/>
      <c r="Q666" s="39"/>
      <c r="R666" s="39"/>
      <c r="S666" s="39"/>
      <c r="T666" s="39"/>
      <c r="U666" s="39"/>
      <c r="V666" s="39"/>
      <c r="AA666">
        <f>IFERROR(MATCH(67,Quotes!$AK$9:$AK$258,0),0)</f>
        <v>0</v>
      </c>
    </row>
    <row r="667" spans="1:27" ht="21" hidden="1" customHeight="1" x14ac:dyDescent="0.35">
      <c r="A667" s="40" t="str">
        <f>IF($AA666=0,"",IF(LEN(INDEX(Quotes!$V$9:$V$258,$AA666)&amp;"")=0,"",INDEX(Quotes!$V$9:$V$258,$AA666)))</f>
        <v/>
      </c>
      <c r="B667" s="39"/>
      <c r="C667" s="39"/>
      <c r="D667" s="39"/>
      <c r="E667" s="39"/>
      <c r="F667" s="39"/>
      <c r="G667" s="39"/>
      <c r="H667" s="40" t="str">
        <f>IF($AA666=0,"",IF(LEN(INDEX(Quotes!$W$9:$W$258,$AA666)&amp;"")=0,"",INDEX(Quotes!$W$9:$W$258,$AA666)))</f>
        <v/>
      </c>
      <c r="I667" s="39"/>
      <c r="J667" s="39"/>
      <c r="K667" s="39"/>
      <c r="L667" s="39"/>
      <c r="M667" s="39"/>
      <c r="N667" s="39"/>
      <c r="O667" s="39"/>
      <c r="P667" s="39"/>
      <c r="Q667" s="39"/>
      <c r="R667" s="77" t="str">
        <f>IF($AA666=0,"",IF(LEN(INDEX(Quotes!$X$9:$X$258,$AA666)&amp;"")=0,"",INDEX(Quotes!$X$9:$X$258,$AA666)))</f>
        <v/>
      </c>
      <c r="S667" s="39"/>
      <c r="T667" s="39"/>
      <c r="U667" s="39"/>
      <c r="V667" s="39"/>
    </row>
    <row r="668" spans="1:27" ht="21" hidden="1" customHeight="1" x14ac:dyDescent="0.35">
      <c r="A668" s="83" t="str">
        <f>IF($AA666=0,"","ORIGINAL EUR")</f>
        <v/>
      </c>
      <c r="B668" s="39"/>
      <c r="C668" s="39"/>
      <c r="D668" s="39"/>
      <c r="E668" s="39"/>
      <c r="F668" s="39"/>
      <c r="G668" s="39"/>
      <c r="I668" s="83" t="str">
        <f>IF($AA666=0,"","LATEST EUR")</f>
        <v/>
      </c>
      <c r="J668" s="39"/>
      <c r="K668" s="39"/>
      <c r="L668" s="39"/>
      <c r="M668" s="39"/>
      <c r="N668" s="39"/>
      <c r="O668" s="39"/>
      <c r="Q668" s="83" t="str">
        <f>IF($AA666=0,"","SAVED EUR")</f>
        <v/>
      </c>
      <c r="R668" s="39"/>
      <c r="S668" s="39"/>
      <c r="T668" s="39"/>
      <c r="U668" s="39"/>
      <c r="V668" s="39"/>
    </row>
    <row r="669" spans="1:27" ht="21" hidden="1" customHeight="1" x14ac:dyDescent="0.35">
      <c r="A669" s="82" t="str">
        <f>IF($AA666=0,"",IF(LEN(INDEX(Quotes!$AB$9:$AB$258,$AA666)&amp;"")=0,"",INDEX(Quotes!$AB$9:$AB$258,$AA666)))</f>
        <v/>
      </c>
      <c r="B669" s="39"/>
      <c r="C669" s="39"/>
      <c r="D669" s="39"/>
      <c r="E669" s="39"/>
      <c r="F669" s="39"/>
      <c r="G669" s="39"/>
      <c r="I669" s="82" t="str">
        <f>IF($AA666=0,"",IF(LEN(INDEX(Quotes!$AD$9:$AD$258,$AA666)&amp;"")=0,"",INDEX(Quotes!$AD$9:$AD$258,$AA666)))</f>
        <v/>
      </c>
      <c r="J669" s="39"/>
      <c r="K669" s="39"/>
      <c r="L669" s="39"/>
      <c r="M669" s="39"/>
      <c r="N669" s="39"/>
      <c r="O669" s="39"/>
      <c r="Q669" s="82" t="str">
        <f>IF($AA666=0,"",IF(LEN(INDEX(Quotes!$AF$9:$AF$258,$AA666)&amp;"")=0,"",INDEX(Quotes!$AF$9:$AF$258,$AA666)))</f>
        <v/>
      </c>
      <c r="R669" s="39"/>
      <c r="S669" s="39"/>
      <c r="T669" s="39"/>
      <c r="U669" s="39"/>
      <c r="V669" s="39"/>
    </row>
    <row r="670" spans="1:27" ht="21" hidden="1" customHeight="1" x14ac:dyDescent="0.35">
      <c r="A670" s="48" t="str">
        <f>IF($AA666=0,"","Reference: "&amp;IF(INDEX(Quotes!$M$9:$M$258,$AA666)="",INDEX(Quotes!$S$9:$S$258,$AA666),INDEX(Quotes!$M$9:$M$258,$AA666)))</f>
        <v/>
      </c>
      <c r="B670" s="39"/>
      <c r="C670" s="39"/>
      <c r="D670" s="39"/>
      <c r="E670" s="39"/>
      <c r="F670" s="39"/>
      <c r="G670" s="39"/>
      <c r="H670" s="39"/>
      <c r="I670" s="39"/>
      <c r="J670" s="39"/>
      <c r="K670" s="39"/>
      <c r="L670" s="39"/>
      <c r="M670" s="39"/>
      <c r="N670" s="39"/>
      <c r="O670" s="39"/>
      <c r="P670" s="39"/>
      <c r="Q670" s="48" t="str">
        <f>IF($AA666=0,"",INDEX(Quotes!$E$9:$E$258,$AA666))</f>
        <v/>
      </c>
      <c r="R670" s="39"/>
      <c r="S670" s="39"/>
      <c r="T670" s="39"/>
      <c r="U670" s="39"/>
      <c r="V670" s="39"/>
    </row>
    <row r="671" spans="1:27" ht="21" hidden="1" customHeight="1" x14ac:dyDescent="0.35">
      <c r="A671" s="81" t="str">
        <f>IF($AA666=0,"",IF(INDEX(Quotes!$N$9:$N$258,$AA666)="","No original link","Original quote"))</f>
        <v/>
      </c>
      <c r="B671" s="39"/>
      <c r="C671" s="39"/>
      <c r="D671" s="39"/>
      <c r="E671" s="39"/>
      <c r="F671" s="39"/>
      <c r="G671" s="39"/>
      <c r="I671" s="81" t="str">
        <f>IF($AA666=0,"",IF(INDEX(Quotes!$O$9:$O$258,$AA666)="","No revised link","Revised quote"))</f>
        <v/>
      </c>
      <c r="J671" s="39"/>
      <c r="K671" s="39"/>
      <c r="L671" s="39"/>
      <c r="M671" s="39"/>
      <c r="N671" s="39"/>
      <c r="O671" s="39"/>
      <c r="Q671" s="81" t="str">
        <f>IF($AA666=0,"",HYPERLINK("#'Quotes'!A"&amp;($AA666+8),"Open quote record"))</f>
        <v/>
      </c>
      <c r="R671" s="39"/>
      <c r="S671" s="39"/>
      <c r="T671" s="39"/>
      <c r="U671" s="39"/>
      <c r="V671" s="39"/>
    </row>
    <row r="672" spans="1:27" ht="21" hidden="1" customHeight="1" x14ac:dyDescent="0.35"/>
    <row r="673" spans="1:27" hidden="1" x14ac:dyDescent="0.35"/>
    <row r="674" spans="1:27" hidden="1" x14ac:dyDescent="0.35"/>
    <row r="675" spans="1:27" ht="29" hidden="1" customHeight="1" x14ac:dyDescent="0.35">
      <c r="A675" s="84" t="str">
        <f>IF($AA675=0,"",IF(LEN(INDEX(Quotes!$U$9:$U$258,$AA675)&amp;"")=0,"",INDEX(Quotes!$U$9:$U$258,$AA675)))</f>
        <v/>
      </c>
      <c r="B675" s="39"/>
      <c r="C675" s="39"/>
      <c r="D675" s="39"/>
      <c r="E675" s="39"/>
      <c r="F675" s="39"/>
      <c r="G675" s="39"/>
      <c r="H675" s="39"/>
      <c r="I675" s="39"/>
      <c r="J675" s="39"/>
      <c r="K675" s="85" t="str">
        <f>IF($AA675=0,"",IF(LEN(INDEX(Quotes!$Z$9:$Z$258,$AA675)&amp;"")=0,"",INDEX(Quotes!$Z$9:$Z$258,$AA675)))</f>
        <v/>
      </c>
      <c r="L675" s="39"/>
      <c r="M675" s="39"/>
      <c r="N675" s="39"/>
      <c r="O675" s="39"/>
      <c r="P675" s="39"/>
      <c r="Q675" s="39"/>
      <c r="R675" s="39"/>
      <c r="S675" s="39"/>
      <c r="T675" s="39"/>
      <c r="U675" s="39"/>
      <c r="V675" s="39"/>
      <c r="AA675">
        <f>IFERROR(MATCH(68,Quotes!$AK$9:$AK$258,0),0)</f>
        <v>0</v>
      </c>
    </row>
    <row r="676" spans="1:27" ht="21" hidden="1" customHeight="1" x14ac:dyDescent="0.35">
      <c r="A676" s="40" t="str">
        <f>IF($AA675=0,"",IF(LEN(INDEX(Quotes!$V$9:$V$258,$AA675)&amp;"")=0,"",INDEX(Quotes!$V$9:$V$258,$AA675)))</f>
        <v/>
      </c>
      <c r="B676" s="39"/>
      <c r="C676" s="39"/>
      <c r="D676" s="39"/>
      <c r="E676" s="39"/>
      <c r="F676" s="39"/>
      <c r="G676" s="39"/>
      <c r="H676" s="40" t="str">
        <f>IF($AA675=0,"",IF(LEN(INDEX(Quotes!$W$9:$W$258,$AA675)&amp;"")=0,"",INDEX(Quotes!$W$9:$W$258,$AA675)))</f>
        <v/>
      </c>
      <c r="I676" s="39"/>
      <c r="J676" s="39"/>
      <c r="K676" s="39"/>
      <c r="L676" s="39"/>
      <c r="M676" s="39"/>
      <c r="N676" s="39"/>
      <c r="O676" s="39"/>
      <c r="P676" s="39"/>
      <c r="Q676" s="39"/>
      <c r="R676" s="77" t="str">
        <f>IF($AA675=0,"",IF(LEN(INDEX(Quotes!$X$9:$X$258,$AA675)&amp;"")=0,"",INDEX(Quotes!$X$9:$X$258,$AA675)))</f>
        <v/>
      </c>
      <c r="S676" s="39"/>
      <c r="T676" s="39"/>
      <c r="U676" s="39"/>
      <c r="V676" s="39"/>
    </row>
    <row r="677" spans="1:27" ht="21" hidden="1" customHeight="1" x14ac:dyDescent="0.35">
      <c r="A677" s="83" t="str">
        <f>IF($AA675=0,"","ORIGINAL EUR")</f>
        <v/>
      </c>
      <c r="B677" s="39"/>
      <c r="C677" s="39"/>
      <c r="D677" s="39"/>
      <c r="E677" s="39"/>
      <c r="F677" s="39"/>
      <c r="G677" s="39"/>
      <c r="I677" s="83" t="str">
        <f>IF($AA675=0,"","LATEST EUR")</f>
        <v/>
      </c>
      <c r="J677" s="39"/>
      <c r="K677" s="39"/>
      <c r="L677" s="39"/>
      <c r="M677" s="39"/>
      <c r="N677" s="39"/>
      <c r="O677" s="39"/>
      <c r="Q677" s="83" t="str">
        <f>IF($AA675=0,"","SAVED EUR")</f>
        <v/>
      </c>
      <c r="R677" s="39"/>
      <c r="S677" s="39"/>
      <c r="T677" s="39"/>
      <c r="U677" s="39"/>
      <c r="V677" s="39"/>
    </row>
    <row r="678" spans="1:27" ht="21" hidden="1" customHeight="1" x14ac:dyDescent="0.35">
      <c r="A678" s="82" t="str">
        <f>IF($AA675=0,"",IF(LEN(INDEX(Quotes!$AB$9:$AB$258,$AA675)&amp;"")=0,"",INDEX(Quotes!$AB$9:$AB$258,$AA675)))</f>
        <v/>
      </c>
      <c r="B678" s="39"/>
      <c r="C678" s="39"/>
      <c r="D678" s="39"/>
      <c r="E678" s="39"/>
      <c r="F678" s="39"/>
      <c r="G678" s="39"/>
      <c r="I678" s="82" t="str">
        <f>IF($AA675=0,"",IF(LEN(INDEX(Quotes!$AD$9:$AD$258,$AA675)&amp;"")=0,"",INDEX(Quotes!$AD$9:$AD$258,$AA675)))</f>
        <v/>
      </c>
      <c r="J678" s="39"/>
      <c r="K678" s="39"/>
      <c r="L678" s="39"/>
      <c r="M678" s="39"/>
      <c r="N678" s="39"/>
      <c r="O678" s="39"/>
      <c r="Q678" s="82" t="str">
        <f>IF($AA675=0,"",IF(LEN(INDEX(Quotes!$AF$9:$AF$258,$AA675)&amp;"")=0,"",INDEX(Quotes!$AF$9:$AF$258,$AA675)))</f>
        <v/>
      </c>
      <c r="R678" s="39"/>
      <c r="S678" s="39"/>
      <c r="T678" s="39"/>
      <c r="U678" s="39"/>
      <c r="V678" s="39"/>
    </row>
    <row r="679" spans="1:27" ht="21" hidden="1" customHeight="1" x14ac:dyDescent="0.35">
      <c r="A679" s="48" t="str">
        <f>IF($AA675=0,"","Reference: "&amp;IF(INDEX(Quotes!$M$9:$M$258,$AA675)="",INDEX(Quotes!$S$9:$S$258,$AA675),INDEX(Quotes!$M$9:$M$258,$AA675)))</f>
        <v/>
      </c>
      <c r="B679" s="39"/>
      <c r="C679" s="39"/>
      <c r="D679" s="39"/>
      <c r="E679" s="39"/>
      <c r="F679" s="39"/>
      <c r="G679" s="39"/>
      <c r="H679" s="39"/>
      <c r="I679" s="39"/>
      <c r="J679" s="39"/>
      <c r="K679" s="39"/>
      <c r="L679" s="39"/>
      <c r="M679" s="39"/>
      <c r="N679" s="39"/>
      <c r="O679" s="39"/>
      <c r="P679" s="39"/>
      <c r="Q679" s="48" t="str">
        <f>IF($AA675=0,"",INDEX(Quotes!$E$9:$E$258,$AA675))</f>
        <v/>
      </c>
      <c r="R679" s="39"/>
      <c r="S679" s="39"/>
      <c r="T679" s="39"/>
      <c r="U679" s="39"/>
      <c r="V679" s="39"/>
    </row>
    <row r="680" spans="1:27" ht="21" hidden="1" customHeight="1" x14ac:dyDescent="0.35">
      <c r="A680" s="81" t="str">
        <f>IF($AA675=0,"",IF(INDEX(Quotes!$N$9:$N$258,$AA675)="","No original link","Original quote"))</f>
        <v/>
      </c>
      <c r="B680" s="39"/>
      <c r="C680" s="39"/>
      <c r="D680" s="39"/>
      <c r="E680" s="39"/>
      <c r="F680" s="39"/>
      <c r="G680" s="39"/>
      <c r="I680" s="81" t="str">
        <f>IF($AA675=0,"",IF(INDEX(Quotes!$O$9:$O$258,$AA675)="","No revised link","Revised quote"))</f>
        <v/>
      </c>
      <c r="J680" s="39"/>
      <c r="K680" s="39"/>
      <c r="L680" s="39"/>
      <c r="M680" s="39"/>
      <c r="N680" s="39"/>
      <c r="O680" s="39"/>
      <c r="Q680" s="81" t="str">
        <f>IF($AA675=0,"",HYPERLINK("#'Quotes'!A"&amp;($AA675+8),"Open quote record"))</f>
        <v/>
      </c>
      <c r="R680" s="39"/>
      <c r="S680" s="39"/>
      <c r="T680" s="39"/>
      <c r="U680" s="39"/>
      <c r="V680" s="39"/>
    </row>
    <row r="681" spans="1:27" ht="21" hidden="1" customHeight="1" x14ac:dyDescent="0.35"/>
    <row r="682" spans="1:27" hidden="1" x14ac:dyDescent="0.35"/>
    <row r="683" spans="1:27" hidden="1" x14ac:dyDescent="0.35"/>
    <row r="684" spans="1:27" hidden="1" x14ac:dyDescent="0.35"/>
    <row r="685" spans="1:27" hidden="1" x14ac:dyDescent="0.35">
      <c r="A685" s="67" t="s">
        <v>655</v>
      </c>
      <c r="B685" s="39"/>
      <c r="C685" s="39"/>
      <c r="D685" s="39"/>
      <c r="E685" s="39"/>
      <c r="F685" s="39"/>
      <c r="G685" s="39"/>
      <c r="H685" s="39"/>
      <c r="I685" s="39"/>
      <c r="J685" s="39"/>
      <c r="K685" s="39"/>
      <c r="L685" s="39"/>
      <c r="M685" s="39"/>
      <c r="N685" s="39"/>
      <c r="O685" s="39"/>
      <c r="P685" s="39"/>
      <c r="Q685" s="39"/>
      <c r="R685" s="39"/>
      <c r="S685" s="39"/>
      <c r="T685" s="39"/>
      <c r="U685" s="39"/>
      <c r="V685" s="39"/>
    </row>
    <row r="686" spans="1:27" ht="29" hidden="1" customHeight="1" x14ac:dyDescent="0.35">
      <c r="A686" s="84" t="str">
        <f>IF($AA686=0,"",IF(LEN(INDEX(Quotes!$U$9:$U$258,$AA686)&amp;"")=0,"",INDEX(Quotes!$U$9:$U$258,$AA686)))</f>
        <v/>
      </c>
      <c r="B686" s="39"/>
      <c r="C686" s="39"/>
      <c r="D686" s="39"/>
      <c r="E686" s="39"/>
      <c r="F686" s="39"/>
      <c r="G686" s="39"/>
      <c r="H686" s="39"/>
      <c r="I686" s="39"/>
      <c r="J686" s="39"/>
      <c r="K686" s="85" t="str">
        <f>IF($AA686=0,"",IF(LEN(INDEX(Quotes!$Z$9:$Z$258,$AA686)&amp;"")=0,"",INDEX(Quotes!$Z$9:$Z$258,$AA686)))</f>
        <v/>
      </c>
      <c r="L686" s="39"/>
      <c r="M686" s="39"/>
      <c r="N686" s="39"/>
      <c r="O686" s="39"/>
      <c r="P686" s="39"/>
      <c r="Q686" s="39"/>
      <c r="R686" s="39"/>
      <c r="S686" s="39"/>
      <c r="T686" s="39"/>
      <c r="U686" s="39"/>
      <c r="V686" s="39"/>
      <c r="AA686">
        <f>IFERROR(MATCH(69,Quotes!$AK$9:$AK$258,0),0)</f>
        <v>0</v>
      </c>
    </row>
    <row r="687" spans="1:27" ht="21" hidden="1" customHeight="1" x14ac:dyDescent="0.35">
      <c r="A687" s="40" t="str">
        <f>IF($AA686=0,"",IF(LEN(INDEX(Quotes!$V$9:$V$258,$AA686)&amp;"")=0,"",INDEX(Quotes!$V$9:$V$258,$AA686)))</f>
        <v/>
      </c>
      <c r="B687" s="39"/>
      <c r="C687" s="39"/>
      <c r="D687" s="39"/>
      <c r="E687" s="39"/>
      <c r="F687" s="39"/>
      <c r="G687" s="39"/>
      <c r="H687" s="40" t="str">
        <f>IF($AA686=0,"",IF(LEN(INDEX(Quotes!$W$9:$W$258,$AA686)&amp;"")=0,"",INDEX(Quotes!$W$9:$W$258,$AA686)))</f>
        <v/>
      </c>
      <c r="I687" s="39"/>
      <c r="J687" s="39"/>
      <c r="K687" s="39"/>
      <c r="L687" s="39"/>
      <c r="M687" s="39"/>
      <c r="N687" s="39"/>
      <c r="O687" s="39"/>
      <c r="P687" s="39"/>
      <c r="Q687" s="39"/>
      <c r="R687" s="77" t="str">
        <f>IF($AA686=0,"",IF(LEN(INDEX(Quotes!$X$9:$X$258,$AA686)&amp;"")=0,"",INDEX(Quotes!$X$9:$X$258,$AA686)))</f>
        <v/>
      </c>
      <c r="S687" s="39"/>
      <c r="T687" s="39"/>
      <c r="U687" s="39"/>
      <c r="V687" s="39"/>
    </row>
    <row r="688" spans="1:27" ht="21" hidden="1" customHeight="1" x14ac:dyDescent="0.35">
      <c r="A688" s="83" t="str">
        <f>IF($AA686=0,"","ORIGINAL EUR")</f>
        <v/>
      </c>
      <c r="B688" s="39"/>
      <c r="C688" s="39"/>
      <c r="D688" s="39"/>
      <c r="E688" s="39"/>
      <c r="F688" s="39"/>
      <c r="G688" s="39"/>
      <c r="I688" s="83" t="str">
        <f>IF($AA686=0,"","LATEST EUR")</f>
        <v/>
      </c>
      <c r="J688" s="39"/>
      <c r="K688" s="39"/>
      <c r="L688" s="39"/>
      <c r="M688" s="39"/>
      <c r="N688" s="39"/>
      <c r="O688" s="39"/>
      <c r="Q688" s="83" t="str">
        <f>IF($AA686=0,"","SAVED EUR")</f>
        <v/>
      </c>
      <c r="R688" s="39"/>
      <c r="S688" s="39"/>
      <c r="T688" s="39"/>
      <c r="U688" s="39"/>
      <c r="V688" s="39"/>
    </row>
    <row r="689" spans="1:27" ht="21" hidden="1" customHeight="1" x14ac:dyDescent="0.35">
      <c r="A689" s="82" t="str">
        <f>IF($AA686=0,"",IF(LEN(INDEX(Quotes!$AB$9:$AB$258,$AA686)&amp;"")=0,"",INDEX(Quotes!$AB$9:$AB$258,$AA686)))</f>
        <v/>
      </c>
      <c r="B689" s="39"/>
      <c r="C689" s="39"/>
      <c r="D689" s="39"/>
      <c r="E689" s="39"/>
      <c r="F689" s="39"/>
      <c r="G689" s="39"/>
      <c r="I689" s="82" t="str">
        <f>IF($AA686=0,"",IF(LEN(INDEX(Quotes!$AD$9:$AD$258,$AA686)&amp;"")=0,"",INDEX(Quotes!$AD$9:$AD$258,$AA686)))</f>
        <v/>
      </c>
      <c r="J689" s="39"/>
      <c r="K689" s="39"/>
      <c r="L689" s="39"/>
      <c r="M689" s="39"/>
      <c r="N689" s="39"/>
      <c r="O689" s="39"/>
      <c r="Q689" s="82" t="str">
        <f>IF($AA686=0,"",IF(LEN(INDEX(Quotes!$AF$9:$AF$258,$AA686)&amp;"")=0,"",INDEX(Quotes!$AF$9:$AF$258,$AA686)))</f>
        <v/>
      </c>
      <c r="R689" s="39"/>
      <c r="S689" s="39"/>
      <c r="T689" s="39"/>
      <c r="U689" s="39"/>
      <c r="V689" s="39"/>
    </row>
    <row r="690" spans="1:27" ht="21" hidden="1" customHeight="1" x14ac:dyDescent="0.35">
      <c r="A690" s="48" t="str">
        <f>IF($AA686=0,"","Reference: "&amp;IF(INDEX(Quotes!$M$9:$M$258,$AA686)="",INDEX(Quotes!$S$9:$S$258,$AA686),INDEX(Quotes!$M$9:$M$258,$AA686)))</f>
        <v/>
      </c>
      <c r="B690" s="39"/>
      <c r="C690" s="39"/>
      <c r="D690" s="39"/>
      <c r="E690" s="39"/>
      <c r="F690" s="39"/>
      <c r="G690" s="39"/>
      <c r="H690" s="39"/>
      <c r="I690" s="39"/>
      <c r="J690" s="39"/>
      <c r="K690" s="39"/>
      <c r="L690" s="39"/>
      <c r="M690" s="39"/>
      <c r="N690" s="39"/>
      <c r="O690" s="39"/>
      <c r="P690" s="39"/>
      <c r="Q690" s="48" t="str">
        <f>IF($AA686=0,"",INDEX(Quotes!$E$9:$E$258,$AA686))</f>
        <v/>
      </c>
      <c r="R690" s="39"/>
      <c r="S690" s="39"/>
      <c r="T690" s="39"/>
      <c r="U690" s="39"/>
      <c r="V690" s="39"/>
    </row>
    <row r="691" spans="1:27" ht="21" hidden="1" customHeight="1" x14ac:dyDescent="0.35">
      <c r="A691" s="81" t="str">
        <f>IF($AA686=0,"",IF(INDEX(Quotes!$N$9:$N$258,$AA686)="","No original link","Original quote"))</f>
        <v/>
      </c>
      <c r="B691" s="39"/>
      <c r="C691" s="39"/>
      <c r="D691" s="39"/>
      <c r="E691" s="39"/>
      <c r="F691" s="39"/>
      <c r="G691" s="39"/>
      <c r="I691" s="81" t="str">
        <f>IF($AA686=0,"",IF(INDEX(Quotes!$O$9:$O$258,$AA686)="","No revised link","Revised quote"))</f>
        <v/>
      </c>
      <c r="J691" s="39"/>
      <c r="K691" s="39"/>
      <c r="L691" s="39"/>
      <c r="M691" s="39"/>
      <c r="N691" s="39"/>
      <c r="O691" s="39"/>
      <c r="Q691" s="81" t="str">
        <f>IF($AA686=0,"",HYPERLINK("#'Quotes'!A"&amp;($AA686+8),"Open quote record"))</f>
        <v/>
      </c>
      <c r="R691" s="39"/>
      <c r="S691" s="39"/>
      <c r="T691" s="39"/>
      <c r="U691" s="39"/>
      <c r="V691" s="39"/>
    </row>
    <row r="692" spans="1:27" ht="21" hidden="1" customHeight="1" x14ac:dyDescent="0.35"/>
    <row r="693" spans="1:27" hidden="1" x14ac:dyDescent="0.35"/>
    <row r="694" spans="1:27" hidden="1" x14ac:dyDescent="0.35"/>
    <row r="695" spans="1:27" ht="29" hidden="1" customHeight="1" x14ac:dyDescent="0.35">
      <c r="A695" s="84" t="str">
        <f>IF($AA695=0,"",IF(LEN(INDEX(Quotes!$U$9:$U$258,$AA695)&amp;"")=0,"",INDEX(Quotes!$U$9:$U$258,$AA695)))</f>
        <v/>
      </c>
      <c r="B695" s="39"/>
      <c r="C695" s="39"/>
      <c r="D695" s="39"/>
      <c r="E695" s="39"/>
      <c r="F695" s="39"/>
      <c r="G695" s="39"/>
      <c r="H695" s="39"/>
      <c r="I695" s="39"/>
      <c r="J695" s="39"/>
      <c r="K695" s="85" t="str">
        <f>IF($AA695=0,"",IF(LEN(INDEX(Quotes!$Z$9:$Z$258,$AA695)&amp;"")=0,"",INDEX(Quotes!$Z$9:$Z$258,$AA695)))</f>
        <v/>
      </c>
      <c r="L695" s="39"/>
      <c r="M695" s="39"/>
      <c r="N695" s="39"/>
      <c r="O695" s="39"/>
      <c r="P695" s="39"/>
      <c r="Q695" s="39"/>
      <c r="R695" s="39"/>
      <c r="S695" s="39"/>
      <c r="T695" s="39"/>
      <c r="U695" s="39"/>
      <c r="V695" s="39"/>
      <c r="AA695">
        <f>IFERROR(MATCH(70,Quotes!$AK$9:$AK$258,0),0)</f>
        <v>0</v>
      </c>
    </row>
    <row r="696" spans="1:27" ht="21" hidden="1" customHeight="1" x14ac:dyDescent="0.35">
      <c r="A696" s="40" t="str">
        <f>IF($AA695=0,"",IF(LEN(INDEX(Quotes!$V$9:$V$258,$AA695)&amp;"")=0,"",INDEX(Quotes!$V$9:$V$258,$AA695)))</f>
        <v/>
      </c>
      <c r="B696" s="39"/>
      <c r="C696" s="39"/>
      <c r="D696" s="39"/>
      <c r="E696" s="39"/>
      <c r="F696" s="39"/>
      <c r="G696" s="39"/>
      <c r="H696" s="40" t="str">
        <f>IF($AA695=0,"",IF(LEN(INDEX(Quotes!$W$9:$W$258,$AA695)&amp;"")=0,"",INDEX(Quotes!$W$9:$W$258,$AA695)))</f>
        <v/>
      </c>
      <c r="I696" s="39"/>
      <c r="J696" s="39"/>
      <c r="K696" s="39"/>
      <c r="L696" s="39"/>
      <c r="M696" s="39"/>
      <c r="N696" s="39"/>
      <c r="O696" s="39"/>
      <c r="P696" s="39"/>
      <c r="Q696" s="39"/>
      <c r="R696" s="77" t="str">
        <f>IF($AA695=0,"",IF(LEN(INDEX(Quotes!$X$9:$X$258,$AA695)&amp;"")=0,"",INDEX(Quotes!$X$9:$X$258,$AA695)))</f>
        <v/>
      </c>
      <c r="S696" s="39"/>
      <c r="T696" s="39"/>
      <c r="U696" s="39"/>
      <c r="V696" s="39"/>
    </row>
    <row r="697" spans="1:27" ht="21" hidden="1" customHeight="1" x14ac:dyDescent="0.35">
      <c r="A697" s="83" t="str">
        <f>IF($AA695=0,"","ORIGINAL EUR")</f>
        <v/>
      </c>
      <c r="B697" s="39"/>
      <c r="C697" s="39"/>
      <c r="D697" s="39"/>
      <c r="E697" s="39"/>
      <c r="F697" s="39"/>
      <c r="G697" s="39"/>
      <c r="I697" s="83" t="str">
        <f>IF($AA695=0,"","LATEST EUR")</f>
        <v/>
      </c>
      <c r="J697" s="39"/>
      <c r="K697" s="39"/>
      <c r="L697" s="39"/>
      <c r="M697" s="39"/>
      <c r="N697" s="39"/>
      <c r="O697" s="39"/>
      <c r="Q697" s="83" t="str">
        <f>IF($AA695=0,"","SAVED EUR")</f>
        <v/>
      </c>
      <c r="R697" s="39"/>
      <c r="S697" s="39"/>
      <c r="T697" s="39"/>
      <c r="U697" s="39"/>
      <c r="V697" s="39"/>
    </row>
    <row r="698" spans="1:27" ht="21" hidden="1" customHeight="1" x14ac:dyDescent="0.35">
      <c r="A698" s="82" t="str">
        <f>IF($AA695=0,"",IF(LEN(INDEX(Quotes!$AB$9:$AB$258,$AA695)&amp;"")=0,"",INDEX(Quotes!$AB$9:$AB$258,$AA695)))</f>
        <v/>
      </c>
      <c r="B698" s="39"/>
      <c r="C698" s="39"/>
      <c r="D698" s="39"/>
      <c r="E698" s="39"/>
      <c r="F698" s="39"/>
      <c r="G698" s="39"/>
      <c r="I698" s="82" t="str">
        <f>IF($AA695=0,"",IF(LEN(INDEX(Quotes!$AD$9:$AD$258,$AA695)&amp;"")=0,"",INDEX(Quotes!$AD$9:$AD$258,$AA695)))</f>
        <v/>
      </c>
      <c r="J698" s="39"/>
      <c r="K698" s="39"/>
      <c r="L698" s="39"/>
      <c r="M698" s="39"/>
      <c r="N698" s="39"/>
      <c r="O698" s="39"/>
      <c r="Q698" s="82" t="str">
        <f>IF($AA695=0,"",IF(LEN(INDEX(Quotes!$AF$9:$AF$258,$AA695)&amp;"")=0,"",INDEX(Quotes!$AF$9:$AF$258,$AA695)))</f>
        <v/>
      </c>
      <c r="R698" s="39"/>
      <c r="S698" s="39"/>
      <c r="T698" s="39"/>
      <c r="U698" s="39"/>
      <c r="V698" s="39"/>
    </row>
    <row r="699" spans="1:27" ht="21" hidden="1" customHeight="1" x14ac:dyDescent="0.35">
      <c r="A699" s="48" t="str">
        <f>IF($AA695=0,"","Reference: "&amp;IF(INDEX(Quotes!$M$9:$M$258,$AA695)="",INDEX(Quotes!$S$9:$S$258,$AA695),INDEX(Quotes!$M$9:$M$258,$AA695)))</f>
        <v/>
      </c>
      <c r="B699" s="39"/>
      <c r="C699" s="39"/>
      <c r="D699" s="39"/>
      <c r="E699" s="39"/>
      <c r="F699" s="39"/>
      <c r="G699" s="39"/>
      <c r="H699" s="39"/>
      <c r="I699" s="39"/>
      <c r="J699" s="39"/>
      <c r="K699" s="39"/>
      <c r="L699" s="39"/>
      <c r="M699" s="39"/>
      <c r="N699" s="39"/>
      <c r="O699" s="39"/>
      <c r="P699" s="39"/>
      <c r="Q699" s="48" t="str">
        <f>IF($AA695=0,"",INDEX(Quotes!$E$9:$E$258,$AA695))</f>
        <v/>
      </c>
      <c r="R699" s="39"/>
      <c r="S699" s="39"/>
      <c r="T699" s="39"/>
      <c r="U699" s="39"/>
      <c r="V699" s="39"/>
    </row>
    <row r="700" spans="1:27" ht="21" hidden="1" customHeight="1" x14ac:dyDescent="0.35">
      <c r="A700" s="81" t="str">
        <f>IF($AA695=0,"",IF(INDEX(Quotes!$N$9:$N$258,$AA695)="","No original link","Original quote"))</f>
        <v/>
      </c>
      <c r="B700" s="39"/>
      <c r="C700" s="39"/>
      <c r="D700" s="39"/>
      <c r="E700" s="39"/>
      <c r="F700" s="39"/>
      <c r="G700" s="39"/>
      <c r="I700" s="81" t="str">
        <f>IF($AA695=0,"",IF(INDEX(Quotes!$O$9:$O$258,$AA695)="","No revised link","Revised quote"))</f>
        <v/>
      </c>
      <c r="J700" s="39"/>
      <c r="K700" s="39"/>
      <c r="L700" s="39"/>
      <c r="M700" s="39"/>
      <c r="N700" s="39"/>
      <c r="O700" s="39"/>
      <c r="Q700" s="81" t="str">
        <f>IF($AA695=0,"",HYPERLINK("#'Quotes'!A"&amp;($AA695+8),"Open quote record"))</f>
        <v/>
      </c>
      <c r="R700" s="39"/>
      <c r="S700" s="39"/>
      <c r="T700" s="39"/>
      <c r="U700" s="39"/>
      <c r="V700" s="39"/>
    </row>
    <row r="701" spans="1:27" ht="21" hidden="1" customHeight="1" x14ac:dyDescent="0.35"/>
    <row r="702" spans="1:27" hidden="1" x14ac:dyDescent="0.35"/>
    <row r="703" spans="1:27" hidden="1" x14ac:dyDescent="0.35"/>
    <row r="704" spans="1:27" ht="29" hidden="1" customHeight="1" x14ac:dyDescent="0.35">
      <c r="A704" s="84" t="str">
        <f>IF($AA704=0,"",IF(LEN(INDEX(Quotes!$U$9:$U$258,$AA704)&amp;"")=0,"",INDEX(Quotes!$U$9:$U$258,$AA704)))</f>
        <v/>
      </c>
      <c r="B704" s="39"/>
      <c r="C704" s="39"/>
      <c r="D704" s="39"/>
      <c r="E704" s="39"/>
      <c r="F704" s="39"/>
      <c r="G704" s="39"/>
      <c r="H704" s="39"/>
      <c r="I704" s="39"/>
      <c r="J704" s="39"/>
      <c r="K704" s="85" t="str">
        <f>IF($AA704=0,"",IF(LEN(INDEX(Quotes!$Z$9:$Z$258,$AA704)&amp;"")=0,"",INDEX(Quotes!$Z$9:$Z$258,$AA704)))</f>
        <v/>
      </c>
      <c r="L704" s="39"/>
      <c r="M704" s="39"/>
      <c r="N704" s="39"/>
      <c r="O704" s="39"/>
      <c r="P704" s="39"/>
      <c r="Q704" s="39"/>
      <c r="R704" s="39"/>
      <c r="S704" s="39"/>
      <c r="T704" s="39"/>
      <c r="U704" s="39"/>
      <c r="V704" s="39"/>
      <c r="AA704">
        <f>IFERROR(MATCH(71,Quotes!$AK$9:$AK$258,0),0)</f>
        <v>0</v>
      </c>
    </row>
    <row r="705" spans="1:27" ht="21" hidden="1" customHeight="1" x14ac:dyDescent="0.35">
      <c r="A705" s="40" t="str">
        <f>IF($AA704=0,"",IF(LEN(INDEX(Quotes!$V$9:$V$258,$AA704)&amp;"")=0,"",INDEX(Quotes!$V$9:$V$258,$AA704)))</f>
        <v/>
      </c>
      <c r="B705" s="39"/>
      <c r="C705" s="39"/>
      <c r="D705" s="39"/>
      <c r="E705" s="39"/>
      <c r="F705" s="39"/>
      <c r="G705" s="39"/>
      <c r="H705" s="40" t="str">
        <f>IF($AA704=0,"",IF(LEN(INDEX(Quotes!$W$9:$W$258,$AA704)&amp;"")=0,"",INDEX(Quotes!$W$9:$W$258,$AA704)))</f>
        <v/>
      </c>
      <c r="I705" s="39"/>
      <c r="J705" s="39"/>
      <c r="K705" s="39"/>
      <c r="L705" s="39"/>
      <c r="M705" s="39"/>
      <c r="N705" s="39"/>
      <c r="O705" s="39"/>
      <c r="P705" s="39"/>
      <c r="Q705" s="39"/>
      <c r="R705" s="77" t="str">
        <f>IF($AA704=0,"",IF(LEN(INDEX(Quotes!$X$9:$X$258,$AA704)&amp;"")=0,"",INDEX(Quotes!$X$9:$X$258,$AA704)))</f>
        <v/>
      </c>
      <c r="S705" s="39"/>
      <c r="T705" s="39"/>
      <c r="U705" s="39"/>
      <c r="V705" s="39"/>
    </row>
    <row r="706" spans="1:27" ht="21" hidden="1" customHeight="1" x14ac:dyDescent="0.35">
      <c r="A706" s="83" t="str">
        <f>IF($AA704=0,"","ORIGINAL EUR")</f>
        <v/>
      </c>
      <c r="B706" s="39"/>
      <c r="C706" s="39"/>
      <c r="D706" s="39"/>
      <c r="E706" s="39"/>
      <c r="F706" s="39"/>
      <c r="G706" s="39"/>
      <c r="I706" s="83" t="str">
        <f>IF($AA704=0,"","LATEST EUR")</f>
        <v/>
      </c>
      <c r="J706" s="39"/>
      <c r="K706" s="39"/>
      <c r="L706" s="39"/>
      <c r="M706" s="39"/>
      <c r="N706" s="39"/>
      <c r="O706" s="39"/>
      <c r="Q706" s="83" t="str">
        <f>IF($AA704=0,"","SAVED EUR")</f>
        <v/>
      </c>
      <c r="R706" s="39"/>
      <c r="S706" s="39"/>
      <c r="T706" s="39"/>
      <c r="U706" s="39"/>
      <c r="V706" s="39"/>
    </row>
    <row r="707" spans="1:27" ht="21" hidden="1" customHeight="1" x14ac:dyDescent="0.35">
      <c r="A707" s="82" t="str">
        <f>IF($AA704=0,"",IF(LEN(INDEX(Quotes!$AB$9:$AB$258,$AA704)&amp;"")=0,"",INDEX(Quotes!$AB$9:$AB$258,$AA704)))</f>
        <v/>
      </c>
      <c r="B707" s="39"/>
      <c r="C707" s="39"/>
      <c r="D707" s="39"/>
      <c r="E707" s="39"/>
      <c r="F707" s="39"/>
      <c r="G707" s="39"/>
      <c r="I707" s="82" t="str">
        <f>IF($AA704=0,"",IF(LEN(INDEX(Quotes!$AD$9:$AD$258,$AA704)&amp;"")=0,"",INDEX(Quotes!$AD$9:$AD$258,$AA704)))</f>
        <v/>
      </c>
      <c r="J707" s="39"/>
      <c r="K707" s="39"/>
      <c r="L707" s="39"/>
      <c r="M707" s="39"/>
      <c r="N707" s="39"/>
      <c r="O707" s="39"/>
      <c r="Q707" s="82" t="str">
        <f>IF($AA704=0,"",IF(LEN(INDEX(Quotes!$AF$9:$AF$258,$AA704)&amp;"")=0,"",INDEX(Quotes!$AF$9:$AF$258,$AA704)))</f>
        <v/>
      </c>
      <c r="R707" s="39"/>
      <c r="S707" s="39"/>
      <c r="T707" s="39"/>
      <c r="U707" s="39"/>
      <c r="V707" s="39"/>
    </row>
    <row r="708" spans="1:27" ht="21" hidden="1" customHeight="1" x14ac:dyDescent="0.35">
      <c r="A708" s="48" t="str">
        <f>IF($AA704=0,"","Reference: "&amp;IF(INDEX(Quotes!$M$9:$M$258,$AA704)="",INDEX(Quotes!$S$9:$S$258,$AA704),INDEX(Quotes!$M$9:$M$258,$AA704)))</f>
        <v/>
      </c>
      <c r="B708" s="39"/>
      <c r="C708" s="39"/>
      <c r="D708" s="39"/>
      <c r="E708" s="39"/>
      <c r="F708" s="39"/>
      <c r="G708" s="39"/>
      <c r="H708" s="39"/>
      <c r="I708" s="39"/>
      <c r="J708" s="39"/>
      <c r="K708" s="39"/>
      <c r="L708" s="39"/>
      <c r="M708" s="39"/>
      <c r="N708" s="39"/>
      <c r="O708" s="39"/>
      <c r="P708" s="39"/>
      <c r="Q708" s="48" t="str">
        <f>IF($AA704=0,"",INDEX(Quotes!$E$9:$E$258,$AA704))</f>
        <v/>
      </c>
      <c r="R708" s="39"/>
      <c r="S708" s="39"/>
      <c r="T708" s="39"/>
      <c r="U708" s="39"/>
      <c r="V708" s="39"/>
    </row>
    <row r="709" spans="1:27" ht="21" hidden="1" customHeight="1" x14ac:dyDescent="0.35">
      <c r="A709" s="81" t="str">
        <f>IF($AA704=0,"",IF(INDEX(Quotes!$N$9:$N$258,$AA704)="","No original link","Original quote"))</f>
        <v/>
      </c>
      <c r="B709" s="39"/>
      <c r="C709" s="39"/>
      <c r="D709" s="39"/>
      <c r="E709" s="39"/>
      <c r="F709" s="39"/>
      <c r="G709" s="39"/>
      <c r="I709" s="81" t="str">
        <f>IF($AA704=0,"",IF(INDEX(Quotes!$O$9:$O$258,$AA704)="","No revised link","Revised quote"))</f>
        <v/>
      </c>
      <c r="J709" s="39"/>
      <c r="K709" s="39"/>
      <c r="L709" s="39"/>
      <c r="M709" s="39"/>
      <c r="N709" s="39"/>
      <c r="O709" s="39"/>
      <c r="Q709" s="81" t="str">
        <f>IF($AA704=0,"",HYPERLINK("#'Quotes'!A"&amp;($AA704+8),"Open quote record"))</f>
        <v/>
      </c>
      <c r="R709" s="39"/>
      <c r="S709" s="39"/>
      <c r="T709" s="39"/>
      <c r="U709" s="39"/>
      <c r="V709" s="39"/>
    </row>
    <row r="710" spans="1:27" ht="21" hidden="1" customHeight="1" x14ac:dyDescent="0.35"/>
    <row r="711" spans="1:27" hidden="1" x14ac:dyDescent="0.35"/>
    <row r="712" spans="1:27" hidden="1" x14ac:dyDescent="0.35"/>
    <row r="713" spans="1:27" ht="29" hidden="1" customHeight="1" x14ac:dyDescent="0.35">
      <c r="A713" s="84" t="str">
        <f>IF($AA713=0,"",IF(LEN(INDEX(Quotes!$U$9:$U$258,$AA713)&amp;"")=0,"",INDEX(Quotes!$U$9:$U$258,$AA713)))</f>
        <v/>
      </c>
      <c r="B713" s="39"/>
      <c r="C713" s="39"/>
      <c r="D713" s="39"/>
      <c r="E713" s="39"/>
      <c r="F713" s="39"/>
      <c r="G713" s="39"/>
      <c r="H713" s="39"/>
      <c r="I713" s="39"/>
      <c r="J713" s="39"/>
      <c r="K713" s="85" t="str">
        <f>IF($AA713=0,"",IF(LEN(INDEX(Quotes!$Z$9:$Z$258,$AA713)&amp;"")=0,"",INDEX(Quotes!$Z$9:$Z$258,$AA713)))</f>
        <v/>
      </c>
      <c r="L713" s="39"/>
      <c r="M713" s="39"/>
      <c r="N713" s="39"/>
      <c r="O713" s="39"/>
      <c r="P713" s="39"/>
      <c r="Q713" s="39"/>
      <c r="R713" s="39"/>
      <c r="S713" s="39"/>
      <c r="T713" s="39"/>
      <c r="U713" s="39"/>
      <c r="V713" s="39"/>
      <c r="AA713">
        <f>IFERROR(MATCH(72,Quotes!$AK$9:$AK$258,0),0)</f>
        <v>0</v>
      </c>
    </row>
    <row r="714" spans="1:27" ht="21" hidden="1" customHeight="1" x14ac:dyDescent="0.35">
      <c r="A714" s="40" t="str">
        <f>IF($AA713=0,"",IF(LEN(INDEX(Quotes!$V$9:$V$258,$AA713)&amp;"")=0,"",INDEX(Quotes!$V$9:$V$258,$AA713)))</f>
        <v/>
      </c>
      <c r="B714" s="39"/>
      <c r="C714" s="39"/>
      <c r="D714" s="39"/>
      <c r="E714" s="39"/>
      <c r="F714" s="39"/>
      <c r="G714" s="39"/>
      <c r="H714" s="40" t="str">
        <f>IF($AA713=0,"",IF(LEN(INDEX(Quotes!$W$9:$W$258,$AA713)&amp;"")=0,"",INDEX(Quotes!$W$9:$W$258,$AA713)))</f>
        <v/>
      </c>
      <c r="I714" s="39"/>
      <c r="J714" s="39"/>
      <c r="K714" s="39"/>
      <c r="L714" s="39"/>
      <c r="M714" s="39"/>
      <c r="N714" s="39"/>
      <c r="O714" s="39"/>
      <c r="P714" s="39"/>
      <c r="Q714" s="39"/>
      <c r="R714" s="77" t="str">
        <f>IF($AA713=0,"",IF(LEN(INDEX(Quotes!$X$9:$X$258,$AA713)&amp;"")=0,"",INDEX(Quotes!$X$9:$X$258,$AA713)))</f>
        <v/>
      </c>
      <c r="S714" s="39"/>
      <c r="T714" s="39"/>
      <c r="U714" s="39"/>
      <c r="V714" s="39"/>
    </row>
    <row r="715" spans="1:27" ht="21" hidden="1" customHeight="1" x14ac:dyDescent="0.35">
      <c r="A715" s="83" t="str">
        <f>IF($AA713=0,"","ORIGINAL EUR")</f>
        <v/>
      </c>
      <c r="B715" s="39"/>
      <c r="C715" s="39"/>
      <c r="D715" s="39"/>
      <c r="E715" s="39"/>
      <c r="F715" s="39"/>
      <c r="G715" s="39"/>
      <c r="I715" s="83" t="str">
        <f>IF($AA713=0,"","LATEST EUR")</f>
        <v/>
      </c>
      <c r="J715" s="39"/>
      <c r="K715" s="39"/>
      <c r="L715" s="39"/>
      <c r="M715" s="39"/>
      <c r="N715" s="39"/>
      <c r="O715" s="39"/>
      <c r="Q715" s="83" t="str">
        <f>IF($AA713=0,"","SAVED EUR")</f>
        <v/>
      </c>
      <c r="R715" s="39"/>
      <c r="S715" s="39"/>
      <c r="T715" s="39"/>
      <c r="U715" s="39"/>
      <c r="V715" s="39"/>
    </row>
    <row r="716" spans="1:27" ht="21" hidden="1" customHeight="1" x14ac:dyDescent="0.35">
      <c r="A716" s="82" t="str">
        <f>IF($AA713=0,"",IF(LEN(INDEX(Quotes!$AB$9:$AB$258,$AA713)&amp;"")=0,"",INDEX(Quotes!$AB$9:$AB$258,$AA713)))</f>
        <v/>
      </c>
      <c r="B716" s="39"/>
      <c r="C716" s="39"/>
      <c r="D716" s="39"/>
      <c r="E716" s="39"/>
      <c r="F716" s="39"/>
      <c r="G716" s="39"/>
      <c r="I716" s="82" t="str">
        <f>IF($AA713=0,"",IF(LEN(INDEX(Quotes!$AD$9:$AD$258,$AA713)&amp;"")=0,"",INDEX(Quotes!$AD$9:$AD$258,$AA713)))</f>
        <v/>
      </c>
      <c r="J716" s="39"/>
      <c r="K716" s="39"/>
      <c r="L716" s="39"/>
      <c r="M716" s="39"/>
      <c r="N716" s="39"/>
      <c r="O716" s="39"/>
      <c r="Q716" s="82" t="str">
        <f>IF($AA713=0,"",IF(LEN(INDEX(Quotes!$AF$9:$AF$258,$AA713)&amp;"")=0,"",INDEX(Quotes!$AF$9:$AF$258,$AA713)))</f>
        <v/>
      </c>
      <c r="R716" s="39"/>
      <c r="S716" s="39"/>
      <c r="T716" s="39"/>
      <c r="U716" s="39"/>
      <c r="V716" s="39"/>
    </row>
    <row r="717" spans="1:27" ht="21" hidden="1" customHeight="1" x14ac:dyDescent="0.35">
      <c r="A717" s="48" t="str">
        <f>IF($AA713=0,"","Reference: "&amp;IF(INDEX(Quotes!$M$9:$M$258,$AA713)="",INDEX(Quotes!$S$9:$S$258,$AA713),INDEX(Quotes!$M$9:$M$258,$AA713)))</f>
        <v/>
      </c>
      <c r="B717" s="39"/>
      <c r="C717" s="39"/>
      <c r="D717" s="39"/>
      <c r="E717" s="39"/>
      <c r="F717" s="39"/>
      <c r="G717" s="39"/>
      <c r="H717" s="39"/>
      <c r="I717" s="39"/>
      <c r="J717" s="39"/>
      <c r="K717" s="39"/>
      <c r="L717" s="39"/>
      <c r="M717" s="39"/>
      <c r="N717" s="39"/>
      <c r="O717" s="39"/>
      <c r="P717" s="39"/>
      <c r="Q717" s="48" t="str">
        <f>IF($AA713=0,"",INDEX(Quotes!$E$9:$E$258,$AA713))</f>
        <v/>
      </c>
      <c r="R717" s="39"/>
      <c r="S717" s="39"/>
      <c r="T717" s="39"/>
      <c r="U717" s="39"/>
      <c r="V717" s="39"/>
    </row>
    <row r="718" spans="1:27" ht="21" hidden="1" customHeight="1" x14ac:dyDescent="0.35">
      <c r="A718" s="81" t="str">
        <f>IF($AA713=0,"",IF(INDEX(Quotes!$N$9:$N$258,$AA713)="","No original link","Original quote"))</f>
        <v/>
      </c>
      <c r="B718" s="39"/>
      <c r="C718" s="39"/>
      <c r="D718" s="39"/>
      <c r="E718" s="39"/>
      <c r="F718" s="39"/>
      <c r="G718" s="39"/>
      <c r="I718" s="81" t="str">
        <f>IF($AA713=0,"",IF(INDEX(Quotes!$O$9:$O$258,$AA713)="","No revised link","Revised quote"))</f>
        <v/>
      </c>
      <c r="J718" s="39"/>
      <c r="K718" s="39"/>
      <c r="L718" s="39"/>
      <c r="M718" s="39"/>
      <c r="N718" s="39"/>
      <c r="O718" s="39"/>
      <c r="Q718" s="81" t="str">
        <f>IF($AA713=0,"",HYPERLINK("#'Quotes'!A"&amp;($AA713+8),"Open quote record"))</f>
        <v/>
      </c>
      <c r="R718" s="39"/>
      <c r="S718" s="39"/>
      <c r="T718" s="39"/>
      <c r="U718" s="39"/>
      <c r="V718" s="39"/>
    </row>
    <row r="719" spans="1:27" ht="21" hidden="1" customHeight="1" x14ac:dyDescent="0.35"/>
    <row r="720" spans="1:27" hidden="1" x14ac:dyDescent="0.35"/>
    <row r="721" spans="1:27" hidden="1" x14ac:dyDescent="0.35"/>
    <row r="722" spans="1:27" hidden="1" x14ac:dyDescent="0.35"/>
    <row r="723" spans="1:27" hidden="1" x14ac:dyDescent="0.35">
      <c r="A723" s="67" t="s">
        <v>655</v>
      </c>
      <c r="B723" s="39"/>
      <c r="C723" s="39"/>
      <c r="D723" s="39"/>
      <c r="E723" s="39"/>
      <c r="F723" s="39"/>
      <c r="G723" s="39"/>
      <c r="H723" s="39"/>
      <c r="I723" s="39"/>
      <c r="J723" s="39"/>
      <c r="K723" s="39"/>
      <c r="L723" s="39"/>
      <c r="M723" s="39"/>
      <c r="N723" s="39"/>
      <c r="O723" s="39"/>
      <c r="P723" s="39"/>
      <c r="Q723" s="39"/>
      <c r="R723" s="39"/>
      <c r="S723" s="39"/>
      <c r="T723" s="39"/>
      <c r="U723" s="39"/>
      <c r="V723" s="39"/>
    </row>
    <row r="724" spans="1:27" ht="29" hidden="1" customHeight="1" x14ac:dyDescent="0.35">
      <c r="A724" s="84" t="str">
        <f>IF($AA724=0,"",IF(LEN(INDEX(Quotes!$U$9:$U$258,$AA724)&amp;"")=0,"",INDEX(Quotes!$U$9:$U$258,$AA724)))</f>
        <v/>
      </c>
      <c r="B724" s="39"/>
      <c r="C724" s="39"/>
      <c r="D724" s="39"/>
      <c r="E724" s="39"/>
      <c r="F724" s="39"/>
      <c r="G724" s="39"/>
      <c r="H724" s="39"/>
      <c r="I724" s="39"/>
      <c r="J724" s="39"/>
      <c r="K724" s="85" t="str">
        <f>IF($AA724=0,"",IF(LEN(INDEX(Quotes!$Z$9:$Z$258,$AA724)&amp;"")=0,"",INDEX(Quotes!$Z$9:$Z$258,$AA724)))</f>
        <v/>
      </c>
      <c r="L724" s="39"/>
      <c r="M724" s="39"/>
      <c r="N724" s="39"/>
      <c r="O724" s="39"/>
      <c r="P724" s="39"/>
      <c r="Q724" s="39"/>
      <c r="R724" s="39"/>
      <c r="S724" s="39"/>
      <c r="T724" s="39"/>
      <c r="U724" s="39"/>
      <c r="V724" s="39"/>
      <c r="AA724">
        <f>IFERROR(MATCH(73,Quotes!$AK$9:$AK$258,0),0)</f>
        <v>0</v>
      </c>
    </row>
    <row r="725" spans="1:27" ht="21" hidden="1" customHeight="1" x14ac:dyDescent="0.35">
      <c r="A725" s="40" t="str">
        <f>IF($AA724=0,"",IF(LEN(INDEX(Quotes!$V$9:$V$258,$AA724)&amp;"")=0,"",INDEX(Quotes!$V$9:$V$258,$AA724)))</f>
        <v/>
      </c>
      <c r="B725" s="39"/>
      <c r="C725" s="39"/>
      <c r="D725" s="39"/>
      <c r="E725" s="39"/>
      <c r="F725" s="39"/>
      <c r="G725" s="39"/>
      <c r="H725" s="40" t="str">
        <f>IF($AA724=0,"",IF(LEN(INDEX(Quotes!$W$9:$W$258,$AA724)&amp;"")=0,"",INDEX(Quotes!$W$9:$W$258,$AA724)))</f>
        <v/>
      </c>
      <c r="I725" s="39"/>
      <c r="J725" s="39"/>
      <c r="K725" s="39"/>
      <c r="L725" s="39"/>
      <c r="M725" s="39"/>
      <c r="N725" s="39"/>
      <c r="O725" s="39"/>
      <c r="P725" s="39"/>
      <c r="Q725" s="39"/>
      <c r="R725" s="77" t="str">
        <f>IF($AA724=0,"",IF(LEN(INDEX(Quotes!$X$9:$X$258,$AA724)&amp;"")=0,"",INDEX(Quotes!$X$9:$X$258,$AA724)))</f>
        <v/>
      </c>
      <c r="S725" s="39"/>
      <c r="T725" s="39"/>
      <c r="U725" s="39"/>
      <c r="V725" s="39"/>
    </row>
    <row r="726" spans="1:27" ht="21" hidden="1" customHeight="1" x14ac:dyDescent="0.35">
      <c r="A726" s="83" t="str">
        <f>IF($AA724=0,"","ORIGINAL EUR")</f>
        <v/>
      </c>
      <c r="B726" s="39"/>
      <c r="C726" s="39"/>
      <c r="D726" s="39"/>
      <c r="E726" s="39"/>
      <c r="F726" s="39"/>
      <c r="G726" s="39"/>
      <c r="I726" s="83" t="str">
        <f>IF($AA724=0,"","LATEST EUR")</f>
        <v/>
      </c>
      <c r="J726" s="39"/>
      <c r="K726" s="39"/>
      <c r="L726" s="39"/>
      <c r="M726" s="39"/>
      <c r="N726" s="39"/>
      <c r="O726" s="39"/>
      <c r="Q726" s="83" t="str">
        <f>IF($AA724=0,"","SAVED EUR")</f>
        <v/>
      </c>
      <c r="R726" s="39"/>
      <c r="S726" s="39"/>
      <c r="T726" s="39"/>
      <c r="U726" s="39"/>
      <c r="V726" s="39"/>
    </row>
    <row r="727" spans="1:27" ht="21" hidden="1" customHeight="1" x14ac:dyDescent="0.35">
      <c r="A727" s="82" t="str">
        <f>IF($AA724=0,"",IF(LEN(INDEX(Quotes!$AB$9:$AB$258,$AA724)&amp;"")=0,"",INDEX(Quotes!$AB$9:$AB$258,$AA724)))</f>
        <v/>
      </c>
      <c r="B727" s="39"/>
      <c r="C727" s="39"/>
      <c r="D727" s="39"/>
      <c r="E727" s="39"/>
      <c r="F727" s="39"/>
      <c r="G727" s="39"/>
      <c r="I727" s="82" t="str">
        <f>IF($AA724=0,"",IF(LEN(INDEX(Quotes!$AD$9:$AD$258,$AA724)&amp;"")=0,"",INDEX(Quotes!$AD$9:$AD$258,$AA724)))</f>
        <v/>
      </c>
      <c r="J727" s="39"/>
      <c r="K727" s="39"/>
      <c r="L727" s="39"/>
      <c r="M727" s="39"/>
      <c r="N727" s="39"/>
      <c r="O727" s="39"/>
      <c r="Q727" s="82" t="str">
        <f>IF($AA724=0,"",IF(LEN(INDEX(Quotes!$AF$9:$AF$258,$AA724)&amp;"")=0,"",INDEX(Quotes!$AF$9:$AF$258,$AA724)))</f>
        <v/>
      </c>
      <c r="R727" s="39"/>
      <c r="S727" s="39"/>
      <c r="T727" s="39"/>
      <c r="U727" s="39"/>
      <c r="V727" s="39"/>
    </row>
    <row r="728" spans="1:27" ht="21" hidden="1" customHeight="1" x14ac:dyDescent="0.35">
      <c r="A728" s="48" t="str">
        <f>IF($AA724=0,"","Reference: "&amp;IF(INDEX(Quotes!$M$9:$M$258,$AA724)="",INDEX(Quotes!$S$9:$S$258,$AA724),INDEX(Quotes!$M$9:$M$258,$AA724)))</f>
        <v/>
      </c>
      <c r="B728" s="39"/>
      <c r="C728" s="39"/>
      <c r="D728" s="39"/>
      <c r="E728" s="39"/>
      <c r="F728" s="39"/>
      <c r="G728" s="39"/>
      <c r="H728" s="39"/>
      <c r="I728" s="39"/>
      <c r="J728" s="39"/>
      <c r="K728" s="39"/>
      <c r="L728" s="39"/>
      <c r="M728" s="39"/>
      <c r="N728" s="39"/>
      <c r="O728" s="39"/>
      <c r="P728" s="39"/>
      <c r="Q728" s="48" t="str">
        <f>IF($AA724=0,"",INDEX(Quotes!$E$9:$E$258,$AA724))</f>
        <v/>
      </c>
      <c r="R728" s="39"/>
      <c r="S728" s="39"/>
      <c r="T728" s="39"/>
      <c r="U728" s="39"/>
      <c r="V728" s="39"/>
    </row>
    <row r="729" spans="1:27" ht="21" hidden="1" customHeight="1" x14ac:dyDescent="0.35">
      <c r="A729" s="81" t="str">
        <f>IF($AA724=0,"",IF(INDEX(Quotes!$N$9:$N$258,$AA724)="","No original link","Original quote"))</f>
        <v/>
      </c>
      <c r="B729" s="39"/>
      <c r="C729" s="39"/>
      <c r="D729" s="39"/>
      <c r="E729" s="39"/>
      <c r="F729" s="39"/>
      <c r="G729" s="39"/>
      <c r="I729" s="81" t="str">
        <f>IF($AA724=0,"",IF(INDEX(Quotes!$O$9:$O$258,$AA724)="","No revised link","Revised quote"))</f>
        <v/>
      </c>
      <c r="J729" s="39"/>
      <c r="K729" s="39"/>
      <c r="L729" s="39"/>
      <c r="M729" s="39"/>
      <c r="N729" s="39"/>
      <c r="O729" s="39"/>
      <c r="Q729" s="81" t="str">
        <f>IF($AA724=0,"",HYPERLINK("#'Quotes'!A"&amp;($AA724+8),"Open quote record"))</f>
        <v/>
      </c>
      <c r="R729" s="39"/>
      <c r="S729" s="39"/>
      <c r="T729" s="39"/>
      <c r="U729" s="39"/>
      <c r="V729" s="39"/>
    </row>
    <row r="730" spans="1:27" ht="21" hidden="1" customHeight="1" x14ac:dyDescent="0.35"/>
    <row r="731" spans="1:27" hidden="1" x14ac:dyDescent="0.35"/>
    <row r="732" spans="1:27" hidden="1" x14ac:dyDescent="0.35"/>
    <row r="733" spans="1:27" ht="29" hidden="1" customHeight="1" x14ac:dyDescent="0.35">
      <c r="A733" s="84" t="str">
        <f>IF($AA733=0,"",IF(LEN(INDEX(Quotes!$U$9:$U$258,$AA733)&amp;"")=0,"",INDEX(Quotes!$U$9:$U$258,$AA733)))</f>
        <v/>
      </c>
      <c r="B733" s="39"/>
      <c r="C733" s="39"/>
      <c r="D733" s="39"/>
      <c r="E733" s="39"/>
      <c r="F733" s="39"/>
      <c r="G733" s="39"/>
      <c r="H733" s="39"/>
      <c r="I733" s="39"/>
      <c r="J733" s="39"/>
      <c r="K733" s="85" t="str">
        <f>IF($AA733=0,"",IF(LEN(INDEX(Quotes!$Z$9:$Z$258,$AA733)&amp;"")=0,"",INDEX(Quotes!$Z$9:$Z$258,$AA733)))</f>
        <v/>
      </c>
      <c r="L733" s="39"/>
      <c r="M733" s="39"/>
      <c r="N733" s="39"/>
      <c r="O733" s="39"/>
      <c r="P733" s="39"/>
      <c r="Q733" s="39"/>
      <c r="R733" s="39"/>
      <c r="S733" s="39"/>
      <c r="T733" s="39"/>
      <c r="U733" s="39"/>
      <c r="V733" s="39"/>
      <c r="AA733">
        <f>IFERROR(MATCH(74,Quotes!$AK$9:$AK$258,0),0)</f>
        <v>0</v>
      </c>
    </row>
    <row r="734" spans="1:27" ht="21" hidden="1" customHeight="1" x14ac:dyDescent="0.35">
      <c r="A734" s="40" t="str">
        <f>IF($AA733=0,"",IF(LEN(INDEX(Quotes!$V$9:$V$258,$AA733)&amp;"")=0,"",INDEX(Quotes!$V$9:$V$258,$AA733)))</f>
        <v/>
      </c>
      <c r="B734" s="39"/>
      <c r="C734" s="39"/>
      <c r="D734" s="39"/>
      <c r="E734" s="39"/>
      <c r="F734" s="39"/>
      <c r="G734" s="39"/>
      <c r="H734" s="40" t="str">
        <f>IF($AA733=0,"",IF(LEN(INDEX(Quotes!$W$9:$W$258,$AA733)&amp;"")=0,"",INDEX(Quotes!$W$9:$W$258,$AA733)))</f>
        <v/>
      </c>
      <c r="I734" s="39"/>
      <c r="J734" s="39"/>
      <c r="K734" s="39"/>
      <c r="L734" s="39"/>
      <c r="M734" s="39"/>
      <c r="N734" s="39"/>
      <c r="O734" s="39"/>
      <c r="P734" s="39"/>
      <c r="Q734" s="39"/>
      <c r="R734" s="77" t="str">
        <f>IF($AA733=0,"",IF(LEN(INDEX(Quotes!$X$9:$X$258,$AA733)&amp;"")=0,"",INDEX(Quotes!$X$9:$X$258,$AA733)))</f>
        <v/>
      </c>
      <c r="S734" s="39"/>
      <c r="T734" s="39"/>
      <c r="U734" s="39"/>
      <c r="V734" s="39"/>
    </row>
    <row r="735" spans="1:27" ht="21" hidden="1" customHeight="1" x14ac:dyDescent="0.35">
      <c r="A735" s="83" t="str">
        <f>IF($AA733=0,"","ORIGINAL EUR")</f>
        <v/>
      </c>
      <c r="B735" s="39"/>
      <c r="C735" s="39"/>
      <c r="D735" s="39"/>
      <c r="E735" s="39"/>
      <c r="F735" s="39"/>
      <c r="G735" s="39"/>
      <c r="I735" s="83" t="str">
        <f>IF($AA733=0,"","LATEST EUR")</f>
        <v/>
      </c>
      <c r="J735" s="39"/>
      <c r="K735" s="39"/>
      <c r="L735" s="39"/>
      <c r="M735" s="39"/>
      <c r="N735" s="39"/>
      <c r="O735" s="39"/>
      <c r="Q735" s="83" t="str">
        <f>IF($AA733=0,"","SAVED EUR")</f>
        <v/>
      </c>
      <c r="R735" s="39"/>
      <c r="S735" s="39"/>
      <c r="T735" s="39"/>
      <c r="U735" s="39"/>
      <c r="V735" s="39"/>
    </row>
    <row r="736" spans="1:27" ht="21" hidden="1" customHeight="1" x14ac:dyDescent="0.35">
      <c r="A736" s="82" t="str">
        <f>IF($AA733=0,"",IF(LEN(INDEX(Quotes!$AB$9:$AB$258,$AA733)&amp;"")=0,"",INDEX(Quotes!$AB$9:$AB$258,$AA733)))</f>
        <v/>
      </c>
      <c r="B736" s="39"/>
      <c r="C736" s="39"/>
      <c r="D736" s="39"/>
      <c r="E736" s="39"/>
      <c r="F736" s="39"/>
      <c r="G736" s="39"/>
      <c r="I736" s="82" t="str">
        <f>IF($AA733=0,"",IF(LEN(INDEX(Quotes!$AD$9:$AD$258,$AA733)&amp;"")=0,"",INDEX(Quotes!$AD$9:$AD$258,$AA733)))</f>
        <v/>
      </c>
      <c r="J736" s="39"/>
      <c r="K736" s="39"/>
      <c r="L736" s="39"/>
      <c r="M736" s="39"/>
      <c r="N736" s="39"/>
      <c r="O736" s="39"/>
      <c r="Q736" s="82" t="str">
        <f>IF($AA733=0,"",IF(LEN(INDEX(Quotes!$AF$9:$AF$258,$AA733)&amp;"")=0,"",INDEX(Quotes!$AF$9:$AF$258,$AA733)))</f>
        <v/>
      </c>
      <c r="R736" s="39"/>
      <c r="S736" s="39"/>
      <c r="T736" s="39"/>
      <c r="U736" s="39"/>
      <c r="V736" s="39"/>
    </row>
    <row r="737" spans="1:27" ht="21" hidden="1" customHeight="1" x14ac:dyDescent="0.35">
      <c r="A737" s="48" t="str">
        <f>IF($AA733=0,"","Reference: "&amp;IF(INDEX(Quotes!$M$9:$M$258,$AA733)="",INDEX(Quotes!$S$9:$S$258,$AA733),INDEX(Quotes!$M$9:$M$258,$AA733)))</f>
        <v/>
      </c>
      <c r="B737" s="39"/>
      <c r="C737" s="39"/>
      <c r="D737" s="39"/>
      <c r="E737" s="39"/>
      <c r="F737" s="39"/>
      <c r="G737" s="39"/>
      <c r="H737" s="39"/>
      <c r="I737" s="39"/>
      <c r="J737" s="39"/>
      <c r="K737" s="39"/>
      <c r="L737" s="39"/>
      <c r="M737" s="39"/>
      <c r="N737" s="39"/>
      <c r="O737" s="39"/>
      <c r="P737" s="39"/>
      <c r="Q737" s="48" t="str">
        <f>IF($AA733=0,"",INDEX(Quotes!$E$9:$E$258,$AA733))</f>
        <v/>
      </c>
      <c r="R737" s="39"/>
      <c r="S737" s="39"/>
      <c r="T737" s="39"/>
      <c r="U737" s="39"/>
      <c r="V737" s="39"/>
    </row>
    <row r="738" spans="1:27" ht="21" hidden="1" customHeight="1" x14ac:dyDescent="0.35">
      <c r="A738" s="81" t="str">
        <f>IF($AA733=0,"",IF(INDEX(Quotes!$N$9:$N$258,$AA733)="","No original link","Original quote"))</f>
        <v/>
      </c>
      <c r="B738" s="39"/>
      <c r="C738" s="39"/>
      <c r="D738" s="39"/>
      <c r="E738" s="39"/>
      <c r="F738" s="39"/>
      <c r="G738" s="39"/>
      <c r="I738" s="81" t="str">
        <f>IF($AA733=0,"",IF(INDEX(Quotes!$O$9:$O$258,$AA733)="","No revised link","Revised quote"))</f>
        <v/>
      </c>
      <c r="J738" s="39"/>
      <c r="K738" s="39"/>
      <c r="L738" s="39"/>
      <c r="M738" s="39"/>
      <c r="N738" s="39"/>
      <c r="O738" s="39"/>
      <c r="Q738" s="81" t="str">
        <f>IF($AA733=0,"",HYPERLINK("#'Quotes'!A"&amp;($AA733+8),"Open quote record"))</f>
        <v/>
      </c>
      <c r="R738" s="39"/>
      <c r="S738" s="39"/>
      <c r="T738" s="39"/>
      <c r="U738" s="39"/>
      <c r="V738" s="39"/>
    </row>
    <row r="739" spans="1:27" ht="21" hidden="1" customHeight="1" x14ac:dyDescent="0.35"/>
    <row r="740" spans="1:27" hidden="1" x14ac:dyDescent="0.35"/>
    <row r="741" spans="1:27" hidden="1" x14ac:dyDescent="0.35"/>
    <row r="742" spans="1:27" ht="29" hidden="1" customHeight="1" x14ac:dyDescent="0.35">
      <c r="A742" s="84" t="str">
        <f>IF($AA742=0,"",IF(LEN(INDEX(Quotes!$U$9:$U$258,$AA742)&amp;"")=0,"",INDEX(Quotes!$U$9:$U$258,$AA742)))</f>
        <v/>
      </c>
      <c r="B742" s="39"/>
      <c r="C742" s="39"/>
      <c r="D742" s="39"/>
      <c r="E742" s="39"/>
      <c r="F742" s="39"/>
      <c r="G742" s="39"/>
      <c r="H742" s="39"/>
      <c r="I742" s="39"/>
      <c r="J742" s="39"/>
      <c r="K742" s="85" t="str">
        <f>IF($AA742=0,"",IF(LEN(INDEX(Quotes!$Z$9:$Z$258,$AA742)&amp;"")=0,"",INDEX(Quotes!$Z$9:$Z$258,$AA742)))</f>
        <v/>
      </c>
      <c r="L742" s="39"/>
      <c r="M742" s="39"/>
      <c r="N742" s="39"/>
      <c r="O742" s="39"/>
      <c r="P742" s="39"/>
      <c r="Q742" s="39"/>
      <c r="R742" s="39"/>
      <c r="S742" s="39"/>
      <c r="T742" s="39"/>
      <c r="U742" s="39"/>
      <c r="V742" s="39"/>
      <c r="AA742">
        <f>IFERROR(MATCH(75,Quotes!$AK$9:$AK$258,0),0)</f>
        <v>0</v>
      </c>
    </row>
    <row r="743" spans="1:27" ht="21" hidden="1" customHeight="1" x14ac:dyDescent="0.35">
      <c r="A743" s="40" t="str">
        <f>IF($AA742=0,"",IF(LEN(INDEX(Quotes!$V$9:$V$258,$AA742)&amp;"")=0,"",INDEX(Quotes!$V$9:$V$258,$AA742)))</f>
        <v/>
      </c>
      <c r="B743" s="39"/>
      <c r="C743" s="39"/>
      <c r="D743" s="39"/>
      <c r="E743" s="39"/>
      <c r="F743" s="39"/>
      <c r="G743" s="39"/>
      <c r="H743" s="40" t="str">
        <f>IF($AA742=0,"",IF(LEN(INDEX(Quotes!$W$9:$W$258,$AA742)&amp;"")=0,"",INDEX(Quotes!$W$9:$W$258,$AA742)))</f>
        <v/>
      </c>
      <c r="I743" s="39"/>
      <c r="J743" s="39"/>
      <c r="K743" s="39"/>
      <c r="L743" s="39"/>
      <c r="M743" s="39"/>
      <c r="N743" s="39"/>
      <c r="O743" s="39"/>
      <c r="P743" s="39"/>
      <c r="Q743" s="39"/>
      <c r="R743" s="77" t="str">
        <f>IF($AA742=0,"",IF(LEN(INDEX(Quotes!$X$9:$X$258,$AA742)&amp;"")=0,"",INDEX(Quotes!$X$9:$X$258,$AA742)))</f>
        <v/>
      </c>
      <c r="S743" s="39"/>
      <c r="T743" s="39"/>
      <c r="U743" s="39"/>
      <c r="V743" s="39"/>
    </row>
    <row r="744" spans="1:27" ht="21" hidden="1" customHeight="1" x14ac:dyDescent="0.35">
      <c r="A744" s="83" t="str">
        <f>IF($AA742=0,"","ORIGINAL EUR")</f>
        <v/>
      </c>
      <c r="B744" s="39"/>
      <c r="C744" s="39"/>
      <c r="D744" s="39"/>
      <c r="E744" s="39"/>
      <c r="F744" s="39"/>
      <c r="G744" s="39"/>
      <c r="I744" s="83" t="str">
        <f>IF($AA742=0,"","LATEST EUR")</f>
        <v/>
      </c>
      <c r="J744" s="39"/>
      <c r="K744" s="39"/>
      <c r="L744" s="39"/>
      <c r="M744" s="39"/>
      <c r="N744" s="39"/>
      <c r="O744" s="39"/>
      <c r="Q744" s="83" t="str">
        <f>IF($AA742=0,"","SAVED EUR")</f>
        <v/>
      </c>
      <c r="R744" s="39"/>
      <c r="S744" s="39"/>
      <c r="T744" s="39"/>
      <c r="U744" s="39"/>
      <c r="V744" s="39"/>
    </row>
    <row r="745" spans="1:27" ht="21" hidden="1" customHeight="1" x14ac:dyDescent="0.35">
      <c r="A745" s="82" t="str">
        <f>IF($AA742=0,"",IF(LEN(INDEX(Quotes!$AB$9:$AB$258,$AA742)&amp;"")=0,"",INDEX(Quotes!$AB$9:$AB$258,$AA742)))</f>
        <v/>
      </c>
      <c r="B745" s="39"/>
      <c r="C745" s="39"/>
      <c r="D745" s="39"/>
      <c r="E745" s="39"/>
      <c r="F745" s="39"/>
      <c r="G745" s="39"/>
      <c r="I745" s="82" t="str">
        <f>IF($AA742=0,"",IF(LEN(INDEX(Quotes!$AD$9:$AD$258,$AA742)&amp;"")=0,"",INDEX(Quotes!$AD$9:$AD$258,$AA742)))</f>
        <v/>
      </c>
      <c r="J745" s="39"/>
      <c r="K745" s="39"/>
      <c r="L745" s="39"/>
      <c r="M745" s="39"/>
      <c r="N745" s="39"/>
      <c r="O745" s="39"/>
      <c r="Q745" s="82" t="str">
        <f>IF($AA742=0,"",IF(LEN(INDEX(Quotes!$AF$9:$AF$258,$AA742)&amp;"")=0,"",INDEX(Quotes!$AF$9:$AF$258,$AA742)))</f>
        <v/>
      </c>
      <c r="R745" s="39"/>
      <c r="S745" s="39"/>
      <c r="T745" s="39"/>
      <c r="U745" s="39"/>
      <c r="V745" s="39"/>
    </row>
    <row r="746" spans="1:27" ht="21" hidden="1" customHeight="1" x14ac:dyDescent="0.35">
      <c r="A746" s="48" t="str">
        <f>IF($AA742=0,"","Reference: "&amp;IF(INDEX(Quotes!$M$9:$M$258,$AA742)="",INDEX(Quotes!$S$9:$S$258,$AA742),INDEX(Quotes!$M$9:$M$258,$AA742)))</f>
        <v/>
      </c>
      <c r="B746" s="39"/>
      <c r="C746" s="39"/>
      <c r="D746" s="39"/>
      <c r="E746" s="39"/>
      <c r="F746" s="39"/>
      <c r="G746" s="39"/>
      <c r="H746" s="39"/>
      <c r="I746" s="39"/>
      <c r="J746" s="39"/>
      <c r="K746" s="39"/>
      <c r="L746" s="39"/>
      <c r="M746" s="39"/>
      <c r="N746" s="39"/>
      <c r="O746" s="39"/>
      <c r="P746" s="39"/>
      <c r="Q746" s="48" t="str">
        <f>IF($AA742=0,"",INDEX(Quotes!$E$9:$E$258,$AA742))</f>
        <v/>
      </c>
      <c r="R746" s="39"/>
      <c r="S746" s="39"/>
      <c r="T746" s="39"/>
      <c r="U746" s="39"/>
      <c r="V746" s="39"/>
    </row>
    <row r="747" spans="1:27" ht="21" hidden="1" customHeight="1" x14ac:dyDescent="0.35">
      <c r="A747" s="81" t="str">
        <f>IF($AA742=0,"",IF(INDEX(Quotes!$N$9:$N$258,$AA742)="","No original link","Original quote"))</f>
        <v/>
      </c>
      <c r="B747" s="39"/>
      <c r="C747" s="39"/>
      <c r="D747" s="39"/>
      <c r="E747" s="39"/>
      <c r="F747" s="39"/>
      <c r="G747" s="39"/>
      <c r="I747" s="81" t="str">
        <f>IF($AA742=0,"",IF(INDEX(Quotes!$O$9:$O$258,$AA742)="","No revised link","Revised quote"))</f>
        <v/>
      </c>
      <c r="J747" s="39"/>
      <c r="K747" s="39"/>
      <c r="L747" s="39"/>
      <c r="M747" s="39"/>
      <c r="N747" s="39"/>
      <c r="O747" s="39"/>
      <c r="Q747" s="81" t="str">
        <f>IF($AA742=0,"",HYPERLINK("#'Quotes'!A"&amp;($AA742+8),"Open quote record"))</f>
        <v/>
      </c>
      <c r="R747" s="39"/>
      <c r="S747" s="39"/>
      <c r="T747" s="39"/>
      <c r="U747" s="39"/>
      <c r="V747" s="39"/>
    </row>
    <row r="748" spans="1:27" ht="21" hidden="1" customHeight="1" x14ac:dyDescent="0.35"/>
    <row r="749" spans="1:27" hidden="1" x14ac:dyDescent="0.35"/>
    <row r="750" spans="1:27" hidden="1" x14ac:dyDescent="0.35"/>
    <row r="751" spans="1:27" ht="29" hidden="1" customHeight="1" x14ac:dyDescent="0.35">
      <c r="A751" s="84" t="str">
        <f>IF($AA751=0,"",IF(LEN(INDEX(Quotes!$U$9:$U$258,$AA751)&amp;"")=0,"",INDEX(Quotes!$U$9:$U$258,$AA751)))</f>
        <v/>
      </c>
      <c r="B751" s="39"/>
      <c r="C751" s="39"/>
      <c r="D751" s="39"/>
      <c r="E751" s="39"/>
      <c r="F751" s="39"/>
      <c r="G751" s="39"/>
      <c r="H751" s="39"/>
      <c r="I751" s="39"/>
      <c r="J751" s="39"/>
      <c r="K751" s="85" t="str">
        <f>IF($AA751=0,"",IF(LEN(INDEX(Quotes!$Z$9:$Z$258,$AA751)&amp;"")=0,"",INDEX(Quotes!$Z$9:$Z$258,$AA751)))</f>
        <v/>
      </c>
      <c r="L751" s="39"/>
      <c r="M751" s="39"/>
      <c r="N751" s="39"/>
      <c r="O751" s="39"/>
      <c r="P751" s="39"/>
      <c r="Q751" s="39"/>
      <c r="R751" s="39"/>
      <c r="S751" s="39"/>
      <c r="T751" s="39"/>
      <c r="U751" s="39"/>
      <c r="V751" s="39"/>
      <c r="AA751">
        <f>IFERROR(MATCH(76,Quotes!$AK$9:$AK$258,0),0)</f>
        <v>0</v>
      </c>
    </row>
    <row r="752" spans="1:27" ht="21" hidden="1" customHeight="1" x14ac:dyDescent="0.35">
      <c r="A752" s="40" t="str">
        <f>IF($AA751=0,"",IF(LEN(INDEX(Quotes!$V$9:$V$258,$AA751)&amp;"")=0,"",INDEX(Quotes!$V$9:$V$258,$AA751)))</f>
        <v/>
      </c>
      <c r="B752" s="39"/>
      <c r="C752" s="39"/>
      <c r="D752" s="39"/>
      <c r="E752" s="39"/>
      <c r="F752" s="39"/>
      <c r="G752" s="39"/>
      <c r="H752" s="40" t="str">
        <f>IF($AA751=0,"",IF(LEN(INDEX(Quotes!$W$9:$W$258,$AA751)&amp;"")=0,"",INDEX(Quotes!$W$9:$W$258,$AA751)))</f>
        <v/>
      </c>
      <c r="I752" s="39"/>
      <c r="J752" s="39"/>
      <c r="K752" s="39"/>
      <c r="L752" s="39"/>
      <c r="M752" s="39"/>
      <c r="N752" s="39"/>
      <c r="O752" s="39"/>
      <c r="P752" s="39"/>
      <c r="Q752" s="39"/>
      <c r="R752" s="77" t="str">
        <f>IF($AA751=0,"",IF(LEN(INDEX(Quotes!$X$9:$X$258,$AA751)&amp;"")=0,"",INDEX(Quotes!$X$9:$X$258,$AA751)))</f>
        <v/>
      </c>
      <c r="S752" s="39"/>
      <c r="T752" s="39"/>
      <c r="U752" s="39"/>
      <c r="V752" s="39"/>
    </row>
    <row r="753" spans="1:27" ht="21" hidden="1" customHeight="1" x14ac:dyDescent="0.35">
      <c r="A753" s="83" t="str">
        <f>IF($AA751=0,"","ORIGINAL EUR")</f>
        <v/>
      </c>
      <c r="B753" s="39"/>
      <c r="C753" s="39"/>
      <c r="D753" s="39"/>
      <c r="E753" s="39"/>
      <c r="F753" s="39"/>
      <c r="G753" s="39"/>
      <c r="I753" s="83" t="str">
        <f>IF($AA751=0,"","LATEST EUR")</f>
        <v/>
      </c>
      <c r="J753" s="39"/>
      <c r="K753" s="39"/>
      <c r="L753" s="39"/>
      <c r="M753" s="39"/>
      <c r="N753" s="39"/>
      <c r="O753" s="39"/>
      <c r="Q753" s="83" t="str">
        <f>IF($AA751=0,"","SAVED EUR")</f>
        <v/>
      </c>
      <c r="R753" s="39"/>
      <c r="S753" s="39"/>
      <c r="T753" s="39"/>
      <c r="U753" s="39"/>
      <c r="V753" s="39"/>
    </row>
    <row r="754" spans="1:27" ht="21" hidden="1" customHeight="1" x14ac:dyDescent="0.35">
      <c r="A754" s="82" t="str">
        <f>IF($AA751=0,"",IF(LEN(INDEX(Quotes!$AB$9:$AB$258,$AA751)&amp;"")=0,"",INDEX(Quotes!$AB$9:$AB$258,$AA751)))</f>
        <v/>
      </c>
      <c r="B754" s="39"/>
      <c r="C754" s="39"/>
      <c r="D754" s="39"/>
      <c r="E754" s="39"/>
      <c r="F754" s="39"/>
      <c r="G754" s="39"/>
      <c r="I754" s="82" t="str">
        <f>IF($AA751=0,"",IF(LEN(INDEX(Quotes!$AD$9:$AD$258,$AA751)&amp;"")=0,"",INDEX(Quotes!$AD$9:$AD$258,$AA751)))</f>
        <v/>
      </c>
      <c r="J754" s="39"/>
      <c r="K754" s="39"/>
      <c r="L754" s="39"/>
      <c r="M754" s="39"/>
      <c r="N754" s="39"/>
      <c r="O754" s="39"/>
      <c r="Q754" s="82" t="str">
        <f>IF($AA751=0,"",IF(LEN(INDEX(Quotes!$AF$9:$AF$258,$AA751)&amp;"")=0,"",INDEX(Quotes!$AF$9:$AF$258,$AA751)))</f>
        <v/>
      </c>
      <c r="R754" s="39"/>
      <c r="S754" s="39"/>
      <c r="T754" s="39"/>
      <c r="U754" s="39"/>
      <c r="V754" s="39"/>
    </row>
    <row r="755" spans="1:27" ht="21" hidden="1" customHeight="1" x14ac:dyDescent="0.35">
      <c r="A755" s="48" t="str">
        <f>IF($AA751=0,"","Reference: "&amp;IF(INDEX(Quotes!$M$9:$M$258,$AA751)="",INDEX(Quotes!$S$9:$S$258,$AA751),INDEX(Quotes!$M$9:$M$258,$AA751)))</f>
        <v/>
      </c>
      <c r="B755" s="39"/>
      <c r="C755" s="39"/>
      <c r="D755" s="39"/>
      <c r="E755" s="39"/>
      <c r="F755" s="39"/>
      <c r="G755" s="39"/>
      <c r="H755" s="39"/>
      <c r="I755" s="39"/>
      <c r="J755" s="39"/>
      <c r="K755" s="39"/>
      <c r="L755" s="39"/>
      <c r="M755" s="39"/>
      <c r="N755" s="39"/>
      <c r="O755" s="39"/>
      <c r="P755" s="39"/>
      <c r="Q755" s="48" t="str">
        <f>IF($AA751=0,"",INDEX(Quotes!$E$9:$E$258,$AA751))</f>
        <v/>
      </c>
      <c r="R755" s="39"/>
      <c r="S755" s="39"/>
      <c r="T755" s="39"/>
      <c r="U755" s="39"/>
      <c r="V755" s="39"/>
    </row>
    <row r="756" spans="1:27" ht="21" hidden="1" customHeight="1" x14ac:dyDescent="0.35">
      <c r="A756" s="81" t="str">
        <f>IF($AA751=0,"",IF(INDEX(Quotes!$N$9:$N$258,$AA751)="","No original link","Original quote"))</f>
        <v/>
      </c>
      <c r="B756" s="39"/>
      <c r="C756" s="39"/>
      <c r="D756" s="39"/>
      <c r="E756" s="39"/>
      <c r="F756" s="39"/>
      <c r="G756" s="39"/>
      <c r="I756" s="81" t="str">
        <f>IF($AA751=0,"",IF(INDEX(Quotes!$O$9:$O$258,$AA751)="","No revised link","Revised quote"))</f>
        <v/>
      </c>
      <c r="J756" s="39"/>
      <c r="K756" s="39"/>
      <c r="L756" s="39"/>
      <c r="M756" s="39"/>
      <c r="N756" s="39"/>
      <c r="O756" s="39"/>
      <c r="Q756" s="81" t="str">
        <f>IF($AA751=0,"",HYPERLINK("#'Quotes'!A"&amp;($AA751+8),"Open quote record"))</f>
        <v/>
      </c>
      <c r="R756" s="39"/>
      <c r="S756" s="39"/>
      <c r="T756" s="39"/>
      <c r="U756" s="39"/>
      <c r="V756" s="39"/>
    </row>
    <row r="757" spans="1:27" ht="21" hidden="1" customHeight="1" x14ac:dyDescent="0.35"/>
    <row r="758" spans="1:27" hidden="1" x14ac:dyDescent="0.35"/>
    <row r="759" spans="1:27" hidden="1" x14ac:dyDescent="0.35"/>
    <row r="760" spans="1:27" hidden="1" x14ac:dyDescent="0.35"/>
    <row r="761" spans="1:27" hidden="1" x14ac:dyDescent="0.35">
      <c r="A761" s="67" t="s">
        <v>655</v>
      </c>
      <c r="B761" s="39"/>
      <c r="C761" s="39"/>
      <c r="D761" s="39"/>
      <c r="E761" s="39"/>
      <c r="F761" s="39"/>
      <c r="G761" s="39"/>
      <c r="H761" s="39"/>
      <c r="I761" s="39"/>
      <c r="J761" s="39"/>
      <c r="K761" s="39"/>
      <c r="L761" s="39"/>
      <c r="M761" s="39"/>
      <c r="N761" s="39"/>
      <c r="O761" s="39"/>
      <c r="P761" s="39"/>
      <c r="Q761" s="39"/>
      <c r="R761" s="39"/>
      <c r="S761" s="39"/>
      <c r="T761" s="39"/>
      <c r="U761" s="39"/>
      <c r="V761" s="39"/>
    </row>
    <row r="762" spans="1:27" ht="29" hidden="1" customHeight="1" x14ac:dyDescent="0.35">
      <c r="A762" s="84" t="str">
        <f>IF($AA762=0,"",IF(LEN(INDEX(Quotes!$U$9:$U$258,$AA762)&amp;"")=0,"",INDEX(Quotes!$U$9:$U$258,$AA762)))</f>
        <v/>
      </c>
      <c r="B762" s="39"/>
      <c r="C762" s="39"/>
      <c r="D762" s="39"/>
      <c r="E762" s="39"/>
      <c r="F762" s="39"/>
      <c r="G762" s="39"/>
      <c r="H762" s="39"/>
      <c r="I762" s="39"/>
      <c r="J762" s="39"/>
      <c r="K762" s="85" t="str">
        <f>IF($AA762=0,"",IF(LEN(INDEX(Quotes!$Z$9:$Z$258,$AA762)&amp;"")=0,"",INDEX(Quotes!$Z$9:$Z$258,$AA762)))</f>
        <v/>
      </c>
      <c r="L762" s="39"/>
      <c r="M762" s="39"/>
      <c r="N762" s="39"/>
      <c r="O762" s="39"/>
      <c r="P762" s="39"/>
      <c r="Q762" s="39"/>
      <c r="R762" s="39"/>
      <c r="S762" s="39"/>
      <c r="T762" s="39"/>
      <c r="U762" s="39"/>
      <c r="V762" s="39"/>
      <c r="AA762">
        <f>IFERROR(MATCH(77,Quotes!$AK$9:$AK$258,0),0)</f>
        <v>0</v>
      </c>
    </row>
    <row r="763" spans="1:27" ht="21" hidden="1" customHeight="1" x14ac:dyDescent="0.35">
      <c r="A763" s="40" t="str">
        <f>IF($AA762=0,"",IF(LEN(INDEX(Quotes!$V$9:$V$258,$AA762)&amp;"")=0,"",INDEX(Quotes!$V$9:$V$258,$AA762)))</f>
        <v/>
      </c>
      <c r="B763" s="39"/>
      <c r="C763" s="39"/>
      <c r="D763" s="39"/>
      <c r="E763" s="39"/>
      <c r="F763" s="39"/>
      <c r="G763" s="39"/>
      <c r="H763" s="40" t="str">
        <f>IF($AA762=0,"",IF(LEN(INDEX(Quotes!$W$9:$W$258,$AA762)&amp;"")=0,"",INDEX(Quotes!$W$9:$W$258,$AA762)))</f>
        <v/>
      </c>
      <c r="I763" s="39"/>
      <c r="J763" s="39"/>
      <c r="K763" s="39"/>
      <c r="L763" s="39"/>
      <c r="M763" s="39"/>
      <c r="N763" s="39"/>
      <c r="O763" s="39"/>
      <c r="P763" s="39"/>
      <c r="Q763" s="39"/>
      <c r="R763" s="77" t="str">
        <f>IF($AA762=0,"",IF(LEN(INDEX(Quotes!$X$9:$X$258,$AA762)&amp;"")=0,"",INDEX(Quotes!$X$9:$X$258,$AA762)))</f>
        <v/>
      </c>
      <c r="S763" s="39"/>
      <c r="T763" s="39"/>
      <c r="U763" s="39"/>
      <c r="V763" s="39"/>
    </row>
    <row r="764" spans="1:27" ht="21" hidden="1" customHeight="1" x14ac:dyDescent="0.35">
      <c r="A764" s="83" t="str">
        <f>IF($AA762=0,"","ORIGINAL EUR")</f>
        <v/>
      </c>
      <c r="B764" s="39"/>
      <c r="C764" s="39"/>
      <c r="D764" s="39"/>
      <c r="E764" s="39"/>
      <c r="F764" s="39"/>
      <c r="G764" s="39"/>
      <c r="I764" s="83" t="str">
        <f>IF($AA762=0,"","LATEST EUR")</f>
        <v/>
      </c>
      <c r="J764" s="39"/>
      <c r="K764" s="39"/>
      <c r="L764" s="39"/>
      <c r="M764" s="39"/>
      <c r="N764" s="39"/>
      <c r="O764" s="39"/>
      <c r="Q764" s="83" t="str">
        <f>IF($AA762=0,"","SAVED EUR")</f>
        <v/>
      </c>
      <c r="R764" s="39"/>
      <c r="S764" s="39"/>
      <c r="T764" s="39"/>
      <c r="U764" s="39"/>
      <c r="V764" s="39"/>
    </row>
    <row r="765" spans="1:27" ht="21" hidden="1" customHeight="1" x14ac:dyDescent="0.35">
      <c r="A765" s="82" t="str">
        <f>IF($AA762=0,"",IF(LEN(INDEX(Quotes!$AB$9:$AB$258,$AA762)&amp;"")=0,"",INDEX(Quotes!$AB$9:$AB$258,$AA762)))</f>
        <v/>
      </c>
      <c r="B765" s="39"/>
      <c r="C765" s="39"/>
      <c r="D765" s="39"/>
      <c r="E765" s="39"/>
      <c r="F765" s="39"/>
      <c r="G765" s="39"/>
      <c r="I765" s="82" t="str">
        <f>IF($AA762=0,"",IF(LEN(INDEX(Quotes!$AD$9:$AD$258,$AA762)&amp;"")=0,"",INDEX(Quotes!$AD$9:$AD$258,$AA762)))</f>
        <v/>
      </c>
      <c r="J765" s="39"/>
      <c r="K765" s="39"/>
      <c r="L765" s="39"/>
      <c r="M765" s="39"/>
      <c r="N765" s="39"/>
      <c r="O765" s="39"/>
      <c r="Q765" s="82" t="str">
        <f>IF($AA762=0,"",IF(LEN(INDEX(Quotes!$AF$9:$AF$258,$AA762)&amp;"")=0,"",INDEX(Quotes!$AF$9:$AF$258,$AA762)))</f>
        <v/>
      </c>
      <c r="R765" s="39"/>
      <c r="S765" s="39"/>
      <c r="T765" s="39"/>
      <c r="U765" s="39"/>
      <c r="V765" s="39"/>
    </row>
    <row r="766" spans="1:27" ht="21" hidden="1" customHeight="1" x14ac:dyDescent="0.35">
      <c r="A766" s="48" t="str">
        <f>IF($AA762=0,"","Reference: "&amp;IF(INDEX(Quotes!$M$9:$M$258,$AA762)="",INDEX(Quotes!$S$9:$S$258,$AA762),INDEX(Quotes!$M$9:$M$258,$AA762)))</f>
        <v/>
      </c>
      <c r="B766" s="39"/>
      <c r="C766" s="39"/>
      <c r="D766" s="39"/>
      <c r="E766" s="39"/>
      <c r="F766" s="39"/>
      <c r="G766" s="39"/>
      <c r="H766" s="39"/>
      <c r="I766" s="39"/>
      <c r="J766" s="39"/>
      <c r="K766" s="39"/>
      <c r="L766" s="39"/>
      <c r="M766" s="39"/>
      <c r="N766" s="39"/>
      <c r="O766" s="39"/>
      <c r="P766" s="39"/>
      <c r="Q766" s="48" t="str">
        <f>IF($AA762=0,"",INDEX(Quotes!$E$9:$E$258,$AA762))</f>
        <v/>
      </c>
      <c r="R766" s="39"/>
      <c r="S766" s="39"/>
      <c r="T766" s="39"/>
      <c r="U766" s="39"/>
      <c r="V766" s="39"/>
    </row>
    <row r="767" spans="1:27" ht="21" hidden="1" customHeight="1" x14ac:dyDescent="0.35">
      <c r="A767" s="81" t="str">
        <f>IF($AA762=0,"",IF(INDEX(Quotes!$N$9:$N$258,$AA762)="","No original link","Original quote"))</f>
        <v/>
      </c>
      <c r="B767" s="39"/>
      <c r="C767" s="39"/>
      <c r="D767" s="39"/>
      <c r="E767" s="39"/>
      <c r="F767" s="39"/>
      <c r="G767" s="39"/>
      <c r="I767" s="81" t="str">
        <f>IF($AA762=0,"",IF(INDEX(Quotes!$O$9:$O$258,$AA762)="","No revised link","Revised quote"))</f>
        <v/>
      </c>
      <c r="J767" s="39"/>
      <c r="K767" s="39"/>
      <c r="L767" s="39"/>
      <c r="M767" s="39"/>
      <c r="N767" s="39"/>
      <c r="O767" s="39"/>
      <c r="Q767" s="81" t="str">
        <f>IF($AA762=0,"",HYPERLINK("#'Quotes'!A"&amp;($AA762+8),"Open quote record"))</f>
        <v/>
      </c>
      <c r="R767" s="39"/>
      <c r="S767" s="39"/>
      <c r="T767" s="39"/>
      <c r="U767" s="39"/>
      <c r="V767" s="39"/>
    </row>
    <row r="768" spans="1:27" ht="21" hidden="1" customHeight="1" x14ac:dyDescent="0.35"/>
    <row r="769" spans="1:27" hidden="1" x14ac:dyDescent="0.35"/>
    <row r="770" spans="1:27" hidden="1" x14ac:dyDescent="0.35"/>
    <row r="771" spans="1:27" ht="29" hidden="1" customHeight="1" x14ac:dyDescent="0.35">
      <c r="A771" s="84" t="str">
        <f>IF($AA771=0,"",IF(LEN(INDEX(Quotes!$U$9:$U$258,$AA771)&amp;"")=0,"",INDEX(Quotes!$U$9:$U$258,$AA771)))</f>
        <v/>
      </c>
      <c r="B771" s="39"/>
      <c r="C771" s="39"/>
      <c r="D771" s="39"/>
      <c r="E771" s="39"/>
      <c r="F771" s="39"/>
      <c r="G771" s="39"/>
      <c r="H771" s="39"/>
      <c r="I771" s="39"/>
      <c r="J771" s="39"/>
      <c r="K771" s="85" t="str">
        <f>IF($AA771=0,"",IF(LEN(INDEX(Quotes!$Z$9:$Z$258,$AA771)&amp;"")=0,"",INDEX(Quotes!$Z$9:$Z$258,$AA771)))</f>
        <v/>
      </c>
      <c r="L771" s="39"/>
      <c r="M771" s="39"/>
      <c r="N771" s="39"/>
      <c r="O771" s="39"/>
      <c r="P771" s="39"/>
      <c r="Q771" s="39"/>
      <c r="R771" s="39"/>
      <c r="S771" s="39"/>
      <c r="T771" s="39"/>
      <c r="U771" s="39"/>
      <c r="V771" s="39"/>
      <c r="AA771">
        <f>IFERROR(MATCH(78,Quotes!$AK$9:$AK$258,0),0)</f>
        <v>0</v>
      </c>
    </row>
    <row r="772" spans="1:27" ht="21" hidden="1" customHeight="1" x14ac:dyDescent="0.35">
      <c r="A772" s="40" t="str">
        <f>IF($AA771=0,"",IF(LEN(INDEX(Quotes!$V$9:$V$258,$AA771)&amp;"")=0,"",INDEX(Quotes!$V$9:$V$258,$AA771)))</f>
        <v/>
      </c>
      <c r="B772" s="39"/>
      <c r="C772" s="39"/>
      <c r="D772" s="39"/>
      <c r="E772" s="39"/>
      <c r="F772" s="39"/>
      <c r="G772" s="39"/>
      <c r="H772" s="40" t="str">
        <f>IF($AA771=0,"",IF(LEN(INDEX(Quotes!$W$9:$W$258,$AA771)&amp;"")=0,"",INDEX(Quotes!$W$9:$W$258,$AA771)))</f>
        <v/>
      </c>
      <c r="I772" s="39"/>
      <c r="J772" s="39"/>
      <c r="K772" s="39"/>
      <c r="L772" s="39"/>
      <c r="M772" s="39"/>
      <c r="N772" s="39"/>
      <c r="O772" s="39"/>
      <c r="P772" s="39"/>
      <c r="Q772" s="39"/>
      <c r="R772" s="77" t="str">
        <f>IF($AA771=0,"",IF(LEN(INDEX(Quotes!$X$9:$X$258,$AA771)&amp;"")=0,"",INDEX(Quotes!$X$9:$X$258,$AA771)))</f>
        <v/>
      </c>
      <c r="S772" s="39"/>
      <c r="T772" s="39"/>
      <c r="U772" s="39"/>
      <c r="V772" s="39"/>
    </row>
    <row r="773" spans="1:27" ht="21" hidden="1" customHeight="1" x14ac:dyDescent="0.35">
      <c r="A773" s="83" t="str">
        <f>IF($AA771=0,"","ORIGINAL EUR")</f>
        <v/>
      </c>
      <c r="B773" s="39"/>
      <c r="C773" s="39"/>
      <c r="D773" s="39"/>
      <c r="E773" s="39"/>
      <c r="F773" s="39"/>
      <c r="G773" s="39"/>
      <c r="I773" s="83" t="str">
        <f>IF($AA771=0,"","LATEST EUR")</f>
        <v/>
      </c>
      <c r="J773" s="39"/>
      <c r="K773" s="39"/>
      <c r="L773" s="39"/>
      <c r="M773" s="39"/>
      <c r="N773" s="39"/>
      <c r="O773" s="39"/>
      <c r="Q773" s="83" t="str">
        <f>IF($AA771=0,"","SAVED EUR")</f>
        <v/>
      </c>
      <c r="R773" s="39"/>
      <c r="S773" s="39"/>
      <c r="T773" s="39"/>
      <c r="U773" s="39"/>
      <c r="V773" s="39"/>
    </row>
    <row r="774" spans="1:27" ht="21" hidden="1" customHeight="1" x14ac:dyDescent="0.35">
      <c r="A774" s="82" t="str">
        <f>IF($AA771=0,"",IF(LEN(INDEX(Quotes!$AB$9:$AB$258,$AA771)&amp;"")=0,"",INDEX(Quotes!$AB$9:$AB$258,$AA771)))</f>
        <v/>
      </c>
      <c r="B774" s="39"/>
      <c r="C774" s="39"/>
      <c r="D774" s="39"/>
      <c r="E774" s="39"/>
      <c r="F774" s="39"/>
      <c r="G774" s="39"/>
      <c r="I774" s="82" t="str">
        <f>IF($AA771=0,"",IF(LEN(INDEX(Quotes!$AD$9:$AD$258,$AA771)&amp;"")=0,"",INDEX(Quotes!$AD$9:$AD$258,$AA771)))</f>
        <v/>
      </c>
      <c r="J774" s="39"/>
      <c r="K774" s="39"/>
      <c r="L774" s="39"/>
      <c r="M774" s="39"/>
      <c r="N774" s="39"/>
      <c r="O774" s="39"/>
      <c r="Q774" s="82" t="str">
        <f>IF($AA771=0,"",IF(LEN(INDEX(Quotes!$AF$9:$AF$258,$AA771)&amp;"")=0,"",INDEX(Quotes!$AF$9:$AF$258,$AA771)))</f>
        <v/>
      </c>
      <c r="R774" s="39"/>
      <c r="S774" s="39"/>
      <c r="T774" s="39"/>
      <c r="U774" s="39"/>
      <c r="V774" s="39"/>
    </row>
    <row r="775" spans="1:27" ht="21" hidden="1" customHeight="1" x14ac:dyDescent="0.35">
      <c r="A775" s="48" t="str">
        <f>IF($AA771=0,"","Reference: "&amp;IF(INDEX(Quotes!$M$9:$M$258,$AA771)="",INDEX(Quotes!$S$9:$S$258,$AA771),INDEX(Quotes!$M$9:$M$258,$AA771)))</f>
        <v/>
      </c>
      <c r="B775" s="39"/>
      <c r="C775" s="39"/>
      <c r="D775" s="39"/>
      <c r="E775" s="39"/>
      <c r="F775" s="39"/>
      <c r="G775" s="39"/>
      <c r="H775" s="39"/>
      <c r="I775" s="39"/>
      <c r="J775" s="39"/>
      <c r="K775" s="39"/>
      <c r="L775" s="39"/>
      <c r="M775" s="39"/>
      <c r="N775" s="39"/>
      <c r="O775" s="39"/>
      <c r="P775" s="39"/>
      <c r="Q775" s="48" t="str">
        <f>IF($AA771=0,"",INDEX(Quotes!$E$9:$E$258,$AA771))</f>
        <v/>
      </c>
      <c r="R775" s="39"/>
      <c r="S775" s="39"/>
      <c r="T775" s="39"/>
      <c r="U775" s="39"/>
      <c r="V775" s="39"/>
    </row>
    <row r="776" spans="1:27" ht="21" hidden="1" customHeight="1" x14ac:dyDescent="0.35">
      <c r="A776" s="81" t="str">
        <f>IF($AA771=0,"",IF(INDEX(Quotes!$N$9:$N$258,$AA771)="","No original link","Original quote"))</f>
        <v/>
      </c>
      <c r="B776" s="39"/>
      <c r="C776" s="39"/>
      <c r="D776" s="39"/>
      <c r="E776" s="39"/>
      <c r="F776" s="39"/>
      <c r="G776" s="39"/>
      <c r="I776" s="81" t="str">
        <f>IF($AA771=0,"",IF(INDEX(Quotes!$O$9:$O$258,$AA771)="","No revised link","Revised quote"))</f>
        <v/>
      </c>
      <c r="J776" s="39"/>
      <c r="K776" s="39"/>
      <c r="L776" s="39"/>
      <c r="M776" s="39"/>
      <c r="N776" s="39"/>
      <c r="O776" s="39"/>
      <c r="Q776" s="81" t="str">
        <f>IF($AA771=0,"",HYPERLINK("#'Quotes'!A"&amp;($AA771+8),"Open quote record"))</f>
        <v/>
      </c>
      <c r="R776" s="39"/>
      <c r="S776" s="39"/>
      <c r="T776" s="39"/>
      <c r="U776" s="39"/>
      <c r="V776" s="39"/>
    </row>
    <row r="777" spans="1:27" ht="21" hidden="1" customHeight="1" x14ac:dyDescent="0.35"/>
    <row r="778" spans="1:27" hidden="1" x14ac:dyDescent="0.35"/>
    <row r="779" spans="1:27" hidden="1" x14ac:dyDescent="0.35"/>
    <row r="780" spans="1:27" ht="29" hidden="1" customHeight="1" x14ac:dyDescent="0.35">
      <c r="A780" s="84" t="str">
        <f>IF($AA780=0,"",IF(LEN(INDEX(Quotes!$U$9:$U$258,$AA780)&amp;"")=0,"",INDEX(Quotes!$U$9:$U$258,$AA780)))</f>
        <v/>
      </c>
      <c r="B780" s="39"/>
      <c r="C780" s="39"/>
      <c r="D780" s="39"/>
      <c r="E780" s="39"/>
      <c r="F780" s="39"/>
      <c r="G780" s="39"/>
      <c r="H780" s="39"/>
      <c r="I780" s="39"/>
      <c r="J780" s="39"/>
      <c r="K780" s="85" t="str">
        <f>IF($AA780=0,"",IF(LEN(INDEX(Quotes!$Z$9:$Z$258,$AA780)&amp;"")=0,"",INDEX(Quotes!$Z$9:$Z$258,$AA780)))</f>
        <v/>
      </c>
      <c r="L780" s="39"/>
      <c r="M780" s="39"/>
      <c r="N780" s="39"/>
      <c r="O780" s="39"/>
      <c r="P780" s="39"/>
      <c r="Q780" s="39"/>
      <c r="R780" s="39"/>
      <c r="S780" s="39"/>
      <c r="T780" s="39"/>
      <c r="U780" s="39"/>
      <c r="V780" s="39"/>
      <c r="AA780">
        <f>IFERROR(MATCH(79,Quotes!$AK$9:$AK$258,0),0)</f>
        <v>0</v>
      </c>
    </row>
    <row r="781" spans="1:27" ht="21" hidden="1" customHeight="1" x14ac:dyDescent="0.35">
      <c r="A781" s="40" t="str">
        <f>IF($AA780=0,"",IF(LEN(INDEX(Quotes!$V$9:$V$258,$AA780)&amp;"")=0,"",INDEX(Quotes!$V$9:$V$258,$AA780)))</f>
        <v/>
      </c>
      <c r="B781" s="39"/>
      <c r="C781" s="39"/>
      <c r="D781" s="39"/>
      <c r="E781" s="39"/>
      <c r="F781" s="39"/>
      <c r="G781" s="39"/>
      <c r="H781" s="40" t="str">
        <f>IF($AA780=0,"",IF(LEN(INDEX(Quotes!$W$9:$W$258,$AA780)&amp;"")=0,"",INDEX(Quotes!$W$9:$W$258,$AA780)))</f>
        <v/>
      </c>
      <c r="I781" s="39"/>
      <c r="J781" s="39"/>
      <c r="K781" s="39"/>
      <c r="L781" s="39"/>
      <c r="M781" s="39"/>
      <c r="N781" s="39"/>
      <c r="O781" s="39"/>
      <c r="P781" s="39"/>
      <c r="Q781" s="39"/>
      <c r="R781" s="77" t="str">
        <f>IF($AA780=0,"",IF(LEN(INDEX(Quotes!$X$9:$X$258,$AA780)&amp;"")=0,"",INDEX(Quotes!$X$9:$X$258,$AA780)))</f>
        <v/>
      </c>
      <c r="S781" s="39"/>
      <c r="T781" s="39"/>
      <c r="U781" s="39"/>
      <c r="V781" s="39"/>
    </row>
    <row r="782" spans="1:27" ht="21" hidden="1" customHeight="1" x14ac:dyDescent="0.35">
      <c r="A782" s="83" t="str">
        <f>IF($AA780=0,"","ORIGINAL EUR")</f>
        <v/>
      </c>
      <c r="B782" s="39"/>
      <c r="C782" s="39"/>
      <c r="D782" s="39"/>
      <c r="E782" s="39"/>
      <c r="F782" s="39"/>
      <c r="G782" s="39"/>
      <c r="I782" s="83" t="str">
        <f>IF($AA780=0,"","LATEST EUR")</f>
        <v/>
      </c>
      <c r="J782" s="39"/>
      <c r="K782" s="39"/>
      <c r="L782" s="39"/>
      <c r="M782" s="39"/>
      <c r="N782" s="39"/>
      <c r="O782" s="39"/>
      <c r="Q782" s="83" t="str">
        <f>IF($AA780=0,"","SAVED EUR")</f>
        <v/>
      </c>
      <c r="R782" s="39"/>
      <c r="S782" s="39"/>
      <c r="T782" s="39"/>
      <c r="U782" s="39"/>
      <c r="V782" s="39"/>
    </row>
    <row r="783" spans="1:27" ht="21" hidden="1" customHeight="1" x14ac:dyDescent="0.35">
      <c r="A783" s="82" t="str">
        <f>IF($AA780=0,"",IF(LEN(INDEX(Quotes!$AB$9:$AB$258,$AA780)&amp;"")=0,"",INDEX(Quotes!$AB$9:$AB$258,$AA780)))</f>
        <v/>
      </c>
      <c r="B783" s="39"/>
      <c r="C783" s="39"/>
      <c r="D783" s="39"/>
      <c r="E783" s="39"/>
      <c r="F783" s="39"/>
      <c r="G783" s="39"/>
      <c r="I783" s="82" t="str">
        <f>IF($AA780=0,"",IF(LEN(INDEX(Quotes!$AD$9:$AD$258,$AA780)&amp;"")=0,"",INDEX(Quotes!$AD$9:$AD$258,$AA780)))</f>
        <v/>
      </c>
      <c r="J783" s="39"/>
      <c r="K783" s="39"/>
      <c r="L783" s="39"/>
      <c r="M783" s="39"/>
      <c r="N783" s="39"/>
      <c r="O783" s="39"/>
      <c r="Q783" s="82" t="str">
        <f>IF($AA780=0,"",IF(LEN(INDEX(Quotes!$AF$9:$AF$258,$AA780)&amp;"")=0,"",INDEX(Quotes!$AF$9:$AF$258,$AA780)))</f>
        <v/>
      </c>
      <c r="R783" s="39"/>
      <c r="S783" s="39"/>
      <c r="T783" s="39"/>
      <c r="U783" s="39"/>
      <c r="V783" s="39"/>
    </row>
    <row r="784" spans="1:27" ht="21" hidden="1" customHeight="1" x14ac:dyDescent="0.35">
      <c r="A784" s="48" t="str">
        <f>IF($AA780=0,"","Reference: "&amp;IF(INDEX(Quotes!$M$9:$M$258,$AA780)="",INDEX(Quotes!$S$9:$S$258,$AA780),INDEX(Quotes!$M$9:$M$258,$AA780)))</f>
        <v/>
      </c>
      <c r="B784" s="39"/>
      <c r="C784" s="39"/>
      <c r="D784" s="39"/>
      <c r="E784" s="39"/>
      <c r="F784" s="39"/>
      <c r="G784" s="39"/>
      <c r="H784" s="39"/>
      <c r="I784" s="39"/>
      <c r="J784" s="39"/>
      <c r="K784" s="39"/>
      <c r="L784" s="39"/>
      <c r="M784" s="39"/>
      <c r="N784" s="39"/>
      <c r="O784" s="39"/>
      <c r="P784" s="39"/>
      <c r="Q784" s="48" t="str">
        <f>IF($AA780=0,"",INDEX(Quotes!$E$9:$E$258,$AA780))</f>
        <v/>
      </c>
      <c r="R784" s="39"/>
      <c r="S784" s="39"/>
      <c r="T784" s="39"/>
      <c r="U784" s="39"/>
      <c r="V784" s="39"/>
    </row>
    <row r="785" spans="1:27" ht="21" hidden="1" customHeight="1" x14ac:dyDescent="0.35">
      <c r="A785" s="81" t="str">
        <f>IF($AA780=0,"",IF(INDEX(Quotes!$N$9:$N$258,$AA780)="","No original link","Original quote"))</f>
        <v/>
      </c>
      <c r="B785" s="39"/>
      <c r="C785" s="39"/>
      <c r="D785" s="39"/>
      <c r="E785" s="39"/>
      <c r="F785" s="39"/>
      <c r="G785" s="39"/>
      <c r="I785" s="81" t="str">
        <f>IF($AA780=0,"",IF(INDEX(Quotes!$O$9:$O$258,$AA780)="","No revised link","Revised quote"))</f>
        <v/>
      </c>
      <c r="J785" s="39"/>
      <c r="K785" s="39"/>
      <c r="L785" s="39"/>
      <c r="M785" s="39"/>
      <c r="N785" s="39"/>
      <c r="O785" s="39"/>
      <c r="Q785" s="81" t="str">
        <f>IF($AA780=0,"",HYPERLINK("#'Quotes'!A"&amp;($AA780+8),"Open quote record"))</f>
        <v/>
      </c>
      <c r="R785" s="39"/>
      <c r="S785" s="39"/>
      <c r="T785" s="39"/>
      <c r="U785" s="39"/>
      <c r="V785" s="39"/>
    </row>
    <row r="786" spans="1:27" ht="21" hidden="1" customHeight="1" x14ac:dyDescent="0.35"/>
    <row r="787" spans="1:27" hidden="1" x14ac:dyDescent="0.35"/>
    <row r="788" spans="1:27" hidden="1" x14ac:dyDescent="0.35"/>
    <row r="789" spans="1:27" ht="29" hidden="1" customHeight="1" x14ac:dyDescent="0.35">
      <c r="A789" s="84" t="str">
        <f>IF($AA789=0,"",IF(LEN(INDEX(Quotes!$U$9:$U$258,$AA789)&amp;"")=0,"",INDEX(Quotes!$U$9:$U$258,$AA789)))</f>
        <v/>
      </c>
      <c r="B789" s="39"/>
      <c r="C789" s="39"/>
      <c r="D789" s="39"/>
      <c r="E789" s="39"/>
      <c r="F789" s="39"/>
      <c r="G789" s="39"/>
      <c r="H789" s="39"/>
      <c r="I789" s="39"/>
      <c r="J789" s="39"/>
      <c r="K789" s="85" t="str">
        <f>IF($AA789=0,"",IF(LEN(INDEX(Quotes!$Z$9:$Z$258,$AA789)&amp;"")=0,"",INDEX(Quotes!$Z$9:$Z$258,$AA789)))</f>
        <v/>
      </c>
      <c r="L789" s="39"/>
      <c r="M789" s="39"/>
      <c r="N789" s="39"/>
      <c r="O789" s="39"/>
      <c r="P789" s="39"/>
      <c r="Q789" s="39"/>
      <c r="R789" s="39"/>
      <c r="S789" s="39"/>
      <c r="T789" s="39"/>
      <c r="U789" s="39"/>
      <c r="V789" s="39"/>
      <c r="AA789">
        <f>IFERROR(MATCH(80,Quotes!$AK$9:$AK$258,0),0)</f>
        <v>0</v>
      </c>
    </row>
    <row r="790" spans="1:27" ht="21" hidden="1" customHeight="1" x14ac:dyDescent="0.35">
      <c r="A790" s="40" t="str">
        <f>IF($AA789=0,"",IF(LEN(INDEX(Quotes!$V$9:$V$258,$AA789)&amp;"")=0,"",INDEX(Quotes!$V$9:$V$258,$AA789)))</f>
        <v/>
      </c>
      <c r="B790" s="39"/>
      <c r="C790" s="39"/>
      <c r="D790" s="39"/>
      <c r="E790" s="39"/>
      <c r="F790" s="39"/>
      <c r="G790" s="39"/>
      <c r="H790" s="40" t="str">
        <f>IF($AA789=0,"",IF(LEN(INDEX(Quotes!$W$9:$W$258,$AA789)&amp;"")=0,"",INDEX(Quotes!$W$9:$W$258,$AA789)))</f>
        <v/>
      </c>
      <c r="I790" s="39"/>
      <c r="J790" s="39"/>
      <c r="K790" s="39"/>
      <c r="L790" s="39"/>
      <c r="M790" s="39"/>
      <c r="N790" s="39"/>
      <c r="O790" s="39"/>
      <c r="P790" s="39"/>
      <c r="Q790" s="39"/>
      <c r="R790" s="77" t="str">
        <f>IF($AA789=0,"",IF(LEN(INDEX(Quotes!$X$9:$X$258,$AA789)&amp;"")=0,"",INDEX(Quotes!$X$9:$X$258,$AA789)))</f>
        <v/>
      </c>
      <c r="S790" s="39"/>
      <c r="T790" s="39"/>
      <c r="U790" s="39"/>
      <c r="V790" s="39"/>
    </row>
    <row r="791" spans="1:27" ht="21" hidden="1" customHeight="1" x14ac:dyDescent="0.35">
      <c r="A791" s="83" t="str">
        <f>IF($AA789=0,"","ORIGINAL EUR")</f>
        <v/>
      </c>
      <c r="B791" s="39"/>
      <c r="C791" s="39"/>
      <c r="D791" s="39"/>
      <c r="E791" s="39"/>
      <c r="F791" s="39"/>
      <c r="G791" s="39"/>
      <c r="I791" s="83" t="str">
        <f>IF($AA789=0,"","LATEST EUR")</f>
        <v/>
      </c>
      <c r="J791" s="39"/>
      <c r="K791" s="39"/>
      <c r="L791" s="39"/>
      <c r="M791" s="39"/>
      <c r="N791" s="39"/>
      <c r="O791" s="39"/>
      <c r="Q791" s="83" t="str">
        <f>IF($AA789=0,"","SAVED EUR")</f>
        <v/>
      </c>
      <c r="R791" s="39"/>
      <c r="S791" s="39"/>
      <c r="T791" s="39"/>
      <c r="U791" s="39"/>
      <c r="V791" s="39"/>
    </row>
    <row r="792" spans="1:27" ht="21" hidden="1" customHeight="1" x14ac:dyDescent="0.35">
      <c r="A792" s="82" t="str">
        <f>IF($AA789=0,"",IF(LEN(INDEX(Quotes!$AB$9:$AB$258,$AA789)&amp;"")=0,"",INDEX(Quotes!$AB$9:$AB$258,$AA789)))</f>
        <v/>
      </c>
      <c r="B792" s="39"/>
      <c r="C792" s="39"/>
      <c r="D792" s="39"/>
      <c r="E792" s="39"/>
      <c r="F792" s="39"/>
      <c r="G792" s="39"/>
      <c r="I792" s="82" t="str">
        <f>IF($AA789=0,"",IF(LEN(INDEX(Quotes!$AD$9:$AD$258,$AA789)&amp;"")=0,"",INDEX(Quotes!$AD$9:$AD$258,$AA789)))</f>
        <v/>
      </c>
      <c r="J792" s="39"/>
      <c r="K792" s="39"/>
      <c r="L792" s="39"/>
      <c r="M792" s="39"/>
      <c r="N792" s="39"/>
      <c r="O792" s="39"/>
      <c r="Q792" s="82" t="str">
        <f>IF($AA789=0,"",IF(LEN(INDEX(Quotes!$AF$9:$AF$258,$AA789)&amp;"")=0,"",INDEX(Quotes!$AF$9:$AF$258,$AA789)))</f>
        <v/>
      </c>
      <c r="R792" s="39"/>
      <c r="S792" s="39"/>
      <c r="T792" s="39"/>
      <c r="U792" s="39"/>
      <c r="V792" s="39"/>
    </row>
    <row r="793" spans="1:27" ht="21" hidden="1" customHeight="1" x14ac:dyDescent="0.35">
      <c r="A793" s="48" t="str">
        <f>IF($AA789=0,"","Reference: "&amp;IF(INDEX(Quotes!$M$9:$M$258,$AA789)="",INDEX(Quotes!$S$9:$S$258,$AA789),INDEX(Quotes!$M$9:$M$258,$AA789)))</f>
        <v/>
      </c>
      <c r="B793" s="39"/>
      <c r="C793" s="39"/>
      <c r="D793" s="39"/>
      <c r="E793" s="39"/>
      <c r="F793" s="39"/>
      <c r="G793" s="39"/>
      <c r="H793" s="39"/>
      <c r="I793" s="39"/>
      <c r="J793" s="39"/>
      <c r="K793" s="39"/>
      <c r="L793" s="39"/>
      <c r="M793" s="39"/>
      <c r="N793" s="39"/>
      <c r="O793" s="39"/>
      <c r="P793" s="39"/>
      <c r="Q793" s="48" t="str">
        <f>IF($AA789=0,"",INDEX(Quotes!$E$9:$E$258,$AA789))</f>
        <v/>
      </c>
      <c r="R793" s="39"/>
      <c r="S793" s="39"/>
      <c r="T793" s="39"/>
      <c r="U793" s="39"/>
      <c r="V793" s="39"/>
    </row>
    <row r="794" spans="1:27" ht="21" hidden="1" customHeight="1" x14ac:dyDescent="0.35">
      <c r="A794" s="81" t="str">
        <f>IF($AA789=0,"",IF(INDEX(Quotes!$N$9:$N$258,$AA789)="","No original link","Original quote"))</f>
        <v/>
      </c>
      <c r="B794" s="39"/>
      <c r="C794" s="39"/>
      <c r="D794" s="39"/>
      <c r="E794" s="39"/>
      <c r="F794" s="39"/>
      <c r="G794" s="39"/>
      <c r="I794" s="81" t="str">
        <f>IF($AA789=0,"",IF(INDEX(Quotes!$O$9:$O$258,$AA789)="","No revised link","Revised quote"))</f>
        <v/>
      </c>
      <c r="J794" s="39"/>
      <c r="K794" s="39"/>
      <c r="L794" s="39"/>
      <c r="M794" s="39"/>
      <c r="N794" s="39"/>
      <c r="O794" s="39"/>
      <c r="Q794" s="81" t="str">
        <f>IF($AA789=0,"",HYPERLINK("#'Quotes'!A"&amp;($AA789+8),"Open quote record"))</f>
        <v/>
      </c>
      <c r="R794" s="39"/>
      <c r="S794" s="39"/>
      <c r="T794" s="39"/>
      <c r="U794" s="39"/>
      <c r="V794" s="39"/>
    </row>
    <row r="795" spans="1:27" ht="21" hidden="1" customHeight="1" x14ac:dyDescent="0.35"/>
    <row r="796" spans="1:27" hidden="1" x14ac:dyDescent="0.35"/>
    <row r="797" spans="1:27" hidden="1" x14ac:dyDescent="0.35"/>
    <row r="798" spans="1:27" hidden="1" x14ac:dyDescent="0.35"/>
    <row r="799" spans="1:27" hidden="1" x14ac:dyDescent="0.35">
      <c r="A799" s="67" t="s">
        <v>655</v>
      </c>
      <c r="B799" s="39"/>
      <c r="C799" s="39"/>
      <c r="D799" s="39"/>
      <c r="E799" s="39"/>
      <c r="F799" s="39"/>
      <c r="G799" s="39"/>
      <c r="H799" s="39"/>
      <c r="I799" s="39"/>
      <c r="J799" s="39"/>
      <c r="K799" s="39"/>
      <c r="L799" s="39"/>
      <c r="M799" s="39"/>
      <c r="N799" s="39"/>
      <c r="O799" s="39"/>
      <c r="P799" s="39"/>
      <c r="Q799" s="39"/>
      <c r="R799" s="39"/>
      <c r="S799" s="39"/>
      <c r="T799" s="39"/>
      <c r="U799" s="39"/>
      <c r="V799" s="39"/>
    </row>
    <row r="800" spans="1:27" ht="29" hidden="1" customHeight="1" x14ac:dyDescent="0.35">
      <c r="A800" s="84" t="str">
        <f>IF($AA800=0,"",IF(LEN(INDEX(Quotes!$U$9:$U$258,$AA800)&amp;"")=0,"",INDEX(Quotes!$U$9:$U$258,$AA800)))</f>
        <v/>
      </c>
      <c r="B800" s="39"/>
      <c r="C800" s="39"/>
      <c r="D800" s="39"/>
      <c r="E800" s="39"/>
      <c r="F800" s="39"/>
      <c r="G800" s="39"/>
      <c r="H800" s="39"/>
      <c r="I800" s="39"/>
      <c r="J800" s="39"/>
      <c r="K800" s="85" t="str">
        <f>IF($AA800=0,"",IF(LEN(INDEX(Quotes!$Z$9:$Z$258,$AA800)&amp;"")=0,"",INDEX(Quotes!$Z$9:$Z$258,$AA800)))</f>
        <v/>
      </c>
      <c r="L800" s="39"/>
      <c r="M800" s="39"/>
      <c r="N800" s="39"/>
      <c r="O800" s="39"/>
      <c r="P800" s="39"/>
      <c r="Q800" s="39"/>
      <c r="R800" s="39"/>
      <c r="S800" s="39"/>
      <c r="T800" s="39"/>
      <c r="U800" s="39"/>
      <c r="V800" s="39"/>
      <c r="AA800">
        <f>IFERROR(MATCH(81,Quotes!$AK$9:$AK$258,0),0)</f>
        <v>0</v>
      </c>
    </row>
    <row r="801" spans="1:27" ht="21" hidden="1" customHeight="1" x14ac:dyDescent="0.35">
      <c r="A801" s="40" t="str">
        <f>IF($AA800=0,"",IF(LEN(INDEX(Quotes!$V$9:$V$258,$AA800)&amp;"")=0,"",INDEX(Quotes!$V$9:$V$258,$AA800)))</f>
        <v/>
      </c>
      <c r="B801" s="39"/>
      <c r="C801" s="39"/>
      <c r="D801" s="39"/>
      <c r="E801" s="39"/>
      <c r="F801" s="39"/>
      <c r="G801" s="39"/>
      <c r="H801" s="40" t="str">
        <f>IF($AA800=0,"",IF(LEN(INDEX(Quotes!$W$9:$W$258,$AA800)&amp;"")=0,"",INDEX(Quotes!$W$9:$W$258,$AA800)))</f>
        <v/>
      </c>
      <c r="I801" s="39"/>
      <c r="J801" s="39"/>
      <c r="K801" s="39"/>
      <c r="L801" s="39"/>
      <c r="M801" s="39"/>
      <c r="N801" s="39"/>
      <c r="O801" s="39"/>
      <c r="P801" s="39"/>
      <c r="Q801" s="39"/>
      <c r="R801" s="77" t="str">
        <f>IF($AA800=0,"",IF(LEN(INDEX(Quotes!$X$9:$X$258,$AA800)&amp;"")=0,"",INDEX(Quotes!$X$9:$X$258,$AA800)))</f>
        <v/>
      </c>
      <c r="S801" s="39"/>
      <c r="T801" s="39"/>
      <c r="U801" s="39"/>
      <c r="V801" s="39"/>
    </row>
    <row r="802" spans="1:27" ht="21" hidden="1" customHeight="1" x14ac:dyDescent="0.35">
      <c r="A802" s="83" t="str">
        <f>IF($AA800=0,"","ORIGINAL EUR")</f>
        <v/>
      </c>
      <c r="B802" s="39"/>
      <c r="C802" s="39"/>
      <c r="D802" s="39"/>
      <c r="E802" s="39"/>
      <c r="F802" s="39"/>
      <c r="G802" s="39"/>
      <c r="I802" s="83" t="str">
        <f>IF($AA800=0,"","LATEST EUR")</f>
        <v/>
      </c>
      <c r="J802" s="39"/>
      <c r="K802" s="39"/>
      <c r="L802" s="39"/>
      <c r="M802" s="39"/>
      <c r="N802" s="39"/>
      <c r="O802" s="39"/>
      <c r="Q802" s="83" t="str">
        <f>IF($AA800=0,"","SAVED EUR")</f>
        <v/>
      </c>
      <c r="R802" s="39"/>
      <c r="S802" s="39"/>
      <c r="T802" s="39"/>
      <c r="U802" s="39"/>
      <c r="V802" s="39"/>
    </row>
    <row r="803" spans="1:27" ht="21" hidden="1" customHeight="1" x14ac:dyDescent="0.35">
      <c r="A803" s="82" t="str">
        <f>IF($AA800=0,"",IF(LEN(INDEX(Quotes!$AB$9:$AB$258,$AA800)&amp;"")=0,"",INDEX(Quotes!$AB$9:$AB$258,$AA800)))</f>
        <v/>
      </c>
      <c r="B803" s="39"/>
      <c r="C803" s="39"/>
      <c r="D803" s="39"/>
      <c r="E803" s="39"/>
      <c r="F803" s="39"/>
      <c r="G803" s="39"/>
      <c r="I803" s="82" t="str">
        <f>IF($AA800=0,"",IF(LEN(INDEX(Quotes!$AD$9:$AD$258,$AA800)&amp;"")=0,"",INDEX(Quotes!$AD$9:$AD$258,$AA800)))</f>
        <v/>
      </c>
      <c r="J803" s="39"/>
      <c r="K803" s="39"/>
      <c r="L803" s="39"/>
      <c r="M803" s="39"/>
      <c r="N803" s="39"/>
      <c r="O803" s="39"/>
      <c r="Q803" s="82" t="str">
        <f>IF($AA800=0,"",IF(LEN(INDEX(Quotes!$AF$9:$AF$258,$AA800)&amp;"")=0,"",INDEX(Quotes!$AF$9:$AF$258,$AA800)))</f>
        <v/>
      </c>
      <c r="R803" s="39"/>
      <c r="S803" s="39"/>
      <c r="T803" s="39"/>
      <c r="U803" s="39"/>
      <c r="V803" s="39"/>
    </row>
    <row r="804" spans="1:27" ht="21" hidden="1" customHeight="1" x14ac:dyDescent="0.35">
      <c r="A804" s="48" t="str">
        <f>IF($AA800=0,"","Reference: "&amp;IF(INDEX(Quotes!$M$9:$M$258,$AA800)="",INDEX(Quotes!$S$9:$S$258,$AA800),INDEX(Quotes!$M$9:$M$258,$AA800)))</f>
        <v/>
      </c>
      <c r="B804" s="39"/>
      <c r="C804" s="39"/>
      <c r="D804" s="39"/>
      <c r="E804" s="39"/>
      <c r="F804" s="39"/>
      <c r="G804" s="39"/>
      <c r="H804" s="39"/>
      <c r="I804" s="39"/>
      <c r="J804" s="39"/>
      <c r="K804" s="39"/>
      <c r="L804" s="39"/>
      <c r="M804" s="39"/>
      <c r="N804" s="39"/>
      <c r="O804" s="39"/>
      <c r="P804" s="39"/>
      <c r="Q804" s="48" t="str">
        <f>IF($AA800=0,"",INDEX(Quotes!$E$9:$E$258,$AA800))</f>
        <v/>
      </c>
      <c r="R804" s="39"/>
      <c r="S804" s="39"/>
      <c r="T804" s="39"/>
      <c r="U804" s="39"/>
      <c r="V804" s="39"/>
    </row>
    <row r="805" spans="1:27" ht="21" hidden="1" customHeight="1" x14ac:dyDescent="0.35">
      <c r="A805" s="81" t="str">
        <f>IF($AA800=0,"",IF(INDEX(Quotes!$N$9:$N$258,$AA800)="","No original link","Original quote"))</f>
        <v/>
      </c>
      <c r="B805" s="39"/>
      <c r="C805" s="39"/>
      <c r="D805" s="39"/>
      <c r="E805" s="39"/>
      <c r="F805" s="39"/>
      <c r="G805" s="39"/>
      <c r="I805" s="81" t="str">
        <f>IF($AA800=0,"",IF(INDEX(Quotes!$O$9:$O$258,$AA800)="","No revised link","Revised quote"))</f>
        <v/>
      </c>
      <c r="J805" s="39"/>
      <c r="K805" s="39"/>
      <c r="L805" s="39"/>
      <c r="M805" s="39"/>
      <c r="N805" s="39"/>
      <c r="O805" s="39"/>
      <c r="Q805" s="81" t="str">
        <f>IF($AA800=0,"",HYPERLINK("#'Quotes'!A"&amp;($AA800+8),"Open quote record"))</f>
        <v/>
      </c>
      <c r="R805" s="39"/>
      <c r="S805" s="39"/>
      <c r="T805" s="39"/>
      <c r="U805" s="39"/>
      <c r="V805" s="39"/>
    </row>
    <row r="806" spans="1:27" ht="21" hidden="1" customHeight="1" x14ac:dyDescent="0.35"/>
    <row r="807" spans="1:27" hidden="1" x14ac:dyDescent="0.35"/>
    <row r="808" spans="1:27" hidden="1" x14ac:dyDescent="0.35"/>
    <row r="809" spans="1:27" ht="29" hidden="1" customHeight="1" x14ac:dyDescent="0.35">
      <c r="A809" s="84" t="str">
        <f>IF($AA809=0,"",IF(LEN(INDEX(Quotes!$U$9:$U$258,$AA809)&amp;"")=0,"",INDEX(Quotes!$U$9:$U$258,$AA809)))</f>
        <v/>
      </c>
      <c r="B809" s="39"/>
      <c r="C809" s="39"/>
      <c r="D809" s="39"/>
      <c r="E809" s="39"/>
      <c r="F809" s="39"/>
      <c r="G809" s="39"/>
      <c r="H809" s="39"/>
      <c r="I809" s="39"/>
      <c r="J809" s="39"/>
      <c r="K809" s="85" t="str">
        <f>IF($AA809=0,"",IF(LEN(INDEX(Quotes!$Z$9:$Z$258,$AA809)&amp;"")=0,"",INDEX(Quotes!$Z$9:$Z$258,$AA809)))</f>
        <v/>
      </c>
      <c r="L809" s="39"/>
      <c r="M809" s="39"/>
      <c r="N809" s="39"/>
      <c r="O809" s="39"/>
      <c r="P809" s="39"/>
      <c r="Q809" s="39"/>
      <c r="R809" s="39"/>
      <c r="S809" s="39"/>
      <c r="T809" s="39"/>
      <c r="U809" s="39"/>
      <c r="V809" s="39"/>
      <c r="AA809">
        <f>IFERROR(MATCH(82,Quotes!$AK$9:$AK$258,0),0)</f>
        <v>0</v>
      </c>
    </row>
    <row r="810" spans="1:27" ht="21" hidden="1" customHeight="1" x14ac:dyDescent="0.35">
      <c r="A810" s="40" t="str">
        <f>IF($AA809=0,"",IF(LEN(INDEX(Quotes!$V$9:$V$258,$AA809)&amp;"")=0,"",INDEX(Quotes!$V$9:$V$258,$AA809)))</f>
        <v/>
      </c>
      <c r="B810" s="39"/>
      <c r="C810" s="39"/>
      <c r="D810" s="39"/>
      <c r="E810" s="39"/>
      <c r="F810" s="39"/>
      <c r="G810" s="39"/>
      <c r="H810" s="40" t="str">
        <f>IF($AA809=0,"",IF(LEN(INDEX(Quotes!$W$9:$W$258,$AA809)&amp;"")=0,"",INDEX(Quotes!$W$9:$W$258,$AA809)))</f>
        <v/>
      </c>
      <c r="I810" s="39"/>
      <c r="J810" s="39"/>
      <c r="K810" s="39"/>
      <c r="L810" s="39"/>
      <c r="M810" s="39"/>
      <c r="N810" s="39"/>
      <c r="O810" s="39"/>
      <c r="P810" s="39"/>
      <c r="Q810" s="39"/>
      <c r="R810" s="77" t="str">
        <f>IF($AA809=0,"",IF(LEN(INDEX(Quotes!$X$9:$X$258,$AA809)&amp;"")=0,"",INDEX(Quotes!$X$9:$X$258,$AA809)))</f>
        <v/>
      </c>
      <c r="S810" s="39"/>
      <c r="T810" s="39"/>
      <c r="U810" s="39"/>
      <c r="V810" s="39"/>
    </row>
    <row r="811" spans="1:27" ht="21" hidden="1" customHeight="1" x14ac:dyDescent="0.35">
      <c r="A811" s="83" t="str">
        <f>IF($AA809=0,"","ORIGINAL EUR")</f>
        <v/>
      </c>
      <c r="B811" s="39"/>
      <c r="C811" s="39"/>
      <c r="D811" s="39"/>
      <c r="E811" s="39"/>
      <c r="F811" s="39"/>
      <c r="G811" s="39"/>
      <c r="I811" s="83" t="str">
        <f>IF($AA809=0,"","LATEST EUR")</f>
        <v/>
      </c>
      <c r="J811" s="39"/>
      <c r="K811" s="39"/>
      <c r="L811" s="39"/>
      <c r="M811" s="39"/>
      <c r="N811" s="39"/>
      <c r="O811" s="39"/>
      <c r="Q811" s="83" t="str">
        <f>IF($AA809=0,"","SAVED EUR")</f>
        <v/>
      </c>
      <c r="R811" s="39"/>
      <c r="S811" s="39"/>
      <c r="T811" s="39"/>
      <c r="U811" s="39"/>
      <c r="V811" s="39"/>
    </row>
    <row r="812" spans="1:27" ht="21" hidden="1" customHeight="1" x14ac:dyDescent="0.35">
      <c r="A812" s="82" t="str">
        <f>IF($AA809=0,"",IF(LEN(INDEX(Quotes!$AB$9:$AB$258,$AA809)&amp;"")=0,"",INDEX(Quotes!$AB$9:$AB$258,$AA809)))</f>
        <v/>
      </c>
      <c r="B812" s="39"/>
      <c r="C812" s="39"/>
      <c r="D812" s="39"/>
      <c r="E812" s="39"/>
      <c r="F812" s="39"/>
      <c r="G812" s="39"/>
      <c r="I812" s="82" t="str">
        <f>IF($AA809=0,"",IF(LEN(INDEX(Quotes!$AD$9:$AD$258,$AA809)&amp;"")=0,"",INDEX(Quotes!$AD$9:$AD$258,$AA809)))</f>
        <v/>
      </c>
      <c r="J812" s="39"/>
      <c r="K812" s="39"/>
      <c r="L812" s="39"/>
      <c r="M812" s="39"/>
      <c r="N812" s="39"/>
      <c r="O812" s="39"/>
      <c r="Q812" s="82" t="str">
        <f>IF($AA809=0,"",IF(LEN(INDEX(Quotes!$AF$9:$AF$258,$AA809)&amp;"")=0,"",INDEX(Quotes!$AF$9:$AF$258,$AA809)))</f>
        <v/>
      </c>
      <c r="R812" s="39"/>
      <c r="S812" s="39"/>
      <c r="T812" s="39"/>
      <c r="U812" s="39"/>
      <c r="V812" s="39"/>
    </row>
    <row r="813" spans="1:27" ht="21" hidden="1" customHeight="1" x14ac:dyDescent="0.35">
      <c r="A813" s="48" t="str">
        <f>IF($AA809=0,"","Reference: "&amp;IF(INDEX(Quotes!$M$9:$M$258,$AA809)="",INDEX(Quotes!$S$9:$S$258,$AA809),INDEX(Quotes!$M$9:$M$258,$AA809)))</f>
        <v/>
      </c>
      <c r="B813" s="39"/>
      <c r="C813" s="39"/>
      <c r="D813" s="39"/>
      <c r="E813" s="39"/>
      <c r="F813" s="39"/>
      <c r="G813" s="39"/>
      <c r="H813" s="39"/>
      <c r="I813" s="39"/>
      <c r="J813" s="39"/>
      <c r="K813" s="39"/>
      <c r="L813" s="39"/>
      <c r="M813" s="39"/>
      <c r="N813" s="39"/>
      <c r="O813" s="39"/>
      <c r="P813" s="39"/>
      <c r="Q813" s="48" t="str">
        <f>IF($AA809=0,"",INDEX(Quotes!$E$9:$E$258,$AA809))</f>
        <v/>
      </c>
      <c r="R813" s="39"/>
      <c r="S813" s="39"/>
      <c r="T813" s="39"/>
      <c r="U813" s="39"/>
      <c r="V813" s="39"/>
    </row>
    <row r="814" spans="1:27" ht="21" hidden="1" customHeight="1" x14ac:dyDescent="0.35">
      <c r="A814" s="81" t="str">
        <f>IF($AA809=0,"",IF(INDEX(Quotes!$N$9:$N$258,$AA809)="","No original link","Original quote"))</f>
        <v/>
      </c>
      <c r="B814" s="39"/>
      <c r="C814" s="39"/>
      <c r="D814" s="39"/>
      <c r="E814" s="39"/>
      <c r="F814" s="39"/>
      <c r="G814" s="39"/>
      <c r="I814" s="81" t="str">
        <f>IF($AA809=0,"",IF(INDEX(Quotes!$O$9:$O$258,$AA809)="","No revised link","Revised quote"))</f>
        <v/>
      </c>
      <c r="J814" s="39"/>
      <c r="K814" s="39"/>
      <c r="L814" s="39"/>
      <c r="M814" s="39"/>
      <c r="N814" s="39"/>
      <c r="O814" s="39"/>
      <c r="Q814" s="81" t="str">
        <f>IF($AA809=0,"",HYPERLINK("#'Quotes'!A"&amp;($AA809+8),"Open quote record"))</f>
        <v/>
      </c>
      <c r="R814" s="39"/>
      <c r="S814" s="39"/>
      <c r="T814" s="39"/>
      <c r="U814" s="39"/>
      <c r="V814" s="39"/>
    </row>
    <row r="815" spans="1:27" ht="21" hidden="1" customHeight="1" x14ac:dyDescent="0.35"/>
    <row r="816" spans="1:27" hidden="1" x14ac:dyDescent="0.35"/>
    <row r="817" spans="1:27" hidden="1" x14ac:dyDescent="0.35"/>
    <row r="818" spans="1:27" ht="29" hidden="1" customHeight="1" x14ac:dyDescent="0.35">
      <c r="A818" s="84" t="str">
        <f>IF($AA818=0,"",IF(LEN(INDEX(Quotes!$U$9:$U$258,$AA818)&amp;"")=0,"",INDEX(Quotes!$U$9:$U$258,$AA818)))</f>
        <v/>
      </c>
      <c r="B818" s="39"/>
      <c r="C818" s="39"/>
      <c r="D818" s="39"/>
      <c r="E818" s="39"/>
      <c r="F818" s="39"/>
      <c r="G818" s="39"/>
      <c r="H818" s="39"/>
      <c r="I818" s="39"/>
      <c r="J818" s="39"/>
      <c r="K818" s="85" t="str">
        <f>IF($AA818=0,"",IF(LEN(INDEX(Quotes!$Z$9:$Z$258,$AA818)&amp;"")=0,"",INDEX(Quotes!$Z$9:$Z$258,$AA818)))</f>
        <v/>
      </c>
      <c r="L818" s="39"/>
      <c r="M818" s="39"/>
      <c r="N818" s="39"/>
      <c r="O818" s="39"/>
      <c r="P818" s="39"/>
      <c r="Q818" s="39"/>
      <c r="R818" s="39"/>
      <c r="S818" s="39"/>
      <c r="T818" s="39"/>
      <c r="U818" s="39"/>
      <c r="V818" s="39"/>
      <c r="AA818">
        <f>IFERROR(MATCH(83,Quotes!$AK$9:$AK$258,0),0)</f>
        <v>0</v>
      </c>
    </row>
    <row r="819" spans="1:27" ht="21" hidden="1" customHeight="1" x14ac:dyDescent="0.35">
      <c r="A819" s="40" t="str">
        <f>IF($AA818=0,"",IF(LEN(INDEX(Quotes!$V$9:$V$258,$AA818)&amp;"")=0,"",INDEX(Quotes!$V$9:$V$258,$AA818)))</f>
        <v/>
      </c>
      <c r="B819" s="39"/>
      <c r="C819" s="39"/>
      <c r="D819" s="39"/>
      <c r="E819" s="39"/>
      <c r="F819" s="39"/>
      <c r="G819" s="39"/>
      <c r="H819" s="40" t="str">
        <f>IF($AA818=0,"",IF(LEN(INDEX(Quotes!$W$9:$W$258,$AA818)&amp;"")=0,"",INDEX(Quotes!$W$9:$W$258,$AA818)))</f>
        <v/>
      </c>
      <c r="I819" s="39"/>
      <c r="J819" s="39"/>
      <c r="K819" s="39"/>
      <c r="L819" s="39"/>
      <c r="M819" s="39"/>
      <c r="N819" s="39"/>
      <c r="O819" s="39"/>
      <c r="P819" s="39"/>
      <c r="Q819" s="39"/>
      <c r="R819" s="77" t="str">
        <f>IF($AA818=0,"",IF(LEN(INDEX(Quotes!$X$9:$X$258,$AA818)&amp;"")=0,"",INDEX(Quotes!$X$9:$X$258,$AA818)))</f>
        <v/>
      </c>
      <c r="S819" s="39"/>
      <c r="T819" s="39"/>
      <c r="U819" s="39"/>
      <c r="V819" s="39"/>
    </row>
    <row r="820" spans="1:27" ht="21" hidden="1" customHeight="1" x14ac:dyDescent="0.35">
      <c r="A820" s="83" t="str">
        <f>IF($AA818=0,"","ORIGINAL EUR")</f>
        <v/>
      </c>
      <c r="B820" s="39"/>
      <c r="C820" s="39"/>
      <c r="D820" s="39"/>
      <c r="E820" s="39"/>
      <c r="F820" s="39"/>
      <c r="G820" s="39"/>
      <c r="I820" s="83" t="str">
        <f>IF($AA818=0,"","LATEST EUR")</f>
        <v/>
      </c>
      <c r="J820" s="39"/>
      <c r="K820" s="39"/>
      <c r="L820" s="39"/>
      <c r="M820" s="39"/>
      <c r="N820" s="39"/>
      <c r="O820" s="39"/>
      <c r="Q820" s="83" t="str">
        <f>IF($AA818=0,"","SAVED EUR")</f>
        <v/>
      </c>
      <c r="R820" s="39"/>
      <c r="S820" s="39"/>
      <c r="T820" s="39"/>
      <c r="U820" s="39"/>
      <c r="V820" s="39"/>
    </row>
    <row r="821" spans="1:27" ht="21" hidden="1" customHeight="1" x14ac:dyDescent="0.35">
      <c r="A821" s="82" t="str">
        <f>IF($AA818=0,"",IF(LEN(INDEX(Quotes!$AB$9:$AB$258,$AA818)&amp;"")=0,"",INDEX(Quotes!$AB$9:$AB$258,$AA818)))</f>
        <v/>
      </c>
      <c r="B821" s="39"/>
      <c r="C821" s="39"/>
      <c r="D821" s="39"/>
      <c r="E821" s="39"/>
      <c r="F821" s="39"/>
      <c r="G821" s="39"/>
      <c r="I821" s="82" t="str">
        <f>IF($AA818=0,"",IF(LEN(INDEX(Quotes!$AD$9:$AD$258,$AA818)&amp;"")=0,"",INDEX(Quotes!$AD$9:$AD$258,$AA818)))</f>
        <v/>
      </c>
      <c r="J821" s="39"/>
      <c r="K821" s="39"/>
      <c r="L821" s="39"/>
      <c r="M821" s="39"/>
      <c r="N821" s="39"/>
      <c r="O821" s="39"/>
      <c r="Q821" s="82" t="str">
        <f>IF($AA818=0,"",IF(LEN(INDEX(Quotes!$AF$9:$AF$258,$AA818)&amp;"")=0,"",INDEX(Quotes!$AF$9:$AF$258,$AA818)))</f>
        <v/>
      </c>
      <c r="R821" s="39"/>
      <c r="S821" s="39"/>
      <c r="T821" s="39"/>
      <c r="U821" s="39"/>
      <c r="V821" s="39"/>
    </row>
    <row r="822" spans="1:27" ht="21" hidden="1" customHeight="1" x14ac:dyDescent="0.35">
      <c r="A822" s="48" t="str">
        <f>IF($AA818=0,"","Reference: "&amp;IF(INDEX(Quotes!$M$9:$M$258,$AA818)="",INDEX(Quotes!$S$9:$S$258,$AA818),INDEX(Quotes!$M$9:$M$258,$AA818)))</f>
        <v/>
      </c>
      <c r="B822" s="39"/>
      <c r="C822" s="39"/>
      <c r="D822" s="39"/>
      <c r="E822" s="39"/>
      <c r="F822" s="39"/>
      <c r="G822" s="39"/>
      <c r="H822" s="39"/>
      <c r="I822" s="39"/>
      <c r="J822" s="39"/>
      <c r="K822" s="39"/>
      <c r="L822" s="39"/>
      <c r="M822" s="39"/>
      <c r="N822" s="39"/>
      <c r="O822" s="39"/>
      <c r="P822" s="39"/>
      <c r="Q822" s="48" t="str">
        <f>IF($AA818=0,"",INDEX(Quotes!$E$9:$E$258,$AA818))</f>
        <v/>
      </c>
      <c r="R822" s="39"/>
      <c r="S822" s="39"/>
      <c r="T822" s="39"/>
      <c r="U822" s="39"/>
      <c r="V822" s="39"/>
    </row>
    <row r="823" spans="1:27" ht="21" hidden="1" customHeight="1" x14ac:dyDescent="0.35">
      <c r="A823" s="81" t="str">
        <f>IF($AA818=0,"",IF(INDEX(Quotes!$N$9:$N$258,$AA818)="","No original link","Original quote"))</f>
        <v/>
      </c>
      <c r="B823" s="39"/>
      <c r="C823" s="39"/>
      <c r="D823" s="39"/>
      <c r="E823" s="39"/>
      <c r="F823" s="39"/>
      <c r="G823" s="39"/>
      <c r="I823" s="81" t="str">
        <f>IF($AA818=0,"",IF(INDEX(Quotes!$O$9:$O$258,$AA818)="","No revised link","Revised quote"))</f>
        <v/>
      </c>
      <c r="J823" s="39"/>
      <c r="K823" s="39"/>
      <c r="L823" s="39"/>
      <c r="M823" s="39"/>
      <c r="N823" s="39"/>
      <c r="O823" s="39"/>
      <c r="Q823" s="81" t="str">
        <f>IF($AA818=0,"",HYPERLINK("#'Quotes'!A"&amp;($AA818+8),"Open quote record"))</f>
        <v/>
      </c>
      <c r="R823" s="39"/>
      <c r="S823" s="39"/>
      <c r="T823" s="39"/>
      <c r="U823" s="39"/>
      <c r="V823" s="39"/>
    </row>
    <row r="824" spans="1:27" ht="21" hidden="1" customHeight="1" x14ac:dyDescent="0.35"/>
    <row r="825" spans="1:27" hidden="1" x14ac:dyDescent="0.35"/>
    <row r="826" spans="1:27" hidden="1" x14ac:dyDescent="0.35"/>
    <row r="827" spans="1:27" ht="29" hidden="1" customHeight="1" x14ac:dyDescent="0.35">
      <c r="A827" s="84" t="str">
        <f>IF($AA827=0,"",IF(LEN(INDEX(Quotes!$U$9:$U$258,$AA827)&amp;"")=0,"",INDEX(Quotes!$U$9:$U$258,$AA827)))</f>
        <v/>
      </c>
      <c r="B827" s="39"/>
      <c r="C827" s="39"/>
      <c r="D827" s="39"/>
      <c r="E827" s="39"/>
      <c r="F827" s="39"/>
      <c r="G827" s="39"/>
      <c r="H827" s="39"/>
      <c r="I827" s="39"/>
      <c r="J827" s="39"/>
      <c r="K827" s="85" t="str">
        <f>IF($AA827=0,"",IF(LEN(INDEX(Quotes!$Z$9:$Z$258,$AA827)&amp;"")=0,"",INDEX(Quotes!$Z$9:$Z$258,$AA827)))</f>
        <v/>
      </c>
      <c r="L827" s="39"/>
      <c r="M827" s="39"/>
      <c r="N827" s="39"/>
      <c r="O827" s="39"/>
      <c r="P827" s="39"/>
      <c r="Q827" s="39"/>
      <c r="R827" s="39"/>
      <c r="S827" s="39"/>
      <c r="T827" s="39"/>
      <c r="U827" s="39"/>
      <c r="V827" s="39"/>
      <c r="AA827">
        <f>IFERROR(MATCH(84,Quotes!$AK$9:$AK$258,0),0)</f>
        <v>0</v>
      </c>
    </row>
    <row r="828" spans="1:27" ht="21" hidden="1" customHeight="1" x14ac:dyDescent="0.35">
      <c r="A828" s="40" t="str">
        <f>IF($AA827=0,"",IF(LEN(INDEX(Quotes!$V$9:$V$258,$AA827)&amp;"")=0,"",INDEX(Quotes!$V$9:$V$258,$AA827)))</f>
        <v/>
      </c>
      <c r="B828" s="39"/>
      <c r="C828" s="39"/>
      <c r="D828" s="39"/>
      <c r="E828" s="39"/>
      <c r="F828" s="39"/>
      <c r="G828" s="39"/>
      <c r="H828" s="40" t="str">
        <f>IF($AA827=0,"",IF(LEN(INDEX(Quotes!$W$9:$W$258,$AA827)&amp;"")=0,"",INDEX(Quotes!$W$9:$W$258,$AA827)))</f>
        <v/>
      </c>
      <c r="I828" s="39"/>
      <c r="J828" s="39"/>
      <c r="K828" s="39"/>
      <c r="L828" s="39"/>
      <c r="M828" s="39"/>
      <c r="N828" s="39"/>
      <c r="O828" s="39"/>
      <c r="P828" s="39"/>
      <c r="Q828" s="39"/>
      <c r="R828" s="77" t="str">
        <f>IF($AA827=0,"",IF(LEN(INDEX(Quotes!$X$9:$X$258,$AA827)&amp;"")=0,"",INDEX(Quotes!$X$9:$X$258,$AA827)))</f>
        <v/>
      </c>
      <c r="S828" s="39"/>
      <c r="T828" s="39"/>
      <c r="U828" s="39"/>
      <c r="V828" s="39"/>
    </row>
    <row r="829" spans="1:27" ht="21" hidden="1" customHeight="1" x14ac:dyDescent="0.35">
      <c r="A829" s="83" t="str">
        <f>IF($AA827=0,"","ORIGINAL EUR")</f>
        <v/>
      </c>
      <c r="B829" s="39"/>
      <c r="C829" s="39"/>
      <c r="D829" s="39"/>
      <c r="E829" s="39"/>
      <c r="F829" s="39"/>
      <c r="G829" s="39"/>
      <c r="I829" s="83" t="str">
        <f>IF($AA827=0,"","LATEST EUR")</f>
        <v/>
      </c>
      <c r="J829" s="39"/>
      <c r="K829" s="39"/>
      <c r="L829" s="39"/>
      <c r="M829" s="39"/>
      <c r="N829" s="39"/>
      <c r="O829" s="39"/>
      <c r="Q829" s="83" t="str">
        <f>IF($AA827=0,"","SAVED EUR")</f>
        <v/>
      </c>
      <c r="R829" s="39"/>
      <c r="S829" s="39"/>
      <c r="T829" s="39"/>
      <c r="U829" s="39"/>
      <c r="V829" s="39"/>
    </row>
    <row r="830" spans="1:27" ht="21" hidden="1" customHeight="1" x14ac:dyDescent="0.35">
      <c r="A830" s="82" t="str">
        <f>IF($AA827=0,"",IF(LEN(INDEX(Quotes!$AB$9:$AB$258,$AA827)&amp;"")=0,"",INDEX(Quotes!$AB$9:$AB$258,$AA827)))</f>
        <v/>
      </c>
      <c r="B830" s="39"/>
      <c r="C830" s="39"/>
      <c r="D830" s="39"/>
      <c r="E830" s="39"/>
      <c r="F830" s="39"/>
      <c r="G830" s="39"/>
      <c r="I830" s="82" t="str">
        <f>IF($AA827=0,"",IF(LEN(INDEX(Quotes!$AD$9:$AD$258,$AA827)&amp;"")=0,"",INDEX(Quotes!$AD$9:$AD$258,$AA827)))</f>
        <v/>
      </c>
      <c r="J830" s="39"/>
      <c r="K830" s="39"/>
      <c r="L830" s="39"/>
      <c r="M830" s="39"/>
      <c r="N830" s="39"/>
      <c r="O830" s="39"/>
      <c r="Q830" s="82" t="str">
        <f>IF($AA827=0,"",IF(LEN(INDEX(Quotes!$AF$9:$AF$258,$AA827)&amp;"")=0,"",INDEX(Quotes!$AF$9:$AF$258,$AA827)))</f>
        <v/>
      </c>
      <c r="R830" s="39"/>
      <c r="S830" s="39"/>
      <c r="T830" s="39"/>
      <c r="U830" s="39"/>
      <c r="V830" s="39"/>
    </row>
    <row r="831" spans="1:27" ht="21" hidden="1" customHeight="1" x14ac:dyDescent="0.35">
      <c r="A831" s="48" t="str">
        <f>IF($AA827=0,"","Reference: "&amp;IF(INDEX(Quotes!$M$9:$M$258,$AA827)="",INDEX(Quotes!$S$9:$S$258,$AA827),INDEX(Quotes!$M$9:$M$258,$AA827)))</f>
        <v/>
      </c>
      <c r="B831" s="39"/>
      <c r="C831" s="39"/>
      <c r="D831" s="39"/>
      <c r="E831" s="39"/>
      <c r="F831" s="39"/>
      <c r="G831" s="39"/>
      <c r="H831" s="39"/>
      <c r="I831" s="39"/>
      <c r="J831" s="39"/>
      <c r="K831" s="39"/>
      <c r="L831" s="39"/>
      <c r="M831" s="39"/>
      <c r="N831" s="39"/>
      <c r="O831" s="39"/>
      <c r="P831" s="39"/>
      <c r="Q831" s="48" t="str">
        <f>IF($AA827=0,"",INDEX(Quotes!$E$9:$E$258,$AA827))</f>
        <v/>
      </c>
      <c r="R831" s="39"/>
      <c r="S831" s="39"/>
      <c r="T831" s="39"/>
      <c r="U831" s="39"/>
      <c r="V831" s="39"/>
    </row>
    <row r="832" spans="1:27" ht="21" hidden="1" customHeight="1" x14ac:dyDescent="0.35">
      <c r="A832" s="81" t="str">
        <f>IF($AA827=0,"",IF(INDEX(Quotes!$N$9:$N$258,$AA827)="","No original link","Original quote"))</f>
        <v/>
      </c>
      <c r="B832" s="39"/>
      <c r="C832" s="39"/>
      <c r="D832" s="39"/>
      <c r="E832" s="39"/>
      <c r="F832" s="39"/>
      <c r="G832" s="39"/>
      <c r="I832" s="81" t="str">
        <f>IF($AA827=0,"",IF(INDEX(Quotes!$O$9:$O$258,$AA827)="","No revised link","Revised quote"))</f>
        <v/>
      </c>
      <c r="J832" s="39"/>
      <c r="K832" s="39"/>
      <c r="L832" s="39"/>
      <c r="M832" s="39"/>
      <c r="N832" s="39"/>
      <c r="O832" s="39"/>
      <c r="Q832" s="81" t="str">
        <f>IF($AA827=0,"",HYPERLINK("#'Quotes'!A"&amp;($AA827+8),"Open quote record"))</f>
        <v/>
      </c>
      <c r="R832" s="39"/>
      <c r="S832" s="39"/>
      <c r="T832" s="39"/>
      <c r="U832" s="39"/>
      <c r="V832" s="39"/>
    </row>
    <row r="833" spans="1:27" ht="21" hidden="1" customHeight="1" x14ac:dyDescent="0.35"/>
    <row r="834" spans="1:27" hidden="1" x14ac:dyDescent="0.35"/>
    <row r="835" spans="1:27" hidden="1" x14ac:dyDescent="0.35"/>
    <row r="836" spans="1:27" hidden="1" x14ac:dyDescent="0.35"/>
    <row r="837" spans="1:27" hidden="1" x14ac:dyDescent="0.35">
      <c r="A837" s="67" t="s">
        <v>655</v>
      </c>
      <c r="B837" s="39"/>
      <c r="C837" s="39"/>
      <c r="D837" s="39"/>
      <c r="E837" s="39"/>
      <c r="F837" s="39"/>
      <c r="G837" s="39"/>
      <c r="H837" s="39"/>
      <c r="I837" s="39"/>
      <c r="J837" s="39"/>
      <c r="K837" s="39"/>
      <c r="L837" s="39"/>
      <c r="M837" s="39"/>
      <c r="N837" s="39"/>
      <c r="O837" s="39"/>
      <c r="P837" s="39"/>
      <c r="Q837" s="39"/>
      <c r="R837" s="39"/>
      <c r="S837" s="39"/>
      <c r="T837" s="39"/>
      <c r="U837" s="39"/>
      <c r="V837" s="39"/>
    </row>
    <row r="838" spans="1:27" ht="29" hidden="1" customHeight="1" x14ac:dyDescent="0.35">
      <c r="A838" s="84" t="str">
        <f>IF($AA838=0,"",IF(LEN(INDEX(Quotes!$U$9:$U$258,$AA838)&amp;"")=0,"",INDEX(Quotes!$U$9:$U$258,$AA838)))</f>
        <v/>
      </c>
      <c r="B838" s="39"/>
      <c r="C838" s="39"/>
      <c r="D838" s="39"/>
      <c r="E838" s="39"/>
      <c r="F838" s="39"/>
      <c r="G838" s="39"/>
      <c r="H838" s="39"/>
      <c r="I838" s="39"/>
      <c r="J838" s="39"/>
      <c r="K838" s="85" t="str">
        <f>IF($AA838=0,"",IF(LEN(INDEX(Quotes!$Z$9:$Z$258,$AA838)&amp;"")=0,"",INDEX(Quotes!$Z$9:$Z$258,$AA838)))</f>
        <v/>
      </c>
      <c r="L838" s="39"/>
      <c r="M838" s="39"/>
      <c r="N838" s="39"/>
      <c r="O838" s="39"/>
      <c r="P838" s="39"/>
      <c r="Q838" s="39"/>
      <c r="R838" s="39"/>
      <c r="S838" s="39"/>
      <c r="T838" s="39"/>
      <c r="U838" s="39"/>
      <c r="V838" s="39"/>
      <c r="AA838">
        <f>IFERROR(MATCH(85,Quotes!$AK$9:$AK$258,0),0)</f>
        <v>0</v>
      </c>
    </row>
    <row r="839" spans="1:27" ht="21" hidden="1" customHeight="1" x14ac:dyDescent="0.35">
      <c r="A839" s="40" t="str">
        <f>IF($AA838=0,"",IF(LEN(INDEX(Quotes!$V$9:$V$258,$AA838)&amp;"")=0,"",INDEX(Quotes!$V$9:$V$258,$AA838)))</f>
        <v/>
      </c>
      <c r="B839" s="39"/>
      <c r="C839" s="39"/>
      <c r="D839" s="39"/>
      <c r="E839" s="39"/>
      <c r="F839" s="39"/>
      <c r="G839" s="39"/>
      <c r="H839" s="40" t="str">
        <f>IF($AA838=0,"",IF(LEN(INDEX(Quotes!$W$9:$W$258,$AA838)&amp;"")=0,"",INDEX(Quotes!$W$9:$W$258,$AA838)))</f>
        <v/>
      </c>
      <c r="I839" s="39"/>
      <c r="J839" s="39"/>
      <c r="K839" s="39"/>
      <c r="L839" s="39"/>
      <c r="M839" s="39"/>
      <c r="N839" s="39"/>
      <c r="O839" s="39"/>
      <c r="P839" s="39"/>
      <c r="Q839" s="39"/>
      <c r="R839" s="77" t="str">
        <f>IF($AA838=0,"",IF(LEN(INDEX(Quotes!$X$9:$X$258,$AA838)&amp;"")=0,"",INDEX(Quotes!$X$9:$X$258,$AA838)))</f>
        <v/>
      </c>
      <c r="S839" s="39"/>
      <c r="T839" s="39"/>
      <c r="U839" s="39"/>
      <c r="V839" s="39"/>
    </row>
    <row r="840" spans="1:27" ht="21" hidden="1" customHeight="1" x14ac:dyDescent="0.35">
      <c r="A840" s="83" t="str">
        <f>IF($AA838=0,"","ORIGINAL EUR")</f>
        <v/>
      </c>
      <c r="B840" s="39"/>
      <c r="C840" s="39"/>
      <c r="D840" s="39"/>
      <c r="E840" s="39"/>
      <c r="F840" s="39"/>
      <c r="G840" s="39"/>
      <c r="I840" s="83" t="str">
        <f>IF($AA838=0,"","LATEST EUR")</f>
        <v/>
      </c>
      <c r="J840" s="39"/>
      <c r="K840" s="39"/>
      <c r="L840" s="39"/>
      <c r="M840" s="39"/>
      <c r="N840" s="39"/>
      <c r="O840" s="39"/>
      <c r="Q840" s="83" t="str">
        <f>IF($AA838=0,"","SAVED EUR")</f>
        <v/>
      </c>
      <c r="R840" s="39"/>
      <c r="S840" s="39"/>
      <c r="T840" s="39"/>
      <c r="U840" s="39"/>
      <c r="V840" s="39"/>
    </row>
    <row r="841" spans="1:27" ht="21" hidden="1" customHeight="1" x14ac:dyDescent="0.35">
      <c r="A841" s="82" t="str">
        <f>IF($AA838=0,"",IF(LEN(INDEX(Quotes!$AB$9:$AB$258,$AA838)&amp;"")=0,"",INDEX(Quotes!$AB$9:$AB$258,$AA838)))</f>
        <v/>
      </c>
      <c r="B841" s="39"/>
      <c r="C841" s="39"/>
      <c r="D841" s="39"/>
      <c r="E841" s="39"/>
      <c r="F841" s="39"/>
      <c r="G841" s="39"/>
      <c r="I841" s="82" t="str">
        <f>IF($AA838=0,"",IF(LEN(INDEX(Quotes!$AD$9:$AD$258,$AA838)&amp;"")=0,"",INDEX(Quotes!$AD$9:$AD$258,$AA838)))</f>
        <v/>
      </c>
      <c r="J841" s="39"/>
      <c r="K841" s="39"/>
      <c r="L841" s="39"/>
      <c r="M841" s="39"/>
      <c r="N841" s="39"/>
      <c r="O841" s="39"/>
      <c r="Q841" s="82" t="str">
        <f>IF($AA838=0,"",IF(LEN(INDEX(Quotes!$AF$9:$AF$258,$AA838)&amp;"")=0,"",INDEX(Quotes!$AF$9:$AF$258,$AA838)))</f>
        <v/>
      </c>
      <c r="R841" s="39"/>
      <c r="S841" s="39"/>
      <c r="T841" s="39"/>
      <c r="U841" s="39"/>
      <c r="V841" s="39"/>
    </row>
    <row r="842" spans="1:27" ht="21" hidden="1" customHeight="1" x14ac:dyDescent="0.35">
      <c r="A842" s="48" t="str">
        <f>IF($AA838=0,"","Reference: "&amp;IF(INDEX(Quotes!$M$9:$M$258,$AA838)="",INDEX(Quotes!$S$9:$S$258,$AA838),INDEX(Quotes!$M$9:$M$258,$AA838)))</f>
        <v/>
      </c>
      <c r="B842" s="39"/>
      <c r="C842" s="39"/>
      <c r="D842" s="39"/>
      <c r="E842" s="39"/>
      <c r="F842" s="39"/>
      <c r="G842" s="39"/>
      <c r="H842" s="39"/>
      <c r="I842" s="39"/>
      <c r="J842" s="39"/>
      <c r="K842" s="39"/>
      <c r="L842" s="39"/>
      <c r="M842" s="39"/>
      <c r="N842" s="39"/>
      <c r="O842" s="39"/>
      <c r="P842" s="39"/>
      <c r="Q842" s="48" t="str">
        <f>IF($AA838=0,"",INDEX(Quotes!$E$9:$E$258,$AA838))</f>
        <v/>
      </c>
      <c r="R842" s="39"/>
      <c r="S842" s="39"/>
      <c r="T842" s="39"/>
      <c r="U842" s="39"/>
      <c r="V842" s="39"/>
    </row>
    <row r="843" spans="1:27" ht="21" hidden="1" customHeight="1" x14ac:dyDescent="0.35">
      <c r="A843" s="81" t="str">
        <f>IF($AA838=0,"",IF(INDEX(Quotes!$N$9:$N$258,$AA838)="","No original link","Original quote"))</f>
        <v/>
      </c>
      <c r="B843" s="39"/>
      <c r="C843" s="39"/>
      <c r="D843" s="39"/>
      <c r="E843" s="39"/>
      <c r="F843" s="39"/>
      <c r="G843" s="39"/>
      <c r="I843" s="81" t="str">
        <f>IF($AA838=0,"",IF(INDEX(Quotes!$O$9:$O$258,$AA838)="","No revised link","Revised quote"))</f>
        <v/>
      </c>
      <c r="J843" s="39"/>
      <c r="K843" s="39"/>
      <c r="L843" s="39"/>
      <c r="M843" s="39"/>
      <c r="N843" s="39"/>
      <c r="O843" s="39"/>
      <c r="Q843" s="81" t="str">
        <f>IF($AA838=0,"",HYPERLINK("#'Quotes'!A"&amp;($AA838+8),"Open quote record"))</f>
        <v/>
      </c>
      <c r="R843" s="39"/>
      <c r="S843" s="39"/>
      <c r="T843" s="39"/>
      <c r="U843" s="39"/>
      <c r="V843" s="39"/>
    </row>
    <row r="844" spans="1:27" ht="21" hidden="1" customHeight="1" x14ac:dyDescent="0.35"/>
    <row r="845" spans="1:27" hidden="1" x14ac:dyDescent="0.35"/>
    <row r="846" spans="1:27" hidden="1" x14ac:dyDescent="0.35"/>
    <row r="847" spans="1:27" ht="29" hidden="1" customHeight="1" x14ac:dyDescent="0.35">
      <c r="A847" s="84" t="str">
        <f>IF($AA847=0,"",IF(LEN(INDEX(Quotes!$U$9:$U$258,$AA847)&amp;"")=0,"",INDEX(Quotes!$U$9:$U$258,$AA847)))</f>
        <v/>
      </c>
      <c r="B847" s="39"/>
      <c r="C847" s="39"/>
      <c r="D847" s="39"/>
      <c r="E847" s="39"/>
      <c r="F847" s="39"/>
      <c r="G847" s="39"/>
      <c r="H847" s="39"/>
      <c r="I847" s="39"/>
      <c r="J847" s="39"/>
      <c r="K847" s="85" t="str">
        <f>IF($AA847=0,"",IF(LEN(INDEX(Quotes!$Z$9:$Z$258,$AA847)&amp;"")=0,"",INDEX(Quotes!$Z$9:$Z$258,$AA847)))</f>
        <v/>
      </c>
      <c r="L847" s="39"/>
      <c r="M847" s="39"/>
      <c r="N847" s="39"/>
      <c r="O847" s="39"/>
      <c r="P847" s="39"/>
      <c r="Q847" s="39"/>
      <c r="R847" s="39"/>
      <c r="S847" s="39"/>
      <c r="T847" s="39"/>
      <c r="U847" s="39"/>
      <c r="V847" s="39"/>
      <c r="AA847">
        <f>IFERROR(MATCH(86,Quotes!$AK$9:$AK$258,0),0)</f>
        <v>0</v>
      </c>
    </row>
    <row r="848" spans="1:27" ht="21" hidden="1" customHeight="1" x14ac:dyDescent="0.35">
      <c r="A848" s="40" t="str">
        <f>IF($AA847=0,"",IF(LEN(INDEX(Quotes!$V$9:$V$258,$AA847)&amp;"")=0,"",INDEX(Quotes!$V$9:$V$258,$AA847)))</f>
        <v/>
      </c>
      <c r="B848" s="39"/>
      <c r="C848" s="39"/>
      <c r="D848" s="39"/>
      <c r="E848" s="39"/>
      <c r="F848" s="39"/>
      <c r="G848" s="39"/>
      <c r="H848" s="40" t="str">
        <f>IF($AA847=0,"",IF(LEN(INDEX(Quotes!$W$9:$W$258,$AA847)&amp;"")=0,"",INDEX(Quotes!$W$9:$W$258,$AA847)))</f>
        <v/>
      </c>
      <c r="I848" s="39"/>
      <c r="J848" s="39"/>
      <c r="K848" s="39"/>
      <c r="L848" s="39"/>
      <c r="M848" s="39"/>
      <c r="N848" s="39"/>
      <c r="O848" s="39"/>
      <c r="P848" s="39"/>
      <c r="Q848" s="39"/>
      <c r="R848" s="77" t="str">
        <f>IF($AA847=0,"",IF(LEN(INDEX(Quotes!$X$9:$X$258,$AA847)&amp;"")=0,"",INDEX(Quotes!$X$9:$X$258,$AA847)))</f>
        <v/>
      </c>
      <c r="S848" s="39"/>
      <c r="T848" s="39"/>
      <c r="U848" s="39"/>
      <c r="V848" s="39"/>
    </row>
    <row r="849" spans="1:27" ht="21" hidden="1" customHeight="1" x14ac:dyDescent="0.35">
      <c r="A849" s="83" t="str">
        <f>IF($AA847=0,"","ORIGINAL EUR")</f>
        <v/>
      </c>
      <c r="B849" s="39"/>
      <c r="C849" s="39"/>
      <c r="D849" s="39"/>
      <c r="E849" s="39"/>
      <c r="F849" s="39"/>
      <c r="G849" s="39"/>
      <c r="I849" s="83" t="str">
        <f>IF($AA847=0,"","LATEST EUR")</f>
        <v/>
      </c>
      <c r="J849" s="39"/>
      <c r="K849" s="39"/>
      <c r="L849" s="39"/>
      <c r="M849" s="39"/>
      <c r="N849" s="39"/>
      <c r="O849" s="39"/>
      <c r="Q849" s="83" t="str">
        <f>IF($AA847=0,"","SAVED EUR")</f>
        <v/>
      </c>
      <c r="R849" s="39"/>
      <c r="S849" s="39"/>
      <c r="T849" s="39"/>
      <c r="U849" s="39"/>
      <c r="V849" s="39"/>
    </row>
    <row r="850" spans="1:27" ht="21" hidden="1" customHeight="1" x14ac:dyDescent="0.35">
      <c r="A850" s="82" t="str">
        <f>IF($AA847=0,"",IF(LEN(INDEX(Quotes!$AB$9:$AB$258,$AA847)&amp;"")=0,"",INDEX(Quotes!$AB$9:$AB$258,$AA847)))</f>
        <v/>
      </c>
      <c r="B850" s="39"/>
      <c r="C850" s="39"/>
      <c r="D850" s="39"/>
      <c r="E850" s="39"/>
      <c r="F850" s="39"/>
      <c r="G850" s="39"/>
      <c r="I850" s="82" t="str">
        <f>IF($AA847=0,"",IF(LEN(INDEX(Quotes!$AD$9:$AD$258,$AA847)&amp;"")=0,"",INDEX(Quotes!$AD$9:$AD$258,$AA847)))</f>
        <v/>
      </c>
      <c r="J850" s="39"/>
      <c r="K850" s="39"/>
      <c r="L850" s="39"/>
      <c r="M850" s="39"/>
      <c r="N850" s="39"/>
      <c r="O850" s="39"/>
      <c r="Q850" s="82" t="str">
        <f>IF($AA847=0,"",IF(LEN(INDEX(Quotes!$AF$9:$AF$258,$AA847)&amp;"")=0,"",INDEX(Quotes!$AF$9:$AF$258,$AA847)))</f>
        <v/>
      </c>
      <c r="R850" s="39"/>
      <c r="S850" s="39"/>
      <c r="T850" s="39"/>
      <c r="U850" s="39"/>
      <c r="V850" s="39"/>
    </row>
    <row r="851" spans="1:27" ht="21" hidden="1" customHeight="1" x14ac:dyDescent="0.35">
      <c r="A851" s="48" t="str">
        <f>IF($AA847=0,"","Reference: "&amp;IF(INDEX(Quotes!$M$9:$M$258,$AA847)="",INDEX(Quotes!$S$9:$S$258,$AA847),INDEX(Quotes!$M$9:$M$258,$AA847)))</f>
        <v/>
      </c>
      <c r="B851" s="39"/>
      <c r="C851" s="39"/>
      <c r="D851" s="39"/>
      <c r="E851" s="39"/>
      <c r="F851" s="39"/>
      <c r="G851" s="39"/>
      <c r="H851" s="39"/>
      <c r="I851" s="39"/>
      <c r="J851" s="39"/>
      <c r="K851" s="39"/>
      <c r="L851" s="39"/>
      <c r="M851" s="39"/>
      <c r="N851" s="39"/>
      <c r="O851" s="39"/>
      <c r="P851" s="39"/>
      <c r="Q851" s="48" t="str">
        <f>IF($AA847=0,"",INDEX(Quotes!$E$9:$E$258,$AA847))</f>
        <v/>
      </c>
      <c r="R851" s="39"/>
      <c r="S851" s="39"/>
      <c r="T851" s="39"/>
      <c r="U851" s="39"/>
      <c r="V851" s="39"/>
    </row>
    <row r="852" spans="1:27" ht="21" hidden="1" customHeight="1" x14ac:dyDescent="0.35">
      <c r="A852" s="81" t="str">
        <f>IF($AA847=0,"",IF(INDEX(Quotes!$N$9:$N$258,$AA847)="","No original link","Original quote"))</f>
        <v/>
      </c>
      <c r="B852" s="39"/>
      <c r="C852" s="39"/>
      <c r="D852" s="39"/>
      <c r="E852" s="39"/>
      <c r="F852" s="39"/>
      <c r="G852" s="39"/>
      <c r="I852" s="81" t="str">
        <f>IF($AA847=0,"",IF(INDEX(Quotes!$O$9:$O$258,$AA847)="","No revised link","Revised quote"))</f>
        <v/>
      </c>
      <c r="J852" s="39"/>
      <c r="K852" s="39"/>
      <c r="L852" s="39"/>
      <c r="M852" s="39"/>
      <c r="N852" s="39"/>
      <c r="O852" s="39"/>
      <c r="Q852" s="81" t="str">
        <f>IF($AA847=0,"",HYPERLINK("#'Quotes'!A"&amp;($AA847+8),"Open quote record"))</f>
        <v/>
      </c>
      <c r="R852" s="39"/>
      <c r="S852" s="39"/>
      <c r="T852" s="39"/>
      <c r="U852" s="39"/>
      <c r="V852" s="39"/>
    </row>
    <row r="853" spans="1:27" ht="21" hidden="1" customHeight="1" x14ac:dyDescent="0.35"/>
    <row r="854" spans="1:27" hidden="1" x14ac:dyDescent="0.35"/>
    <row r="855" spans="1:27" hidden="1" x14ac:dyDescent="0.35"/>
    <row r="856" spans="1:27" ht="29" hidden="1" customHeight="1" x14ac:dyDescent="0.35">
      <c r="A856" s="84" t="str">
        <f>IF($AA856=0,"",IF(LEN(INDEX(Quotes!$U$9:$U$258,$AA856)&amp;"")=0,"",INDEX(Quotes!$U$9:$U$258,$AA856)))</f>
        <v/>
      </c>
      <c r="B856" s="39"/>
      <c r="C856" s="39"/>
      <c r="D856" s="39"/>
      <c r="E856" s="39"/>
      <c r="F856" s="39"/>
      <c r="G856" s="39"/>
      <c r="H856" s="39"/>
      <c r="I856" s="39"/>
      <c r="J856" s="39"/>
      <c r="K856" s="85" t="str">
        <f>IF($AA856=0,"",IF(LEN(INDEX(Quotes!$Z$9:$Z$258,$AA856)&amp;"")=0,"",INDEX(Quotes!$Z$9:$Z$258,$AA856)))</f>
        <v/>
      </c>
      <c r="L856" s="39"/>
      <c r="M856" s="39"/>
      <c r="N856" s="39"/>
      <c r="O856" s="39"/>
      <c r="P856" s="39"/>
      <c r="Q856" s="39"/>
      <c r="R856" s="39"/>
      <c r="S856" s="39"/>
      <c r="T856" s="39"/>
      <c r="U856" s="39"/>
      <c r="V856" s="39"/>
      <c r="AA856">
        <f>IFERROR(MATCH(87,Quotes!$AK$9:$AK$258,0),0)</f>
        <v>0</v>
      </c>
    </row>
    <row r="857" spans="1:27" ht="21" hidden="1" customHeight="1" x14ac:dyDescent="0.35">
      <c r="A857" s="40" t="str">
        <f>IF($AA856=0,"",IF(LEN(INDEX(Quotes!$V$9:$V$258,$AA856)&amp;"")=0,"",INDEX(Quotes!$V$9:$V$258,$AA856)))</f>
        <v/>
      </c>
      <c r="B857" s="39"/>
      <c r="C857" s="39"/>
      <c r="D857" s="39"/>
      <c r="E857" s="39"/>
      <c r="F857" s="39"/>
      <c r="G857" s="39"/>
      <c r="H857" s="40" t="str">
        <f>IF($AA856=0,"",IF(LEN(INDEX(Quotes!$W$9:$W$258,$AA856)&amp;"")=0,"",INDEX(Quotes!$W$9:$W$258,$AA856)))</f>
        <v/>
      </c>
      <c r="I857" s="39"/>
      <c r="J857" s="39"/>
      <c r="K857" s="39"/>
      <c r="L857" s="39"/>
      <c r="M857" s="39"/>
      <c r="N857" s="39"/>
      <c r="O857" s="39"/>
      <c r="P857" s="39"/>
      <c r="Q857" s="39"/>
      <c r="R857" s="77" t="str">
        <f>IF($AA856=0,"",IF(LEN(INDEX(Quotes!$X$9:$X$258,$AA856)&amp;"")=0,"",INDEX(Quotes!$X$9:$X$258,$AA856)))</f>
        <v/>
      </c>
      <c r="S857" s="39"/>
      <c r="T857" s="39"/>
      <c r="U857" s="39"/>
      <c r="V857" s="39"/>
    </row>
    <row r="858" spans="1:27" ht="21" hidden="1" customHeight="1" x14ac:dyDescent="0.35">
      <c r="A858" s="83" t="str">
        <f>IF($AA856=0,"","ORIGINAL EUR")</f>
        <v/>
      </c>
      <c r="B858" s="39"/>
      <c r="C858" s="39"/>
      <c r="D858" s="39"/>
      <c r="E858" s="39"/>
      <c r="F858" s="39"/>
      <c r="G858" s="39"/>
      <c r="I858" s="83" t="str">
        <f>IF($AA856=0,"","LATEST EUR")</f>
        <v/>
      </c>
      <c r="J858" s="39"/>
      <c r="K858" s="39"/>
      <c r="L858" s="39"/>
      <c r="M858" s="39"/>
      <c r="N858" s="39"/>
      <c r="O858" s="39"/>
      <c r="Q858" s="83" t="str">
        <f>IF($AA856=0,"","SAVED EUR")</f>
        <v/>
      </c>
      <c r="R858" s="39"/>
      <c r="S858" s="39"/>
      <c r="T858" s="39"/>
      <c r="U858" s="39"/>
      <c r="V858" s="39"/>
    </row>
    <row r="859" spans="1:27" ht="21" hidden="1" customHeight="1" x14ac:dyDescent="0.35">
      <c r="A859" s="82" t="str">
        <f>IF($AA856=0,"",IF(LEN(INDEX(Quotes!$AB$9:$AB$258,$AA856)&amp;"")=0,"",INDEX(Quotes!$AB$9:$AB$258,$AA856)))</f>
        <v/>
      </c>
      <c r="B859" s="39"/>
      <c r="C859" s="39"/>
      <c r="D859" s="39"/>
      <c r="E859" s="39"/>
      <c r="F859" s="39"/>
      <c r="G859" s="39"/>
      <c r="I859" s="82" t="str">
        <f>IF($AA856=0,"",IF(LEN(INDEX(Quotes!$AD$9:$AD$258,$AA856)&amp;"")=0,"",INDEX(Quotes!$AD$9:$AD$258,$AA856)))</f>
        <v/>
      </c>
      <c r="J859" s="39"/>
      <c r="K859" s="39"/>
      <c r="L859" s="39"/>
      <c r="M859" s="39"/>
      <c r="N859" s="39"/>
      <c r="O859" s="39"/>
      <c r="Q859" s="82" t="str">
        <f>IF($AA856=0,"",IF(LEN(INDEX(Quotes!$AF$9:$AF$258,$AA856)&amp;"")=0,"",INDEX(Quotes!$AF$9:$AF$258,$AA856)))</f>
        <v/>
      </c>
      <c r="R859" s="39"/>
      <c r="S859" s="39"/>
      <c r="T859" s="39"/>
      <c r="U859" s="39"/>
      <c r="V859" s="39"/>
    </row>
    <row r="860" spans="1:27" ht="21" hidden="1" customHeight="1" x14ac:dyDescent="0.35">
      <c r="A860" s="48" t="str">
        <f>IF($AA856=0,"","Reference: "&amp;IF(INDEX(Quotes!$M$9:$M$258,$AA856)="",INDEX(Quotes!$S$9:$S$258,$AA856),INDEX(Quotes!$M$9:$M$258,$AA856)))</f>
        <v/>
      </c>
      <c r="B860" s="39"/>
      <c r="C860" s="39"/>
      <c r="D860" s="39"/>
      <c r="E860" s="39"/>
      <c r="F860" s="39"/>
      <c r="G860" s="39"/>
      <c r="H860" s="39"/>
      <c r="I860" s="39"/>
      <c r="J860" s="39"/>
      <c r="K860" s="39"/>
      <c r="L860" s="39"/>
      <c r="M860" s="39"/>
      <c r="N860" s="39"/>
      <c r="O860" s="39"/>
      <c r="P860" s="39"/>
      <c r="Q860" s="48" t="str">
        <f>IF($AA856=0,"",INDEX(Quotes!$E$9:$E$258,$AA856))</f>
        <v/>
      </c>
      <c r="R860" s="39"/>
      <c r="S860" s="39"/>
      <c r="T860" s="39"/>
      <c r="U860" s="39"/>
      <c r="V860" s="39"/>
    </row>
    <row r="861" spans="1:27" ht="21" hidden="1" customHeight="1" x14ac:dyDescent="0.35">
      <c r="A861" s="81" t="str">
        <f>IF($AA856=0,"",IF(INDEX(Quotes!$N$9:$N$258,$AA856)="","No original link","Original quote"))</f>
        <v/>
      </c>
      <c r="B861" s="39"/>
      <c r="C861" s="39"/>
      <c r="D861" s="39"/>
      <c r="E861" s="39"/>
      <c r="F861" s="39"/>
      <c r="G861" s="39"/>
      <c r="I861" s="81" t="str">
        <f>IF($AA856=0,"",IF(INDEX(Quotes!$O$9:$O$258,$AA856)="","No revised link","Revised quote"))</f>
        <v/>
      </c>
      <c r="J861" s="39"/>
      <c r="K861" s="39"/>
      <c r="L861" s="39"/>
      <c r="M861" s="39"/>
      <c r="N861" s="39"/>
      <c r="O861" s="39"/>
      <c r="Q861" s="81" t="str">
        <f>IF($AA856=0,"",HYPERLINK("#'Quotes'!A"&amp;($AA856+8),"Open quote record"))</f>
        <v/>
      </c>
      <c r="R861" s="39"/>
      <c r="S861" s="39"/>
      <c r="T861" s="39"/>
      <c r="U861" s="39"/>
      <c r="V861" s="39"/>
    </row>
    <row r="862" spans="1:27" ht="21" hidden="1" customHeight="1" x14ac:dyDescent="0.35"/>
    <row r="863" spans="1:27" hidden="1" x14ac:dyDescent="0.35"/>
    <row r="864" spans="1:27" hidden="1" x14ac:dyDescent="0.35"/>
    <row r="865" spans="1:27" ht="29" hidden="1" customHeight="1" x14ac:dyDescent="0.35">
      <c r="A865" s="84" t="str">
        <f>IF($AA865=0,"",IF(LEN(INDEX(Quotes!$U$9:$U$258,$AA865)&amp;"")=0,"",INDEX(Quotes!$U$9:$U$258,$AA865)))</f>
        <v/>
      </c>
      <c r="B865" s="39"/>
      <c r="C865" s="39"/>
      <c r="D865" s="39"/>
      <c r="E865" s="39"/>
      <c r="F865" s="39"/>
      <c r="G865" s="39"/>
      <c r="H865" s="39"/>
      <c r="I865" s="39"/>
      <c r="J865" s="39"/>
      <c r="K865" s="85" t="str">
        <f>IF($AA865=0,"",IF(LEN(INDEX(Quotes!$Z$9:$Z$258,$AA865)&amp;"")=0,"",INDEX(Quotes!$Z$9:$Z$258,$AA865)))</f>
        <v/>
      </c>
      <c r="L865" s="39"/>
      <c r="M865" s="39"/>
      <c r="N865" s="39"/>
      <c r="O865" s="39"/>
      <c r="P865" s="39"/>
      <c r="Q865" s="39"/>
      <c r="R865" s="39"/>
      <c r="S865" s="39"/>
      <c r="T865" s="39"/>
      <c r="U865" s="39"/>
      <c r="V865" s="39"/>
      <c r="AA865">
        <f>IFERROR(MATCH(88,Quotes!$AK$9:$AK$258,0),0)</f>
        <v>0</v>
      </c>
    </row>
    <row r="866" spans="1:27" ht="21" hidden="1" customHeight="1" x14ac:dyDescent="0.35">
      <c r="A866" s="40" t="str">
        <f>IF($AA865=0,"",IF(LEN(INDEX(Quotes!$V$9:$V$258,$AA865)&amp;"")=0,"",INDEX(Quotes!$V$9:$V$258,$AA865)))</f>
        <v/>
      </c>
      <c r="B866" s="39"/>
      <c r="C866" s="39"/>
      <c r="D866" s="39"/>
      <c r="E866" s="39"/>
      <c r="F866" s="39"/>
      <c r="G866" s="39"/>
      <c r="H866" s="40" t="str">
        <f>IF($AA865=0,"",IF(LEN(INDEX(Quotes!$W$9:$W$258,$AA865)&amp;"")=0,"",INDEX(Quotes!$W$9:$W$258,$AA865)))</f>
        <v/>
      </c>
      <c r="I866" s="39"/>
      <c r="J866" s="39"/>
      <c r="K866" s="39"/>
      <c r="L866" s="39"/>
      <c r="M866" s="39"/>
      <c r="N866" s="39"/>
      <c r="O866" s="39"/>
      <c r="P866" s="39"/>
      <c r="Q866" s="39"/>
      <c r="R866" s="77" t="str">
        <f>IF($AA865=0,"",IF(LEN(INDEX(Quotes!$X$9:$X$258,$AA865)&amp;"")=0,"",INDEX(Quotes!$X$9:$X$258,$AA865)))</f>
        <v/>
      </c>
      <c r="S866" s="39"/>
      <c r="T866" s="39"/>
      <c r="U866" s="39"/>
      <c r="V866" s="39"/>
    </row>
    <row r="867" spans="1:27" ht="21" hidden="1" customHeight="1" x14ac:dyDescent="0.35">
      <c r="A867" s="83" t="str">
        <f>IF($AA865=0,"","ORIGINAL EUR")</f>
        <v/>
      </c>
      <c r="B867" s="39"/>
      <c r="C867" s="39"/>
      <c r="D867" s="39"/>
      <c r="E867" s="39"/>
      <c r="F867" s="39"/>
      <c r="G867" s="39"/>
      <c r="I867" s="83" t="str">
        <f>IF($AA865=0,"","LATEST EUR")</f>
        <v/>
      </c>
      <c r="J867" s="39"/>
      <c r="K867" s="39"/>
      <c r="L867" s="39"/>
      <c r="M867" s="39"/>
      <c r="N867" s="39"/>
      <c r="O867" s="39"/>
      <c r="Q867" s="83" t="str">
        <f>IF($AA865=0,"","SAVED EUR")</f>
        <v/>
      </c>
      <c r="R867" s="39"/>
      <c r="S867" s="39"/>
      <c r="T867" s="39"/>
      <c r="U867" s="39"/>
      <c r="V867" s="39"/>
    </row>
    <row r="868" spans="1:27" ht="21" hidden="1" customHeight="1" x14ac:dyDescent="0.35">
      <c r="A868" s="82" t="str">
        <f>IF($AA865=0,"",IF(LEN(INDEX(Quotes!$AB$9:$AB$258,$AA865)&amp;"")=0,"",INDEX(Quotes!$AB$9:$AB$258,$AA865)))</f>
        <v/>
      </c>
      <c r="B868" s="39"/>
      <c r="C868" s="39"/>
      <c r="D868" s="39"/>
      <c r="E868" s="39"/>
      <c r="F868" s="39"/>
      <c r="G868" s="39"/>
      <c r="I868" s="82" t="str">
        <f>IF($AA865=0,"",IF(LEN(INDEX(Quotes!$AD$9:$AD$258,$AA865)&amp;"")=0,"",INDEX(Quotes!$AD$9:$AD$258,$AA865)))</f>
        <v/>
      </c>
      <c r="J868" s="39"/>
      <c r="K868" s="39"/>
      <c r="L868" s="39"/>
      <c r="M868" s="39"/>
      <c r="N868" s="39"/>
      <c r="O868" s="39"/>
      <c r="Q868" s="82" t="str">
        <f>IF($AA865=0,"",IF(LEN(INDEX(Quotes!$AF$9:$AF$258,$AA865)&amp;"")=0,"",INDEX(Quotes!$AF$9:$AF$258,$AA865)))</f>
        <v/>
      </c>
      <c r="R868" s="39"/>
      <c r="S868" s="39"/>
      <c r="T868" s="39"/>
      <c r="U868" s="39"/>
      <c r="V868" s="39"/>
    </row>
    <row r="869" spans="1:27" ht="21" hidden="1" customHeight="1" x14ac:dyDescent="0.35">
      <c r="A869" s="48" t="str">
        <f>IF($AA865=0,"","Reference: "&amp;IF(INDEX(Quotes!$M$9:$M$258,$AA865)="",INDEX(Quotes!$S$9:$S$258,$AA865),INDEX(Quotes!$M$9:$M$258,$AA865)))</f>
        <v/>
      </c>
      <c r="B869" s="39"/>
      <c r="C869" s="39"/>
      <c r="D869" s="39"/>
      <c r="E869" s="39"/>
      <c r="F869" s="39"/>
      <c r="G869" s="39"/>
      <c r="H869" s="39"/>
      <c r="I869" s="39"/>
      <c r="J869" s="39"/>
      <c r="K869" s="39"/>
      <c r="L869" s="39"/>
      <c r="M869" s="39"/>
      <c r="N869" s="39"/>
      <c r="O869" s="39"/>
      <c r="P869" s="39"/>
      <c r="Q869" s="48" t="str">
        <f>IF($AA865=0,"",INDEX(Quotes!$E$9:$E$258,$AA865))</f>
        <v/>
      </c>
      <c r="R869" s="39"/>
      <c r="S869" s="39"/>
      <c r="T869" s="39"/>
      <c r="U869" s="39"/>
      <c r="V869" s="39"/>
    </row>
    <row r="870" spans="1:27" ht="21" hidden="1" customHeight="1" x14ac:dyDescent="0.35">
      <c r="A870" s="81" t="str">
        <f>IF($AA865=0,"",IF(INDEX(Quotes!$N$9:$N$258,$AA865)="","No original link","Original quote"))</f>
        <v/>
      </c>
      <c r="B870" s="39"/>
      <c r="C870" s="39"/>
      <c r="D870" s="39"/>
      <c r="E870" s="39"/>
      <c r="F870" s="39"/>
      <c r="G870" s="39"/>
      <c r="I870" s="81" t="str">
        <f>IF($AA865=0,"",IF(INDEX(Quotes!$O$9:$O$258,$AA865)="","No revised link","Revised quote"))</f>
        <v/>
      </c>
      <c r="J870" s="39"/>
      <c r="K870" s="39"/>
      <c r="L870" s="39"/>
      <c r="M870" s="39"/>
      <c r="N870" s="39"/>
      <c r="O870" s="39"/>
      <c r="Q870" s="81" t="str">
        <f>IF($AA865=0,"",HYPERLINK("#'Quotes'!A"&amp;($AA865+8),"Open quote record"))</f>
        <v/>
      </c>
      <c r="R870" s="39"/>
      <c r="S870" s="39"/>
      <c r="T870" s="39"/>
      <c r="U870" s="39"/>
      <c r="V870" s="39"/>
    </row>
    <row r="871" spans="1:27" ht="21" hidden="1" customHeight="1" x14ac:dyDescent="0.35"/>
    <row r="872" spans="1:27" hidden="1" x14ac:dyDescent="0.35"/>
    <row r="873" spans="1:27" hidden="1" x14ac:dyDescent="0.35"/>
    <row r="874" spans="1:27" hidden="1" x14ac:dyDescent="0.35"/>
    <row r="875" spans="1:27" hidden="1" x14ac:dyDescent="0.35">
      <c r="A875" s="67" t="s">
        <v>655</v>
      </c>
      <c r="B875" s="39"/>
      <c r="C875" s="39"/>
      <c r="D875" s="39"/>
      <c r="E875" s="39"/>
      <c r="F875" s="39"/>
      <c r="G875" s="39"/>
      <c r="H875" s="39"/>
      <c r="I875" s="39"/>
      <c r="J875" s="39"/>
      <c r="K875" s="39"/>
      <c r="L875" s="39"/>
      <c r="M875" s="39"/>
      <c r="N875" s="39"/>
      <c r="O875" s="39"/>
      <c r="P875" s="39"/>
      <c r="Q875" s="39"/>
      <c r="R875" s="39"/>
      <c r="S875" s="39"/>
      <c r="T875" s="39"/>
      <c r="U875" s="39"/>
      <c r="V875" s="39"/>
    </row>
    <row r="876" spans="1:27" ht="29" hidden="1" customHeight="1" x14ac:dyDescent="0.35">
      <c r="A876" s="84" t="str">
        <f>IF($AA876=0,"",IF(LEN(INDEX(Quotes!$U$9:$U$258,$AA876)&amp;"")=0,"",INDEX(Quotes!$U$9:$U$258,$AA876)))</f>
        <v/>
      </c>
      <c r="B876" s="39"/>
      <c r="C876" s="39"/>
      <c r="D876" s="39"/>
      <c r="E876" s="39"/>
      <c r="F876" s="39"/>
      <c r="G876" s="39"/>
      <c r="H876" s="39"/>
      <c r="I876" s="39"/>
      <c r="J876" s="39"/>
      <c r="K876" s="85" t="str">
        <f>IF($AA876=0,"",IF(LEN(INDEX(Quotes!$Z$9:$Z$258,$AA876)&amp;"")=0,"",INDEX(Quotes!$Z$9:$Z$258,$AA876)))</f>
        <v/>
      </c>
      <c r="L876" s="39"/>
      <c r="M876" s="39"/>
      <c r="N876" s="39"/>
      <c r="O876" s="39"/>
      <c r="P876" s="39"/>
      <c r="Q876" s="39"/>
      <c r="R876" s="39"/>
      <c r="S876" s="39"/>
      <c r="T876" s="39"/>
      <c r="U876" s="39"/>
      <c r="V876" s="39"/>
      <c r="AA876">
        <f>IFERROR(MATCH(89,Quotes!$AK$9:$AK$258,0),0)</f>
        <v>0</v>
      </c>
    </row>
    <row r="877" spans="1:27" ht="21" hidden="1" customHeight="1" x14ac:dyDescent="0.35">
      <c r="A877" s="40" t="str">
        <f>IF($AA876=0,"",IF(LEN(INDEX(Quotes!$V$9:$V$258,$AA876)&amp;"")=0,"",INDEX(Quotes!$V$9:$V$258,$AA876)))</f>
        <v/>
      </c>
      <c r="B877" s="39"/>
      <c r="C877" s="39"/>
      <c r="D877" s="39"/>
      <c r="E877" s="39"/>
      <c r="F877" s="39"/>
      <c r="G877" s="39"/>
      <c r="H877" s="40" t="str">
        <f>IF($AA876=0,"",IF(LEN(INDEX(Quotes!$W$9:$W$258,$AA876)&amp;"")=0,"",INDEX(Quotes!$W$9:$W$258,$AA876)))</f>
        <v/>
      </c>
      <c r="I877" s="39"/>
      <c r="J877" s="39"/>
      <c r="K877" s="39"/>
      <c r="L877" s="39"/>
      <c r="M877" s="39"/>
      <c r="N877" s="39"/>
      <c r="O877" s="39"/>
      <c r="P877" s="39"/>
      <c r="Q877" s="39"/>
      <c r="R877" s="77" t="str">
        <f>IF($AA876=0,"",IF(LEN(INDEX(Quotes!$X$9:$X$258,$AA876)&amp;"")=0,"",INDEX(Quotes!$X$9:$X$258,$AA876)))</f>
        <v/>
      </c>
      <c r="S877" s="39"/>
      <c r="T877" s="39"/>
      <c r="U877" s="39"/>
      <c r="V877" s="39"/>
    </row>
    <row r="878" spans="1:27" ht="21" hidden="1" customHeight="1" x14ac:dyDescent="0.35">
      <c r="A878" s="83" t="str">
        <f>IF($AA876=0,"","ORIGINAL EUR")</f>
        <v/>
      </c>
      <c r="B878" s="39"/>
      <c r="C878" s="39"/>
      <c r="D878" s="39"/>
      <c r="E878" s="39"/>
      <c r="F878" s="39"/>
      <c r="G878" s="39"/>
      <c r="I878" s="83" t="str">
        <f>IF($AA876=0,"","LATEST EUR")</f>
        <v/>
      </c>
      <c r="J878" s="39"/>
      <c r="K878" s="39"/>
      <c r="L878" s="39"/>
      <c r="M878" s="39"/>
      <c r="N878" s="39"/>
      <c r="O878" s="39"/>
      <c r="Q878" s="83" t="str">
        <f>IF($AA876=0,"","SAVED EUR")</f>
        <v/>
      </c>
      <c r="R878" s="39"/>
      <c r="S878" s="39"/>
      <c r="T878" s="39"/>
      <c r="U878" s="39"/>
      <c r="V878" s="39"/>
    </row>
    <row r="879" spans="1:27" ht="21" hidden="1" customHeight="1" x14ac:dyDescent="0.35">
      <c r="A879" s="82" t="str">
        <f>IF($AA876=0,"",IF(LEN(INDEX(Quotes!$AB$9:$AB$258,$AA876)&amp;"")=0,"",INDEX(Quotes!$AB$9:$AB$258,$AA876)))</f>
        <v/>
      </c>
      <c r="B879" s="39"/>
      <c r="C879" s="39"/>
      <c r="D879" s="39"/>
      <c r="E879" s="39"/>
      <c r="F879" s="39"/>
      <c r="G879" s="39"/>
      <c r="I879" s="82" t="str">
        <f>IF($AA876=0,"",IF(LEN(INDEX(Quotes!$AD$9:$AD$258,$AA876)&amp;"")=0,"",INDEX(Quotes!$AD$9:$AD$258,$AA876)))</f>
        <v/>
      </c>
      <c r="J879" s="39"/>
      <c r="K879" s="39"/>
      <c r="L879" s="39"/>
      <c r="M879" s="39"/>
      <c r="N879" s="39"/>
      <c r="O879" s="39"/>
      <c r="Q879" s="82" t="str">
        <f>IF($AA876=0,"",IF(LEN(INDEX(Quotes!$AF$9:$AF$258,$AA876)&amp;"")=0,"",INDEX(Quotes!$AF$9:$AF$258,$AA876)))</f>
        <v/>
      </c>
      <c r="R879" s="39"/>
      <c r="S879" s="39"/>
      <c r="T879" s="39"/>
      <c r="U879" s="39"/>
      <c r="V879" s="39"/>
    </row>
    <row r="880" spans="1:27" ht="21" hidden="1" customHeight="1" x14ac:dyDescent="0.35">
      <c r="A880" s="48" t="str">
        <f>IF($AA876=0,"","Reference: "&amp;IF(INDEX(Quotes!$M$9:$M$258,$AA876)="",INDEX(Quotes!$S$9:$S$258,$AA876),INDEX(Quotes!$M$9:$M$258,$AA876)))</f>
        <v/>
      </c>
      <c r="B880" s="39"/>
      <c r="C880" s="39"/>
      <c r="D880" s="39"/>
      <c r="E880" s="39"/>
      <c r="F880" s="39"/>
      <c r="G880" s="39"/>
      <c r="H880" s="39"/>
      <c r="I880" s="39"/>
      <c r="J880" s="39"/>
      <c r="K880" s="39"/>
      <c r="L880" s="39"/>
      <c r="M880" s="39"/>
      <c r="N880" s="39"/>
      <c r="O880" s="39"/>
      <c r="P880" s="39"/>
      <c r="Q880" s="48" t="str">
        <f>IF($AA876=0,"",INDEX(Quotes!$E$9:$E$258,$AA876))</f>
        <v/>
      </c>
      <c r="R880" s="39"/>
      <c r="S880" s="39"/>
      <c r="T880" s="39"/>
      <c r="U880" s="39"/>
      <c r="V880" s="39"/>
    </row>
    <row r="881" spans="1:27" ht="21" hidden="1" customHeight="1" x14ac:dyDescent="0.35">
      <c r="A881" s="81" t="str">
        <f>IF($AA876=0,"",IF(INDEX(Quotes!$N$9:$N$258,$AA876)="","No original link","Original quote"))</f>
        <v/>
      </c>
      <c r="B881" s="39"/>
      <c r="C881" s="39"/>
      <c r="D881" s="39"/>
      <c r="E881" s="39"/>
      <c r="F881" s="39"/>
      <c r="G881" s="39"/>
      <c r="I881" s="81" t="str">
        <f>IF($AA876=0,"",IF(INDEX(Quotes!$O$9:$O$258,$AA876)="","No revised link","Revised quote"))</f>
        <v/>
      </c>
      <c r="J881" s="39"/>
      <c r="K881" s="39"/>
      <c r="L881" s="39"/>
      <c r="M881" s="39"/>
      <c r="N881" s="39"/>
      <c r="O881" s="39"/>
      <c r="Q881" s="81" t="str">
        <f>IF($AA876=0,"",HYPERLINK("#'Quotes'!A"&amp;($AA876+8),"Open quote record"))</f>
        <v/>
      </c>
      <c r="R881" s="39"/>
      <c r="S881" s="39"/>
      <c r="T881" s="39"/>
      <c r="U881" s="39"/>
      <c r="V881" s="39"/>
    </row>
    <row r="882" spans="1:27" ht="21" hidden="1" customHeight="1" x14ac:dyDescent="0.35"/>
    <row r="883" spans="1:27" hidden="1" x14ac:dyDescent="0.35"/>
    <row r="884" spans="1:27" hidden="1" x14ac:dyDescent="0.35"/>
    <row r="885" spans="1:27" ht="29" hidden="1" customHeight="1" x14ac:dyDescent="0.35">
      <c r="A885" s="84" t="str">
        <f>IF($AA885=0,"",IF(LEN(INDEX(Quotes!$U$9:$U$258,$AA885)&amp;"")=0,"",INDEX(Quotes!$U$9:$U$258,$AA885)))</f>
        <v/>
      </c>
      <c r="B885" s="39"/>
      <c r="C885" s="39"/>
      <c r="D885" s="39"/>
      <c r="E885" s="39"/>
      <c r="F885" s="39"/>
      <c r="G885" s="39"/>
      <c r="H885" s="39"/>
      <c r="I885" s="39"/>
      <c r="J885" s="39"/>
      <c r="K885" s="85" t="str">
        <f>IF($AA885=0,"",IF(LEN(INDEX(Quotes!$Z$9:$Z$258,$AA885)&amp;"")=0,"",INDEX(Quotes!$Z$9:$Z$258,$AA885)))</f>
        <v/>
      </c>
      <c r="L885" s="39"/>
      <c r="M885" s="39"/>
      <c r="N885" s="39"/>
      <c r="O885" s="39"/>
      <c r="P885" s="39"/>
      <c r="Q885" s="39"/>
      <c r="R885" s="39"/>
      <c r="S885" s="39"/>
      <c r="T885" s="39"/>
      <c r="U885" s="39"/>
      <c r="V885" s="39"/>
      <c r="AA885">
        <f>IFERROR(MATCH(90,Quotes!$AK$9:$AK$258,0),0)</f>
        <v>0</v>
      </c>
    </row>
    <row r="886" spans="1:27" ht="21" hidden="1" customHeight="1" x14ac:dyDescent="0.35">
      <c r="A886" s="40" t="str">
        <f>IF($AA885=0,"",IF(LEN(INDEX(Quotes!$V$9:$V$258,$AA885)&amp;"")=0,"",INDEX(Quotes!$V$9:$V$258,$AA885)))</f>
        <v/>
      </c>
      <c r="B886" s="39"/>
      <c r="C886" s="39"/>
      <c r="D886" s="39"/>
      <c r="E886" s="39"/>
      <c r="F886" s="39"/>
      <c r="G886" s="39"/>
      <c r="H886" s="40" t="str">
        <f>IF($AA885=0,"",IF(LEN(INDEX(Quotes!$W$9:$W$258,$AA885)&amp;"")=0,"",INDEX(Quotes!$W$9:$W$258,$AA885)))</f>
        <v/>
      </c>
      <c r="I886" s="39"/>
      <c r="J886" s="39"/>
      <c r="K886" s="39"/>
      <c r="L886" s="39"/>
      <c r="M886" s="39"/>
      <c r="N886" s="39"/>
      <c r="O886" s="39"/>
      <c r="P886" s="39"/>
      <c r="Q886" s="39"/>
      <c r="R886" s="77" t="str">
        <f>IF($AA885=0,"",IF(LEN(INDEX(Quotes!$X$9:$X$258,$AA885)&amp;"")=0,"",INDEX(Quotes!$X$9:$X$258,$AA885)))</f>
        <v/>
      </c>
      <c r="S886" s="39"/>
      <c r="T886" s="39"/>
      <c r="U886" s="39"/>
      <c r="V886" s="39"/>
    </row>
    <row r="887" spans="1:27" ht="21" hidden="1" customHeight="1" x14ac:dyDescent="0.35">
      <c r="A887" s="83" t="str">
        <f>IF($AA885=0,"","ORIGINAL EUR")</f>
        <v/>
      </c>
      <c r="B887" s="39"/>
      <c r="C887" s="39"/>
      <c r="D887" s="39"/>
      <c r="E887" s="39"/>
      <c r="F887" s="39"/>
      <c r="G887" s="39"/>
      <c r="I887" s="83" t="str">
        <f>IF($AA885=0,"","LATEST EUR")</f>
        <v/>
      </c>
      <c r="J887" s="39"/>
      <c r="K887" s="39"/>
      <c r="L887" s="39"/>
      <c r="M887" s="39"/>
      <c r="N887" s="39"/>
      <c r="O887" s="39"/>
      <c r="Q887" s="83" t="str">
        <f>IF($AA885=0,"","SAVED EUR")</f>
        <v/>
      </c>
      <c r="R887" s="39"/>
      <c r="S887" s="39"/>
      <c r="T887" s="39"/>
      <c r="U887" s="39"/>
      <c r="V887" s="39"/>
    </row>
    <row r="888" spans="1:27" ht="21" hidden="1" customHeight="1" x14ac:dyDescent="0.35">
      <c r="A888" s="82" t="str">
        <f>IF($AA885=0,"",IF(LEN(INDEX(Quotes!$AB$9:$AB$258,$AA885)&amp;"")=0,"",INDEX(Quotes!$AB$9:$AB$258,$AA885)))</f>
        <v/>
      </c>
      <c r="B888" s="39"/>
      <c r="C888" s="39"/>
      <c r="D888" s="39"/>
      <c r="E888" s="39"/>
      <c r="F888" s="39"/>
      <c r="G888" s="39"/>
      <c r="I888" s="82" t="str">
        <f>IF($AA885=0,"",IF(LEN(INDEX(Quotes!$AD$9:$AD$258,$AA885)&amp;"")=0,"",INDEX(Quotes!$AD$9:$AD$258,$AA885)))</f>
        <v/>
      </c>
      <c r="J888" s="39"/>
      <c r="K888" s="39"/>
      <c r="L888" s="39"/>
      <c r="M888" s="39"/>
      <c r="N888" s="39"/>
      <c r="O888" s="39"/>
      <c r="Q888" s="82" t="str">
        <f>IF($AA885=0,"",IF(LEN(INDEX(Quotes!$AF$9:$AF$258,$AA885)&amp;"")=0,"",INDEX(Quotes!$AF$9:$AF$258,$AA885)))</f>
        <v/>
      </c>
      <c r="R888" s="39"/>
      <c r="S888" s="39"/>
      <c r="T888" s="39"/>
      <c r="U888" s="39"/>
      <c r="V888" s="39"/>
    </row>
    <row r="889" spans="1:27" ht="21" hidden="1" customHeight="1" x14ac:dyDescent="0.35">
      <c r="A889" s="48" t="str">
        <f>IF($AA885=0,"","Reference: "&amp;IF(INDEX(Quotes!$M$9:$M$258,$AA885)="",INDEX(Quotes!$S$9:$S$258,$AA885),INDEX(Quotes!$M$9:$M$258,$AA885)))</f>
        <v/>
      </c>
      <c r="B889" s="39"/>
      <c r="C889" s="39"/>
      <c r="D889" s="39"/>
      <c r="E889" s="39"/>
      <c r="F889" s="39"/>
      <c r="G889" s="39"/>
      <c r="H889" s="39"/>
      <c r="I889" s="39"/>
      <c r="J889" s="39"/>
      <c r="K889" s="39"/>
      <c r="L889" s="39"/>
      <c r="M889" s="39"/>
      <c r="N889" s="39"/>
      <c r="O889" s="39"/>
      <c r="P889" s="39"/>
      <c r="Q889" s="48" t="str">
        <f>IF($AA885=0,"",INDEX(Quotes!$E$9:$E$258,$AA885))</f>
        <v/>
      </c>
      <c r="R889" s="39"/>
      <c r="S889" s="39"/>
      <c r="T889" s="39"/>
      <c r="U889" s="39"/>
      <c r="V889" s="39"/>
    </row>
    <row r="890" spans="1:27" ht="21" hidden="1" customHeight="1" x14ac:dyDescent="0.35">
      <c r="A890" s="81" t="str">
        <f>IF($AA885=0,"",IF(INDEX(Quotes!$N$9:$N$258,$AA885)="","No original link","Original quote"))</f>
        <v/>
      </c>
      <c r="B890" s="39"/>
      <c r="C890" s="39"/>
      <c r="D890" s="39"/>
      <c r="E890" s="39"/>
      <c r="F890" s="39"/>
      <c r="G890" s="39"/>
      <c r="I890" s="81" t="str">
        <f>IF($AA885=0,"",IF(INDEX(Quotes!$O$9:$O$258,$AA885)="","No revised link","Revised quote"))</f>
        <v/>
      </c>
      <c r="J890" s="39"/>
      <c r="K890" s="39"/>
      <c r="L890" s="39"/>
      <c r="M890" s="39"/>
      <c r="N890" s="39"/>
      <c r="O890" s="39"/>
      <c r="Q890" s="81" t="str">
        <f>IF($AA885=0,"",HYPERLINK("#'Quotes'!A"&amp;($AA885+8),"Open quote record"))</f>
        <v/>
      </c>
      <c r="R890" s="39"/>
      <c r="S890" s="39"/>
      <c r="T890" s="39"/>
      <c r="U890" s="39"/>
      <c r="V890" s="39"/>
    </row>
    <row r="891" spans="1:27" ht="21" hidden="1" customHeight="1" x14ac:dyDescent="0.35"/>
    <row r="892" spans="1:27" hidden="1" x14ac:dyDescent="0.35"/>
    <row r="893" spans="1:27" hidden="1" x14ac:dyDescent="0.35"/>
    <row r="894" spans="1:27" ht="29" hidden="1" customHeight="1" x14ac:dyDescent="0.35">
      <c r="A894" s="84" t="str">
        <f>IF($AA894=0,"",IF(LEN(INDEX(Quotes!$U$9:$U$258,$AA894)&amp;"")=0,"",INDEX(Quotes!$U$9:$U$258,$AA894)))</f>
        <v/>
      </c>
      <c r="B894" s="39"/>
      <c r="C894" s="39"/>
      <c r="D894" s="39"/>
      <c r="E894" s="39"/>
      <c r="F894" s="39"/>
      <c r="G894" s="39"/>
      <c r="H894" s="39"/>
      <c r="I894" s="39"/>
      <c r="J894" s="39"/>
      <c r="K894" s="85" t="str">
        <f>IF($AA894=0,"",IF(LEN(INDEX(Quotes!$Z$9:$Z$258,$AA894)&amp;"")=0,"",INDEX(Quotes!$Z$9:$Z$258,$AA894)))</f>
        <v/>
      </c>
      <c r="L894" s="39"/>
      <c r="M894" s="39"/>
      <c r="N894" s="39"/>
      <c r="O894" s="39"/>
      <c r="P894" s="39"/>
      <c r="Q894" s="39"/>
      <c r="R894" s="39"/>
      <c r="S894" s="39"/>
      <c r="T894" s="39"/>
      <c r="U894" s="39"/>
      <c r="V894" s="39"/>
      <c r="AA894">
        <f>IFERROR(MATCH(91,Quotes!$AK$9:$AK$258,0),0)</f>
        <v>0</v>
      </c>
    </row>
    <row r="895" spans="1:27" ht="21" hidden="1" customHeight="1" x14ac:dyDescent="0.35">
      <c r="A895" s="40" t="str">
        <f>IF($AA894=0,"",IF(LEN(INDEX(Quotes!$V$9:$V$258,$AA894)&amp;"")=0,"",INDEX(Quotes!$V$9:$V$258,$AA894)))</f>
        <v/>
      </c>
      <c r="B895" s="39"/>
      <c r="C895" s="39"/>
      <c r="D895" s="39"/>
      <c r="E895" s="39"/>
      <c r="F895" s="39"/>
      <c r="G895" s="39"/>
      <c r="H895" s="40" t="str">
        <f>IF($AA894=0,"",IF(LEN(INDEX(Quotes!$W$9:$W$258,$AA894)&amp;"")=0,"",INDEX(Quotes!$W$9:$W$258,$AA894)))</f>
        <v/>
      </c>
      <c r="I895" s="39"/>
      <c r="J895" s="39"/>
      <c r="K895" s="39"/>
      <c r="L895" s="39"/>
      <c r="M895" s="39"/>
      <c r="N895" s="39"/>
      <c r="O895" s="39"/>
      <c r="P895" s="39"/>
      <c r="Q895" s="39"/>
      <c r="R895" s="77" t="str">
        <f>IF($AA894=0,"",IF(LEN(INDEX(Quotes!$X$9:$X$258,$AA894)&amp;"")=0,"",INDEX(Quotes!$X$9:$X$258,$AA894)))</f>
        <v/>
      </c>
      <c r="S895" s="39"/>
      <c r="T895" s="39"/>
      <c r="U895" s="39"/>
      <c r="V895" s="39"/>
    </row>
    <row r="896" spans="1:27" ht="21" hidden="1" customHeight="1" x14ac:dyDescent="0.35">
      <c r="A896" s="83" t="str">
        <f>IF($AA894=0,"","ORIGINAL EUR")</f>
        <v/>
      </c>
      <c r="B896" s="39"/>
      <c r="C896" s="39"/>
      <c r="D896" s="39"/>
      <c r="E896" s="39"/>
      <c r="F896" s="39"/>
      <c r="G896" s="39"/>
      <c r="I896" s="83" t="str">
        <f>IF($AA894=0,"","LATEST EUR")</f>
        <v/>
      </c>
      <c r="J896" s="39"/>
      <c r="K896" s="39"/>
      <c r="L896" s="39"/>
      <c r="M896" s="39"/>
      <c r="N896" s="39"/>
      <c r="O896" s="39"/>
      <c r="Q896" s="83" t="str">
        <f>IF($AA894=0,"","SAVED EUR")</f>
        <v/>
      </c>
      <c r="R896" s="39"/>
      <c r="S896" s="39"/>
      <c r="T896" s="39"/>
      <c r="U896" s="39"/>
      <c r="V896" s="39"/>
    </row>
    <row r="897" spans="1:27" ht="21" hidden="1" customHeight="1" x14ac:dyDescent="0.35">
      <c r="A897" s="82" t="str">
        <f>IF($AA894=0,"",IF(LEN(INDEX(Quotes!$AB$9:$AB$258,$AA894)&amp;"")=0,"",INDEX(Quotes!$AB$9:$AB$258,$AA894)))</f>
        <v/>
      </c>
      <c r="B897" s="39"/>
      <c r="C897" s="39"/>
      <c r="D897" s="39"/>
      <c r="E897" s="39"/>
      <c r="F897" s="39"/>
      <c r="G897" s="39"/>
      <c r="I897" s="82" t="str">
        <f>IF($AA894=0,"",IF(LEN(INDEX(Quotes!$AD$9:$AD$258,$AA894)&amp;"")=0,"",INDEX(Quotes!$AD$9:$AD$258,$AA894)))</f>
        <v/>
      </c>
      <c r="J897" s="39"/>
      <c r="K897" s="39"/>
      <c r="L897" s="39"/>
      <c r="M897" s="39"/>
      <c r="N897" s="39"/>
      <c r="O897" s="39"/>
      <c r="Q897" s="82" t="str">
        <f>IF($AA894=0,"",IF(LEN(INDEX(Quotes!$AF$9:$AF$258,$AA894)&amp;"")=0,"",INDEX(Quotes!$AF$9:$AF$258,$AA894)))</f>
        <v/>
      </c>
      <c r="R897" s="39"/>
      <c r="S897" s="39"/>
      <c r="T897" s="39"/>
      <c r="U897" s="39"/>
      <c r="V897" s="39"/>
    </row>
    <row r="898" spans="1:27" ht="21" hidden="1" customHeight="1" x14ac:dyDescent="0.35">
      <c r="A898" s="48" t="str">
        <f>IF($AA894=0,"","Reference: "&amp;IF(INDEX(Quotes!$M$9:$M$258,$AA894)="",INDEX(Quotes!$S$9:$S$258,$AA894),INDEX(Quotes!$M$9:$M$258,$AA894)))</f>
        <v/>
      </c>
      <c r="B898" s="39"/>
      <c r="C898" s="39"/>
      <c r="D898" s="39"/>
      <c r="E898" s="39"/>
      <c r="F898" s="39"/>
      <c r="G898" s="39"/>
      <c r="H898" s="39"/>
      <c r="I898" s="39"/>
      <c r="J898" s="39"/>
      <c r="K898" s="39"/>
      <c r="L898" s="39"/>
      <c r="M898" s="39"/>
      <c r="N898" s="39"/>
      <c r="O898" s="39"/>
      <c r="P898" s="39"/>
      <c r="Q898" s="48" t="str">
        <f>IF($AA894=0,"",INDEX(Quotes!$E$9:$E$258,$AA894))</f>
        <v/>
      </c>
      <c r="R898" s="39"/>
      <c r="S898" s="39"/>
      <c r="T898" s="39"/>
      <c r="U898" s="39"/>
      <c r="V898" s="39"/>
    </row>
    <row r="899" spans="1:27" ht="21" hidden="1" customHeight="1" x14ac:dyDescent="0.35">
      <c r="A899" s="81" t="str">
        <f>IF($AA894=0,"",IF(INDEX(Quotes!$N$9:$N$258,$AA894)="","No original link","Original quote"))</f>
        <v/>
      </c>
      <c r="B899" s="39"/>
      <c r="C899" s="39"/>
      <c r="D899" s="39"/>
      <c r="E899" s="39"/>
      <c r="F899" s="39"/>
      <c r="G899" s="39"/>
      <c r="I899" s="81" t="str">
        <f>IF($AA894=0,"",IF(INDEX(Quotes!$O$9:$O$258,$AA894)="","No revised link","Revised quote"))</f>
        <v/>
      </c>
      <c r="J899" s="39"/>
      <c r="K899" s="39"/>
      <c r="L899" s="39"/>
      <c r="M899" s="39"/>
      <c r="N899" s="39"/>
      <c r="O899" s="39"/>
      <c r="Q899" s="81" t="str">
        <f>IF($AA894=0,"",HYPERLINK("#'Quotes'!A"&amp;($AA894+8),"Open quote record"))</f>
        <v/>
      </c>
      <c r="R899" s="39"/>
      <c r="S899" s="39"/>
      <c r="T899" s="39"/>
      <c r="U899" s="39"/>
      <c r="V899" s="39"/>
    </row>
    <row r="900" spans="1:27" ht="21" hidden="1" customHeight="1" x14ac:dyDescent="0.35"/>
    <row r="901" spans="1:27" hidden="1" x14ac:dyDescent="0.35"/>
    <row r="902" spans="1:27" hidden="1" x14ac:dyDescent="0.35"/>
    <row r="903" spans="1:27" ht="29" hidden="1" customHeight="1" x14ac:dyDescent="0.35">
      <c r="A903" s="84" t="str">
        <f>IF($AA903=0,"",IF(LEN(INDEX(Quotes!$U$9:$U$258,$AA903)&amp;"")=0,"",INDEX(Quotes!$U$9:$U$258,$AA903)))</f>
        <v/>
      </c>
      <c r="B903" s="39"/>
      <c r="C903" s="39"/>
      <c r="D903" s="39"/>
      <c r="E903" s="39"/>
      <c r="F903" s="39"/>
      <c r="G903" s="39"/>
      <c r="H903" s="39"/>
      <c r="I903" s="39"/>
      <c r="J903" s="39"/>
      <c r="K903" s="85" t="str">
        <f>IF($AA903=0,"",IF(LEN(INDEX(Quotes!$Z$9:$Z$258,$AA903)&amp;"")=0,"",INDEX(Quotes!$Z$9:$Z$258,$AA903)))</f>
        <v/>
      </c>
      <c r="L903" s="39"/>
      <c r="M903" s="39"/>
      <c r="N903" s="39"/>
      <c r="O903" s="39"/>
      <c r="P903" s="39"/>
      <c r="Q903" s="39"/>
      <c r="R903" s="39"/>
      <c r="S903" s="39"/>
      <c r="T903" s="39"/>
      <c r="U903" s="39"/>
      <c r="V903" s="39"/>
      <c r="AA903">
        <f>IFERROR(MATCH(92,Quotes!$AK$9:$AK$258,0),0)</f>
        <v>0</v>
      </c>
    </row>
    <row r="904" spans="1:27" ht="21" hidden="1" customHeight="1" x14ac:dyDescent="0.35">
      <c r="A904" s="40" t="str">
        <f>IF($AA903=0,"",IF(LEN(INDEX(Quotes!$V$9:$V$258,$AA903)&amp;"")=0,"",INDEX(Quotes!$V$9:$V$258,$AA903)))</f>
        <v/>
      </c>
      <c r="B904" s="39"/>
      <c r="C904" s="39"/>
      <c r="D904" s="39"/>
      <c r="E904" s="39"/>
      <c r="F904" s="39"/>
      <c r="G904" s="39"/>
      <c r="H904" s="40" t="str">
        <f>IF($AA903=0,"",IF(LEN(INDEX(Quotes!$W$9:$W$258,$AA903)&amp;"")=0,"",INDEX(Quotes!$W$9:$W$258,$AA903)))</f>
        <v/>
      </c>
      <c r="I904" s="39"/>
      <c r="J904" s="39"/>
      <c r="K904" s="39"/>
      <c r="L904" s="39"/>
      <c r="M904" s="39"/>
      <c r="N904" s="39"/>
      <c r="O904" s="39"/>
      <c r="P904" s="39"/>
      <c r="Q904" s="39"/>
      <c r="R904" s="77" t="str">
        <f>IF($AA903=0,"",IF(LEN(INDEX(Quotes!$X$9:$X$258,$AA903)&amp;"")=0,"",INDEX(Quotes!$X$9:$X$258,$AA903)))</f>
        <v/>
      </c>
      <c r="S904" s="39"/>
      <c r="T904" s="39"/>
      <c r="U904" s="39"/>
      <c r="V904" s="39"/>
    </row>
    <row r="905" spans="1:27" ht="21" hidden="1" customHeight="1" x14ac:dyDescent="0.35">
      <c r="A905" s="83" t="str">
        <f>IF($AA903=0,"","ORIGINAL EUR")</f>
        <v/>
      </c>
      <c r="B905" s="39"/>
      <c r="C905" s="39"/>
      <c r="D905" s="39"/>
      <c r="E905" s="39"/>
      <c r="F905" s="39"/>
      <c r="G905" s="39"/>
      <c r="I905" s="83" t="str">
        <f>IF($AA903=0,"","LATEST EUR")</f>
        <v/>
      </c>
      <c r="J905" s="39"/>
      <c r="K905" s="39"/>
      <c r="L905" s="39"/>
      <c r="M905" s="39"/>
      <c r="N905" s="39"/>
      <c r="O905" s="39"/>
      <c r="Q905" s="83" t="str">
        <f>IF($AA903=0,"","SAVED EUR")</f>
        <v/>
      </c>
      <c r="R905" s="39"/>
      <c r="S905" s="39"/>
      <c r="T905" s="39"/>
      <c r="U905" s="39"/>
      <c r="V905" s="39"/>
    </row>
    <row r="906" spans="1:27" ht="21" hidden="1" customHeight="1" x14ac:dyDescent="0.35">
      <c r="A906" s="82" t="str">
        <f>IF($AA903=0,"",IF(LEN(INDEX(Quotes!$AB$9:$AB$258,$AA903)&amp;"")=0,"",INDEX(Quotes!$AB$9:$AB$258,$AA903)))</f>
        <v/>
      </c>
      <c r="B906" s="39"/>
      <c r="C906" s="39"/>
      <c r="D906" s="39"/>
      <c r="E906" s="39"/>
      <c r="F906" s="39"/>
      <c r="G906" s="39"/>
      <c r="I906" s="82" t="str">
        <f>IF($AA903=0,"",IF(LEN(INDEX(Quotes!$AD$9:$AD$258,$AA903)&amp;"")=0,"",INDEX(Quotes!$AD$9:$AD$258,$AA903)))</f>
        <v/>
      </c>
      <c r="J906" s="39"/>
      <c r="K906" s="39"/>
      <c r="L906" s="39"/>
      <c r="M906" s="39"/>
      <c r="N906" s="39"/>
      <c r="O906" s="39"/>
      <c r="Q906" s="82" t="str">
        <f>IF($AA903=0,"",IF(LEN(INDEX(Quotes!$AF$9:$AF$258,$AA903)&amp;"")=0,"",INDEX(Quotes!$AF$9:$AF$258,$AA903)))</f>
        <v/>
      </c>
      <c r="R906" s="39"/>
      <c r="S906" s="39"/>
      <c r="T906" s="39"/>
      <c r="U906" s="39"/>
      <c r="V906" s="39"/>
    </row>
    <row r="907" spans="1:27" ht="21" hidden="1" customHeight="1" x14ac:dyDescent="0.35">
      <c r="A907" s="48" t="str">
        <f>IF($AA903=0,"","Reference: "&amp;IF(INDEX(Quotes!$M$9:$M$258,$AA903)="",INDEX(Quotes!$S$9:$S$258,$AA903),INDEX(Quotes!$M$9:$M$258,$AA903)))</f>
        <v/>
      </c>
      <c r="B907" s="39"/>
      <c r="C907" s="39"/>
      <c r="D907" s="39"/>
      <c r="E907" s="39"/>
      <c r="F907" s="39"/>
      <c r="G907" s="39"/>
      <c r="H907" s="39"/>
      <c r="I907" s="39"/>
      <c r="J907" s="39"/>
      <c r="K907" s="39"/>
      <c r="L907" s="39"/>
      <c r="M907" s="39"/>
      <c r="N907" s="39"/>
      <c r="O907" s="39"/>
      <c r="P907" s="39"/>
      <c r="Q907" s="48" t="str">
        <f>IF($AA903=0,"",INDEX(Quotes!$E$9:$E$258,$AA903))</f>
        <v/>
      </c>
      <c r="R907" s="39"/>
      <c r="S907" s="39"/>
      <c r="T907" s="39"/>
      <c r="U907" s="39"/>
      <c r="V907" s="39"/>
    </row>
    <row r="908" spans="1:27" ht="21" hidden="1" customHeight="1" x14ac:dyDescent="0.35">
      <c r="A908" s="81" t="str">
        <f>IF($AA903=0,"",IF(INDEX(Quotes!$N$9:$N$258,$AA903)="","No original link","Original quote"))</f>
        <v/>
      </c>
      <c r="B908" s="39"/>
      <c r="C908" s="39"/>
      <c r="D908" s="39"/>
      <c r="E908" s="39"/>
      <c r="F908" s="39"/>
      <c r="G908" s="39"/>
      <c r="I908" s="81" t="str">
        <f>IF($AA903=0,"",IF(INDEX(Quotes!$O$9:$O$258,$AA903)="","No revised link","Revised quote"))</f>
        <v/>
      </c>
      <c r="J908" s="39"/>
      <c r="K908" s="39"/>
      <c r="L908" s="39"/>
      <c r="M908" s="39"/>
      <c r="N908" s="39"/>
      <c r="O908" s="39"/>
      <c r="Q908" s="81" t="str">
        <f>IF($AA903=0,"",HYPERLINK("#'Quotes'!A"&amp;($AA903+8),"Open quote record"))</f>
        <v/>
      </c>
      <c r="R908" s="39"/>
      <c r="S908" s="39"/>
      <c r="T908" s="39"/>
      <c r="U908" s="39"/>
      <c r="V908" s="39"/>
    </row>
    <row r="909" spans="1:27" ht="21" hidden="1" customHeight="1" x14ac:dyDescent="0.35"/>
    <row r="910" spans="1:27" hidden="1" x14ac:dyDescent="0.35"/>
    <row r="911" spans="1:27" hidden="1" x14ac:dyDescent="0.35"/>
    <row r="912" spans="1:27" hidden="1" x14ac:dyDescent="0.35"/>
    <row r="913" spans="1:27" hidden="1" x14ac:dyDescent="0.35">
      <c r="A913" s="67" t="s">
        <v>655</v>
      </c>
      <c r="B913" s="39"/>
      <c r="C913" s="39"/>
      <c r="D913" s="39"/>
      <c r="E913" s="39"/>
      <c r="F913" s="39"/>
      <c r="G913" s="39"/>
      <c r="H913" s="39"/>
      <c r="I913" s="39"/>
      <c r="J913" s="39"/>
      <c r="K913" s="39"/>
      <c r="L913" s="39"/>
      <c r="M913" s="39"/>
      <c r="N913" s="39"/>
      <c r="O913" s="39"/>
      <c r="P913" s="39"/>
      <c r="Q913" s="39"/>
      <c r="R913" s="39"/>
      <c r="S913" s="39"/>
      <c r="T913" s="39"/>
      <c r="U913" s="39"/>
      <c r="V913" s="39"/>
    </row>
    <row r="914" spans="1:27" ht="29" hidden="1" customHeight="1" x14ac:dyDescent="0.35">
      <c r="A914" s="84" t="str">
        <f>IF($AA914=0,"",IF(LEN(INDEX(Quotes!$U$9:$U$258,$AA914)&amp;"")=0,"",INDEX(Quotes!$U$9:$U$258,$AA914)))</f>
        <v/>
      </c>
      <c r="B914" s="39"/>
      <c r="C914" s="39"/>
      <c r="D914" s="39"/>
      <c r="E914" s="39"/>
      <c r="F914" s="39"/>
      <c r="G914" s="39"/>
      <c r="H914" s="39"/>
      <c r="I914" s="39"/>
      <c r="J914" s="39"/>
      <c r="K914" s="85" t="str">
        <f>IF($AA914=0,"",IF(LEN(INDEX(Quotes!$Z$9:$Z$258,$AA914)&amp;"")=0,"",INDEX(Quotes!$Z$9:$Z$258,$AA914)))</f>
        <v/>
      </c>
      <c r="L914" s="39"/>
      <c r="M914" s="39"/>
      <c r="N914" s="39"/>
      <c r="O914" s="39"/>
      <c r="P914" s="39"/>
      <c r="Q914" s="39"/>
      <c r="R914" s="39"/>
      <c r="S914" s="39"/>
      <c r="T914" s="39"/>
      <c r="U914" s="39"/>
      <c r="V914" s="39"/>
      <c r="AA914">
        <f>IFERROR(MATCH(93,Quotes!$AK$9:$AK$258,0),0)</f>
        <v>0</v>
      </c>
    </row>
    <row r="915" spans="1:27" ht="21" hidden="1" customHeight="1" x14ac:dyDescent="0.35">
      <c r="A915" s="40" t="str">
        <f>IF($AA914=0,"",IF(LEN(INDEX(Quotes!$V$9:$V$258,$AA914)&amp;"")=0,"",INDEX(Quotes!$V$9:$V$258,$AA914)))</f>
        <v/>
      </c>
      <c r="B915" s="39"/>
      <c r="C915" s="39"/>
      <c r="D915" s="39"/>
      <c r="E915" s="39"/>
      <c r="F915" s="39"/>
      <c r="G915" s="39"/>
      <c r="H915" s="40" t="str">
        <f>IF($AA914=0,"",IF(LEN(INDEX(Quotes!$W$9:$W$258,$AA914)&amp;"")=0,"",INDEX(Quotes!$W$9:$W$258,$AA914)))</f>
        <v/>
      </c>
      <c r="I915" s="39"/>
      <c r="J915" s="39"/>
      <c r="K915" s="39"/>
      <c r="L915" s="39"/>
      <c r="M915" s="39"/>
      <c r="N915" s="39"/>
      <c r="O915" s="39"/>
      <c r="P915" s="39"/>
      <c r="Q915" s="39"/>
      <c r="R915" s="77" t="str">
        <f>IF($AA914=0,"",IF(LEN(INDEX(Quotes!$X$9:$X$258,$AA914)&amp;"")=0,"",INDEX(Quotes!$X$9:$X$258,$AA914)))</f>
        <v/>
      </c>
      <c r="S915" s="39"/>
      <c r="T915" s="39"/>
      <c r="U915" s="39"/>
      <c r="V915" s="39"/>
    </row>
    <row r="916" spans="1:27" ht="21" hidden="1" customHeight="1" x14ac:dyDescent="0.35">
      <c r="A916" s="83" t="str">
        <f>IF($AA914=0,"","ORIGINAL EUR")</f>
        <v/>
      </c>
      <c r="B916" s="39"/>
      <c r="C916" s="39"/>
      <c r="D916" s="39"/>
      <c r="E916" s="39"/>
      <c r="F916" s="39"/>
      <c r="G916" s="39"/>
      <c r="I916" s="83" t="str">
        <f>IF($AA914=0,"","LATEST EUR")</f>
        <v/>
      </c>
      <c r="J916" s="39"/>
      <c r="K916" s="39"/>
      <c r="L916" s="39"/>
      <c r="M916" s="39"/>
      <c r="N916" s="39"/>
      <c r="O916" s="39"/>
      <c r="Q916" s="83" t="str">
        <f>IF($AA914=0,"","SAVED EUR")</f>
        <v/>
      </c>
      <c r="R916" s="39"/>
      <c r="S916" s="39"/>
      <c r="T916" s="39"/>
      <c r="U916" s="39"/>
      <c r="V916" s="39"/>
    </row>
    <row r="917" spans="1:27" ht="21" hidden="1" customHeight="1" x14ac:dyDescent="0.35">
      <c r="A917" s="82" t="str">
        <f>IF($AA914=0,"",IF(LEN(INDEX(Quotes!$AB$9:$AB$258,$AA914)&amp;"")=0,"",INDEX(Quotes!$AB$9:$AB$258,$AA914)))</f>
        <v/>
      </c>
      <c r="B917" s="39"/>
      <c r="C917" s="39"/>
      <c r="D917" s="39"/>
      <c r="E917" s="39"/>
      <c r="F917" s="39"/>
      <c r="G917" s="39"/>
      <c r="I917" s="82" t="str">
        <f>IF($AA914=0,"",IF(LEN(INDEX(Quotes!$AD$9:$AD$258,$AA914)&amp;"")=0,"",INDEX(Quotes!$AD$9:$AD$258,$AA914)))</f>
        <v/>
      </c>
      <c r="J917" s="39"/>
      <c r="K917" s="39"/>
      <c r="L917" s="39"/>
      <c r="M917" s="39"/>
      <c r="N917" s="39"/>
      <c r="O917" s="39"/>
      <c r="Q917" s="82" t="str">
        <f>IF($AA914=0,"",IF(LEN(INDEX(Quotes!$AF$9:$AF$258,$AA914)&amp;"")=0,"",INDEX(Quotes!$AF$9:$AF$258,$AA914)))</f>
        <v/>
      </c>
      <c r="R917" s="39"/>
      <c r="S917" s="39"/>
      <c r="T917" s="39"/>
      <c r="U917" s="39"/>
      <c r="V917" s="39"/>
    </row>
    <row r="918" spans="1:27" ht="21" hidden="1" customHeight="1" x14ac:dyDescent="0.35">
      <c r="A918" s="48" t="str">
        <f>IF($AA914=0,"","Reference: "&amp;IF(INDEX(Quotes!$M$9:$M$258,$AA914)="",INDEX(Quotes!$S$9:$S$258,$AA914),INDEX(Quotes!$M$9:$M$258,$AA914)))</f>
        <v/>
      </c>
      <c r="B918" s="39"/>
      <c r="C918" s="39"/>
      <c r="D918" s="39"/>
      <c r="E918" s="39"/>
      <c r="F918" s="39"/>
      <c r="G918" s="39"/>
      <c r="H918" s="39"/>
      <c r="I918" s="39"/>
      <c r="J918" s="39"/>
      <c r="K918" s="39"/>
      <c r="L918" s="39"/>
      <c r="M918" s="39"/>
      <c r="N918" s="39"/>
      <c r="O918" s="39"/>
      <c r="P918" s="39"/>
      <c r="Q918" s="48" t="str">
        <f>IF($AA914=0,"",INDEX(Quotes!$E$9:$E$258,$AA914))</f>
        <v/>
      </c>
      <c r="R918" s="39"/>
      <c r="S918" s="39"/>
      <c r="T918" s="39"/>
      <c r="U918" s="39"/>
      <c r="V918" s="39"/>
    </row>
    <row r="919" spans="1:27" ht="21" hidden="1" customHeight="1" x14ac:dyDescent="0.35">
      <c r="A919" s="81" t="str">
        <f>IF($AA914=0,"",IF(INDEX(Quotes!$N$9:$N$258,$AA914)="","No original link","Original quote"))</f>
        <v/>
      </c>
      <c r="B919" s="39"/>
      <c r="C919" s="39"/>
      <c r="D919" s="39"/>
      <c r="E919" s="39"/>
      <c r="F919" s="39"/>
      <c r="G919" s="39"/>
      <c r="I919" s="81" t="str">
        <f>IF($AA914=0,"",IF(INDEX(Quotes!$O$9:$O$258,$AA914)="","No revised link","Revised quote"))</f>
        <v/>
      </c>
      <c r="J919" s="39"/>
      <c r="K919" s="39"/>
      <c r="L919" s="39"/>
      <c r="M919" s="39"/>
      <c r="N919" s="39"/>
      <c r="O919" s="39"/>
      <c r="Q919" s="81" t="str">
        <f>IF($AA914=0,"",HYPERLINK("#'Quotes'!A"&amp;($AA914+8),"Open quote record"))</f>
        <v/>
      </c>
      <c r="R919" s="39"/>
      <c r="S919" s="39"/>
      <c r="T919" s="39"/>
      <c r="U919" s="39"/>
      <c r="V919" s="39"/>
    </row>
    <row r="920" spans="1:27" ht="21" hidden="1" customHeight="1" x14ac:dyDescent="0.35"/>
    <row r="921" spans="1:27" hidden="1" x14ac:dyDescent="0.35"/>
    <row r="922" spans="1:27" hidden="1" x14ac:dyDescent="0.35"/>
    <row r="923" spans="1:27" ht="29" hidden="1" customHeight="1" x14ac:dyDescent="0.35">
      <c r="A923" s="84" t="str">
        <f>IF($AA923=0,"",IF(LEN(INDEX(Quotes!$U$9:$U$258,$AA923)&amp;"")=0,"",INDEX(Quotes!$U$9:$U$258,$AA923)))</f>
        <v/>
      </c>
      <c r="B923" s="39"/>
      <c r="C923" s="39"/>
      <c r="D923" s="39"/>
      <c r="E923" s="39"/>
      <c r="F923" s="39"/>
      <c r="G923" s="39"/>
      <c r="H923" s="39"/>
      <c r="I923" s="39"/>
      <c r="J923" s="39"/>
      <c r="K923" s="85" t="str">
        <f>IF($AA923=0,"",IF(LEN(INDEX(Quotes!$Z$9:$Z$258,$AA923)&amp;"")=0,"",INDEX(Quotes!$Z$9:$Z$258,$AA923)))</f>
        <v/>
      </c>
      <c r="L923" s="39"/>
      <c r="M923" s="39"/>
      <c r="N923" s="39"/>
      <c r="O923" s="39"/>
      <c r="P923" s="39"/>
      <c r="Q923" s="39"/>
      <c r="R923" s="39"/>
      <c r="S923" s="39"/>
      <c r="T923" s="39"/>
      <c r="U923" s="39"/>
      <c r="V923" s="39"/>
      <c r="AA923">
        <f>IFERROR(MATCH(94,Quotes!$AK$9:$AK$258,0),0)</f>
        <v>0</v>
      </c>
    </row>
    <row r="924" spans="1:27" ht="21" hidden="1" customHeight="1" x14ac:dyDescent="0.35">
      <c r="A924" s="40" t="str">
        <f>IF($AA923=0,"",IF(LEN(INDEX(Quotes!$V$9:$V$258,$AA923)&amp;"")=0,"",INDEX(Quotes!$V$9:$V$258,$AA923)))</f>
        <v/>
      </c>
      <c r="B924" s="39"/>
      <c r="C924" s="39"/>
      <c r="D924" s="39"/>
      <c r="E924" s="39"/>
      <c r="F924" s="39"/>
      <c r="G924" s="39"/>
      <c r="H924" s="40" t="str">
        <f>IF($AA923=0,"",IF(LEN(INDEX(Quotes!$W$9:$W$258,$AA923)&amp;"")=0,"",INDEX(Quotes!$W$9:$W$258,$AA923)))</f>
        <v/>
      </c>
      <c r="I924" s="39"/>
      <c r="J924" s="39"/>
      <c r="K924" s="39"/>
      <c r="L924" s="39"/>
      <c r="M924" s="39"/>
      <c r="N924" s="39"/>
      <c r="O924" s="39"/>
      <c r="P924" s="39"/>
      <c r="Q924" s="39"/>
      <c r="R924" s="77" t="str">
        <f>IF($AA923=0,"",IF(LEN(INDEX(Quotes!$X$9:$X$258,$AA923)&amp;"")=0,"",INDEX(Quotes!$X$9:$X$258,$AA923)))</f>
        <v/>
      </c>
      <c r="S924" s="39"/>
      <c r="T924" s="39"/>
      <c r="U924" s="39"/>
      <c r="V924" s="39"/>
    </row>
    <row r="925" spans="1:27" ht="21" hidden="1" customHeight="1" x14ac:dyDescent="0.35">
      <c r="A925" s="83" t="str">
        <f>IF($AA923=0,"","ORIGINAL EUR")</f>
        <v/>
      </c>
      <c r="B925" s="39"/>
      <c r="C925" s="39"/>
      <c r="D925" s="39"/>
      <c r="E925" s="39"/>
      <c r="F925" s="39"/>
      <c r="G925" s="39"/>
      <c r="I925" s="83" t="str">
        <f>IF($AA923=0,"","LATEST EUR")</f>
        <v/>
      </c>
      <c r="J925" s="39"/>
      <c r="K925" s="39"/>
      <c r="L925" s="39"/>
      <c r="M925" s="39"/>
      <c r="N925" s="39"/>
      <c r="O925" s="39"/>
      <c r="Q925" s="83" t="str">
        <f>IF($AA923=0,"","SAVED EUR")</f>
        <v/>
      </c>
      <c r="R925" s="39"/>
      <c r="S925" s="39"/>
      <c r="T925" s="39"/>
      <c r="U925" s="39"/>
      <c r="V925" s="39"/>
    </row>
    <row r="926" spans="1:27" ht="21" hidden="1" customHeight="1" x14ac:dyDescent="0.35">
      <c r="A926" s="82" t="str">
        <f>IF($AA923=0,"",IF(LEN(INDEX(Quotes!$AB$9:$AB$258,$AA923)&amp;"")=0,"",INDEX(Quotes!$AB$9:$AB$258,$AA923)))</f>
        <v/>
      </c>
      <c r="B926" s="39"/>
      <c r="C926" s="39"/>
      <c r="D926" s="39"/>
      <c r="E926" s="39"/>
      <c r="F926" s="39"/>
      <c r="G926" s="39"/>
      <c r="I926" s="82" t="str">
        <f>IF($AA923=0,"",IF(LEN(INDEX(Quotes!$AD$9:$AD$258,$AA923)&amp;"")=0,"",INDEX(Quotes!$AD$9:$AD$258,$AA923)))</f>
        <v/>
      </c>
      <c r="J926" s="39"/>
      <c r="K926" s="39"/>
      <c r="L926" s="39"/>
      <c r="M926" s="39"/>
      <c r="N926" s="39"/>
      <c r="O926" s="39"/>
      <c r="Q926" s="82" t="str">
        <f>IF($AA923=0,"",IF(LEN(INDEX(Quotes!$AF$9:$AF$258,$AA923)&amp;"")=0,"",INDEX(Quotes!$AF$9:$AF$258,$AA923)))</f>
        <v/>
      </c>
      <c r="R926" s="39"/>
      <c r="S926" s="39"/>
      <c r="T926" s="39"/>
      <c r="U926" s="39"/>
      <c r="V926" s="39"/>
    </row>
    <row r="927" spans="1:27" ht="21" hidden="1" customHeight="1" x14ac:dyDescent="0.35">
      <c r="A927" s="48" t="str">
        <f>IF($AA923=0,"","Reference: "&amp;IF(INDEX(Quotes!$M$9:$M$258,$AA923)="",INDEX(Quotes!$S$9:$S$258,$AA923),INDEX(Quotes!$M$9:$M$258,$AA923)))</f>
        <v/>
      </c>
      <c r="B927" s="39"/>
      <c r="C927" s="39"/>
      <c r="D927" s="39"/>
      <c r="E927" s="39"/>
      <c r="F927" s="39"/>
      <c r="G927" s="39"/>
      <c r="H927" s="39"/>
      <c r="I927" s="39"/>
      <c r="J927" s="39"/>
      <c r="K927" s="39"/>
      <c r="L927" s="39"/>
      <c r="M927" s="39"/>
      <c r="N927" s="39"/>
      <c r="O927" s="39"/>
      <c r="P927" s="39"/>
      <c r="Q927" s="48" t="str">
        <f>IF($AA923=0,"",INDEX(Quotes!$E$9:$E$258,$AA923))</f>
        <v/>
      </c>
      <c r="R927" s="39"/>
      <c r="S927" s="39"/>
      <c r="T927" s="39"/>
      <c r="U927" s="39"/>
      <c r="V927" s="39"/>
    </row>
    <row r="928" spans="1:27" ht="21" hidden="1" customHeight="1" x14ac:dyDescent="0.35">
      <c r="A928" s="81" t="str">
        <f>IF($AA923=0,"",IF(INDEX(Quotes!$N$9:$N$258,$AA923)="","No original link","Original quote"))</f>
        <v/>
      </c>
      <c r="B928" s="39"/>
      <c r="C928" s="39"/>
      <c r="D928" s="39"/>
      <c r="E928" s="39"/>
      <c r="F928" s="39"/>
      <c r="G928" s="39"/>
      <c r="I928" s="81" t="str">
        <f>IF($AA923=0,"",IF(INDEX(Quotes!$O$9:$O$258,$AA923)="","No revised link","Revised quote"))</f>
        <v/>
      </c>
      <c r="J928" s="39"/>
      <c r="K928" s="39"/>
      <c r="L928" s="39"/>
      <c r="M928" s="39"/>
      <c r="N928" s="39"/>
      <c r="O928" s="39"/>
      <c r="Q928" s="81" t="str">
        <f>IF($AA923=0,"",HYPERLINK("#'Quotes'!A"&amp;($AA923+8),"Open quote record"))</f>
        <v/>
      </c>
      <c r="R928" s="39"/>
      <c r="S928" s="39"/>
      <c r="T928" s="39"/>
      <c r="U928" s="39"/>
      <c r="V928" s="39"/>
    </row>
    <row r="929" spans="1:27" ht="21" hidden="1" customHeight="1" x14ac:dyDescent="0.35"/>
    <row r="930" spans="1:27" hidden="1" x14ac:dyDescent="0.35"/>
    <row r="931" spans="1:27" hidden="1" x14ac:dyDescent="0.35"/>
    <row r="932" spans="1:27" ht="29" hidden="1" customHeight="1" x14ac:dyDescent="0.35">
      <c r="A932" s="84" t="str">
        <f>IF($AA932=0,"",IF(LEN(INDEX(Quotes!$U$9:$U$258,$AA932)&amp;"")=0,"",INDEX(Quotes!$U$9:$U$258,$AA932)))</f>
        <v/>
      </c>
      <c r="B932" s="39"/>
      <c r="C932" s="39"/>
      <c r="D932" s="39"/>
      <c r="E932" s="39"/>
      <c r="F932" s="39"/>
      <c r="G932" s="39"/>
      <c r="H932" s="39"/>
      <c r="I932" s="39"/>
      <c r="J932" s="39"/>
      <c r="K932" s="85" t="str">
        <f>IF($AA932=0,"",IF(LEN(INDEX(Quotes!$Z$9:$Z$258,$AA932)&amp;"")=0,"",INDEX(Quotes!$Z$9:$Z$258,$AA932)))</f>
        <v/>
      </c>
      <c r="L932" s="39"/>
      <c r="M932" s="39"/>
      <c r="N932" s="39"/>
      <c r="O932" s="39"/>
      <c r="P932" s="39"/>
      <c r="Q932" s="39"/>
      <c r="R932" s="39"/>
      <c r="S932" s="39"/>
      <c r="T932" s="39"/>
      <c r="U932" s="39"/>
      <c r="V932" s="39"/>
      <c r="AA932">
        <f>IFERROR(MATCH(95,Quotes!$AK$9:$AK$258,0),0)</f>
        <v>0</v>
      </c>
    </row>
    <row r="933" spans="1:27" ht="21" hidden="1" customHeight="1" x14ac:dyDescent="0.35">
      <c r="A933" s="40" t="str">
        <f>IF($AA932=0,"",IF(LEN(INDEX(Quotes!$V$9:$V$258,$AA932)&amp;"")=0,"",INDEX(Quotes!$V$9:$V$258,$AA932)))</f>
        <v/>
      </c>
      <c r="B933" s="39"/>
      <c r="C933" s="39"/>
      <c r="D933" s="39"/>
      <c r="E933" s="39"/>
      <c r="F933" s="39"/>
      <c r="G933" s="39"/>
      <c r="H933" s="40" t="str">
        <f>IF($AA932=0,"",IF(LEN(INDEX(Quotes!$W$9:$W$258,$AA932)&amp;"")=0,"",INDEX(Quotes!$W$9:$W$258,$AA932)))</f>
        <v/>
      </c>
      <c r="I933" s="39"/>
      <c r="J933" s="39"/>
      <c r="K933" s="39"/>
      <c r="L933" s="39"/>
      <c r="M933" s="39"/>
      <c r="N933" s="39"/>
      <c r="O933" s="39"/>
      <c r="P933" s="39"/>
      <c r="Q933" s="39"/>
      <c r="R933" s="77" t="str">
        <f>IF($AA932=0,"",IF(LEN(INDEX(Quotes!$X$9:$X$258,$AA932)&amp;"")=0,"",INDEX(Quotes!$X$9:$X$258,$AA932)))</f>
        <v/>
      </c>
      <c r="S933" s="39"/>
      <c r="T933" s="39"/>
      <c r="U933" s="39"/>
      <c r="V933" s="39"/>
    </row>
    <row r="934" spans="1:27" ht="21" hidden="1" customHeight="1" x14ac:dyDescent="0.35">
      <c r="A934" s="83" t="str">
        <f>IF($AA932=0,"","ORIGINAL EUR")</f>
        <v/>
      </c>
      <c r="B934" s="39"/>
      <c r="C934" s="39"/>
      <c r="D934" s="39"/>
      <c r="E934" s="39"/>
      <c r="F934" s="39"/>
      <c r="G934" s="39"/>
      <c r="I934" s="83" t="str">
        <f>IF($AA932=0,"","LATEST EUR")</f>
        <v/>
      </c>
      <c r="J934" s="39"/>
      <c r="K934" s="39"/>
      <c r="L934" s="39"/>
      <c r="M934" s="39"/>
      <c r="N934" s="39"/>
      <c r="O934" s="39"/>
      <c r="Q934" s="83" t="str">
        <f>IF($AA932=0,"","SAVED EUR")</f>
        <v/>
      </c>
      <c r="R934" s="39"/>
      <c r="S934" s="39"/>
      <c r="T934" s="39"/>
      <c r="U934" s="39"/>
      <c r="V934" s="39"/>
    </row>
    <row r="935" spans="1:27" ht="21" hidden="1" customHeight="1" x14ac:dyDescent="0.35">
      <c r="A935" s="82" t="str">
        <f>IF($AA932=0,"",IF(LEN(INDEX(Quotes!$AB$9:$AB$258,$AA932)&amp;"")=0,"",INDEX(Quotes!$AB$9:$AB$258,$AA932)))</f>
        <v/>
      </c>
      <c r="B935" s="39"/>
      <c r="C935" s="39"/>
      <c r="D935" s="39"/>
      <c r="E935" s="39"/>
      <c r="F935" s="39"/>
      <c r="G935" s="39"/>
      <c r="I935" s="82" t="str">
        <f>IF($AA932=0,"",IF(LEN(INDEX(Quotes!$AD$9:$AD$258,$AA932)&amp;"")=0,"",INDEX(Quotes!$AD$9:$AD$258,$AA932)))</f>
        <v/>
      </c>
      <c r="J935" s="39"/>
      <c r="K935" s="39"/>
      <c r="L935" s="39"/>
      <c r="M935" s="39"/>
      <c r="N935" s="39"/>
      <c r="O935" s="39"/>
      <c r="Q935" s="82" t="str">
        <f>IF($AA932=0,"",IF(LEN(INDEX(Quotes!$AF$9:$AF$258,$AA932)&amp;"")=0,"",INDEX(Quotes!$AF$9:$AF$258,$AA932)))</f>
        <v/>
      </c>
      <c r="R935" s="39"/>
      <c r="S935" s="39"/>
      <c r="T935" s="39"/>
      <c r="U935" s="39"/>
      <c r="V935" s="39"/>
    </row>
    <row r="936" spans="1:27" ht="21" hidden="1" customHeight="1" x14ac:dyDescent="0.35">
      <c r="A936" s="48" t="str">
        <f>IF($AA932=0,"","Reference: "&amp;IF(INDEX(Quotes!$M$9:$M$258,$AA932)="",INDEX(Quotes!$S$9:$S$258,$AA932),INDEX(Quotes!$M$9:$M$258,$AA932)))</f>
        <v/>
      </c>
      <c r="B936" s="39"/>
      <c r="C936" s="39"/>
      <c r="D936" s="39"/>
      <c r="E936" s="39"/>
      <c r="F936" s="39"/>
      <c r="G936" s="39"/>
      <c r="H936" s="39"/>
      <c r="I936" s="39"/>
      <c r="J936" s="39"/>
      <c r="K936" s="39"/>
      <c r="L936" s="39"/>
      <c r="M936" s="39"/>
      <c r="N936" s="39"/>
      <c r="O936" s="39"/>
      <c r="P936" s="39"/>
      <c r="Q936" s="48" t="str">
        <f>IF($AA932=0,"",INDEX(Quotes!$E$9:$E$258,$AA932))</f>
        <v/>
      </c>
      <c r="R936" s="39"/>
      <c r="S936" s="39"/>
      <c r="T936" s="39"/>
      <c r="U936" s="39"/>
      <c r="V936" s="39"/>
    </row>
    <row r="937" spans="1:27" ht="21" hidden="1" customHeight="1" x14ac:dyDescent="0.35">
      <c r="A937" s="81" t="str">
        <f>IF($AA932=0,"",IF(INDEX(Quotes!$N$9:$N$258,$AA932)="","No original link","Original quote"))</f>
        <v/>
      </c>
      <c r="B937" s="39"/>
      <c r="C937" s="39"/>
      <c r="D937" s="39"/>
      <c r="E937" s="39"/>
      <c r="F937" s="39"/>
      <c r="G937" s="39"/>
      <c r="I937" s="81" t="str">
        <f>IF($AA932=0,"",IF(INDEX(Quotes!$O$9:$O$258,$AA932)="","No revised link","Revised quote"))</f>
        <v/>
      </c>
      <c r="J937" s="39"/>
      <c r="K937" s="39"/>
      <c r="L937" s="39"/>
      <c r="M937" s="39"/>
      <c r="N937" s="39"/>
      <c r="O937" s="39"/>
      <c r="Q937" s="81" t="str">
        <f>IF($AA932=0,"",HYPERLINK("#'Quotes'!A"&amp;($AA932+8),"Open quote record"))</f>
        <v/>
      </c>
      <c r="R937" s="39"/>
      <c r="S937" s="39"/>
      <c r="T937" s="39"/>
      <c r="U937" s="39"/>
      <c r="V937" s="39"/>
    </row>
    <row r="938" spans="1:27" ht="21" hidden="1" customHeight="1" x14ac:dyDescent="0.35"/>
    <row r="939" spans="1:27" hidden="1" x14ac:dyDescent="0.35"/>
    <row r="940" spans="1:27" hidden="1" x14ac:dyDescent="0.35"/>
    <row r="941" spans="1:27" ht="29" hidden="1" customHeight="1" x14ac:dyDescent="0.35">
      <c r="A941" s="84" t="str">
        <f>IF($AA941=0,"",IF(LEN(INDEX(Quotes!$U$9:$U$258,$AA941)&amp;"")=0,"",INDEX(Quotes!$U$9:$U$258,$AA941)))</f>
        <v/>
      </c>
      <c r="B941" s="39"/>
      <c r="C941" s="39"/>
      <c r="D941" s="39"/>
      <c r="E941" s="39"/>
      <c r="F941" s="39"/>
      <c r="G941" s="39"/>
      <c r="H941" s="39"/>
      <c r="I941" s="39"/>
      <c r="J941" s="39"/>
      <c r="K941" s="85" t="str">
        <f>IF($AA941=0,"",IF(LEN(INDEX(Quotes!$Z$9:$Z$258,$AA941)&amp;"")=0,"",INDEX(Quotes!$Z$9:$Z$258,$AA941)))</f>
        <v/>
      </c>
      <c r="L941" s="39"/>
      <c r="M941" s="39"/>
      <c r="N941" s="39"/>
      <c r="O941" s="39"/>
      <c r="P941" s="39"/>
      <c r="Q941" s="39"/>
      <c r="R941" s="39"/>
      <c r="S941" s="39"/>
      <c r="T941" s="39"/>
      <c r="U941" s="39"/>
      <c r="V941" s="39"/>
      <c r="AA941">
        <f>IFERROR(MATCH(96,Quotes!$AK$9:$AK$258,0),0)</f>
        <v>0</v>
      </c>
    </row>
    <row r="942" spans="1:27" ht="21" hidden="1" customHeight="1" x14ac:dyDescent="0.35">
      <c r="A942" s="40" t="str">
        <f>IF($AA941=0,"",IF(LEN(INDEX(Quotes!$V$9:$V$258,$AA941)&amp;"")=0,"",INDEX(Quotes!$V$9:$V$258,$AA941)))</f>
        <v/>
      </c>
      <c r="B942" s="39"/>
      <c r="C942" s="39"/>
      <c r="D942" s="39"/>
      <c r="E942" s="39"/>
      <c r="F942" s="39"/>
      <c r="G942" s="39"/>
      <c r="H942" s="40" t="str">
        <f>IF($AA941=0,"",IF(LEN(INDEX(Quotes!$W$9:$W$258,$AA941)&amp;"")=0,"",INDEX(Quotes!$W$9:$W$258,$AA941)))</f>
        <v/>
      </c>
      <c r="I942" s="39"/>
      <c r="J942" s="39"/>
      <c r="K942" s="39"/>
      <c r="L942" s="39"/>
      <c r="M942" s="39"/>
      <c r="N942" s="39"/>
      <c r="O942" s="39"/>
      <c r="P942" s="39"/>
      <c r="Q942" s="39"/>
      <c r="R942" s="77" t="str">
        <f>IF($AA941=0,"",IF(LEN(INDEX(Quotes!$X$9:$X$258,$AA941)&amp;"")=0,"",INDEX(Quotes!$X$9:$X$258,$AA941)))</f>
        <v/>
      </c>
      <c r="S942" s="39"/>
      <c r="T942" s="39"/>
      <c r="U942" s="39"/>
      <c r="V942" s="39"/>
    </row>
    <row r="943" spans="1:27" ht="21" hidden="1" customHeight="1" x14ac:dyDescent="0.35">
      <c r="A943" s="83" t="str">
        <f>IF($AA941=0,"","ORIGINAL EUR")</f>
        <v/>
      </c>
      <c r="B943" s="39"/>
      <c r="C943" s="39"/>
      <c r="D943" s="39"/>
      <c r="E943" s="39"/>
      <c r="F943" s="39"/>
      <c r="G943" s="39"/>
      <c r="I943" s="83" t="str">
        <f>IF($AA941=0,"","LATEST EUR")</f>
        <v/>
      </c>
      <c r="J943" s="39"/>
      <c r="K943" s="39"/>
      <c r="L943" s="39"/>
      <c r="M943" s="39"/>
      <c r="N943" s="39"/>
      <c r="O943" s="39"/>
      <c r="Q943" s="83" t="str">
        <f>IF($AA941=0,"","SAVED EUR")</f>
        <v/>
      </c>
      <c r="R943" s="39"/>
      <c r="S943" s="39"/>
      <c r="T943" s="39"/>
      <c r="U943" s="39"/>
      <c r="V943" s="39"/>
    </row>
    <row r="944" spans="1:27" ht="21" hidden="1" customHeight="1" x14ac:dyDescent="0.35">
      <c r="A944" s="82" t="str">
        <f>IF($AA941=0,"",IF(LEN(INDEX(Quotes!$AB$9:$AB$258,$AA941)&amp;"")=0,"",INDEX(Quotes!$AB$9:$AB$258,$AA941)))</f>
        <v/>
      </c>
      <c r="B944" s="39"/>
      <c r="C944" s="39"/>
      <c r="D944" s="39"/>
      <c r="E944" s="39"/>
      <c r="F944" s="39"/>
      <c r="G944" s="39"/>
      <c r="I944" s="82" t="str">
        <f>IF($AA941=0,"",IF(LEN(INDEX(Quotes!$AD$9:$AD$258,$AA941)&amp;"")=0,"",INDEX(Quotes!$AD$9:$AD$258,$AA941)))</f>
        <v/>
      </c>
      <c r="J944" s="39"/>
      <c r="K944" s="39"/>
      <c r="L944" s="39"/>
      <c r="M944" s="39"/>
      <c r="N944" s="39"/>
      <c r="O944" s="39"/>
      <c r="Q944" s="82" t="str">
        <f>IF($AA941=0,"",IF(LEN(INDEX(Quotes!$AF$9:$AF$258,$AA941)&amp;"")=0,"",INDEX(Quotes!$AF$9:$AF$258,$AA941)))</f>
        <v/>
      </c>
      <c r="R944" s="39"/>
      <c r="S944" s="39"/>
      <c r="T944" s="39"/>
      <c r="U944" s="39"/>
      <c r="V944" s="39"/>
    </row>
    <row r="945" spans="1:27" ht="21" hidden="1" customHeight="1" x14ac:dyDescent="0.35">
      <c r="A945" s="48" t="str">
        <f>IF($AA941=0,"","Reference: "&amp;IF(INDEX(Quotes!$M$9:$M$258,$AA941)="",INDEX(Quotes!$S$9:$S$258,$AA941),INDEX(Quotes!$M$9:$M$258,$AA941)))</f>
        <v/>
      </c>
      <c r="B945" s="39"/>
      <c r="C945" s="39"/>
      <c r="D945" s="39"/>
      <c r="E945" s="39"/>
      <c r="F945" s="39"/>
      <c r="G945" s="39"/>
      <c r="H945" s="39"/>
      <c r="I945" s="39"/>
      <c r="J945" s="39"/>
      <c r="K945" s="39"/>
      <c r="L945" s="39"/>
      <c r="M945" s="39"/>
      <c r="N945" s="39"/>
      <c r="O945" s="39"/>
      <c r="P945" s="39"/>
      <c r="Q945" s="48" t="str">
        <f>IF($AA941=0,"",INDEX(Quotes!$E$9:$E$258,$AA941))</f>
        <v/>
      </c>
      <c r="R945" s="39"/>
      <c r="S945" s="39"/>
      <c r="T945" s="39"/>
      <c r="U945" s="39"/>
      <c r="V945" s="39"/>
    </row>
    <row r="946" spans="1:27" ht="21" hidden="1" customHeight="1" x14ac:dyDescent="0.35">
      <c r="A946" s="81" t="str">
        <f>IF($AA941=0,"",IF(INDEX(Quotes!$N$9:$N$258,$AA941)="","No original link","Original quote"))</f>
        <v/>
      </c>
      <c r="B946" s="39"/>
      <c r="C946" s="39"/>
      <c r="D946" s="39"/>
      <c r="E946" s="39"/>
      <c r="F946" s="39"/>
      <c r="G946" s="39"/>
      <c r="I946" s="81" t="str">
        <f>IF($AA941=0,"",IF(INDEX(Quotes!$O$9:$O$258,$AA941)="","No revised link","Revised quote"))</f>
        <v/>
      </c>
      <c r="J946" s="39"/>
      <c r="K946" s="39"/>
      <c r="L946" s="39"/>
      <c r="M946" s="39"/>
      <c r="N946" s="39"/>
      <c r="O946" s="39"/>
      <c r="Q946" s="81" t="str">
        <f>IF($AA941=0,"",HYPERLINK("#'Quotes'!A"&amp;($AA941+8),"Open quote record"))</f>
        <v/>
      </c>
      <c r="R946" s="39"/>
      <c r="S946" s="39"/>
      <c r="T946" s="39"/>
      <c r="U946" s="39"/>
      <c r="V946" s="39"/>
    </row>
    <row r="947" spans="1:27" ht="21" hidden="1" customHeight="1" x14ac:dyDescent="0.35"/>
    <row r="948" spans="1:27" hidden="1" x14ac:dyDescent="0.35"/>
    <row r="949" spans="1:27" hidden="1" x14ac:dyDescent="0.35"/>
    <row r="950" spans="1:27" hidden="1" x14ac:dyDescent="0.35"/>
    <row r="951" spans="1:27" hidden="1" x14ac:dyDescent="0.35">
      <c r="A951" s="67" t="s">
        <v>655</v>
      </c>
      <c r="B951" s="39"/>
      <c r="C951" s="39"/>
      <c r="D951" s="39"/>
      <c r="E951" s="39"/>
      <c r="F951" s="39"/>
      <c r="G951" s="39"/>
      <c r="H951" s="39"/>
      <c r="I951" s="39"/>
      <c r="J951" s="39"/>
      <c r="K951" s="39"/>
      <c r="L951" s="39"/>
      <c r="M951" s="39"/>
      <c r="N951" s="39"/>
      <c r="O951" s="39"/>
      <c r="P951" s="39"/>
      <c r="Q951" s="39"/>
      <c r="R951" s="39"/>
      <c r="S951" s="39"/>
      <c r="T951" s="39"/>
      <c r="U951" s="39"/>
      <c r="V951" s="39"/>
    </row>
    <row r="952" spans="1:27" ht="29" hidden="1" customHeight="1" x14ac:dyDescent="0.35">
      <c r="A952" s="84" t="str">
        <f>IF($AA952=0,"",IF(LEN(INDEX(Quotes!$U$9:$U$258,$AA952)&amp;"")=0,"",INDEX(Quotes!$U$9:$U$258,$AA952)))</f>
        <v/>
      </c>
      <c r="B952" s="39"/>
      <c r="C952" s="39"/>
      <c r="D952" s="39"/>
      <c r="E952" s="39"/>
      <c r="F952" s="39"/>
      <c r="G952" s="39"/>
      <c r="H952" s="39"/>
      <c r="I952" s="39"/>
      <c r="J952" s="39"/>
      <c r="K952" s="85" t="str">
        <f>IF($AA952=0,"",IF(LEN(INDEX(Quotes!$Z$9:$Z$258,$AA952)&amp;"")=0,"",INDEX(Quotes!$Z$9:$Z$258,$AA952)))</f>
        <v/>
      </c>
      <c r="L952" s="39"/>
      <c r="M952" s="39"/>
      <c r="N952" s="39"/>
      <c r="O952" s="39"/>
      <c r="P952" s="39"/>
      <c r="Q952" s="39"/>
      <c r="R952" s="39"/>
      <c r="S952" s="39"/>
      <c r="T952" s="39"/>
      <c r="U952" s="39"/>
      <c r="V952" s="39"/>
      <c r="AA952">
        <f>IFERROR(MATCH(97,Quotes!$AK$9:$AK$258,0),0)</f>
        <v>0</v>
      </c>
    </row>
    <row r="953" spans="1:27" ht="21" hidden="1" customHeight="1" x14ac:dyDescent="0.35">
      <c r="A953" s="40" t="str">
        <f>IF($AA952=0,"",IF(LEN(INDEX(Quotes!$V$9:$V$258,$AA952)&amp;"")=0,"",INDEX(Quotes!$V$9:$V$258,$AA952)))</f>
        <v/>
      </c>
      <c r="B953" s="39"/>
      <c r="C953" s="39"/>
      <c r="D953" s="39"/>
      <c r="E953" s="39"/>
      <c r="F953" s="39"/>
      <c r="G953" s="39"/>
      <c r="H953" s="40" t="str">
        <f>IF($AA952=0,"",IF(LEN(INDEX(Quotes!$W$9:$W$258,$AA952)&amp;"")=0,"",INDEX(Quotes!$W$9:$W$258,$AA952)))</f>
        <v/>
      </c>
      <c r="I953" s="39"/>
      <c r="J953" s="39"/>
      <c r="K953" s="39"/>
      <c r="L953" s="39"/>
      <c r="M953" s="39"/>
      <c r="N953" s="39"/>
      <c r="O953" s="39"/>
      <c r="P953" s="39"/>
      <c r="Q953" s="39"/>
      <c r="R953" s="77" t="str">
        <f>IF($AA952=0,"",IF(LEN(INDEX(Quotes!$X$9:$X$258,$AA952)&amp;"")=0,"",INDEX(Quotes!$X$9:$X$258,$AA952)))</f>
        <v/>
      </c>
      <c r="S953" s="39"/>
      <c r="T953" s="39"/>
      <c r="U953" s="39"/>
      <c r="V953" s="39"/>
    </row>
    <row r="954" spans="1:27" ht="21" hidden="1" customHeight="1" x14ac:dyDescent="0.35">
      <c r="A954" s="83" t="str">
        <f>IF($AA952=0,"","ORIGINAL EUR")</f>
        <v/>
      </c>
      <c r="B954" s="39"/>
      <c r="C954" s="39"/>
      <c r="D954" s="39"/>
      <c r="E954" s="39"/>
      <c r="F954" s="39"/>
      <c r="G954" s="39"/>
      <c r="I954" s="83" t="str">
        <f>IF($AA952=0,"","LATEST EUR")</f>
        <v/>
      </c>
      <c r="J954" s="39"/>
      <c r="K954" s="39"/>
      <c r="L954" s="39"/>
      <c r="M954" s="39"/>
      <c r="N954" s="39"/>
      <c r="O954" s="39"/>
      <c r="Q954" s="83" t="str">
        <f>IF($AA952=0,"","SAVED EUR")</f>
        <v/>
      </c>
      <c r="R954" s="39"/>
      <c r="S954" s="39"/>
      <c r="T954" s="39"/>
      <c r="U954" s="39"/>
      <c r="V954" s="39"/>
    </row>
    <row r="955" spans="1:27" ht="21" hidden="1" customHeight="1" x14ac:dyDescent="0.35">
      <c r="A955" s="82" t="str">
        <f>IF($AA952=0,"",IF(LEN(INDEX(Quotes!$AB$9:$AB$258,$AA952)&amp;"")=0,"",INDEX(Quotes!$AB$9:$AB$258,$AA952)))</f>
        <v/>
      </c>
      <c r="B955" s="39"/>
      <c r="C955" s="39"/>
      <c r="D955" s="39"/>
      <c r="E955" s="39"/>
      <c r="F955" s="39"/>
      <c r="G955" s="39"/>
      <c r="I955" s="82" t="str">
        <f>IF($AA952=0,"",IF(LEN(INDEX(Quotes!$AD$9:$AD$258,$AA952)&amp;"")=0,"",INDEX(Quotes!$AD$9:$AD$258,$AA952)))</f>
        <v/>
      </c>
      <c r="J955" s="39"/>
      <c r="K955" s="39"/>
      <c r="L955" s="39"/>
      <c r="M955" s="39"/>
      <c r="N955" s="39"/>
      <c r="O955" s="39"/>
      <c r="Q955" s="82" t="str">
        <f>IF($AA952=0,"",IF(LEN(INDEX(Quotes!$AF$9:$AF$258,$AA952)&amp;"")=0,"",INDEX(Quotes!$AF$9:$AF$258,$AA952)))</f>
        <v/>
      </c>
      <c r="R955" s="39"/>
      <c r="S955" s="39"/>
      <c r="T955" s="39"/>
      <c r="U955" s="39"/>
      <c r="V955" s="39"/>
    </row>
    <row r="956" spans="1:27" ht="21" hidden="1" customHeight="1" x14ac:dyDescent="0.35">
      <c r="A956" s="48" t="str">
        <f>IF($AA952=0,"","Reference: "&amp;IF(INDEX(Quotes!$M$9:$M$258,$AA952)="",INDEX(Quotes!$S$9:$S$258,$AA952),INDEX(Quotes!$M$9:$M$258,$AA952)))</f>
        <v/>
      </c>
      <c r="B956" s="39"/>
      <c r="C956" s="39"/>
      <c r="D956" s="39"/>
      <c r="E956" s="39"/>
      <c r="F956" s="39"/>
      <c r="G956" s="39"/>
      <c r="H956" s="39"/>
      <c r="I956" s="39"/>
      <c r="J956" s="39"/>
      <c r="K956" s="39"/>
      <c r="L956" s="39"/>
      <c r="M956" s="39"/>
      <c r="N956" s="39"/>
      <c r="O956" s="39"/>
      <c r="P956" s="39"/>
      <c r="Q956" s="48" t="str">
        <f>IF($AA952=0,"",INDEX(Quotes!$E$9:$E$258,$AA952))</f>
        <v/>
      </c>
      <c r="R956" s="39"/>
      <c r="S956" s="39"/>
      <c r="T956" s="39"/>
      <c r="U956" s="39"/>
      <c r="V956" s="39"/>
    </row>
    <row r="957" spans="1:27" ht="21" hidden="1" customHeight="1" x14ac:dyDescent="0.35">
      <c r="A957" s="81" t="str">
        <f>IF($AA952=0,"",IF(INDEX(Quotes!$N$9:$N$258,$AA952)="","No original link","Original quote"))</f>
        <v/>
      </c>
      <c r="B957" s="39"/>
      <c r="C957" s="39"/>
      <c r="D957" s="39"/>
      <c r="E957" s="39"/>
      <c r="F957" s="39"/>
      <c r="G957" s="39"/>
      <c r="I957" s="81" t="str">
        <f>IF($AA952=0,"",IF(INDEX(Quotes!$O$9:$O$258,$AA952)="","No revised link","Revised quote"))</f>
        <v/>
      </c>
      <c r="J957" s="39"/>
      <c r="K957" s="39"/>
      <c r="L957" s="39"/>
      <c r="M957" s="39"/>
      <c r="N957" s="39"/>
      <c r="O957" s="39"/>
      <c r="Q957" s="81" t="str">
        <f>IF($AA952=0,"",HYPERLINK("#'Quotes'!A"&amp;($AA952+8),"Open quote record"))</f>
        <v/>
      </c>
      <c r="R957" s="39"/>
      <c r="S957" s="39"/>
      <c r="T957" s="39"/>
      <c r="U957" s="39"/>
      <c r="V957" s="39"/>
    </row>
    <row r="958" spans="1:27" ht="21" hidden="1" customHeight="1" x14ac:dyDescent="0.35"/>
    <row r="959" spans="1:27" hidden="1" x14ac:dyDescent="0.35"/>
    <row r="960" spans="1:27" hidden="1" x14ac:dyDescent="0.35"/>
    <row r="961" spans="1:27" ht="29" hidden="1" customHeight="1" x14ac:dyDescent="0.35">
      <c r="A961" s="84" t="str">
        <f>IF($AA961=0,"",IF(LEN(INDEX(Quotes!$U$9:$U$258,$AA961)&amp;"")=0,"",INDEX(Quotes!$U$9:$U$258,$AA961)))</f>
        <v/>
      </c>
      <c r="B961" s="39"/>
      <c r="C961" s="39"/>
      <c r="D961" s="39"/>
      <c r="E961" s="39"/>
      <c r="F961" s="39"/>
      <c r="G961" s="39"/>
      <c r="H961" s="39"/>
      <c r="I961" s="39"/>
      <c r="J961" s="39"/>
      <c r="K961" s="85" t="str">
        <f>IF($AA961=0,"",IF(LEN(INDEX(Quotes!$Z$9:$Z$258,$AA961)&amp;"")=0,"",INDEX(Quotes!$Z$9:$Z$258,$AA961)))</f>
        <v/>
      </c>
      <c r="L961" s="39"/>
      <c r="M961" s="39"/>
      <c r="N961" s="39"/>
      <c r="O961" s="39"/>
      <c r="P961" s="39"/>
      <c r="Q961" s="39"/>
      <c r="R961" s="39"/>
      <c r="S961" s="39"/>
      <c r="T961" s="39"/>
      <c r="U961" s="39"/>
      <c r="V961" s="39"/>
      <c r="AA961">
        <f>IFERROR(MATCH(98,Quotes!$AK$9:$AK$258,0),0)</f>
        <v>0</v>
      </c>
    </row>
    <row r="962" spans="1:27" ht="21" hidden="1" customHeight="1" x14ac:dyDescent="0.35">
      <c r="A962" s="40" t="str">
        <f>IF($AA961=0,"",IF(LEN(INDEX(Quotes!$V$9:$V$258,$AA961)&amp;"")=0,"",INDEX(Quotes!$V$9:$V$258,$AA961)))</f>
        <v/>
      </c>
      <c r="B962" s="39"/>
      <c r="C962" s="39"/>
      <c r="D962" s="39"/>
      <c r="E962" s="39"/>
      <c r="F962" s="39"/>
      <c r="G962" s="39"/>
      <c r="H962" s="40" t="str">
        <f>IF($AA961=0,"",IF(LEN(INDEX(Quotes!$W$9:$W$258,$AA961)&amp;"")=0,"",INDEX(Quotes!$W$9:$W$258,$AA961)))</f>
        <v/>
      </c>
      <c r="I962" s="39"/>
      <c r="J962" s="39"/>
      <c r="K962" s="39"/>
      <c r="L962" s="39"/>
      <c r="M962" s="39"/>
      <c r="N962" s="39"/>
      <c r="O962" s="39"/>
      <c r="P962" s="39"/>
      <c r="Q962" s="39"/>
      <c r="R962" s="77" t="str">
        <f>IF($AA961=0,"",IF(LEN(INDEX(Quotes!$X$9:$X$258,$AA961)&amp;"")=0,"",INDEX(Quotes!$X$9:$X$258,$AA961)))</f>
        <v/>
      </c>
      <c r="S962" s="39"/>
      <c r="T962" s="39"/>
      <c r="U962" s="39"/>
      <c r="V962" s="39"/>
    </row>
    <row r="963" spans="1:27" ht="21" hidden="1" customHeight="1" x14ac:dyDescent="0.35">
      <c r="A963" s="83" t="str">
        <f>IF($AA961=0,"","ORIGINAL EUR")</f>
        <v/>
      </c>
      <c r="B963" s="39"/>
      <c r="C963" s="39"/>
      <c r="D963" s="39"/>
      <c r="E963" s="39"/>
      <c r="F963" s="39"/>
      <c r="G963" s="39"/>
      <c r="I963" s="83" t="str">
        <f>IF($AA961=0,"","LATEST EUR")</f>
        <v/>
      </c>
      <c r="J963" s="39"/>
      <c r="K963" s="39"/>
      <c r="L963" s="39"/>
      <c r="M963" s="39"/>
      <c r="N963" s="39"/>
      <c r="O963" s="39"/>
      <c r="Q963" s="83" t="str">
        <f>IF($AA961=0,"","SAVED EUR")</f>
        <v/>
      </c>
      <c r="R963" s="39"/>
      <c r="S963" s="39"/>
      <c r="T963" s="39"/>
      <c r="U963" s="39"/>
      <c r="V963" s="39"/>
    </row>
    <row r="964" spans="1:27" ht="21" hidden="1" customHeight="1" x14ac:dyDescent="0.35">
      <c r="A964" s="82" t="str">
        <f>IF($AA961=0,"",IF(LEN(INDEX(Quotes!$AB$9:$AB$258,$AA961)&amp;"")=0,"",INDEX(Quotes!$AB$9:$AB$258,$AA961)))</f>
        <v/>
      </c>
      <c r="B964" s="39"/>
      <c r="C964" s="39"/>
      <c r="D964" s="39"/>
      <c r="E964" s="39"/>
      <c r="F964" s="39"/>
      <c r="G964" s="39"/>
      <c r="I964" s="82" t="str">
        <f>IF($AA961=0,"",IF(LEN(INDEX(Quotes!$AD$9:$AD$258,$AA961)&amp;"")=0,"",INDEX(Quotes!$AD$9:$AD$258,$AA961)))</f>
        <v/>
      </c>
      <c r="J964" s="39"/>
      <c r="K964" s="39"/>
      <c r="L964" s="39"/>
      <c r="M964" s="39"/>
      <c r="N964" s="39"/>
      <c r="O964" s="39"/>
      <c r="Q964" s="82" t="str">
        <f>IF($AA961=0,"",IF(LEN(INDEX(Quotes!$AF$9:$AF$258,$AA961)&amp;"")=0,"",INDEX(Quotes!$AF$9:$AF$258,$AA961)))</f>
        <v/>
      </c>
      <c r="R964" s="39"/>
      <c r="S964" s="39"/>
      <c r="T964" s="39"/>
      <c r="U964" s="39"/>
      <c r="V964" s="39"/>
    </row>
    <row r="965" spans="1:27" ht="21" hidden="1" customHeight="1" x14ac:dyDescent="0.35">
      <c r="A965" s="48" t="str">
        <f>IF($AA961=0,"","Reference: "&amp;IF(INDEX(Quotes!$M$9:$M$258,$AA961)="",INDEX(Quotes!$S$9:$S$258,$AA961),INDEX(Quotes!$M$9:$M$258,$AA961)))</f>
        <v/>
      </c>
      <c r="B965" s="39"/>
      <c r="C965" s="39"/>
      <c r="D965" s="39"/>
      <c r="E965" s="39"/>
      <c r="F965" s="39"/>
      <c r="G965" s="39"/>
      <c r="H965" s="39"/>
      <c r="I965" s="39"/>
      <c r="J965" s="39"/>
      <c r="K965" s="39"/>
      <c r="L965" s="39"/>
      <c r="M965" s="39"/>
      <c r="N965" s="39"/>
      <c r="O965" s="39"/>
      <c r="P965" s="39"/>
      <c r="Q965" s="48" t="str">
        <f>IF($AA961=0,"",INDEX(Quotes!$E$9:$E$258,$AA961))</f>
        <v/>
      </c>
      <c r="R965" s="39"/>
      <c r="S965" s="39"/>
      <c r="T965" s="39"/>
      <c r="U965" s="39"/>
      <c r="V965" s="39"/>
    </row>
    <row r="966" spans="1:27" ht="21" hidden="1" customHeight="1" x14ac:dyDescent="0.35">
      <c r="A966" s="81" t="str">
        <f>IF($AA961=0,"",IF(INDEX(Quotes!$N$9:$N$258,$AA961)="","No original link","Original quote"))</f>
        <v/>
      </c>
      <c r="B966" s="39"/>
      <c r="C966" s="39"/>
      <c r="D966" s="39"/>
      <c r="E966" s="39"/>
      <c r="F966" s="39"/>
      <c r="G966" s="39"/>
      <c r="I966" s="81" t="str">
        <f>IF($AA961=0,"",IF(INDEX(Quotes!$O$9:$O$258,$AA961)="","No revised link","Revised quote"))</f>
        <v/>
      </c>
      <c r="J966" s="39"/>
      <c r="K966" s="39"/>
      <c r="L966" s="39"/>
      <c r="M966" s="39"/>
      <c r="N966" s="39"/>
      <c r="O966" s="39"/>
      <c r="Q966" s="81" t="str">
        <f>IF($AA961=0,"",HYPERLINK("#'Quotes'!A"&amp;($AA961+8),"Open quote record"))</f>
        <v/>
      </c>
      <c r="R966" s="39"/>
      <c r="S966" s="39"/>
      <c r="T966" s="39"/>
      <c r="U966" s="39"/>
      <c r="V966" s="39"/>
    </row>
    <row r="967" spans="1:27" ht="21" hidden="1" customHeight="1" x14ac:dyDescent="0.35"/>
    <row r="968" spans="1:27" hidden="1" x14ac:dyDescent="0.35"/>
    <row r="969" spans="1:27" hidden="1" x14ac:dyDescent="0.35"/>
    <row r="970" spans="1:27" ht="29" hidden="1" customHeight="1" x14ac:dyDescent="0.35">
      <c r="A970" s="84" t="str">
        <f>IF($AA970=0,"",IF(LEN(INDEX(Quotes!$U$9:$U$258,$AA970)&amp;"")=0,"",INDEX(Quotes!$U$9:$U$258,$AA970)))</f>
        <v/>
      </c>
      <c r="B970" s="39"/>
      <c r="C970" s="39"/>
      <c r="D970" s="39"/>
      <c r="E970" s="39"/>
      <c r="F970" s="39"/>
      <c r="G970" s="39"/>
      <c r="H970" s="39"/>
      <c r="I970" s="39"/>
      <c r="J970" s="39"/>
      <c r="K970" s="85" t="str">
        <f>IF($AA970=0,"",IF(LEN(INDEX(Quotes!$Z$9:$Z$258,$AA970)&amp;"")=0,"",INDEX(Quotes!$Z$9:$Z$258,$AA970)))</f>
        <v/>
      </c>
      <c r="L970" s="39"/>
      <c r="M970" s="39"/>
      <c r="N970" s="39"/>
      <c r="O970" s="39"/>
      <c r="P970" s="39"/>
      <c r="Q970" s="39"/>
      <c r="R970" s="39"/>
      <c r="S970" s="39"/>
      <c r="T970" s="39"/>
      <c r="U970" s="39"/>
      <c r="V970" s="39"/>
      <c r="AA970">
        <f>IFERROR(MATCH(99,Quotes!$AK$9:$AK$258,0),0)</f>
        <v>0</v>
      </c>
    </row>
    <row r="971" spans="1:27" ht="21" hidden="1" customHeight="1" x14ac:dyDescent="0.35">
      <c r="A971" s="40" t="str">
        <f>IF($AA970=0,"",IF(LEN(INDEX(Quotes!$V$9:$V$258,$AA970)&amp;"")=0,"",INDEX(Quotes!$V$9:$V$258,$AA970)))</f>
        <v/>
      </c>
      <c r="B971" s="39"/>
      <c r="C971" s="39"/>
      <c r="D971" s="39"/>
      <c r="E971" s="39"/>
      <c r="F971" s="39"/>
      <c r="G971" s="39"/>
      <c r="H971" s="40" t="str">
        <f>IF($AA970=0,"",IF(LEN(INDEX(Quotes!$W$9:$W$258,$AA970)&amp;"")=0,"",INDEX(Quotes!$W$9:$W$258,$AA970)))</f>
        <v/>
      </c>
      <c r="I971" s="39"/>
      <c r="J971" s="39"/>
      <c r="K971" s="39"/>
      <c r="L971" s="39"/>
      <c r="M971" s="39"/>
      <c r="N971" s="39"/>
      <c r="O971" s="39"/>
      <c r="P971" s="39"/>
      <c r="Q971" s="39"/>
      <c r="R971" s="77" t="str">
        <f>IF($AA970=0,"",IF(LEN(INDEX(Quotes!$X$9:$X$258,$AA970)&amp;"")=0,"",INDEX(Quotes!$X$9:$X$258,$AA970)))</f>
        <v/>
      </c>
      <c r="S971" s="39"/>
      <c r="T971" s="39"/>
      <c r="U971" s="39"/>
      <c r="V971" s="39"/>
    </row>
    <row r="972" spans="1:27" ht="21" hidden="1" customHeight="1" x14ac:dyDescent="0.35">
      <c r="A972" s="83" t="str">
        <f>IF($AA970=0,"","ORIGINAL EUR")</f>
        <v/>
      </c>
      <c r="B972" s="39"/>
      <c r="C972" s="39"/>
      <c r="D972" s="39"/>
      <c r="E972" s="39"/>
      <c r="F972" s="39"/>
      <c r="G972" s="39"/>
      <c r="I972" s="83" t="str">
        <f>IF($AA970=0,"","LATEST EUR")</f>
        <v/>
      </c>
      <c r="J972" s="39"/>
      <c r="K972" s="39"/>
      <c r="L972" s="39"/>
      <c r="M972" s="39"/>
      <c r="N972" s="39"/>
      <c r="O972" s="39"/>
      <c r="Q972" s="83" t="str">
        <f>IF($AA970=0,"","SAVED EUR")</f>
        <v/>
      </c>
      <c r="R972" s="39"/>
      <c r="S972" s="39"/>
      <c r="T972" s="39"/>
      <c r="U972" s="39"/>
      <c r="V972" s="39"/>
    </row>
    <row r="973" spans="1:27" ht="21" hidden="1" customHeight="1" x14ac:dyDescent="0.35">
      <c r="A973" s="82" t="str">
        <f>IF($AA970=0,"",IF(LEN(INDEX(Quotes!$AB$9:$AB$258,$AA970)&amp;"")=0,"",INDEX(Quotes!$AB$9:$AB$258,$AA970)))</f>
        <v/>
      </c>
      <c r="B973" s="39"/>
      <c r="C973" s="39"/>
      <c r="D973" s="39"/>
      <c r="E973" s="39"/>
      <c r="F973" s="39"/>
      <c r="G973" s="39"/>
      <c r="I973" s="82" t="str">
        <f>IF($AA970=0,"",IF(LEN(INDEX(Quotes!$AD$9:$AD$258,$AA970)&amp;"")=0,"",INDEX(Quotes!$AD$9:$AD$258,$AA970)))</f>
        <v/>
      </c>
      <c r="J973" s="39"/>
      <c r="K973" s="39"/>
      <c r="L973" s="39"/>
      <c r="M973" s="39"/>
      <c r="N973" s="39"/>
      <c r="O973" s="39"/>
      <c r="Q973" s="82" t="str">
        <f>IF($AA970=0,"",IF(LEN(INDEX(Quotes!$AF$9:$AF$258,$AA970)&amp;"")=0,"",INDEX(Quotes!$AF$9:$AF$258,$AA970)))</f>
        <v/>
      </c>
      <c r="R973" s="39"/>
      <c r="S973" s="39"/>
      <c r="T973" s="39"/>
      <c r="U973" s="39"/>
      <c r="V973" s="39"/>
    </row>
    <row r="974" spans="1:27" ht="21" hidden="1" customHeight="1" x14ac:dyDescent="0.35">
      <c r="A974" s="48" t="str">
        <f>IF($AA970=0,"","Reference: "&amp;IF(INDEX(Quotes!$M$9:$M$258,$AA970)="",INDEX(Quotes!$S$9:$S$258,$AA970),INDEX(Quotes!$M$9:$M$258,$AA970)))</f>
        <v/>
      </c>
      <c r="B974" s="39"/>
      <c r="C974" s="39"/>
      <c r="D974" s="39"/>
      <c r="E974" s="39"/>
      <c r="F974" s="39"/>
      <c r="G974" s="39"/>
      <c r="H974" s="39"/>
      <c r="I974" s="39"/>
      <c r="J974" s="39"/>
      <c r="K974" s="39"/>
      <c r="L974" s="39"/>
      <c r="M974" s="39"/>
      <c r="N974" s="39"/>
      <c r="O974" s="39"/>
      <c r="P974" s="39"/>
      <c r="Q974" s="48" t="str">
        <f>IF($AA970=0,"",INDEX(Quotes!$E$9:$E$258,$AA970))</f>
        <v/>
      </c>
      <c r="R974" s="39"/>
      <c r="S974" s="39"/>
      <c r="T974" s="39"/>
      <c r="U974" s="39"/>
      <c r="V974" s="39"/>
    </row>
    <row r="975" spans="1:27" ht="21" hidden="1" customHeight="1" x14ac:dyDescent="0.35">
      <c r="A975" s="81" t="str">
        <f>IF($AA970=0,"",IF(INDEX(Quotes!$N$9:$N$258,$AA970)="","No original link","Original quote"))</f>
        <v/>
      </c>
      <c r="B975" s="39"/>
      <c r="C975" s="39"/>
      <c r="D975" s="39"/>
      <c r="E975" s="39"/>
      <c r="F975" s="39"/>
      <c r="G975" s="39"/>
      <c r="I975" s="81" t="str">
        <f>IF($AA970=0,"",IF(INDEX(Quotes!$O$9:$O$258,$AA970)="","No revised link","Revised quote"))</f>
        <v/>
      </c>
      <c r="J975" s="39"/>
      <c r="K975" s="39"/>
      <c r="L975" s="39"/>
      <c r="M975" s="39"/>
      <c r="N975" s="39"/>
      <c r="O975" s="39"/>
      <c r="Q975" s="81" t="str">
        <f>IF($AA970=0,"",HYPERLINK("#'Quotes'!A"&amp;($AA970+8),"Open quote record"))</f>
        <v/>
      </c>
      <c r="R975" s="39"/>
      <c r="S975" s="39"/>
      <c r="T975" s="39"/>
      <c r="U975" s="39"/>
      <c r="V975" s="39"/>
    </row>
    <row r="976" spans="1:27" ht="21" hidden="1" customHeight="1" x14ac:dyDescent="0.35"/>
    <row r="977" spans="1:27" hidden="1" x14ac:dyDescent="0.35"/>
    <row r="978" spans="1:27" hidden="1" x14ac:dyDescent="0.35"/>
    <row r="979" spans="1:27" ht="29" hidden="1" customHeight="1" x14ac:dyDescent="0.35">
      <c r="A979" s="84" t="str">
        <f>IF($AA979=0,"",IF(LEN(INDEX(Quotes!$U$9:$U$258,$AA979)&amp;"")=0,"",INDEX(Quotes!$U$9:$U$258,$AA979)))</f>
        <v/>
      </c>
      <c r="B979" s="39"/>
      <c r="C979" s="39"/>
      <c r="D979" s="39"/>
      <c r="E979" s="39"/>
      <c r="F979" s="39"/>
      <c r="G979" s="39"/>
      <c r="H979" s="39"/>
      <c r="I979" s="39"/>
      <c r="J979" s="39"/>
      <c r="K979" s="85" t="str">
        <f>IF($AA979=0,"",IF(LEN(INDEX(Quotes!$Z$9:$Z$258,$AA979)&amp;"")=0,"",INDEX(Quotes!$Z$9:$Z$258,$AA979)))</f>
        <v/>
      </c>
      <c r="L979" s="39"/>
      <c r="M979" s="39"/>
      <c r="N979" s="39"/>
      <c r="O979" s="39"/>
      <c r="P979" s="39"/>
      <c r="Q979" s="39"/>
      <c r="R979" s="39"/>
      <c r="S979" s="39"/>
      <c r="T979" s="39"/>
      <c r="U979" s="39"/>
      <c r="V979" s="39"/>
      <c r="AA979">
        <f>IFERROR(MATCH(100,Quotes!$AK$9:$AK$258,0),0)</f>
        <v>0</v>
      </c>
    </row>
    <row r="980" spans="1:27" ht="21" hidden="1" customHeight="1" x14ac:dyDescent="0.35">
      <c r="A980" s="40" t="str">
        <f>IF($AA979=0,"",IF(LEN(INDEX(Quotes!$V$9:$V$258,$AA979)&amp;"")=0,"",INDEX(Quotes!$V$9:$V$258,$AA979)))</f>
        <v/>
      </c>
      <c r="B980" s="39"/>
      <c r="C980" s="39"/>
      <c r="D980" s="39"/>
      <c r="E980" s="39"/>
      <c r="F980" s="39"/>
      <c r="G980" s="39"/>
      <c r="H980" s="40" t="str">
        <f>IF($AA979=0,"",IF(LEN(INDEX(Quotes!$W$9:$W$258,$AA979)&amp;"")=0,"",INDEX(Quotes!$W$9:$W$258,$AA979)))</f>
        <v/>
      </c>
      <c r="I980" s="39"/>
      <c r="J980" s="39"/>
      <c r="K980" s="39"/>
      <c r="L980" s="39"/>
      <c r="M980" s="39"/>
      <c r="N980" s="39"/>
      <c r="O980" s="39"/>
      <c r="P980" s="39"/>
      <c r="Q980" s="39"/>
      <c r="R980" s="77" t="str">
        <f>IF($AA979=0,"",IF(LEN(INDEX(Quotes!$X$9:$X$258,$AA979)&amp;"")=0,"",INDEX(Quotes!$X$9:$X$258,$AA979)))</f>
        <v/>
      </c>
      <c r="S980" s="39"/>
      <c r="T980" s="39"/>
      <c r="U980" s="39"/>
      <c r="V980" s="39"/>
    </row>
    <row r="981" spans="1:27" ht="21" hidden="1" customHeight="1" x14ac:dyDescent="0.35">
      <c r="A981" s="83" t="str">
        <f>IF($AA979=0,"","ORIGINAL EUR")</f>
        <v/>
      </c>
      <c r="B981" s="39"/>
      <c r="C981" s="39"/>
      <c r="D981" s="39"/>
      <c r="E981" s="39"/>
      <c r="F981" s="39"/>
      <c r="G981" s="39"/>
      <c r="I981" s="83" t="str">
        <f>IF($AA979=0,"","LATEST EUR")</f>
        <v/>
      </c>
      <c r="J981" s="39"/>
      <c r="K981" s="39"/>
      <c r="L981" s="39"/>
      <c r="M981" s="39"/>
      <c r="N981" s="39"/>
      <c r="O981" s="39"/>
      <c r="Q981" s="83" t="str">
        <f>IF($AA979=0,"","SAVED EUR")</f>
        <v/>
      </c>
      <c r="R981" s="39"/>
      <c r="S981" s="39"/>
      <c r="T981" s="39"/>
      <c r="U981" s="39"/>
      <c r="V981" s="39"/>
    </row>
    <row r="982" spans="1:27" ht="21" hidden="1" customHeight="1" x14ac:dyDescent="0.35">
      <c r="A982" s="82" t="str">
        <f>IF($AA979=0,"",IF(LEN(INDEX(Quotes!$AB$9:$AB$258,$AA979)&amp;"")=0,"",INDEX(Quotes!$AB$9:$AB$258,$AA979)))</f>
        <v/>
      </c>
      <c r="B982" s="39"/>
      <c r="C982" s="39"/>
      <c r="D982" s="39"/>
      <c r="E982" s="39"/>
      <c r="F982" s="39"/>
      <c r="G982" s="39"/>
      <c r="I982" s="82" t="str">
        <f>IF($AA979=0,"",IF(LEN(INDEX(Quotes!$AD$9:$AD$258,$AA979)&amp;"")=0,"",INDEX(Quotes!$AD$9:$AD$258,$AA979)))</f>
        <v/>
      </c>
      <c r="J982" s="39"/>
      <c r="K982" s="39"/>
      <c r="L982" s="39"/>
      <c r="M982" s="39"/>
      <c r="N982" s="39"/>
      <c r="O982" s="39"/>
      <c r="Q982" s="82" t="str">
        <f>IF($AA979=0,"",IF(LEN(INDEX(Quotes!$AF$9:$AF$258,$AA979)&amp;"")=0,"",INDEX(Quotes!$AF$9:$AF$258,$AA979)))</f>
        <v/>
      </c>
      <c r="R982" s="39"/>
      <c r="S982" s="39"/>
      <c r="T982" s="39"/>
      <c r="U982" s="39"/>
      <c r="V982" s="39"/>
    </row>
    <row r="983" spans="1:27" ht="21" hidden="1" customHeight="1" x14ac:dyDescent="0.35">
      <c r="A983" s="48" t="str">
        <f>IF($AA979=0,"","Reference: "&amp;IF(INDEX(Quotes!$M$9:$M$258,$AA979)="",INDEX(Quotes!$S$9:$S$258,$AA979),INDEX(Quotes!$M$9:$M$258,$AA979)))</f>
        <v/>
      </c>
      <c r="B983" s="39"/>
      <c r="C983" s="39"/>
      <c r="D983" s="39"/>
      <c r="E983" s="39"/>
      <c r="F983" s="39"/>
      <c r="G983" s="39"/>
      <c r="H983" s="39"/>
      <c r="I983" s="39"/>
      <c r="J983" s="39"/>
      <c r="K983" s="39"/>
      <c r="L983" s="39"/>
      <c r="M983" s="39"/>
      <c r="N983" s="39"/>
      <c r="O983" s="39"/>
      <c r="P983" s="39"/>
      <c r="Q983" s="48" t="str">
        <f>IF($AA979=0,"",INDEX(Quotes!$E$9:$E$258,$AA979))</f>
        <v/>
      </c>
      <c r="R983" s="39"/>
      <c r="S983" s="39"/>
      <c r="T983" s="39"/>
      <c r="U983" s="39"/>
      <c r="V983" s="39"/>
    </row>
    <row r="984" spans="1:27" ht="21" hidden="1" customHeight="1" x14ac:dyDescent="0.35">
      <c r="A984" s="81" t="str">
        <f>IF($AA979=0,"",IF(INDEX(Quotes!$N$9:$N$258,$AA979)="","No original link","Original quote"))</f>
        <v/>
      </c>
      <c r="B984" s="39"/>
      <c r="C984" s="39"/>
      <c r="D984" s="39"/>
      <c r="E984" s="39"/>
      <c r="F984" s="39"/>
      <c r="G984" s="39"/>
      <c r="I984" s="81" t="str">
        <f>IF($AA979=0,"",IF(INDEX(Quotes!$O$9:$O$258,$AA979)="","No revised link","Revised quote"))</f>
        <v/>
      </c>
      <c r="J984" s="39"/>
      <c r="K984" s="39"/>
      <c r="L984" s="39"/>
      <c r="M984" s="39"/>
      <c r="N984" s="39"/>
      <c r="O984" s="39"/>
      <c r="Q984" s="81" t="str">
        <f>IF($AA979=0,"",HYPERLINK("#'Quotes'!A"&amp;($AA979+8),"Open quote record"))</f>
        <v/>
      </c>
      <c r="R984" s="39"/>
      <c r="S984" s="39"/>
      <c r="T984" s="39"/>
      <c r="U984" s="39"/>
      <c r="V984" s="39"/>
    </row>
    <row r="985" spans="1:27" ht="21" hidden="1" customHeight="1" x14ac:dyDescent="0.35"/>
    <row r="986" spans="1:27" hidden="1" x14ac:dyDescent="0.35"/>
    <row r="987" spans="1:27" hidden="1" x14ac:dyDescent="0.35"/>
    <row r="988" spans="1:27" hidden="1" x14ac:dyDescent="0.35"/>
    <row r="989" spans="1:27" hidden="1" x14ac:dyDescent="0.35">
      <c r="A989" s="67" t="s">
        <v>655</v>
      </c>
      <c r="B989" s="39"/>
      <c r="C989" s="39"/>
      <c r="D989" s="39"/>
      <c r="E989" s="39"/>
      <c r="F989" s="39"/>
      <c r="G989" s="39"/>
      <c r="H989" s="39"/>
      <c r="I989" s="39"/>
      <c r="J989" s="39"/>
      <c r="K989" s="39"/>
      <c r="L989" s="39"/>
      <c r="M989" s="39"/>
      <c r="N989" s="39"/>
      <c r="O989" s="39"/>
      <c r="P989" s="39"/>
      <c r="Q989" s="39"/>
      <c r="R989" s="39"/>
      <c r="S989" s="39"/>
      <c r="T989" s="39"/>
      <c r="U989" s="39"/>
      <c r="V989" s="39"/>
    </row>
    <row r="990" spans="1:27" ht="29" hidden="1" customHeight="1" x14ac:dyDescent="0.35">
      <c r="A990" s="84" t="str">
        <f>IF($AA990=0,"",IF(LEN(INDEX(Quotes!$U$9:$U$258,$AA990)&amp;"")=0,"",INDEX(Quotes!$U$9:$U$258,$AA990)))</f>
        <v/>
      </c>
      <c r="B990" s="39"/>
      <c r="C990" s="39"/>
      <c r="D990" s="39"/>
      <c r="E990" s="39"/>
      <c r="F990" s="39"/>
      <c r="G990" s="39"/>
      <c r="H990" s="39"/>
      <c r="I990" s="39"/>
      <c r="J990" s="39"/>
      <c r="K990" s="85" t="str">
        <f>IF($AA990=0,"",IF(LEN(INDEX(Quotes!$Z$9:$Z$258,$AA990)&amp;"")=0,"",INDEX(Quotes!$Z$9:$Z$258,$AA990)))</f>
        <v/>
      </c>
      <c r="L990" s="39"/>
      <c r="M990" s="39"/>
      <c r="N990" s="39"/>
      <c r="O990" s="39"/>
      <c r="P990" s="39"/>
      <c r="Q990" s="39"/>
      <c r="R990" s="39"/>
      <c r="S990" s="39"/>
      <c r="T990" s="39"/>
      <c r="U990" s="39"/>
      <c r="V990" s="39"/>
      <c r="AA990">
        <f>IFERROR(MATCH(101,Quotes!$AK$9:$AK$258,0),0)</f>
        <v>0</v>
      </c>
    </row>
    <row r="991" spans="1:27" ht="21" hidden="1" customHeight="1" x14ac:dyDescent="0.35">
      <c r="A991" s="40" t="str">
        <f>IF($AA990=0,"",IF(LEN(INDEX(Quotes!$V$9:$V$258,$AA990)&amp;"")=0,"",INDEX(Quotes!$V$9:$V$258,$AA990)))</f>
        <v/>
      </c>
      <c r="B991" s="39"/>
      <c r="C991" s="39"/>
      <c r="D991" s="39"/>
      <c r="E991" s="39"/>
      <c r="F991" s="39"/>
      <c r="G991" s="39"/>
      <c r="H991" s="40" t="str">
        <f>IF($AA990=0,"",IF(LEN(INDEX(Quotes!$W$9:$W$258,$AA990)&amp;"")=0,"",INDEX(Quotes!$W$9:$W$258,$AA990)))</f>
        <v/>
      </c>
      <c r="I991" s="39"/>
      <c r="J991" s="39"/>
      <c r="K991" s="39"/>
      <c r="L991" s="39"/>
      <c r="M991" s="39"/>
      <c r="N991" s="39"/>
      <c r="O991" s="39"/>
      <c r="P991" s="39"/>
      <c r="Q991" s="39"/>
      <c r="R991" s="77" t="str">
        <f>IF($AA990=0,"",IF(LEN(INDEX(Quotes!$X$9:$X$258,$AA990)&amp;"")=0,"",INDEX(Quotes!$X$9:$X$258,$AA990)))</f>
        <v/>
      </c>
      <c r="S991" s="39"/>
      <c r="T991" s="39"/>
      <c r="U991" s="39"/>
      <c r="V991" s="39"/>
    </row>
    <row r="992" spans="1:27" ht="21" hidden="1" customHeight="1" x14ac:dyDescent="0.35">
      <c r="A992" s="83" t="str">
        <f>IF($AA990=0,"","ORIGINAL EUR")</f>
        <v/>
      </c>
      <c r="B992" s="39"/>
      <c r="C992" s="39"/>
      <c r="D992" s="39"/>
      <c r="E992" s="39"/>
      <c r="F992" s="39"/>
      <c r="G992" s="39"/>
      <c r="I992" s="83" t="str">
        <f>IF($AA990=0,"","LATEST EUR")</f>
        <v/>
      </c>
      <c r="J992" s="39"/>
      <c r="K992" s="39"/>
      <c r="L992" s="39"/>
      <c r="M992" s="39"/>
      <c r="N992" s="39"/>
      <c r="O992" s="39"/>
      <c r="Q992" s="83" t="str">
        <f>IF($AA990=0,"","SAVED EUR")</f>
        <v/>
      </c>
      <c r="R992" s="39"/>
      <c r="S992" s="39"/>
      <c r="T992" s="39"/>
      <c r="U992" s="39"/>
      <c r="V992" s="39"/>
    </row>
    <row r="993" spans="1:27" ht="21" hidden="1" customHeight="1" x14ac:dyDescent="0.35">
      <c r="A993" s="82" t="str">
        <f>IF($AA990=0,"",IF(LEN(INDEX(Quotes!$AB$9:$AB$258,$AA990)&amp;"")=0,"",INDEX(Quotes!$AB$9:$AB$258,$AA990)))</f>
        <v/>
      </c>
      <c r="B993" s="39"/>
      <c r="C993" s="39"/>
      <c r="D993" s="39"/>
      <c r="E993" s="39"/>
      <c r="F993" s="39"/>
      <c r="G993" s="39"/>
      <c r="I993" s="82" t="str">
        <f>IF($AA990=0,"",IF(LEN(INDEX(Quotes!$AD$9:$AD$258,$AA990)&amp;"")=0,"",INDEX(Quotes!$AD$9:$AD$258,$AA990)))</f>
        <v/>
      </c>
      <c r="J993" s="39"/>
      <c r="K993" s="39"/>
      <c r="L993" s="39"/>
      <c r="M993" s="39"/>
      <c r="N993" s="39"/>
      <c r="O993" s="39"/>
      <c r="Q993" s="82" t="str">
        <f>IF($AA990=0,"",IF(LEN(INDEX(Quotes!$AF$9:$AF$258,$AA990)&amp;"")=0,"",INDEX(Quotes!$AF$9:$AF$258,$AA990)))</f>
        <v/>
      </c>
      <c r="R993" s="39"/>
      <c r="S993" s="39"/>
      <c r="T993" s="39"/>
      <c r="U993" s="39"/>
      <c r="V993" s="39"/>
    </row>
    <row r="994" spans="1:27" ht="21" hidden="1" customHeight="1" x14ac:dyDescent="0.35">
      <c r="A994" s="48" t="str">
        <f>IF($AA990=0,"","Reference: "&amp;IF(INDEX(Quotes!$M$9:$M$258,$AA990)="",INDEX(Quotes!$S$9:$S$258,$AA990),INDEX(Quotes!$M$9:$M$258,$AA990)))</f>
        <v/>
      </c>
      <c r="B994" s="39"/>
      <c r="C994" s="39"/>
      <c r="D994" s="39"/>
      <c r="E994" s="39"/>
      <c r="F994" s="39"/>
      <c r="G994" s="39"/>
      <c r="H994" s="39"/>
      <c r="I994" s="39"/>
      <c r="J994" s="39"/>
      <c r="K994" s="39"/>
      <c r="L994" s="39"/>
      <c r="M994" s="39"/>
      <c r="N994" s="39"/>
      <c r="O994" s="39"/>
      <c r="P994" s="39"/>
      <c r="Q994" s="48" t="str">
        <f>IF($AA990=0,"",INDEX(Quotes!$E$9:$E$258,$AA990))</f>
        <v/>
      </c>
      <c r="R994" s="39"/>
      <c r="S994" s="39"/>
      <c r="T994" s="39"/>
      <c r="U994" s="39"/>
      <c r="V994" s="39"/>
    </row>
    <row r="995" spans="1:27" ht="21" hidden="1" customHeight="1" x14ac:dyDescent="0.35">
      <c r="A995" s="81" t="str">
        <f>IF($AA990=0,"",IF(INDEX(Quotes!$N$9:$N$258,$AA990)="","No original link","Original quote"))</f>
        <v/>
      </c>
      <c r="B995" s="39"/>
      <c r="C995" s="39"/>
      <c r="D995" s="39"/>
      <c r="E995" s="39"/>
      <c r="F995" s="39"/>
      <c r="G995" s="39"/>
      <c r="I995" s="81" t="str">
        <f>IF($AA990=0,"",IF(INDEX(Quotes!$O$9:$O$258,$AA990)="","No revised link","Revised quote"))</f>
        <v/>
      </c>
      <c r="J995" s="39"/>
      <c r="K995" s="39"/>
      <c r="L995" s="39"/>
      <c r="M995" s="39"/>
      <c r="N995" s="39"/>
      <c r="O995" s="39"/>
      <c r="Q995" s="81" t="str">
        <f>IF($AA990=0,"",HYPERLINK("#'Quotes'!A"&amp;($AA990+8),"Open quote record"))</f>
        <v/>
      </c>
      <c r="R995" s="39"/>
      <c r="S995" s="39"/>
      <c r="T995" s="39"/>
      <c r="U995" s="39"/>
      <c r="V995" s="39"/>
    </row>
    <row r="996" spans="1:27" ht="21" hidden="1" customHeight="1" x14ac:dyDescent="0.35"/>
    <row r="997" spans="1:27" hidden="1" x14ac:dyDescent="0.35"/>
    <row r="998" spans="1:27" hidden="1" x14ac:dyDescent="0.35"/>
    <row r="999" spans="1:27" ht="29" hidden="1" customHeight="1" x14ac:dyDescent="0.35">
      <c r="A999" s="84" t="str">
        <f>IF($AA999=0,"",IF(LEN(INDEX(Quotes!$U$9:$U$258,$AA999)&amp;"")=0,"",INDEX(Quotes!$U$9:$U$258,$AA999)))</f>
        <v/>
      </c>
      <c r="B999" s="39"/>
      <c r="C999" s="39"/>
      <c r="D999" s="39"/>
      <c r="E999" s="39"/>
      <c r="F999" s="39"/>
      <c r="G999" s="39"/>
      <c r="H999" s="39"/>
      <c r="I999" s="39"/>
      <c r="J999" s="39"/>
      <c r="K999" s="85" t="str">
        <f>IF($AA999=0,"",IF(LEN(INDEX(Quotes!$Z$9:$Z$258,$AA999)&amp;"")=0,"",INDEX(Quotes!$Z$9:$Z$258,$AA999)))</f>
        <v/>
      </c>
      <c r="L999" s="39"/>
      <c r="M999" s="39"/>
      <c r="N999" s="39"/>
      <c r="O999" s="39"/>
      <c r="P999" s="39"/>
      <c r="Q999" s="39"/>
      <c r="R999" s="39"/>
      <c r="S999" s="39"/>
      <c r="T999" s="39"/>
      <c r="U999" s="39"/>
      <c r="V999" s="39"/>
      <c r="AA999">
        <f>IFERROR(MATCH(102,Quotes!$AK$9:$AK$258,0),0)</f>
        <v>0</v>
      </c>
    </row>
    <row r="1000" spans="1:27" ht="21" hidden="1" customHeight="1" x14ac:dyDescent="0.35">
      <c r="A1000" s="40" t="str">
        <f>IF($AA999=0,"",IF(LEN(INDEX(Quotes!$V$9:$V$258,$AA999)&amp;"")=0,"",INDEX(Quotes!$V$9:$V$258,$AA999)))</f>
        <v/>
      </c>
      <c r="B1000" s="39"/>
      <c r="C1000" s="39"/>
      <c r="D1000" s="39"/>
      <c r="E1000" s="39"/>
      <c r="F1000" s="39"/>
      <c r="G1000" s="39"/>
      <c r="H1000" s="40" t="str">
        <f>IF($AA999=0,"",IF(LEN(INDEX(Quotes!$W$9:$W$258,$AA999)&amp;"")=0,"",INDEX(Quotes!$W$9:$W$258,$AA999)))</f>
        <v/>
      </c>
      <c r="I1000" s="39"/>
      <c r="J1000" s="39"/>
      <c r="K1000" s="39"/>
      <c r="L1000" s="39"/>
      <c r="M1000" s="39"/>
      <c r="N1000" s="39"/>
      <c r="O1000" s="39"/>
      <c r="P1000" s="39"/>
      <c r="Q1000" s="39"/>
      <c r="R1000" s="77" t="str">
        <f>IF($AA999=0,"",IF(LEN(INDEX(Quotes!$X$9:$X$258,$AA999)&amp;"")=0,"",INDEX(Quotes!$X$9:$X$258,$AA999)))</f>
        <v/>
      </c>
      <c r="S1000" s="39"/>
      <c r="T1000" s="39"/>
      <c r="U1000" s="39"/>
      <c r="V1000" s="39"/>
    </row>
    <row r="1001" spans="1:27" ht="21" hidden="1" customHeight="1" x14ac:dyDescent="0.35">
      <c r="A1001" s="83" t="str">
        <f>IF($AA999=0,"","ORIGINAL EUR")</f>
        <v/>
      </c>
      <c r="B1001" s="39"/>
      <c r="C1001" s="39"/>
      <c r="D1001" s="39"/>
      <c r="E1001" s="39"/>
      <c r="F1001" s="39"/>
      <c r="G1001" s="39"/>
      <c r="I1001" s="83" t="str">
        <f>IF($AA999=0,"","LATEST EUR")</f>
        <v/>
      </c>
      <c r="J1001" s="39"/>
      <c r="K1001" s="39"/>
      <c r="L1001" s="39"/>
      <c r="M1001" s="39"/>
      <c r="N1001" s="39"/>
      <c r="O1001" s="39"/>
      <c r="Q1001" s="83" t="str">
        <f>IF($AA999=0,"","SAVED EUR")</f>
        <v/>
      </c>
      <c r="R1001" s="39"/>
      <c r="S1001" s="39"/>
      <c r="T1001" s="39"/>
      <c r="U1001" s="39"/>
      <c r="V1001" s="39"/>
    </row>
    <row r="1002" spans="1:27" ht="21" hidden="1" customHeight="1" x14ac:dyDescent="0.35">
      <c r="A1002" s="82" t="str">
        <f>IF($AA999=0,"",IF(LEN(INDEX(Quotes!$AB$9:$AB$258,$AA999)&amp;"")=0,"",INDEX(Quotes!$AB$9:$AB$258,$AA999)))</f>
        <v/>
      </c>
      <c r="B1002" s="39"/>
      <c r="C1002" s="39"/>
      <c r="D1002" s="39"/>
      <c r="E1002" s="39"/>
      <c r="F1002" s="39"/>
      <c r="G1002" s="39"/>
      <c r="I1002" s="82" t="str">
        <f>IF($AA999=0,"",IF(LEN(INDEX(Quotes!$AD$9:$AD$258,$AA999)&amp;"")=0,"",INDEX(Quotes!$AD$9:$AD$258,$AA999)))</f>
        <v/>
      </c>
      <c r="J1002" s="39"/>
      <c r="K1002" s="39"/>
      <c r="L1002" s="39"/>
      <c r="M1002" s="39"/>
      <c r="N1002" s="39"/>
      <c r="O1002" s="39"/>
      <c r="Q1002" s="82" t="str">
        <f>IF($AA999=0,"",IF(LEN(INDEX(Quotes!$AF$9:$AF$258,$AA999)&amp;"")=0,"",INDEX(Quotes!$AF$9:$AF$258,$AA999)))</f>
        <v/>
      </c>
      <c r="R1002" s="39"/>
      <c r="S1002" s="39"/>
      <c r="T1002" s="39"/>
      <c r="U1002" s="39"/>
      <c r="V1002" s="39"/>
    </row>
    <row r="1003" spans="1:27" ht="21" hidden="1" customHeight="1" x14ac:dyDescent="0.35">
      <c r="A1003" s="48" t="str">
        <f>IF($AA999=0,"","Reference: "&amp;IF(INDEX(Quotes!$M$9:$M$258,$AA999)="",INDEX(Quotes!$S$9:$S$258,$AA999),INDEX(Quotes!$M$9:$M$258,$AA999)))</f>
        <v/>
      </c>
      <c r="B1003" s="39"/>
      <c r="C1003" s="39"/>
      <c r="D1003" s="39"/>
      <c r="E1003" s="39"/>
      <c r="F1003" s="39"/>
      <c r="G1003" s="39"/>
      <c r="H1003" s="39"/>
      <c r="I1003" s="39"/>
      <c r="J1003" s="39"/>
      <c r="K1003" s="39"/>
      <c r="L1003" s="39"/>
      <c r="M1003" s="39"/>
      <c r="N1003" s="39"/>
      <c r="O1003" s="39"/>
      <c r="P1003" s="39"/>
      <c r="Q1003" s="48" t="str">
        <f>IF($AA999=0,"",INDEX(Quotes!$E$9:$E$258,$AA999))</f>
        <v/>
      </c>
      <c r="R1003" s="39"/>
      <c r="S1003" s="39"/>
      <c r="T1003" s="39"/>
      <c r="U1003" s="39"/>
      <c r="V1003" s="39"/>
    </row>
    <row r="1004" spans="1:27" ht="21" hidden="1" customHeight="1" x14ac:dyDescent="0.35">
      <c r="A1004" s="81" t="str">
        <f>IF($AA999=0,"",IF(INDEX(Quotes!$N$9:$N$258,$AA999)="","No original link","Original quote"))</f>
        <v/>
      </c>
      <c r="B1004" s="39"/>
      <c r="C1004" s="39"/>
      <c r="D1004" s="39"/>
      <c r="E1004" s="39"/>
      <c r="F1004" s="39"/>
      <c r="G1004" s="39"/>
      <c r="I1004" s="81" t="str">
        <f>IF($AA999=0,"",IF(INDEX(Quotes!$O$9:$O$258,$AA999)="","No revised link","Revised quote"))</f>
        <v/>
      </c>
      <c r="J1004" s="39"/>
      <c r="K1004" s="39"/>
      <c r="L1004" s="39"/>
      <c r="M1004" s="39"/>
      <c r="N1004" s="39"/>
      <c r="O1004" s="39"/>
      <c r="Q1004" s="81" t="str">
        <f>IF($AA999=0,"",HYPERLINK("#'Quotes'!A"&amp;($AA999+8),"Open quote record"))</f>
        <v/>
      </c>
      <c r="R1004" s="39"/>
      <c r="S1004" s="39"/>
      <c r="T1004" s="39"/>
      <c r="U1004" s="39"/>
      <c r="V1004" s="39"/>
    </row>
    <row r="1005" spans="1:27" ht="21" hidden="1" customHeight="1" x14ac:dyDescent="0.35"/>
    <row r="1006" spans="1:27" hidden="1" x14ac:dyDescent="0.35"/>
    <row r="1007" spans="1:27" hidden="1" x14ac:dyDescent="0.35"/>
    <row r="1008" spans="1:27" ht="29" hidden="1" customHeight="1" x14ac:dyDescent="0.35">
      <c r="A1008" s="84" t="str">
        <f>IF($AA1008=0,"",IF(LEN(INDEX(Quotes!$U$9:$U$258,$AA1008)&amp;"")=0,"",INDEX(Quotes!$U$9:$U$258,$AA1008)))</f>
        <v/>
      </c>
      <c r="B1008" s="39"/>
      <c r="C1008" s="39"/>
      <c r="D1008" s="39"/>
      <c r="E1008" s="39"/>
      <c r="F1008" s="39"/>
      <c r="G1008" s="39"/>
      <c r="H1008" s="39"/>
      <c r="I1008" s="39"/>
      <c r="J1008" s="39"/>
      <c r="K1008" s="85" t="str">
        <f>IF($AA1008=0,"",IF(LEN(INDEX(Quotes!$Z$9:$Z$258,$AA1008)&amp;"")=0,"",INDEX(Quotes!$Z$9:$Z$258,$AA1008)))</f>
        <v/>
      </c>
      <c r="L1008" s="39"/>
      <c r="M1008" s="39"/>
      <c r="N1008" s="39"/>
      <c r="O1008" s="39"/>
      <c r="P1008" s="39"/>
      <c r="Q1008" s="39"/>
      <c r="R1008" s="39"/>
      <c r="S1008" s="39"/>
      <c r="T1008" s="39"/>
      <c r="U1008" s="39"/>
      <c r="V1008" s="39"/>
      <c r="AA1008">
        <f>IFERROR(MATCH(103,Quotes!$AK$9:$AK$258,0),0)</f>
        <v>0</v>
      </c>
    </row>
    <row r="1009" spans="1:27" ht="21" hidden="1" customHeight="1" x14ac:dyDescent="0.35">
      <c r="A1009" s="40" t="str">
        <f>IF($AA1008=0,"",IF(LEN(INDEX(Quotes!$V$9:$V$258,$AA1008)&amp;"")=0,"",INDEX(Quotes!$V$9:$V$258,$AA1008)))</f>
        <v/>
      </c>
      <c r="B1009" s="39"/>
      <c r="C1009" s="39"/>
      <c r="D1009" s="39"/>
      <c r="E1009" s="39"/>
      <c r="F1009" s="39"/>
      <c r="G1009" s="39"/>
      <c r="H1009" s="40" t="str">
        <f>IF($AA1008=0,"",IF(LEN(INDEX(Quotes!$W$9:$W$258,$AA1008)&amp;"")=0,"",INDEX(Quotes!$W$9:$W$258,$AA1008)))</f>
        <v/>
      </c>
      <c r="I1009" s="39"/>
      <c r="J1009" s="39"/>
      <c r="K1009" s="39"/>
      <c r="L1009" s="39"/>
      <c r="M1009" s="39"/>
      <c r="N1009" s="39"/>
      <c r="O1009" s="39"/>
      <c r="P1009" s="39"/>
      <c r="Q1009" s="39"/>
      <c r="R1009" s="77" t="str">
        <f>IF($AA1008=0,"",IF(LEN(INDEX(Quotes!$X$9:$X$258,$AA1008)&amp;"")=0,"",INDEX(Quotes!$X$9:$X$258,$AA1008)))</f>
        <v/>
      </c>
      <c r="S1009" s="39"/>
      <c r="T1009" s="39"/>
      <c r="U1009" s="39"/>
      <c r="V1009" s="39"/>
    </row>
    <row r="1010" spans="1:27" ht="21" hidden="1" customHeight="1" x14ac:dyDescent="0.35">
      <c r="A1010" s="83" t="str">
        <f>IF($AA1008=0,"","ORIGINAL EUR")</f>
        <v/>
      </c>
      <c r="B1010" s="39"/>
      <c r="C1010" s="39"/>
      <c r="D1010" s="39"/>
      <c r="E1010" s="39"/>
      <c r="F1010" s="39"/>
      <c r="G1010" s="39"/>
      <c r="I1010" s="83" t="str">
        <f>IF($AA1008=0,"","LATEST EUR")</f>
        <v/>
      </c>
      <c r="J1010" s="39"/>
      <c r="K1010" s="39"/>
      <c r="L1010" s="39"/>
      <c r="M1010" s="39"/>
      <c r="N1010" s="39"/>
      <c r="O1010" s="39"/>
      <c r="Q1010" s="83" t="str">
        <f>IF($AA1008=0,"","SAVED EUR")</f>
        <v/>
      </c>
      <c r="R1010" s="39"/>
      <c r="S1010" s="39"/>
      <c r="T1010" s="39"/>
      <c r="U1010" s="39"/>
      <c r="V1010" s="39"/>
    </row>
    <row r="1011" spans="1:27" ht="21" hidden="1" customHeight="1" x14ac:dyDescent="0.35">
      <c r="A1011" s="82" t="str">
        <f>IF($AA1008=0,"",IF(LEN(INDEX(Quotes!$AB$9:$AB$258,$AA1008)&amp;"")=0,"",INDEX(Quotes!$AB$9:$AB$258,$AA1008)))</f>
        <v/>
      </c>
      <c r="B1011" s="39"/>
      <c r="C1011" s="39"/>
      <c r="D1011" s="39"/>
      <c r="E1011" s="39"/>
      <c r="F1011" s="39"/>
      <c r="G1011" s="39"/>
      <c r="I1011" s="82" t="str">
        <f>IF($AA1008=0,"",IF(LEN(INDEX(Quotes!$AD$9:$AD$258,$AA1008)&amp;"")=0,"",INDEX(Quotes!$AD$9:$AD$258,$AA1008)))</f>
        <v/>
      </c>
      <c r="J1011" s="39"/>
      <c r="K1011" s="39"/>
      <c r="L1011" s="39"/>
      <c r="M1011" s="39"/>
      <c r="N1011" s="39"/>
      <c r="O1011" s="39"/>
      <c r="Q1011" s="82" t="str">
        <f>IF($AA1008=0,"",IF(LEN(INDEX(Quotes!$AF$9:$AF$258,$AA1008)&amp;"")=0,"",INDEX(Quotes!$AF$9:$AF$258,$AA1008)))</f>
        <v/>
      </c>
      <c r="R1011" s="39"/>
      <c r="S1011" s="39"/>
      <c r="T1011" s="39"/>
      <c r="U1011" s="39"/>
      <c r="V1011" s="39"/>
    </row>
    <row r="1012" spans="1:27" ht="21" hidden="1" customHeight="1" x14ac:dyDescent="0.35">
      <c r="A1012" s="48" t="str">
        <f>IF($AA1008=0,"","Reference: "&amp;IF(INDEX(Quotes!$M$9:$M$258,$AA1008)="",INDEX(Quotes!$S$9:$S$258,$AA1008),INDEX(Quotes!$M$9:$M$258,$AA1008)))</f>
        <v/>
      </c>
      <c r="B1012" s="39"/>
      <c r="C1012" s="39"/>
      <c r="D1012" s="39"/>
      <c r="E1012" s="39"/>
      <c r="F1012" s="39"/>
      <c r="G1012" s="39"/>
      <c r="H1012" s="39"/>
      <c r="I1012" s="39"/>
      <c r="J1012" s="39"/>
      <c r="K1012" s="39"/>
      <c r="L1012" s="39"/>
      <c r="M1012" s="39"/>
      <c r="N1012" s="39"/>
      <c r="O1012" s="39"/>
      <c r="P1012" s="39"/>
      <c r="Q1012" s="48" t="str">
        <f>IF($AA1008=0,"",INDEX(Quotes!$E$9:$E$258,$AA1008))</f>
        <v/>
      </c>
      <c r="R1012" s="39"/>
      <c r="S1012" s="39"/>
      <c r="T1012" s="39"/>
      <c r="U1012" s="39"/>
      <c r="V1012" s="39"/>
    </row>
    <row r="1013" spans="1:27" ht="21" hidden="1" customHeight="1" x14ac:dyDescent="0.35">
      <c r="A1013" s="81" t="str">
        <f>IF($AA1008=0,"",IF(INDEX(Quotes!$N$9:$N$258,$AA1008)="","No original link","Original quote"))</f>
        <v/>
      </c>
      <c r="B1013" s="39"/>
      <c r="C1013" s="39"/>
      <c r="D1013" s="39"/>
      <c r="E1013" s="39"/>
      <c r="F1013" s="39"/>
      <c r="G1013" s="39"/>
      <c r="I1013" s="81" t="str">
        <f>IF($AA1008=0,"",IF(INDEX(Quotes!$O$9:$O$258,$AA1008)="","No revised link","Revised quote"))</f>
        <v/>
      </c>
      <c r="J1013" s="39"/>
      <c r="K1013" s="39"/>
      <c r="L1013" s="39"/>
      <c r="M1013" s="39"/>
      <c r="N1013" s="39"/>
      <c r="O1013" s="39"/>
      <c r="Q1013" s="81" t="str">
        <f>IF($AA1008=0,"",HYPERLINK("#'Quotes'!A"&amp;($AA1008+8),"Open quote record"))</f>
        <v/>
      </c>
      <c r="R1013" s="39"/>
      <c r="S1013" s="39"/>
      <c r="T1013" s="39"/>
      <c r="U1013" s="39"/>
      <c r="V1013" s="39"/>
    </row>
    <row r="1014" spans="1:27" ht="21" hidden="1" customHeight="1" x14ac:dyDescent="0.35"/>
    <row r="1015" spans="1:27" hidden="1" x14ac:dyDescent="0.35"/>
    <row r="1016" spans="1:27" hidden="1" x14ac:dyDescent="0.35"/>
    <row r="1017" spans="1:27" ht="29" hidden="1" customHeight="1" x14ac:dyDescent="0.35">
      <c r="A1017" s="84" t="str">
        <f>IF($AA1017=0,"",IF(LEN(INDEX(Quotes!$U$9:$U$258,$AA1017)&amp;"")=0,"",INDEX(Quotes!$U$9:$U$258,$AA1017)))</f>
        <v/>
      </c>
      <c r="B1017" s="39"/>
      <c r="C1017" s="39"/>
      <c r="D1017" s="39"/>
      <c r="E1017" s="39"/>
      <c r="F1017" s="39"/>
      <c r="G1017" s="39"/>
      <c r="H1017" s="39"/>
      <c r="I1017" s="39"/>
      <c r="J1017" s="39"/>
      <c r="K1017" s="85" t="str">
        <f>IF($AA1017=0,"",IF(LEN(INDEX(Quotes!$Z$9:$Z$258,$AA1017)&amp;"")=0,"",INDEX(Quotes!$Z$9:$Z$258,$AA1017)))</f>
        <v/>
      </c>
      <c r="L1017" s="39"/>
      <c r="M1017" s="39"/>
      <c r="N1017" s="39"/>
      <c r="O1017" s="39"/>
      <c r="P1017" s="39"/>
      <c r="Q1017" s="39"/>
      <c r="R1017" s="39"/>
      <c r="S1017" s="39"/>
      <c r="T1017" s="39"/>
      <c r="U1017" s="39"/>
      <c r="V1017" s="39"/>
      <c r="AA1017">
        <f>IFERROR(MATCH(104,Quotes!$AK$9:$AK$258,0),0)</f>
        <v>0</v>
      </c>
    </row>
    <row r="1018" spans="1:27" ht="21" hidden="1" customHeight="1" x14ac:dyDescent="0.35">
      <c r="A1018" s="40" t="str">
        <f>IF($AA1017=0,"",IF(LEN(INDEX(Quotes!$V$9:$V$258,$AA1017)&amp;"")=0,"",INDEX(Quotes!$V$9:$V$258,$AA1017)))</f>
        <v/>
      </c>
      <c r="B1018" s="39"/>
      <c r="C1018" s="39"/>
      <c r="D1018" s="39"/>
      <c r="E1018" s="39"/>
      <c r="F1018" s="39"/>
      <c r="G1018" s="39"/>
      <c r="H1018" s="40" t="str">
        <f>IF($AA1017=0,"",IF(LEN(INDEX(Quotes!$W$9:$W$258,$AA1017)&amp;"")=0,"",INDEX(Quotes!$W$9:$W$258,$AA1017)))</f>
        <v/>
      </c>
      <c r="I1018" s="39"/>
      <c r="J1018" s="39"/>
      <c r="K1018" s="39"/>
      <c r="L1018" s="39"/>
      <c r="M1018" s="39"/>
      <c r="N1018" s="39"/>
      <c r="O1018" s="39"/>
      <c r="P1018" s="39"/>
      <c r="Q1018" s="39"/>
      <c r="R1018" s="77" t="str">
        <f>IF($AA1017=0,"",IF(LEN(INDEX(Quotes!$X$9:$X$258,$AA1017)&amp;"")=0,"",INDEX(Quotes!$X$9:$X$258,$AA1017)))</f>
        <v/>
      </c>
      <c r="S1018" s="39"/>
      <c r="T1018" s="39"/>
      <c r="U1018" s="39"/>
      <c r="V1018" s="39"/>
    </row>
    <row r="1019" spans="1:27" ht="21" hidden="1" customHeight="1" x14ac:dyDescent="0.35">
      <c r="A1019" s="83" t="str">
        <f>IF($AA1017=0,"","ORIGINAL EUR")</f>
        <v/>
      </c>
      <c r="B1019" s="39"/>
      <c r="C1019" s="39"/>
      <c r="D1019" s="39"/>
      <c r="E1019" s="39"/>
      <c r="F1019" s="39"/>
      <c r="G1019" s="39"/>
      <c r="I1019" s="83" t="str">
        <f>IF($AA1017=0,"","LATEST EUR")</f>
        <v/>
      </c>
      <c r="J1019" s="39"/>
      <c r="K1019" s="39"/>
      <c r="L1019" s="39"/>
      <c r="M1019" s="39"/>
      <c r="N1019" s="39"/>
      <c r="O1019" s="39"/>
      <c r="Q1019" s="83" t="str">
        <f>IF($AA1017=0,"","SAVED EUR")</f>
        <v/>
      </c>
      <c r="R1019" s="39"/>
      <c r="S1019" s="39"/>
      <c r="T1019" s="39"/>
      <c r="U1019" s="39"/>
      <c r="V1019" s="39"/>
    </row>
    <row r="1020" spans="1:27" ht="21" hidden="1" customHeight="1" x14ac:dyDescent="0.35">
      <c r="A1020" s="82" t="str">
        <f>IF($AA1017=0,"",IF(LEN(INDEX(Quotes!$AB$9:$AB$258,$AA1017)&amp;"")=0,"",INDEX(Quotes!$AB$9:$AB$258,$AA1017)))</f>
        <v/>
      </c>
      <c r="B1020" s="39"/>
      <c r="C1020" s="39"/>
      <c r="D1020" s="39"/>
      <c r="E1020" s="39"/>
      <c r="F1020" s="39"/>
      <c r="G1020" s="39"/>
      <c r="I1020" s="82" t="str">
        <f>IF($AA1017=0,"",IF(LEN(INDEX(Quotes!$AD$9:$AD$258,$AA1017)&amp;"")=0,"",INDEX(Quotes!$AD$9:$AD$258,$AA1017)))</f>
        <v/>
      </c>
      <c r="J1020" s="39"/>
      <c r="K1020" s="39"/>
      <c r="L1020" s="39"/>
      <c r="M1020" s="39"/>
      <c r="N1020" s="39"/>
      <c r="O1020" s="39"/>
      <c r="Q1020" s="82" t="str">
        <f>IF($AA1017=0,"",IF(LEN(INDEX(Quotes!$AF$9:$AF$258,$AA1017)&amp;"")=0,"",INDEX(Quotes!$AF$9:$AF$258,$AA1017)))</f>
        <v/>
      </c>
      <c r="R1020" s="39"/>
      <c r="S1020" s="39"/>
      <c r="T1020" s="39"/>
      <c r="U1020" s="39"/>
      <c r="V1020" s="39"/>
    </row>
    <row r="1021" spans="1:27" ht="21" hidden="1" customHeight="1" x14ac:dyDescent="0.35">
      <c r="A1021" s="48" t="str">
        <f>IF($AA1017=0,"","Reference: "&amp;IF(INDEX(Quotes!$M$9:$M$258,$AA1017)="",INDEX(Quotes!$S$9:$S$258,$AA1017),INDEX(Quotes!$M$9:$M$258,$AA1017)))</f>
        <v/>
      </c>
      <c r="B1021" s="39"/>
      <c r="C1021" s="39"/>
      <c r="D1021" s="39"/>
      <c r="E1021" s="39"/>
      <c r="F1021" s="39"/>
      <c r="G1021" s="39"/>
      <c r="H1021" s="39"/>
      <c r="I1021" s="39"/>
      <c r="J1021" s="39"/>
      <c r="K1021" s="39"/>
      <c r="L1021" s="39"/>
      <c r="M1021" s="39"/>
      <c r="N1021" s="39"/>
      <c r="O1021" s="39"/>
      <c r="P1021" s="39"/>
      <c r="Q1021" s="48" t="str">
        <f>IF($AA1017=0,"",INDEX(Quotes!$E$9:$E$258,$AA1017))</f>
        <v/>
      </c>
      <c r="R1021" s="39"/>
      <c r="S1021" s="39"/>
      <c r="T1021" s="39"/>
      <c r="U1021" s="39"/>
      <c r="V1021" s="39"/>
    </row>
    <row r="1022" spans="1:27" ht="21" hidden="1" customHeight="1" x14ac:dyDescent="0.35">
      <c r="A1022" s="81" t="str">
        <f>IF($AA1017=0,"",IF(INDEX(Quotes!$N$9:$N$258,$AA1017)="","No original link","Original quote"))</f>
        <v/>
      </c>
      <c r="B1022" s="39"/>
      <c r="C1022" s="39"/>
      <c r="D1022" s="39"/>
      <c r="E1022" s="39"/>
      <c r="F1022" s="39"/>
      <c r="G1022" s="39"/>
      <c r="I1022" s="81" t="str">
        <f>IF($AA1017=0,"",IF(INDEX(Quotes!$O$9:$O$258,$AA1017)="","No revised link","Revised quote"))</f>
        <v/>
      </c>
      <c r="J1022" s="39"/>
      <c r="K1022" s="39"/>
      <c r="L1022" s="39"/>
      <c r="M1022" s="39"/>
      <c r="N1022" s="39"/>
      <c r="O1022" s="39"/>
      <c r="Q1022" s="81" t="str">
        <f>IF($AA1017=0,"",HYPERLINK("#'Quotes'!A"&amp;($AA1017+8),"Open quote record"))</f>
        <v/>
      </c>
      <c r="R1022" s="39"/>
      <c r="S1022" s="39"/>
      <c r="T1022" s="39"/>
      <c r="U1022" s="39"/>
      <c r="V1022" s="39"/>
    </row>
    <row r="1023" spans="1:27" ht="21" hidden="1" customHeight="1" x14ac:dyDescent="0.35"/>
    <row r="1024" spans="1:27" hidden="1" x14ac:dyDescent="0.35"/>
    <row r="1025" spans="1:27" hidden="1" x14ac:dyDescent="0.35"/>
    <row r="1026" spans="1:27" hidden="1" x14ac:dyDescent="0.35"/>
    <row r="1027" spans="1:27" hidden="1" x14ac:dyDescent="0.35">
      <c r="A1027" s="67" t="s">
        <v>655</v>
      </c>
      <c r="B1027" s="39"/>
      <c r="C1027" s="39"/>
      <c r="D1027" s="39"/>
      <c r="E1027" s="39"/>
      <c r="F1027" s="39"/>
      <c r="G1027" s="39"/>
      <c r="H1027" s="39"/>
      <c r="I1027" s="39"/>
      <c r="J1027" s="39"/>
      <c r="K1027" s="39"/>
      <c r="L1027" s="39"/>
      <c r="M1027" s="39"/>
      <c r="N1027" s="39"/>
      <c r="O1027" s="39"/>
      <c r="P1027" s="39"/>
      <c r="Q1027" s="39"/>
      <c r="R1027" s="39"/>
      <c r="S1027" s="39"/>
      <c r="T1027" s="39"/>
      <c r="U1027" s="39"/>
      <c r="V1027" s="39"/>
    </row>
    <row r="1028" spans="1:27" ht="29" hidden="1" customHeight="1" x14ac:dyDescent="0.35">
      <c r="A1028" s="84" t="str">
        <f>IF($AA1028=0,"",IF(LEN(INDEX(Quotes!$U$9:$U$258,$AA1028)&amp;"")=0,"",INDEX(Quotes!$U$9:$U$258,$AA1028)))</f>
        <v/>
      </c>
      <c r="B1028" s="39"/>
      <c r="C1028" s="39"/>
      <c r="D1028" s="39"/>
      <c r="E1028" s="39"/>
      <c r="F1028" s="39"/>
      <c r="G1028" s="39"/>
      <c r="H1028" s="39"/>
      <c r="I1028" s="39"/>
      <c r="J1028" s="39"/>
      <c r="K1028" s="85" t="str">
        <f>IF($AA1028=0,"",IF(LEN(INDEX(Quotes!$Z$9:$Z$258,$AA1028)&amp;"")=0,"",INDEX(Quotes!$Z$9:$Z$258,$AA1028)))</f>
        <v/>
      </c>
      <c r="L1028" s="39"/>
      <c r="M1028" s="39"/>
      <c r="N1028" s="39"/>
      <c r="O1028" s="39"/>
      <c r="P1028" s="39"/>
      <c r="Q1028" s="39"/>
      <c r="R1028" s="39"/>
      <c r="S1028" s="39"/>
      <c r="T1028" s="39"/>
      <c r="U1028" s="39"/>
      <c r="V1028" s="39"/>
      <c r="AA1028">
        <f>IFERROR(MATCH(105,Quotes!$AK$9:$AK$258,0),0)</f>
        <v>0</v>
      </c>
    </row>
    <row r="1029" spans="1:27" ht="21" hidden="1" customHeight="1" x14ac:dyDescent="0.35">
      <c r="A1029" s="40" t="str">
        <f>IF($AA1028=0,"",IF(LEN(INDEX(Quotes!$V$9:$V$258,$AA1028)&amp;"")=0,"",INDEX(Quotes!$V$9:$V$258,$AA1028)))</f>
        <v/>
      </c>
      <c r="B1029" s="39"/>
      <c r="C1029" s="39"/>
      <c r="D1029" s="39"/>
      <c r="E1029" s="39"/>
      <c r="F1029" s="39"/>
      <c r="G1029" s="39"/>
      <c r="H1029" s="40" t="str">
        <f>IF($AA1028=0,"",IF(LEN(INDEX(Quotes!$W$9:$W$258,$AA1028)&amp;"")=0,"",INDEX(Quotes!$W$9:$W$258,$AA1028)))</f>
        <v/>
      </c>
      <c r="I1029" s="39"/>
      <c r="J1029" s="39"/>
      <c r="K1029" s="39"/>
      <c r="L1029" s="39"/>
      <c r="M1029" s="39"/>
      <c r="N1029" s="39"/>
      <c r="O1029" s="39"/>
      <c r="P1029" s="39"/>
      <c r="Q1029" s="39"/>
      <c r="R1029" s="77" t="str">
        <f>IF($AA1028=0,"",IF(LEN(INDEX(Quotes!$X$9:$X$258,$AA1028)&amp;"")=0,"",INDEX(Quotes!$X$9:$X$258,$AA1028)))</f>
        <v/>
      </c>
      <c r="S1029" s="39"/>
      <c r="T1029" s="39"/>
      <c r="U1029" s="39"/>
      <c r="V1029" s="39"/>
    </row>
    <row r="1030" spans="1:27" ht="21" hidden="1" customHeight="1" x14ac:dyDescent="0.35">
      <c r="A1030" s="83" t="str">
        <f>IF($AA1028=0,"","ORIGINAL EUR")</f>
        <v/>
      </c>
      <c r="B1030" s="39"/>
      <c r="C1030" s="39"/>
      <c r="D1030" s="39"/>
      <c r="E1030" s="39"/>
      <c r="F1030" s="39"/>
      <c r="G1030" s="39"/>
      <c r="I1030" s="83" t="str">
        <f>IF($AA1028=0,"","LATEST EUR")</f>
        <v/>
      </c>
      <c r="J1030" s="39"/>
      <c r="K1030" s="39"/>
      <c r="L1030" s="39"/>
      <c r="M1030" s="39"/>
      <c r="N1030" s="39"/>
      <c r="O1030" s="39"/>
      <c r="Q1030" s="83" t="str">
        <f>IF($AA1028=0,"","SAVED EUR")</f>
        <v/>
      </c>
      <c r="R1030" s="39"/>
      <c r="S1030" s="39"/>
      <c r="T1030" s="39"/>
      <c r="U1030" s="39"/>
      <c r="V1030" s="39"/>
    </row>
    <row r="1031" spans="1:27" ht="21" hidden="1" customHeight="1" x14ac:dyDescent="0.35">
      <c r="A1031" s="82" t="str">
        <f>IF($AA1028=0,"",IF(LEN(INDEX(Quotes!$AB$9:$AB$258,$AA1028)&amp;"")=0,"",INDEX(Quotes!$AB$9:$AB$258,$AA1028)))</f>
        <v/>
      </c>
      <c r="B1031" s="39"/>
      <c r="C1031" s="39"/>
      <c r="D1031" s="39"/>
      <c r="E1031" s="39"/>
      <c r="F1031" s="39"/>
      <c r="G1031" s="39"/>
      <c r="I1031" s="82" t="str">
        <f>IF($AA1028=0,"",IF(LEN(INDEX(Quotes!$AD$9:$AD$258,$AA1028)&amp;"")=0,"",INDEX(Quotes!$AD$9:$AD$258,$AA1028)))</f>
        <v/>
      </c>
      <c r="J1031" s="39"/>
      <c r="K1031" s="39"/>
      <c r="L1031" s="39"/>
      <c r="M1031" s="39"/>
      <c r="N1031" s="39"/>
      <c r="O1031" s="39"/>
      <c r="Q1031" s="82" t="str">
        <f>IF($AA1028=0,"",IF(LEN(INDEX(Quotes!$AF$9:$AF$258,$AA1028)&amp;"")=0,"",INDEX(Quotes!$AF$9:$AF$258,$AA1028)))</f>
        <v/>
      </c>
      <c r="R1031" s="39"/>
      <c r="S1031" s="39"/>
      <c r="T1031" s="39"/>
      <c r="U1031" s="39"/>
      <c r="V1031" s="39"/>
    </row>
    <row r="1032" spans="1:27" ht="21" hidden="1" customHeight="1" x14ac:dyDescent="0.35">
      <c r="A1032" s="48" t="str">
        <f>IF($AA1028=0,"","Reference: "&amp;IF(INDEX(Quotes!$M$9:$M$258,$AA1028)="",INDEX(Quotes!$S$9:$S$258,$AA1028),INDEX(Quotes!$M$9:$M$258,$AA1028)))</f>
        <v/>
      </c>
      <c r="B1032" s="39"/>
      <c r="C1032" s="39"/>
      <c r="D1032" s="39"/>
      <c r="E1032" s="39"/>
      <c r="F1032" s="39"/>
      <c r="G1032" s="39"/>
      <c r="H1032" s="39"/>
      <c r="I1032" s="39"/>
      <c r="J1032" s="39"/>
      <c r="K1032" s="39"/>
      <c r="L1032" s="39"/>
      <c r="M1032" s="39"/>
      <c r="N1032" s="39"/>
      <c r="O1032" s="39"/>
      <c r="P1032" s="39"/>
      <c r="Q1032" s="48" t="str">
        <f>IF($AA1028=0,"",INDEX(Quotes!$E$9:$E$258,$AA1028))</f>
        <v/>
      </c>
      <c r="R1032" s="39"/>
      <c r="S1032" s="39"/>
      <c r="T1032" s="39"/>
      <c r="U1032" s="39"/>
      <c r="V1032" s="39"/>
    </row>
    <row r="1033" spans="1:27" ht="21" hidden="1" customHeight="1" x14ac:dyDescent="0.35">
      <c r="A1033" s="81" t="str">
        <f>IF($AA1028=0,"",IF(INDEX(Quotes!$N$9:$N$258,$AA1028)="","No original link","Original quote"))</f>
        <v/>
      </c>
      <c r="B1033" s="39"/>
      <c r="C1033" s="39"/>
      <c r="D1033" s="39"/>
      <c r="E1033" s="39"/>
      <c r="F1033" s="39"/>
      <c r="G1033" s="39"/>
      <c r="I1033" s="81" t="str">
        <f>IF($AA1028=0,"",IF(INDEX(Quotes!$O$9:$O$258,$AA1028)="","No revised link","Revised quote"))</f>
        <v/>
      </c>
      <c r="J1033" s="39"/>
      <c r="K1033" s="39"/>
      <c r="L1033" s="39"/>
      <c r="M1033" s="39"/>
      <c r="N1033" s="39"/>
      <c r="O1033" s="39"/>
      <c r="Q1033" s="81" t="str">
        <f>IF($AA1028=0,"",HYPERLINK("#'Quotes'!A"&amp;($AA1028+8),"Open quote record"))</f>
        <v/>
      </c>
      <c r="R1033" s="39"/>
      <c r="S1033" s="39"/>
      <c r="T1033" s="39"/>
      <c r="U1033" s="39"/>
      <c r="V1033" s="39"/>
    </row>
    <row r="1034" spans="1:27" ht="21" hidden="1" customHeight="1" x14ac:dyDescent="0.35"/>
    <row r="1035" spans="1:27" hidden="1" x14ac:dyDescent="0.35"/>
    <row r="1036" spans="1:27" hidden="1" x14ac:dyDescent="0.35"/>
    <row r="1037" spans="1:27" ht="29" hidden="1" customHeight="1" x14ac:dyDescent="0.35">
      <c r="A1037" s="84" t="str">
        <f>IF($AA1037=0,"",IF(LEN(INDEX(Quotes!$U$9:$U$258,$AA1037)&amp;"")=0,"",INDEX(Quotes!$U$9:$U$258,$AA1037)))</f>
        <v/>
      </c>
      <c r="B1037" s="39"/>
      <c r="C1037" s="39"/>
      <c r="D1037" s="39"/>
      <c r="E1037" s="39"/>
      <c r="F1037" s="39"/>
      <c r="G1037" s="39"/>
      <c r="H1037" s="39"/>
      <c r="I1037" s="39"/>
      <c r="J1037" s="39"/>
      <c r="K1037" s="85" t="str">
        <f>IF($AA1037=0,"",IF(LEN(INDEX(Quotes!$Z$9:$Z$258,$AA1037)&amp;"")=0,"",INDEX(Quotes!$Z$9:$Z$258,$AA1037)))</f>
        <v/>
      </c>
      <c r="L1037" s="39"/>
      <c r="M1037" s="39"/>
      <c r="N1037" s="39"/>
      <c r="O1037" s="39"/>
      <c r="P1037" s="39"/>
      <c r="Q1037" s="39"/>
      <c r="R1037" s="39"/>
      <c r="S1037" s="39"/>
      <c r="T1037" s="39"/>
      <c r="U1037" s="39"/>
      <c r="V1037" s="39"/>
      <c r="AA1037">
        <f>IFERROR(MATCH(106,Quotes!$AK$9:$AK$258,0),0)</f>
        <v>0</v>
      </c>
    </row>
    <row r="1038" spans="1:27" ht="21" hidden="1" customHeight="1" x14ac:dyDescent="0.35">
      <c r="A1038" s="40" t="str">
        <f>IF($AA1037=0,"",IF(LEN(INDEX(Quotes!$V$9:$V$258,$AA1037)&amp;"")=0,"",INDEX(Quotes!$V$9:$V$258,$AA1037)))</f>
        <v/>
      </c>
      <c r="B1038" s="39"/>
      <c r="C1038" s="39"/>
      <c r="D1038" s="39"/>
      <c r="E1038" s="39"/>
      <c r="F1038" s="39"/>
      <c r="G1038" s="39"/>
      <c r="H1038" s="40" t="str">
        <f>IF($AA1037=0,"",IF(LEN(INDEX(Quotes!$W$9:$W$258,$AA1037)&amp;"")=0,"",INDEX(Quotes!$W$9:$W$258,$AA1037)))</f>
        <v/>
      </c>
      <c r="I1038" s="39"/>
      <c r="J1038" s="39"/>
      <c r="K1038" s="39"/>
      <c r="L1038" s="39"/>
      <c r="M1038" s="39"/>
      <c r="N1038" s="39"/>
      <c r="O1038" s="39"/>
      <c r="P1038" s="39"/>
      <c r="Q1038" s="39"/>
      <c r="R1038" s="77" t="str">
        <f>IF($AA1037=0,"",IF(LEN(INDEX(Quotes!$X$9:$X$258,$AA1037)&amp;"")=0,"",INDEX(Quotes!$X$9:$X$258,$AA1037)))</f>
        <v/>
      </c>
      <c r="S1038" s="39"/>
      <c r="T1038" s="39"/>
      <c r="U1038" s="39"/>
      <c r="V1038" s="39"/>
    </row>
    <row r="1039" spans="1:27" ht="21" hidden="1" customHeight="1" x14ac:dyDescent="0.35">
      <c r="A1039" s="83" t="str">
        <f>IF($AA1037=0,"","ORIGINAL EUR")</f>
        <v/>
      </c>
      <c r="B1039" s="39"/>
      <c r="C1039" s="39"/>
      <c r="D1039" s="39"/>
      <c r="E1039" s="39"/>
      <c r="F1039" s="39"/>
      <c r="G1039" s="39"/>
      <c r="I1039" s="83" t="str">
        <f>IF($AA1037=0,"","LATEST EUR")</f>
        <v/>
      </c>
      <c r="J1039" s="39"/>
      <c r="K1039" s="39"/>
      <c r="L1039" s="39"/>
      <c r="M1039" s="39"/>
      <c r="N1039" s="39"/>
      <c r="O1039" s="39"/>
      <c r="Q1039" s="83" t="str">
        <f>IF($AA1037=0,"","SAVED EUR")</f>
        <v/>
      </c>
      <c r="R1039" s="39"/>
      <c r="S1039" s="39"/>
      <c r="T1039" s="39"/>
      <c r="U1039" s="39"/>
      <c r="V1039" s="39"/>
    </row>
    <row r="1040" spans="1:27" ht="21" hidden="1" customHeight="1" x14ac:dyDescent="0.35">
      <c r="A1040" s="82" t="str">
        <f>IF($AA1037=0,"",IF(LEN(INDEX(Quotes!$AB$9:$AB$258,$AA1037)&amp;"")=0,"",INDEX(Quotes!$AB$9:$AB$258,$AA1037)))</f>
        <v/>
      </c>
      <c r="B1040" s="39"/>
      <c r="C1040" s="39"/>
      <c r="D1040" s="39"/>
      <c r="E1040" s="39"/>
      <c r="F1040" s="39"/>
      <c r="G1040" s="39"/>
      <c r="I1040" s="82" t="str">
        <f>IF($AA1037=0,"",IF(LEN(INDEX(Quotes!$AD$9:$AD$258,$AA1037)&amp;"")=0,"",INDEX(Quotes!$AD$9:$AD$258,$AA1037)))</f>
        <v/>
      </c>
      <c r="J1040" s="39"/>
      <c r="K1040" s="39"/>
      <c r="L1040" s="39"/>
      <c r="M1040" s="39"/>
      <c r="N1040" s="39"/>
      <c r="O1040" s="39"/>
      <c r="Q1040" s="82" t="str">
        <f>IF($AA1037=0,"",IF(LEN(INDEX(Quotes!$AF$9:$AF$258,$AA1037)&amp;"")=0,"",INDEX(Quotes!$AF$9:$AF$258,$AA1037)))</f>
        <v/>
      </c>
      <c r="R1040" s="39"/>
      <c r="S1040" s="39"/>
      <c r="T1040" s="39"/>
      <c r="U1040" s="39"/>
      <c r="V1040" s="39"/>
    </row>
    <row r="1041" spans="1:27" ht="21" hidden="1" customHeight="1" x14ac:dyDescent="0.35">
      <c r="A1041" s="48" t="str">
        <f>IF($AA1037=0,"","Reference: "&amp;IF(INDEX(Quotes!$M$9:$M$258,$AA1037)="",INDEX(Quotes!$S$9:$S$258,$AA1037),INDEX(Quotes!$M$9:$M$258,$AA1037)))</f>
        <v/>
      </c>
      <c r="B1041" s="39"/>
      <c r="C1041" s="39"/>
      <c r="D1041" s="39"/>
      <c r="E1041" s="39"/>
      <c r="F1041" s="39"/>
      <c r="G1041" s="39"/>
      <c r="H1041" s="39"/>
      <c r="I1041" s="39"/>
      <c r="J1041" s="39"/>
      <c r="K1041" s="39"/>
      <c r="L1041" s="39"/>
      <c r="M1041" s="39"/>
      <c r="N1041" s="39"/>
      <c r="O1041" s="39"/>
      <c r="P1041" s="39"/>
      <c r="Q1041" s="48" t="str">
        <f>IF($AA1037=0,"",INDEX(Quotes!$E$9:$E$258,$AA1037))</f>
        <v/>
      </c>
      <c r="R1041" s="39"/>
      <c r="S1041" s="39"/>
      <c r="T1041" s="39"/>
      <c r="U1041" s="39"/>
      <c r="V1041" s="39"/>
    </row>
    <row r="1042" spans="1:27" ht="21" hidden="1" customHeight="1" x14ac:dyDescent="0.35">
      <c r="A1042" s="81" t="str">
        <f>IF($AA1037=0,"",IF(INDEX(Quotes!$N$9:$N$258,$AA1037)="","No original link","Original quote"))</f>
        <v/>
      </c>
      <c r="B1042" s="39"/>
      <c r="C1042" s="39"/>
      <c r="D1042" s="39"/>
      <c r="E1042" s="39"/>
      <c r="F1042" s="39"/>
      <c r="G1042" s="39"/>
      <c r="I1042" s="81" t="str">
        <f>IF($AA1037=0,"",IF(INDEX(Quotes!$O$9:$O$258,$AA1037)="","No revised link","Revised quote"))</f>
        <v/>
      </c>
      <c r="J1042" s="39"/>
      <c r="K1042" s="39"/>
      <c r="L1042" s="39"/>
      <c r="M1042" s="39"/>
      <c r="N1042" s="39"/>
      <c r="O1042" s="39"/>
      <c r="Q1042" s="81" t="str">
        <f>IF($AA1037=0,"",HYPERLINK("#'Quotes'!A"&amp;($AA1037+8),"Open quote record"))</f>
        <v/>
      </c>
      <c r="R1042" s="39"/>
      <c r="S1042" s="39"/>
      <c r="T1042" s="39"/>
      <c r="U1042" s="39"/>
      <c r="V1042" s="39"/>
    </row>
    <row r="1043" spans="1:27" ht="21" hidden="1" customHeight="1" x14ac:dyDescent="0.35"/>
    <row r="1044" spans="1:27" hidden="1" x14ac:dyDescent="0.35"/>
    <row r="1045" spans="1:27" hidden="1" x14ac:dyDescent="0.35"/>
    <row r="1046" spans="1:27" ht="29" hidden="1" customHeight="1" x14ac:dyDescent="0.35">
      <c r="A1046" s="84" t="str">
        <f>IF($AA1046=0,"",IF(LEN(INDEX(Quotes!$U$9:$U$258,$AA1046)&amp;"")=0,"",INDEX(Quotes!$U$9:$U$258,$AA1046)))</f>
        <v/>
      </c>
      <c r="B1046" s="39"/>
      <c r="C1046" s="39"/>
      <c r="D1046" s="39"/>
      <c r="E1046" s="39"/>
      <c r="F1046" s="39"/>
      <c r="G1046" s="39"/>
      <c r="H1046" s="39"/>
      <c r="I1046" s="39"/>
      <c r="J1046" s="39"/>
      <c r="K1046" s="85" t="str">
        <f>IF($AA1046=0,"",IF(LEN(INDEX(Quotes!$Z$9:$Z$258,$AA1046)&amp;"")=0,"",INDEX(Quotes!$Z$9:$Z$258,$AA1046)))</f>
        <v/>
      </c>
      <c r="L1046" s="39"/>
      <c r="M1046" s="39"/>
      <c r="N1046" s="39"/>
      <c r="O1046" s="39"/>
      <c r="P1046" s="39"/>
      <c r="Q1046" s="39"/>
      <c r="R1046" s="39"/>
      <c r="S1046" s="39"/>
      <c r="T1046" s="39"/>
      <c r="U1046" s="39"/>
      <c r="V1046" s="39"/>
      <c r="AA1046">
        <f>IFERROR(MATCH(107,Quotes!$AK$9:$AK$258,0),0)</f>
        <v>0</v>
      </c>
    </row>
    <row r="1047" spans="1:27" ht="21" hidden="1" customHeight="1" x14ac:dyDescent="0.35">
      <c r="A1047" s="40" t="str">
        <f>IF($AA1046=0,"",IF(LEN(INDEX(Quotes!$V$9:$V$258,$AA1046)&amp;"")=0,"",INDEX(Quotes!$V$9:$V$258,$AA1046)))</f>
        <v/>
      </c>
      <c r="B1047" s="39"/>
      <c r="C1047" s="39"/>
      <c r="D1047" s="39"/>
      <c r="E1047" s="39"/>
      <c r="F1047" s="39"/>
      <c r="G1047" s="39"/>
      <c r="H1047" s="40" t="str">
        <f>IF($AA1046=0,"",IF(LEN(INDEX(Quotes!$W$9:$W$258,$AA1046)&amp;"")=0,"",INDEX(Quotes!$W$9:$W$258,$AA1046)))</f>
        <v/>
      </c>
      <c r="I1047" s="39"/>
      <c r="J1047" s="39"/>
      <c r="K1047" s="39"/>
      <c r="L1047" s="39"/>
      <c r="M1047" s="39"/>
      <c r="N1047" s="39"/>
      <c r="O1047" s="39"/>
      <c r="P1047" s="39"/>
      <c r="Q1047" s="39"/>
      <c r="R1047" s="77" t="str">
        <f>IF($AA1046=0,"",IF(LEN(INDEX(Quotes!$X$9:$X$258,$AA1046)&amp;"")=0,"",INDEX(Quotes!$X$9:$X$258,$AA1046)))</f>
        <v/>
      </c>
      <c r="S1047" s="39"/>
      <c r="T1047" s="39"/>
      <c r="U1047" s="39"/>
      <c r="V1047" s="39"/>
    </row>
    <row r="1048" spans="1:27" ht="21" hidden="1" customHeight="1" x14ac:dyDescent="0.35">
      <c r="A1048" s="83" t="str">
        <f>IF($AA1046=0,"","ORIGINAL EUR")</f>
        <v/>
      </c>
      <c r="B1048" s="39"/>
      <c r="C1048" s="39"/>
      <c r="D1048" s="39"/>
      <c r="E1048" s="39"/>
      <c r="F1048" s="39"/>
      <c r="G1048" s="39"/>
      <c r="I1048" s="83" t="str">
        <f>IF($AA1046=0,"","LATEST EUR")</f>
        <v/>
      </c>
      <c r="J1048" s="39"/>
      <c r="K1048" s="39"/>
      <c r="L1048" s="39"/>
      <c r="M1048" s="39"/>
      <c r="N1048" s="39"/>
      <c r="O1048" s="39"/>
      <c r="Q1048" s="83" t="str">
        <f>IF($AA1046=0,"","SAVED EUR")</f>
        <v/>
      </c>
      <c r="R1048" s="39"/>
      <c r="S1048" s="39"/>
      <c r="T1048" s="39"/>
      <c r="U1048" s="39"/>
      <c r="V1048" s="39"/>
    </row>
    <row r="1049" spans="1:27" ht="21" hidden="1" customHeight="1" x14ac:dyDescent="0.35">
      <c r="A1049" s="82" t="str">
        <f>IF($AA1046=0,"",IF(LEN(INDEX(Quotes!$AB$9:$AB$258,$AA1046)&amp;"")=0,"",INDEX(Quotes!$AB$9:$AB$258,$AA1046)))</f>
        <v/>
      </c>
      <c r="B1049" s="39"/>
      <c r="C1049" s="39"/>
      <c r="D1049" s="39"/>
      <c r="E1049" s="39"/>
      <c r="F1049" s="39"/>
      <c r="G1049" s="39"/>
      <c r="I1049" s="82" t="str">
        <f>IF($AA1046=0,"",IF(LEN(INDEX(Quotes!$AD$9:$AD$258,$AA1046)&amp;"")=0,"",INDEX(Quotes!$AD$9:$AD$258,$AA1046)))</f>
        <v/>
      </c>
      <c r="J1049" s="39"/>
      <c r="K1049" s="39"/>
      <c r="L1049" s="39"/>
      <c r="M1049" s="39"/>
      <c r="N1049" s="39"/>
      <c r="O1049" s="39"/>
      <c r="Q1049" s="82" t="str">
        <f>IF($AA1046=0,"",IF(LEN(INDEX(Quotes!$AF$9:$AF$258,$AA1046)&amp;"")=0,"",INDEX(Quotes!$AF$9:$AF$258,$AA1046)))</f>
        <v/>
      </c>
      <c r="R1049" s="39"/>
      <c r="S1049" s="39"/>
      <c r="T1049" s="39"/>
      <c r="U1049" s="39"/>
      <c r="V1049" s="39"/>
    </row>
    <row r="1050" spans="1:27" ht="21" hidden="1" customHeight="1" x14ac:dyDescent="0.35">
      <c r="A1050" s="48" t="str">
        <f>IF($AA1046=0,"","Reference: "&amp;IF(INDEX(Quotes!$M$9:$M$258,$AA1046)="",INDEX(Quotes!$S$9:$S$258,$AA1046),INDEX(Quotes!$M$9:$M$258,$AA1046)))</f>
        <v/>
      </c>
      <c r="B1050" s="39"/>
      <c r="C1050" s="39"/>
      <c r="D1050" s="39"/>
      <c r="E1050" s="39"/>
      <c r="F1050" s="39"/>
      <c r="G1050" s="39"/>
      <c r="H1050" s="39"/>
      <c r="I1050" s="39"/>
      <c r="J1050" s="39"/>
      <c r="K1050" s="39"/>
      <c r="L1050" s="39"/>
      <c r="M1050" s="39"/>
      <c r="N1050" s="39"/>
      <c r="O1050" s="39"/>
      <c r="P1050" s="39"/>
      <c r="Q1050" s="48" t="str">
        <f>IF($AA1046=0,"",INDEX(Quotes!$E$9:$E$258,$AA1046))</f>
        <v/>
      </c>
      <c r="R1050" s="39"/>
      <c r="S1050" s="39"/>
      <c r="T1050" s="39"/>
      <c r="U1050" s="39"/>
      <c r="V1050" s="39"/>
    </row>
    <row r="1051" spans="1:27" ht="21" hidden="1" customHeight="1" x14ac:dyDescent="0.35">
      <c r="A1051" s="81" t="str">
        <f>IF($AA1046=0,"",IF(INDEX(Quotes!$N$9:$N$258,$AA1046)="","No original link","Original quote"))</f>
        <v/>
      </c>
      <c r="B1051" s="39"/>
      <c r="C1051" s="39"/>
      <c r="D1051" s="39"/>
      <c r="E1051" s="39"/>
      <c r="F1051" s="39"/>
      <c r="G1051" s="39"/>
      <c r="I1051" s="81" t="str">
        <f>IF($AA1046=0,"",IF(INDEX(Quotes!$O$9:$O$258,$AA1046)="","No revised link","Revised quote"))</f>
        <v/>
      </c>
      <c r="J1051" s="39"/>
      <c r="K1051" s="39"/>
      <c r="L1051" s="39"/>
      <c r="M1051" s="39"/>
      <c r="N1051" s="39"/>
      <c r="O1051" s="39"/>
      <c r="Q1051" s="81" t="str">
        <f>IF($AA1046=0,"",HYPERLINK("#'Quotes'!A"&amp;($AA1046+8),"Open quote record"))</f>
        <v/>
      </c>
      <c r="R1051" s="39"/>
      <c r="S1051" s="39"/>
      <c r="T1051" s="39"/>
      <c r="U1051" s="39"/>
      <c r="V1051" s="39"/>
    </row>
    <row r="1052" spans="1:27" ht="21" hidden="1" customHeight="1" x14ac:dyDescent="0.35"/>
    <row r="1053" spans="1:27" hidden="1" x14ac:dyDescent="0.35"/>
    <row r="1054" spans="1:27" hidden="1" x14ac:dyDescent="0.35"/>
    <row r="1055" spans="1:27" ht="29" hidden="1" customHeight="1" x14ac:dyDescent="0.35">
      <c r="A1055" s="84" t="str">
        <f>IF($AA1055=0,"",IF(LEN(INDEX(Quotes!$U$9:$U$258,$AA1055)&amp;"")=0,"",INDEX(Quotes!$U$9:$U$258,$AA1055)))</f>
        <v/>
      </c>
      <c r="B1055" s="39"/>
      <c r="C1055" s="39"/>
      <c r="D1055" s="39"/>
      <c r="E1055" s="39"/>
      <c r="F1055" s="39"/>
      <c r="G1055" s="39"/>
      <c r="H1055" s="39"/>
      <c r="I1055" s="39"/>
      <c r="J1055" s="39"/>
      <c r="K1055" s="85" t="str">
        <f>IF($AA1055=0,"",IF(LEN(INDEX(Quotes!$Z$9:$Z$258,$AA1055)&amp;"")=0,"",INDEX(Quotes!$Z$9:$Z$258,$AA1055)))</f>
        <v/>
      </c>
      <c r="L1055" s="39"/>
      <c r="M1055" s="39"/>
      <c r="N1055" s="39"/>
      <c r="O1055" s="39"/>
      <c r="P1055" s="39"/>
      <c r="Q1055" s="39"/>
      <c r="R1055" s="39"/>
      <c r="S1055" s="39"/>
      <c r="T1055" s="39"/>
      <c r="U1055" s="39"/>
      <c r="V1055" s="39"/>
      <c r="AA1055">
        <f>IFERROR(MATCH(108,Quotes!$AK$9:$AK$258,0),0)</f>
        <v>0</v>
      </c>
    </row>
    <row r="1056" spans="1:27" ht="21" hidden="1" customHeight="1" x14ac:dyDescent="0.35">
      <c r="A1056" s="40" t="str">
        <f>IF($AA1055=0,"",IF(LEN(INDEX(Quotes!$V$9:$V$258,$AA1055)&amp;"")=0,"",INDEX(Quotes!$V$9:$V$258,$AA1055)))</f>
        <v/>
      </c>
      <c r="B1056" s="39"/>
      <c r="C1056" s="39"/>
      <c r="D1056" s="39"/>
      <c r="E1056" s="39"/>
      <c r="F1056" s="39"/>
      <c r="G1056" s="39"/>
      <c r="H1056" s="40" t="str">
        <f>IF($AA1055=0,"",IF(LEN(INDEX(Quotes!$W$9:$W$258,$AA1055)&amp;"")=0,"",INDEX(Quotes!$W$9:$W$258,$AA1055)))</f>
        <v/>
      </c>
      <c r="I1056" s="39"/>
      <c r="J1056" s="39"/>
      <c r="K1056" s="39"/>
      <c r="L1056" s="39"/>
      <c r="M1056" s="39"/>
      <c r="N1056" s="39"/>
      <c r="O1056" s="39"/>
      <c r="P1056" s="39"/>
      <c r="Q1056" s="39"/>
      <c r="R1056" s="77" t="str">
        <f>IF($AA1055=0,"",IF(LEN(INDEX(Quotes!$X$9:$X$258,$AA1055)&amp;"")=0,"",INDEX(Quotes!$X$9:$X$258,$AA1055)))</f>
        <v/>
      </c>
      <c r="S1056" s="39"/>
      <c r="T1056" s="39"/>
      <c r="U1056" s="39"/>
      <c r="V1056" s="39"/>
    </row>
    <row r="1057" spans="1:27" ht="21" hidden="1" customHeight="1" x14ac:dyDescent="0.35">
      <c r="A1057" s="83" t="str">
        <f>IF($AA1055=0,"","ORIGINAL EUR")</f>
        <v/>
      </c>
      <c r="B1057" s="39"/>
      <c r="C1057" s="39"/>
      <c r="D1057" s="39"/>
      <c r="E1057" s="39"/>
      <c r="F1057" s="39"/>
      <c r="G1057" s="39"/>
      <c r="I1057" s="83" t="str">
        <f>IF($AA1055=0,"","LATEST EUR")</f>
        <v/>
      </c>
      <c r="J1057" s="39"/>
      <c r="K1057" s="39"/>
      <c r="L1057" s="39"/>
      <c r="M1057" s="39"/>
      <c r="N1057" s="39"/>
      <c r="O1057" s="39"/>
      <c r="Q1057" s="83" t="str">
        <f>IF($AA1055=0,"","SAVED EUR")</f>
        <v/>
      </c>
      <c r="R1057" s="39"/>
      <c r="S1057" s="39"/>
      <c r="T1057" s="39"/>
      <c r="U1057" s="39"/>
      <c r="V1057" s="39"/>
    </row>
    <row r="1058" spans="1:27" ht="21" hidden="1" customHeight="1" x14ac:dyDescent="0.35">
      <c r="A1058" s="82" t="str">
        <f>IF($AA1055=0,"",IF(LEN(INDEX(Quotes!$AB$9:$AB$258,$AA1055)&amp;"")=0,"",INDEX(Quotes!$AB$9:$AB$258,$AA1055)))</f>
        <v/>
      </c>
      <c r="B1058" s="39"/>
      <c r="C1058" s="39"/>
      <c r="D1058" s="39"/>
      <c r="E1058" s="39"/>
      <c r="F1058" s="39"/>
      <c r="G1058" s="39"/>
      <c r="I1058" s="82" t="str">
        <f>IF($AA1055=0,"",IF(LEN(INDEX(Quotes!$AD$9:$AD$258,$AA1055)&amp;"")=0,"",INDEX(Quotes!$AD$9:$AD$258,$AA1055)))</f>
        <v/>
      </c>
      <c r="J1058" s="39"/>
      <c r="K1058" s="39"/>
      <c r="L1058" s="39"/>
      <c r="M1058" s="39"/>
      <c r="N1058" s="39"/>
      <c r="O1058" s="39"/>
      <c r="Q1058" s="82" t="str">
        <f>IF($AA1055=0,"",IF(LEN(INDEX(Quotes!$AF$9:$AF$258,$AA1055)&amp;"")=0,"",INDEX(Quotes!$AF$9:$AF$258,$AA1055)))</f>
        <v/>
      </c>
      <c r="R1058" s="39"/>
      <c r="S1058" s="39"/>
      <c r="T1058" s="39"/>
      <c r="U1058" s="39"/>
      <c r="V1058" s="39"/>
    </row>
    <row r="1059" spans="1:27" ht="21" hidden="1" customHeight="1" x14ac:dyDescent="0.35">
      <c r="A1059" s="48" t="str">
        <f>IF($AA1055=0,"","Reference: "&amp;IF(INDEX(Quotes!$M$9:$M$258,$AA1055)="",INDEX(Quotes!$S$9:$S$258,$AA1055),INDEX(Quotes!$M$9:$M$258,$AA1055)))</f>
        <v/>
      </c>
      <c r="B1059" s="39"/>
      <c r="C1059" s="39"/>
      <c r="D1059" s="39"/>
      <c r="E1059" s="39"/>
      <c r="F1059" s="39"/>
      <c r="G1059" s="39"/>
      <c r="H1059" s="39"/>
      <c r="I1059" s="39"/>
      <c r="J1059" s="39"/>
      <c r="K1059" s="39"/>
      <c r="L1059" s="39"/>
      <c r="M1059" s="39"/>
      <c r="N1059" s="39"/>
      <c r="O1059" s="39"/>
      <c r="P1059" s="39"/>
      <c r="Q1059" s="48" t="str">
        <f>IF($AA1055=0,"",INDEX(Quotes!$E$9:$E$258,$AA1055))</f>
        <v/>
      </c>
      <c r="R1059" s="39"/>
      <c r="S1059" s="39"/>
      <c r="T1059" s="39"/>
      <c r="U1059" s="39"/>
      <c r="V1059" s="39"/>
    </row>
    <row r="1060" spans="1:27" ht="21" hidden="1" customHeight="1" x14ac:dyDescent="0.35">
      <c r="A1060" s="81" t="str">
        <f>IF($AA1055=0,"",IF(INDEX(Quotes!$N$9:$N$258,$AA1055)="","No original link","Original quote"))</f>
        <v/>
      </c>
      <c r="B1060" s="39"/>
      <c r="C1060" s="39"/>
      <c r="D1060" s="39"/>
      <c r="E1060" s="39"/>
      <c r="F1060" s="39"/>
      <c r="G1060" s="39"/>
      <c r="I1060" s="81" t="str">
        <f>IF($AA1055=0,"",IF(INDEX(Quotes!$O$9:$O$258,$AA1055)="","No revised link","Revised quote"))</f>
        <v/>
      </c>
      <c r="J1060" s="39"/>
      <c r="K1060" s="39"/>
      <c r="L1060" s="39"/>
      <c r="M1060" s="39"/>
      <c r="N1060" s="39"/>
      <c r="O1060" s="39"/>
      <c r="Q1060" s="81" t="str">
        <f>IF($AA1055=0,"",HYPERLINK("#'Quotes'!A"&amp;($AA1055+8),"Open quote record"))</f>
        <v/>
      </c>
      <c r="R1060" s="39"/>
      <c r="S1060" s="39"/>
      <c r="T1060" s="39"/>
      <c r="U1060" s="39"/>
      <c r="V1060" s="39"/>
    </row>
    <row r="1061" spans="1:27" ht="21" hidden="1" customHeight="1" x14ac:dyDescent="0.35"/>
    <row r="1062" spans="1:27" hidden="1" x14ac:dyDescent="0.35"/>
    <row r="1063" spans="1:27" hidden="1" x14ac:dyDescent="0.35"/>
    <row r="1064" spans="1:27" hidden="1" x14ac:dyDescent="0.35"/>
    <row r="1065" spans="1:27" hidden="1" x14ac:dyDescent="0.35">
      <c r="A1065" s="67" t="s">
        <v>655</v>
      </c>
      <c r="B1065" s="39"/>
      <c r="C1065" s="39"/>
      <c r="D1065" s="39"/>
      <c r="E1065" s="39"/>
      <c r="F1065" s="39"/>
      <c r="G1065" s="39"/>
      <c r="H1065" s="39"/>
      <c r="I1065" s="39"/>
      <c r="J1065" s="39"/>
      <c r="K1065" s="39"/>
      <c r="L1065" s="39"/>
      <c r="M1065" s="39"/>
      <c r="N1065" s="39"/>
      <c r="O1065" s="39"/>
      <c r="P1065" s="39"/>
      <c r="Q1065" s="39"/>
      <c r="R1065" s="39"/>
      <c r="S1065" s="39"/>
      <c r="T1065" s="39"/>
      <c r="U1065" s="39"/>
      <c r="V1065" s="39"/>
    </row>
    <row r="1066" spans="1:27" ht="29" hidden="1" customHeight="1" x14ac:dyDescent="0.35">
      <c r="A1066" s="84" t="str">
        <f>IF($AA1066=0,"",IF(LEN(INDEX(Quotes!$U$9:$U$258,$AA1066)&amp;"")=0,"",INDEX(Quotes!$U$9:$U$258,$AA1066)))</f>
        <v/>
      </c>
      <c r="B1066" s="39"/>
      <c r="C1066" s="39"/>
      <c r="D1066" s="39"/>
      <c r="E1066" s="39"/>
      <c r="F1066" s="39"/>
      <c r="G1066" s="39"/>
      <c r="H1066" s="39"/>
      <c r="I1066" s="39"/>
      <c r="J1066" s="39"/>
      <c r="K1066" s="85" t="str">
        <f>IF($AA1066=0,"",IF(LEN(INDEX(Quotes!$Z$9:$Z$258,$AA1066)&amp;"")=0,"",INDEX(Quotes!$Z$9:$Z$258,$AA1066)))</f>
        <v/>
      </c>
      <c r="L1066" s="39"/>
      <c r="M1066" s="39"/>
      <c r="N1066" s="39"/>
      <c r="O1066" s="39"/>
      <c r="P1066" s="39"/>
      <c r="Q1066" s="39"/>
      <c r="R1066" s="39"/>
      <c r="S1066" s="39"/>
      <c r="T1066" s="39"/>
      <c r="U1066" s="39"/>
      <c r="V1066" s="39"/>
      <c r="AA1066">
        <f>IFERROR(MATCH(109,Quotes!$AK$9:$AK$258,0),0)</f>
        <v>0</v>
      </c>
    </row>
    <row r="1067" spans="1:27" ht="21" hidden="1" customHeight="1" x14ac:dyDescent="0.35">
      <c r="A1067" s="40" t="str">
        <f>IF($AA1066=0,"",IF(LEN(INDEX(Quotes!$V$9:$V$258,$AA1066)&amp;"")=0,"",INDEX(Quotes!$V$9:$V$258,$AA1066)))</f>
        <v/>
      </c>
      <c r="B1067" s="39"/>
      <c r="C1067" s="39"/>
      <c r="D1067" s="39"/>
      <c r="E1067" s="39"/>
      <c r="F1067" s="39"/>
      <c r="G1067" s="39"/>
      <c r="H1067" s="40" t="str">
        <f>IF($AA1066=0,"",IF(LEN(INDEX(Quotes!$W$9:$W$258,$AA1066)&amp;"")=0,"",INDEX(Quotes!$W$9:$W$258,$AA1066)))</f>
        <v/>
      </c>
      <c r="I1067" s="39"/>
      <c r="J1067" s="39"/>
      <c r="K1067" s="39"/>
      <c r="L1067" s="39"/>
      <c r="M1067" s="39"/>
      <c r="N1067" s="39"/>
      <c r="O1067" s="39"/>
      <c r="P1067" s="39"/>
      <c r="Q1067" s="39"/>
      <c r="R1067" s="77" t="str">
        <f>IF($AA1066=0,"",IF(LEN(INDEX(Quotes!$X$9:$X$258,$AA1066)&amp;"")=0,"",INDEX(Quotes!$X$9:$X$258,$AA1066)))</f>
        <v/>
      </c>
      <c r="S1067" s="39"/>
      <c r="T1067" s="39"/>
      <c r="U1067" s="39"/>
      <c r="V1067" s="39"/>
    </row>
    <row r="1068" spans="1:27" ht="21" hidden="1" customHeight="1" x14ac:dyDescent="0.35">
      <c r="A1068" s="83" t="str">
        <f>IF($AA1066=0,"","ORIGINAL EUR")</f>
        <v/>
      </c>
      <c r="B1068" s="39"/>
      <c r="C1068" s="39"/>
      <c r="D1068" s="39"/>
      <c r="E1068" s="39"/>
      <c r="F1068" s="39"/>
      <c r="G1068" s="39"/>
      <c r="I1068" s="83" t="str">
        <f>IF($AA1066=0,"","LATEST EUR")</f>
        <v/>
      </c>
      <c r="J1068" s="39"/>
      <c r="K1068" s="39"/>
      <c r="L1068" s="39"/>
      <c r="M1068" s="39"/>
      <c r="N1068" s="39"/>
      <c r="O1068" s="39"/>
      <c r="Q1068" s="83" t="str">
        <f>IF($AA1066=0,"","SAVED EUR")</f>
        <v/>
      </c>
      <c r="R1068" s="39"/>
      <c r="S1068" s="39"/>
      <c r="T1068" s="39"/>
      <c r="U1068" s="39"/>
      <c r="V1068" s="39"/>
    </row>
    <row r="1069" spans="1:27" ht="21" hidden="1" customHeight="1" x14ac:dyDescent="0.35">
      <c r="A1069" s="82" t="str">
        <f>IF($AA1066=0,"",IF(LEN(INDEX(Quotes!$AB$9:$AB$258,$AA1066)&amp;"")=0,"",INDEX(Quotes!$AB$9:$AB$258,$AA1066)))</f>
        <v/>
      </c>
      <c r="B1069" s="39"/>
      <c r="C1069" s="39"/>
      <c r="D1069" s="39"/>
      <c r="E1069" s="39"/>
      <c r="F1069" s="39"/>
      <c r="G1069" s="39"/>
      <c r="I1069" s="82" t="str">
        <f>IF($AA1066=0,"",IF(LEN(INDEX(Quotes!$AD$9:$AD$258,$AA1066)&amp;"")=0,"",INDEX(Quotes!$AD$9:$AD$258,$AA1066)))</f>
        <v/>
      </c>
      <c r="J1069" s="39"/>
      <c r="K1069" s="39"/>
      <c r="L1069" s="39"/>
      <c r="M1069" s="39"/>
      <c r="N1069" s="39"/>
      <c r="O1069" s="39"/>
      <c r="Q1069" s="82" t="str">
        <f>IF($AA1066=0,"",IF(LEN(INDEX(Quotes!$AF$9:$AF$258,$AA1066)&amp;"")=0,"",INDEX(Quotes!$AF$9:$AF$258,$AA1066)))</f>
        <v/>
      </c>
      <c r="R1069" s="39"/>
      <c r="S1069" s="39"/>
      <c r="T1069" s="39"/>
      <c r="U1069" s="39"/>
      <c r="V1069" s="39"/>
    </row>
    <row r="1070" spans="1:27" ht="21" hidden="1" customHeight="1" x14ac:dyDescent="0.35">
      <c r="A1070" s="48" t="str">
        <f>IF($AA1066=0,"","Reference: "&amp;IF(INDEX(Quotes!$M$9:$M$258,$AA1066)="",INDEX(Quotes!$S$9:$S$258,$AA1066),INDEX(Quotes!$M$9:$M$258,$AA1066)))</f>
        <v/>
      </c>
      <c r="B1070" s="39"/>
      <c r="C1070" s="39"/>
      <c r="D1070" s="39"/>
      <c r="E1070" s="39"/>
      <c r="F1070" s="39"/>
      <c r="G1070" s="39"/>
      <c r="H1070" s="39"/>
      <c r="I1070" s="39"/>
      <c r="J1070" s="39"/>
      <c r="K1070" s="39"/>
      <c r="L1070" s="39"/>
      <c r="M1070" s="39"/>
      <c r="N1070" s="39"/>
      <c r="O1070" s="39"/>
      <c r="P1070" s="39"/>
      <c r="Q1070" s="48" t="str">
        <f>IF($AA1066=0,"",INDEX(Quotes!$E$9:$E$258,$AA1066))</f>
        <v/>
      </c>
      <c r="R1070" s="39"/>
      <c r="S1070" s="39"/>
      <c r="T1070" s="39"/>
      <c r="U1070" s="39"/>
      <c r="V1070" s="39"/>
    </row>
    <row r="1071" spans="1:27" ht="21" hidden="1" customHeight="1" x14ac:dyDescent="0.35">
      <c r="A1071" s="81" t="str">
        <f>IF($AA1066=0,"",IF(INDEX(Quotes!$N$9:$N$258,$AA1066)="","No original link","Original quote"))</f>
        <v/>
      </c>
      <c r="B1071" s="39"/>
      <c r="C1071" s="39"/>
      <c r="D1071" s="39"/>
      <c r="E1071" s="39"/>
      <c r="F1071" s="39"/>
      <c r="G1071" s="39"/>
      <c r="I1071" s="81" t="str">
        <f>IF($AA1066=0,"",IF(INDEX(Quotes!$O$9:$O$258,$AA1066)="","No revised link","Revised quote"))</f>
        <v/>
      </c>
      <c r="J1071" s="39"/>
      <c r="K1071" s="39"/>
      <c r="L1071" s="39"/>
      <c r="M1071" s="39"/>
      <c r="N1071" s="39"/>
      <c r="O1071" s="39"/>
      <c r="Q1071" s="81" t="str">
        <f>IF($AA1066=0,"",HYPERLINK("#'Quotes'!A"&amp;($AA1066+8),"Open quote record"))</f>
        <v/>
      </c>
      <c r="R1071" s="39"/>
      <c r="S1071" s="39"/>
      <c r="T1071" s="39"/>
      <c r="U1071" s="39"/>
      <c r="V1071" s="39"/>
    </row>
    <row r="1072" spans="1:27" ht="21" hidden="1" customHeight="1" x14ac:dyDescent="0.35"/>
    <row r="1073" spans="1:27" hidden="1" x14ac:dyDescent="0.35"/>
    <row r="1074" spans="1:27" hidden="1" x14ac:dyDescent="0.35"/>
    <row r="1075" spans="1:27" ht="29" hidden="1" customHeight="1" x14ac:dyDescent="0.35">
      <c r="A1075" s="84" t="str">
        <f>IF($AA1075=0,"",IF(LEN(INDEX(Quotes!$U$9:$U$258,$AA1075)&amp;"")=0,"",INDEX(Quotes!$U$9:$U$258,$AA1075)))</f>
        <v/>
      </c>
      <c r="B1075" s="39"/>
      <c r="C1075" s="39"/>
      <c r="D1075" s="39"/>
      <c r="E1075" s="39"/>
      <c r="F1075" s="39"/>
      <c r="G1075" s="39"/>
      <c r="H1075" s="39"/>
      <c r="I1075" s="39"/>
      <c r="J1075" s="39"/>
      <c r="K1075" s="85" t="str">
        <f>IF($AA1075=0,"",IF(LEN(INDEX(Quotes!$Z$9:$Z$258,$AA1075)&amp;"")=0,"",INDEX(Quotes!$Z$9:$Z$258,$AA1075)))</f>
        <v/>
      </c>
      <c r="L1075" s="39"/>
      <c r="M1075" s="39"/>
      <c r="N1075" s="39"/>
      <c r="O1075" s="39"/>
      <c r="P1075" s="39"/>
      <c r="Q1075" s="39"/>
      <c r="R1075" s="39"/>
      <c r="S1075" s="39"/>
      <c r="T1075" s="39"/>
      <c r="U1075" s="39"/>
      <c r="V1075" s="39"/>
      <c r="AA1075">
        <f>IFERROR(MATCH(110,Quotes!$AK$9:$AK$258,0),0)</f>
        <v>0</v>
      </c>
    </row>
    <row r="1076" spans="1:27" ht="21" hidden="1" customHeight="1" x14ac:dyDescent="0.35">
      <c r="A1076" s="40" t="str">
        <f>IF($AA1075=0,"",IF(LEN(INDEX(Quotes!$V$9:$V$258,$AA1075)&amp;"")=0,"",INDEX(Quotes!$V$9:$V$258,$AA1075)))</f>
        <v/>
      </c>
      <c r="B1076" s="39"/>
      <c r="C1076" s="39"/>
      <c r="D1076" s="39"/>
      <c r="E1076" s="39"/>
      <c r="F1076" s="39"/>
      <c r="G1076" s="39"/>
      <c r="H1076" s="40" t="str">
        <f>IF($AA1075=0,"",IF(LEN(INDEX(Quotes!$W$9:$W$258,$AA1075)&amp;"")=0,"",INDEX(Quotes!$W$9:$W$258,$AA1075)))</f>
        <v/>
      </c>
      <c r="I1076" s="39"/>
      <c r="J1076" s="39"/>
      <c r="K1076" s="39"/>
      <c r="L1076" s="39"/>
      <c r="M1076" s="39"/>
      <c r="N1076" s="39"/>
      <c r="O1076" s="39"/>
      <c r="P1076" s="39"/>
      <c r="Q1076" s="39"/>
      <c r="R1076" s="77" t="str">
        <f>IF($AA1075=0,"",IF(LEN(INDEX(Quotes!$X$9:$X$258,$AA1075)&amp;"")=0,"",INDEX(Quotes!$X$9:$X$258,$AA1075)))</f>
        <v/>
      </c>
      <c r="S1076" s="39"/>
      <c r="T1076" s="39"/>
      <c r="U1076" s="39"/>
      <c r="V1076" s="39"/>
    </row>
    <row r="1077" spans="1:27" ht="21" hidden="1" customHeight="1" x14ac:dyDescent="0.35">
      <c r="A1077" s="83" t="str">
        <f>IF($AA1075=0,"","ORIGINAL EUR")</f>
        <v/>
      </c>
      <c r="B1077" s="39"/>
      <c r="C1077" s="39"/>
      <c r="D1077" s="39"/>
      <c r="E1077" s="39"/>
      <c r="F1077" s="39"/>
      <c r="G1077" s="39"/>
      <c r="I1077" s="83" t="str">
        <f>IF($AA1075=0,"","LATEST EUR")</f>
        <v/>
      </c>
      <c r="J1077" s="39"/>
      <c r="K1077" s="39"/>
      <c r="L1077" s="39"/>
      <c r="M1077" s="39"/>
      <c r="N1077" s="39"/>
      <c r="O1077" s="39"/>
      <c r="Q1077" s="83" t="str">
        <f>IF($AA1075=0,"","SAVED EUR")</f>
        <v/>
      </c>
      <c r="R1077" s="39"/>
      <c r="S1077" s="39"/>
      <c r="T1077" s="39"/>
      <c r="U1077" s="39"/>
      <c r="V1077" s="39"/>
    </row>
    <row r="1078" spans="1:27" ht="21" hidden="1" customHeight="1" x14ac:dyDescent="0.35">
      <c r="A1078" s="82" t="str">
        <f>IF($AA1075=0,"",IF(LEN(INDEX(Quotes!$AB$9:$AB$258,$AA1075)&amp;"")=0,"",INDEX(Quotes!$AB$9:$AB$258,$AA1075)))</f>
        <v/>
      </c>
      <c r="B1078" s="39"/>
      <c r="C1078" s="39"/>
      <c r="D1078" s="39"/>
      <c r="E1078" s="39"/>
      <c r="F1078" s="39"/>
      <c r="G1078" s="39"/>
      <c r="I1078" s="82" t="str">
        <f>IF($AA1075=0,"",IF(LEN(INDEX(Quotes!$AD$9:$AD$258,$AA1075)&amp;"")=0,"",INDEX(Quotes!$AD$9:$AD$258,$AA1075)))</f>
        <v/>
      </c>
      <c r="J1078" s="39"/>
      <c r="K1078" s="39"/>
      <c r="L1078" s="39"/>
      <c r="M1078" s="39"/>
      <c r="N1078" s="39"/>
      <c r="O1078" s="39"/>
      <c r="Q1078" s="82" t="str">
        <f>IF($AA1075=0,"",IF(LEN(INDEX(Quotes!$AF$9:$AF$258,$AA1075)&amp;"")=0,"",INDEX(Quotes!$AF$9:$AF$258,$AA1075)))</f>
        <v/>
      </c>
      <c r="R1078" s="39"/>
      <c r="S1078" s="39"/>
      <c r="T1078" s="39"/>
      <c r="U1078" s="39"/>
      <c r="V1078" s="39"/>
    </row>
    <row r="1079" spans="1:27" ht="21" hidden="1" customHeight="1" x14ac:dyDescent="0.35">
      <c r="A1079" s="48" t="str">
        <f>IF($AA1075=0,"","Reference: "&amp;IF(INDEX(Quotes!$M$9:$M$258,$AA1075)="",INDEX(Quotes!$S$9:$S$258,$AA1075),INDEX(Quotes!$M$9:$M$258,$AA1075)))</f>
        <v/>
      </c>
      <c r="B1079" s="39"/>
      <c r="C1079" s="39"/>
      <c r="D1079" s="39"/>
      <c r="E1079" s="39"/>
      <c r="F1079" s="39"/>
      <c r="G1079" s="39"/>
      <c r="H1079" s="39"/>
      <c r="I1079" s="39"/>
      <c r="J1079" s="39"/>
      <c r="K1079" s="39"/>
      <c r="L1079" s="39"/>
      <c r="M1079" s="39"/>
      <c r="N1079" s="39"/>
      <c r="O1079" s="39"/>
      <c r="P1079" s="39"/>
      <c r="Q1079" s="48" t="str">
        <f>IF($AA1075=0,"",INDEX(Quotes!$E$9:$E$258,$AA1075))</f>
        <v/>
      </c>
      <c r="R1079" s="39"/>
      <c r="S1079" s="39"/>
      <c r="T1079" s="39"/>
      <c r="U1079" s="39"/>
      <c r="V1079" s="39"/>
    </row>
    <row r="1080" spans="1:27" ht="21" hidden="1" customHeight="1" x14ac:dyDescent="0.35">
      <c r="A1080" s="81" t="str">
        <f>IF($AA1075=0,"",IF(INDEX(Quotes!$N$9:$N$258,$AA1075)="","No original link","Original quote"))</f>
        <v/>
      </c>
      <c r="B1080" s="39"/>
      <c r="C1080" s="39"/>
      <c r="D1080" s="39"/>
      <c r="E1080" s="39"/>
      <c r="F1080" s="39"/>
      <c r="G1080" s="39"/>
      <c r="I1080" s="81" t="str">
        <f>IF($AA1075=0,"",IF(INDEX(Quotes!$O$9:$O$258,$AA1075)="","No revised link","Revised quote"))</f>
        <v/>
      </c>
      <c r="J1080" s="39"/>
      <c r="K1080" s="39"/>
      <c r="L1080" s="39"/>
      <c r="M1080" s="39"/>
      <c r="N1080" s="39"/>
      <c r="O1080" s="39"/>
      <c r="Q1080" s="81" t="str">
        <f>IF($AA1075=0,"",HYPERLINK("#'Quotes'!A"&amp;($AA1075+8),"Open quote record"))</f>
        <v/>
      </c>
      <c r="R1080" s="39"/>
      <c r="S1080" s="39"/>
      <c r="T1080" s="39"/>
      <c r="U1080" s="39"/>
      <c r="V1080" s="39"/>
    </row>
    <row r="1081" spans="1:27" ht="21" hidden="1" customHeight="1" x14ac:dyDescent="0.35"/>
    <row r="1082" spans="1:27" hidden="1" x14ac:dyDescent="0.35"/>
    <row r="1083" spans="1:27" hidden="1" x14ac:dyDescent="0.35"/>
    <row r="1084" spans="1:27" ht="29" hidden="1" customHeight="1" x14ac:dyDescent="0.35">
      <c r="A1084" s="84" t="str">
        <f>IF($AA1084=0,"",IF(LEN(INDEX(Quotes!$U$9:$U$258,$AA1084)&amp;"")=0,"",INDEX(Quotes!$U$9:$U$258,$AA1084)))</f>
        <v/>
      </c>
      <c r="B1084" s="39"/>
      <c r="C1084" s="39"/>
      <c r="D1084" s="39"/>
      <c r="E1084" s="39"/>
      <c r="F1084" s="39"/>
      <c r="G1084" s="39"/>
      <c r="H1084" s="39"/>
      <c r="I1084" s="39"/>
      <c r="J1084" s="39"/>
      <c r="K1084" s="85" t="str">
        <f>IF($AA1084=0,"",IF(LEN(INDEX(Quotes!$Z$9:$Z$258,$AA1084)&amp;"")=0,"",INDEX(Quotes!$Z$9:$Z$258,$AA1084)))</f>
        <v/>
      </c>
      <c r="L1084" s="39"/>
      <c r="M1084" s="39"/>
      <c r="N1084" s="39"/>
      <c r="O1084" s="39"/>
      <c r="P1084" s="39"/>
      <c r="Q1084" s="39"/>
      <c r="R1084" s="39"/>
      <c r="S1084" s="39"/>
      <c r="T1084" s="39"/>
      <c r="U1084" s="39"/>
      <c r="V1084" s="39"/>
      <c r="AA1084">
        <f>IFERROR(MATCH(111,Quotes!$AK$9:$AK$258,0),0)</f>
        <v>0</v>
      </c>
    </row>
    <row r="1085" spans="1:27" ht="21" hidden="1" customHeight="1" x14ac:dyDescent="0.35">
      <c r="A1085" s="40" t="str">
        <f>IF($AA1084=0,"",IF(LEN(INDEX(Quotes!$V$9:$V$258,$AA1084)&amp;"")=0,"",INDEX(Quotes!$V$9:$V$258,$AA1084)))</f>
        <v/>
      </c>
      <c r="B1085" s="39"/>
      <c r="C1085" s="39"/>
      <c r="D1085" s="39"/>
      <c r="E1085" s="39"/>
      <c r="F1085" s="39"/>
      <c r="G1085" s="39"/>
      <c r="H1085" s="40" t="str">
        <f>IF($AA1084=0,"",IF(LEN(INDEX(Quotes!$W$9:$W$258,$AA1084)&amp;"")=0,"",INDEX(Quotes!$W$9:$W$258,$AA1084)))</f>
        <v/>
      </c>
      <c r="I1085" s="39"/>
      <c r="J1085" s="39"/>
      <c r="K1085" s="39"/>
      <c r="L1085" s="39"/>
      <c r="M1085" s="39"/>
      <c r="N1085" s="39"/>
      <c r="O1085" s="39"/>
      <c r="P1085" s="39"/>
      <c r="Q1085" s="39"/>
      <c r="R1085" s="77" t="str">
        <f>IF($AA1084=0,"",IF(LEN(INDEX(Quotes!$X$9:$X$258,$AA1084)&amp;"")=0,"",INDEX(Quotes!$X$9:$X$258,$AA1084)))</f>
        <v/>
      </c>
      <c r="S1085" s="39"/>
      <c r="T1085" s="39"/>
      <c r="U1085" s="39"/>
      <c r="V1085" s="39"/>
    </row>
    <row r="1086" spans="1:27" ht="21" hidden="1" customHeight="1" x14ac:dyDescent="0.35">
      <c r="A1086" s="83" t="str">
        <f>IF($AA1084=0,"","ORIGINAL EUR")</f>
        <v/>
      </c>
      <c r="B1086" s="39"/>
      <c r="C1086" s="39"/>
      <c r="D1086" s="39"/>
      <c r="E1086" s="39"/>
      <c r="F1086" s="39"/>
      <c r="G1086" s="39"/>
      <c r="I1086" s="83" t="str">
        <f>IF($AA1084=0,"","LATEST EUR")</f>
        <v/>
      </c>
      <c r="J1086" s="39"/>
      <c r="K1086" s="39"/>
      <c r="L1086" s="39"/>
      <c r="M1086" s="39"/>
      <c r="N1086" s="39"/>
      <c r="O1086" s="39"/>
      <c r="Q1086" s="83" t="str">
        <f>IF($AA1084=0,"","SAVED EUR")</f>
        <v/>
      </c>
      <c r="R1086" s="39"/>
      <c r="S1086" s="39"/>
      <c r="T1086" s="39"/>
      <c r="U1086" s="39"/>
      <c r="V1086" s="39"/>
    </row>
    <row r="1087" spans="1:27" ht="21" hidden="1" customHeight="1" x14ac:dyDescent="0.35">
      <c r="A1087" s="82" t="str">
        <f>IF($AA1084=0,"",IF(LEN(INDEX(Quotes!$AB$9:$AB$258,$AA1084)&amp;"")=0,"",INDEX(Quotes!$AB$9:$AB$258,$AA1084)))</f>
        <v/>
      </c>
      <c r="B1087" s="39"/>
      <c r="C1087" s="39"/>
      <c r="D1087" s="39"/>
      <c r="E1087" s="39"/>
      <c r="F1087" s="39"/>
      <c r="G1087" s="39"/>
      <c r="I1087" s="82" t="str">
        <f>IF($AA1084=0,"",IF(LEN(INDEX(Quotes!$AD$9:$AD$258,$AA1084)&amp;"")=0,"",INDEX(Quotes!$AD$9:$AD$258,$AA1084)))</f>
        <v/>
      </c>
      <c r="J1087" s="39"/>
      <c r="K1087" s="39"/>
      <c r="L1087" s="39"/>
      <c r="M1087" s="39"/>
      <c r="N1087" s="39"/>
      <c r="O1087" s="39"/>
      <c r="Q1087" s="82" t="str">
        <f>IF($AA1084=0,"",IF(LEN(INDEX(Quotes!$AF$9:$AF$258,$AA1084)&amp;"")=0,"",INDEX(Quotes!$AF$9:$AF$258,$AA1084)))</f>
        <v/>
      </c>
      <c r="R1087" s="39"/>
      <c r="S1087" s="39"/>
      <c r="T1087" s="39"/>
      <c r="U1087" s="39"/>
      <c r="V1087" s="39"/>
    </row>
    <row r="1088" spans="1:27" ht="21" hidden="1" customHeight="1" x14ac:dyDescent="0.35">
      <c r="A1088" s="48" t="str">
        <f>IF($AA1084=0,"","Reference: "&amp;IF(INDEX(Quotes!$M$9:$M$258,$AA1084)="",INDEX(Quotes!$S$9:$S$258,$AA1084),INDEX(Quotes!$M$9:$M$258,$AA1084)))</f>
        <v/>
      </c>
      <c r="B1088" s="39"/>
      <c r="C1088" s="39"/>
      <c r="D1088" s="39"/>
      <c r="E1088" s="39"/>
      <c r="F1088" s="39"/>
      <c r="G1088" s="39"/>
      <c r="H1088" s="39"/>
      <c r="I1088" s="39"/>
      <c r="J1088" s="39"/>
      <c r="K1088" s="39"/>
      <c r="L1088" s="39"/>
      <c r="M1088" s="39"/>
      <c r="N1088" s="39"/>
      <c r="O1088" s="39"/>
      <c r="P1088" s="39"/>
      <c r="Q1088" s="48" t="str">
        <f>IF($AA1084=0,"",INDEX(Quotes!$E$9:$E$258,$AA1084))</f>
        <v/>
      </c>
      <c r="R1088" s="39"/>
      <c r="S1088" s="39"/>
      <c r="T1088" s="39"/>
      <c r="U1088" s="39"/>
      <c r="V1088" s="39"/>
    </row>
    <row r="1089" spans="1:27" ht="21" hidden="1" customHeight="1" x14ac:dyDescent="0.35">
      <c r="A1089" s="81" t="str">
        <f>IF($AA1084=0,"",IF(INDEX(Quotes!$N$9:$N$258,$AA1084)="","No original link","Original quote"))</f>
        <v/>
      </c>
      <c r="B1089" s="39"/>
      <c r="C1089" s="39"/>
      <c r="D1089" s="39"/>
      <c r="E1089" s="39"/>
      <c r="F1089" s="39"/>
      <c r="G1089" s="39"/>
      <c r="I1089" s="81" t="str">
        <f>IF($AA1084=0,"",IF(INDEX(Quotes!$O$9:$O$258,$AA1084)="","No revised link","Revised quote"))</f>
        <v/>
      </c>
      <c r="J1089" s="39"/>
      <c r="K1089" s="39"/>
      <c r="L1089" s="39"/>
      <c r="M1089" s="39"/>
      <c r="N1089" s="39"/>
      <c r="O1089" s="39"/>
      <c r="Q1089" s="81" t="str">
        <f>IF($AA1084=0,"",HYPERLINK("#'Quotes'!A"&amp;($AA1084+8),"Open quote record"))</f>
        <v/>
      </c>
      <c r="R1089" s="39"/>
      <c r="S1089" s="39"/>
      <c r="T1089" s="39"/>
      <c r="U1089" s="39"/>
      <c r="V1089" s="39"/>
    </row>
    <row r="1090" spans="1:27" ht="21" hidden="1" customHeight="1" x14ac:dyDescent="0.35"/>
    <row r="1091" spans="1:27" hidden="1" x14ac:dyDescent="0.35"/>
    <row r="1092" spans="1:27" hidden="1" x14ac:dyDescent="0.35"/>
    <row r="1093" spans="1:27" ht="29" hidden="1" customHeight="1" x14ac:dyDescent="0.35">
      <c r="A1093" s="84" t="str">
        <f>IF($AA1093=0,"",IF(LEN(INDEX(Quotes!$U$9:$U$258,$AA1093)&amp;"")=0,"",INDEX(Quotes!$U$9:$U$258,$AA1093)))</f>
        <v/>
      </c>
      <c r="B1093" s="39"/>
      <c r="C1093" s="39"/>
      <c r="D1093" s="39"/>
      <c r="E1093" s="39"/>
      <c r="F1093" s="39"/>
      <c r="G1093" s="39"/>
      <c r="H1093" s="39"/>
      <c r="I1093" s="39"/>
      <c r="J1093" s="39"/>
      <c r="K1093" s="85" t="str">
        <f>IF($AA1093=0,"",IF(LEN(INDEX(Quotes!$Z$9:$Z$258,$AA1093)&amp;"")=0,"",INDEX(Quotes!$Z$9:$Z$258,$AA1093)))</f>
        <v/>
      </c>
      <c r="L1093" s="39"/>
      <c r="M1093" s="39"/>
      <c r="N1093" s="39"/>
      <c r="O1093" s="39"/>
      <c r="P1093" s="39"/>
      <c r="Q1093" s="39"/>
      <c r="R1093" s="39"/>
      <c r="S1093" s="39"/>
      <c r="T1093" s="39"/>
      <c r="U1093" s="39"/>
      <c r="V1093" s="39"/>
      <c r="AA1093">
        <f>IFERROR(MATCH(112,Quotes!$AK$9:$AK$258,0),0)</f>
        <v>0</v>
      </c>
    </row>
    <row r="1094" spans="1:27" ht="21" hidden="1" customHeight="1" x14ac:dyDescent="0.35">
      <c r="A1094" s="40" t="str">
        <f>IF($AA1093=0,"",IF(LEN(INDEX(Quotes!$V$9:$V$258,$AA1093)&amp;"")=0,"",INDEX(Quotes!$V$9:$V$258,$AA1093)))</f>
        <v/>
      </c>
      <c r="B1094" s="39"/>
      <c r="C1094" s="39"/>
      <c r="D1094" s="39"/>
      <c r="E1094" s="39"/>
      <c r="F1094" s="39"/>
      <c r="G1094" s="39"/>
      <c r="H1094" s="40" t="str">
        <f>IF($AA1093=0,"",IF(LEN(INDEX(Quotes!$W$9:$W$258,$AA1093)&amp;"")=0,"",INDEX(Quotes!$W$9:$W$258,$AA1093)))</f>
        <v/>
      </c>
      <c r="I1094" s="39"/>
      <c r="J1094" s="39"/>
      <c r="K1094" s="39"/>
      <c r="L1094" s="39"/>
      <c r="M1094" s="39"/>
      <c r="N1094" s="39"/>
      <c r="O1094" s="39"/>
      <c r="P1094" s="39"/>
      <c r="Q1094" s="39"/>
      <c r="R1094" s="77" t="str">
        <f>IF($AA1093=0,"",IF(LEN(INDEX(Quotes!$X$9:$X$258,$AA1093)&amp;"")=0,"",INDEX(Quotes!$X$9:$X$258,$AA1093)))</f>
        <v/>
      </c>
      <c r="S1094" s="39"/>
      <c r="T1094" s="39"/>
      <c r="U1094" s="39"/>
      <c r="V1094" s="39"/>
    </row>
    <row r="1095" spans="1:27" ht="21" hidden="1" customHeight="1" x14ac:dyDescent="0.35">
      <c r="A1095" s="83" t="str">
        <f>IF($AA1093=0,"","ORIGINAL EUR")</f>
        <v/>
      </c>
      <c r="B1095" s="39"/>
      <c r="C1095" s="39"/>
      <c r="D1095" s="39"/>
      <c r="E1095" s="39"/>
      <c r="F1095" s="39"/>
      <c r="G1095" s="39"/>
      <c r="I1095" s="83" t="str">
        <f>IF($AA1093=0,"","LATEST EUR")</f>
        <v/>
      </c>
      <c r="J1095" s="39"/>
      <c r="K1095" s="39"/>
      <c r="L1095" s="39"/>
      <c r="M1095" s="39"/>
      <c r="N1095" s="39"/>
      <c r="O1095" s="39"/>
      <c r="Q1095" s="83" t="str">
        <f>IF($AA1093=0,"","SAVED EUR")</f>
        <v/>
      </c>
      <c r="R1095" s="39"/>
      <c r="S1095" s="39"/>
      <c r="T1095" s="39"/>
      <c r="U1095" s="39"/>
      <c r="V1095" s="39"/>
    </row>
    <row r="1096" spans="1:27" ht="21" hidden="1" customHeight="1" x14ac:dyDescent="0.35">
      <c r="A1096" s="82" t="str">
        <f>IF($AA1093=0,"",IF(LEN(INDEX(Quotes!$AB$9:$AB$258,$AA1093)&amp;"")=0,"",INDEX(Quotes!$AB$9:$AB$258,$AA1093)))</f>
        <v/>
      </c>
      <c r="B1096" s="39"/>
      <c r="C1096" s="39"/>
      <c r="D1096" s="39"/>
      <c r="E1096" s="39"/>
      <c r="F1096" s="39"/>
      <c r="G1096" s="39"/>
      <c r="I1096" s="82" t="str">
        <f>IF($AA1093=0,"",IF(LEN(INDEX(Quotes!$AD$9:$AD$258,$AA1093)&amp;"")=0,"",INDEX(Quotes!$AD$9:$AD$258,$AA1093)))</f>
        <v/>
      </c>
      <c r="J1096" s="39"/>
      <c r="K1096" s="39"/>
      <c r="L1096" s="39"/>
      <c r="M1096" s="39"/>
      <c r="N1096" s="39"/>
      <c r="O1096" s="39"/>
      <c r="Q1096" s="82" t="str">
        <f>IF($AA1093=0,"",IF(LEN(INDEX(Quotes!$AF$9:$AF$258,$AA1093)&amp;"")=0,"",INDEX(Quotes!$AF$9:$AF$258,$AA1093)))</f>
        <v/>
      </c>
      <c r="R1096" s="39"/>
      <c r="S1096" s="39"/>
      <c r="T1096" s="39"/>
      <c r="U1096" s="39"/>
      <c r="V1096" s="39"/>
    </row>
    <row r="1097" spans="1:27" ht="21" hidden="1" customHeight="1" x14ac:dyDescent="0.35">
      <c r="A1097" s="48" t="str">
        <f>IF($AA1093=0,"","Reference: "&amp;IF(INDEX(Quotes!$M$9:$M$258,$AA1093)="",INDEX(Quotes!$S$9:$S$258,$AA1093),INDEX(Quotes!$M$9:$M$258,$AA1093)))</f>
        <v/>
      </c>
      <c r="B1097" s="39"/>
      <c r="C1097" s="39"/>
      <c r="D1097" s="39"/>
      <c r="E1097" s="39"/>
      <c r="F1097" s="39"/>
      <c r="G1097" s="39"/>
      <c r="H1097" s="39"/>
      <c r="I1097" s="39"/>
      <c r="J1097" s="39"/>
      <c r="K1097" s="39"/>
      <c r="L1097" s="39"/>
      <c r="M1097" s="39"/>
      <c r="N1097" s="39"/>
      <c r="O1097" s="39"/>
      <c r="P1097" s="39"/>
      <c r="Q1097" s="48" t="str">
        <f>IF($AA1093=0,"",INDEX(Quotes!$E$9:$E$258,$AA1093))</f>
        <v/>
      </c>
      <c r="R1097" s="39"/>
      <c r="S1097" s="39"/>
      <c r="T1097" s="39"/>
      <c r="U1097" s="39"/>
      <c r="V1097" s="39"/>
    </row>
    <row r="1098" spans="1:27" ht="21" hidden="1" customHeight="1" x14ac:dyDescent="0.35">
      <c r="A1098" s="81" t="str">
        <f>IF($AA1093=0,"",IF(INDEX(Quotes!$N$9:$N$258,$AA1093)="","No original link","Original quote"))</f>
        <v/>
      </c>
      <c r="B1098" s="39"/>
      <c r="C1098" s="39"/>
      <c r="D1098" s="39"/>
      <c r="E1098" s="39"/>
      <c r="F1098" s="39"/>
      <c r="G1098" s="39"/>
      <c r="I1098" s="81" t="str">
        <f>IF($AA1093=0,"",IF(INDEX(Quotes!$O$9:$O$258,$AA1093)="","No revised link","Revised quote"))</f>
        <v/>
      </c>
      <c r="J1098" s="39"/>
      <c r="K1098" s="39"/>
      <c r="L1098" s="39"/>
      <c r="M1098" s="39"/>
      <c r="N1098" s="39"/>
      <c r="O1098" s="39"/>
      <c r="Q1098" s="81" t="str">
        <f>IF($AA1093=0,"",HYPERLINK("#'Quotes'!A"&amp;($AA1093+8),"Open quote record"))</f>
        <v/>
      </c>
      <c r="R1098" s="39"/>
      <c r="S1098" s="39"/>
      <c r="T1098" s="39"/>
      <c r="U1098" s="39"/>
      <c r="V1098" s="39"/>
    </row>
    <row r="1099" spans="1:27" ht="21" hidden="1" customHeight="1" x14ac:dyDescent="0.35"/>
    <row r="1100" spans="1:27" hidden="1" x14ac:dyDescent="0.35"/>
    <row r="1101" spans="1:27" hidden="1" x14ac:dyDescent="0.35"/>
    <row r="1102" spans="1:27" hidden="1" x14ac:dyDescent="0.35"/>
    <row r="1103" spans="1:27" hidden="1" x14ac:dyDescent="0.35">
      <c r="A1103" s="67" t="s">
        <v>655</v>
      </c>
      <c r="B1103" s="39"/>
      <c r="C1103" s="39"/>
      <c r="D1103" s="39"/>
      <c r="E1103" s="39"/>
      <c r="F1103" s="39"/>
      <c r="G1103" s="39"/>
      <c r="H1103" s="39"/>
      <c r="I1103" s="39"/>
      <c r="J1103" s="39"/>
      <c r="K1103" s="39"/>
      <c r="L1103" s="39"/>
      <c r="M1103" s="39"/>
      <c r="N1103" s="39"/>
      <c r="O1103" s="39"/>
      <c r="P1103" s="39"/>
      <c r="Q1103" s="39"/>
      <c r="R1103" s="39"/>
      <c r="S1103" s="39"/>
      <c r="T1103" s="39"/>
      <c r="U1103" s="39"/>
      <c r="V1103" s="39"/>
    </row>
    <row r="1104" spans="1:27" ht="29" hidden="1" customHeight="1" x14ac:dyDescent="0.35">
      <c r="A1104" s="84" t="str">
        <f>IF($AA1104=0,"",IF(LEN(INDEX(Quotes!$U$9:$U$258,$AA1104)&amp;"")=0,"",INDEX(Quotes!$U$9:$U$258,$AA1104)))</f>
        <v/>
      </c>
      <c r="B1104" s="39"/>
      <c r="C1104" s="39"/>
      <c r="D1104" s="39"/>
      <c r="E1104" s="39"/>
      <c r="F1104" s="39"/>
      <c r="G1104" s="39"/>
      <c r="H1104" s="39"/>
      <c r="I1104" s="39"/>
      <c r="J1104" s="39"/>
      <c r="K1104" s="85" t="str">
        <f>IF($AA1104=0,"",IF(LEN(INDEX(Quotes!$Z$9:$Z$258,$AA1104)&amp;"")=0,"",INDEX(Quotes!$Z$9:$Z$258,$AA1104)))</f>
        <v/>
      </c>
      <c r="L1104" s="39"/>
      <c r="M1104" s="39"/>
      <c r="N1104" s="39"/>
      <c r="O1104" s="39"/>
      <c r="P1104" s="39"/>
      <c r="Q1104" s="39"/>
      <c r="R1104" s="39"/>
      <c r="S1104" s="39"/>
      <c r="T1104" s="39"/>
      <c r="U1104" s="39"/>
      <c r="V1104" s="39"/>
      <c r="AA1104">
        <f>IFERROR(MATCH(113,Quotes!$AK$9:$AK$258,0),0)</f>
        <v>0</v>
      </c>
    </row>
    <row r="1105" spans="1:27" ht="21" hidden="1" customHeight="1" x14ac:dyDescent="0.35">
      <c r="A1105" s="40" t="str">
        <f>IF($AA1104=0,"",IF(LEN(INDEX(Quotes!$V$9:$V$258,$AA1104)&amp;"")=0,"",INDEX(Quotes!$V$9:$V$258,$AA1104)))</f>
        <v/>
      </c>
      <c r="B1105" s="39"/>
      <c r="C1105" s="39"/>
      <c r="D1105" s="39"/>
      <c r="E1105" s="39"/>
      <c r="F1105" s="39"/>
      <c r="G1105" s="39"/>
      <c r="H1105" s="40" t="str">
        <f>IF($AA1104=0,"",IF(LEN(INDEX(Quotes!$W$9:$W$258,$AA1104)&amp;"")=0,"",INDEX(Quotes!$W$9:$W$258,$AA1104)))</f>
        <v/>
      </c>
      <c r="I1105" s="39"/>
      <c r="J1105" s="39"/>
      <c r="K1105" s="39"/>
      <c r="L1105" s="39"/>
      <c r="M1105" s="39"/>
      <c r="N1105" s="39"/>
      <c r="O1105" s="39"/>
      <c r="P1105" s="39"/>
      <c r="Q1105" s="39"/>
      <c r="R1105" s="77" t="str">
        <f>IF($AA1104=0,"",IF(LEN(INDEX(Quotes!$X$9:$X$258,$AA1104)&amp;"")=0,"",INDEX(Quotes!$X$9:$X$258,$AA1104)))</f>
        <v/>
      </c>
      <c r="S1105" s="39"/>
      <c r="T1105" s="39"/>
      <c r="U1105" s="39"/>
      <c r="V1105" s="39"/>
    </row>
    <row r="1106" spans="1:27" ht="21" hidden="1" customHeight="1" x14ac:dyDescent="0.35">
      <c r="A1106" s="83" t="str">
        <f>IF($AA1104=0,"","ORIGINAL EUR")</f>
        <v/>
      </c>
      <c r="B1106" s="39"/>
      <c r="C1106" s="39"/>
      <c r="D1106" s="39"/>
      <c r="E1106" s="39"/>
      <c r="F1106" s="39"/>
      <c r="G1106" s="39"/>
      <c r="I1106" s="83" t="str">
        <f>IF($AA1104=0,"","LATEST EUR")</f>
        <v/>
      </c>
      <c r="J1106" s="39"/>
      <c r="K1106" s="39"/>
      <c r="L1106" s="39"/>
      <c r="M1106" s="39"/>
      <c r="N1106" s="39"/>
      <c r="O1106" s="39"/>
      <c r="Q1106" s="83" t="str">
        <f>IF($AA1104=0,"","SAVED EUR")</f>
        <v/>
      </c>
      <c r="R1106" s="39"/>
      <c r="S1106" s="39"/>
      <c r="T1106" s="39"/>
      <c r="U1106" s="39"/>
      <c r="V1106" s="39"/>
    </row>
    <row r="1107" spans="1:27" ht="21" hidden="1" customHeight="1" x14ac:dyDescent="0.35">
      <c r="A1107" s="82" t="str">
        <f>IF($AA1104=0,"",IF(LEN(INDEX(Quotes!$AB$9:$AB$258,$AA1104)&amp;"")=0,"",INDEX(Quotes!$AB$9:$AB$258,$AA1104)))</f>
        <v/>
      </c>
      <c r="B1107" s="39"/>
      <c r="C1107" s="39"/>
      <c r="D1107" s="39"/>
      <c r="E1107" s="39"/>
      <c r="F1107" s="39"/>
      <c r="G1107" s="39"/>
      <c r="I1107" s="82" t="str">
        <f>IF($AA1104=0,"",IF(LEN(INDEX(Quotes!$AD$9:$AD$258,$AA1104)&amp;"")=0,"",INDEX(Quotes!$AD$9:$AD$258,$AA1104)))</f>
        <v/>
      </c>
      <c r="J1107" s="39"/>
      <c r="K1107" s="39"/>
      <c r="L1107" s="39"/>
      <c r="M1107" s="39"/>
      <c r="N1107" s="39"/>
      <c r="O1107" s="39"/>
      <c r="Q1107" s="82" t="str">
        <f>IF($AA1104=0,"",IF(LEN(INDEX(Quotes!$AF$9:$AF$258,$AA1104)&amp;"")=0,"",INDEX(Quotes!$AF$9:$AF$258,$AA1104)))</f>
        <v/>
      </c>
      <c r="R1107" s="39"/>
      <c r="S1107" s="39"/>
      <c r="T1107" s="39"/>
      <c r="U1107" s="39"/>
      <c r="V1107" s="39"/>
    </row>
    <row r="1108" spans="1:27" ht="21" hidden="1" customHeight="1" x14ac:dyDescent="0.35">
      <c r="A1108" s="48" t="str">
        <f>IF($AA1104=0,"","Reference: "&amp;IF(INDEX(Quotes!$M$9:$M$258,$AA1104)="",INDEX(Quotes!$S$9:$S$258,$AA1104),INDEX(Quotes!$M$9:$M$258,$AA1104)))</f>
        <v/>
      </c>
      <c r="B1108" s="39"/>
      <c r="C1108" s="39"/>
      <c r="D1108" s="39"/>
      <c r="E1108" s="39"/>
      <c r="F1108" s="39"/>
      <c r="G1108" s="39"/>
      <c r="H1108" s="39"/>
      <c r="I1108" s="39"/>
      <c r="J1108" s="39"/>
      <c r="K1108" s="39"/>
      <c r="L1108" s="39"/>
      <c r="M1108" s="39"/>
      <c r="N1108" s="39"/>
      <c r="O1108" s="39"/>
      <c r="P1108" s="39"/>
      <c r="Q1108" s="48" t="str">
        <f>IF($AA1104=0,"",INDEX(Quotes!$E$9:$E$258,$AA1104))</f>
        <v/>
      </c>
      <c r="R1108" s="39"/>
      <c r="S1108" s="39"/>
      <c r="T1108" s="39"/>
      <c r="U1108" s="39"/>
      <c r="V1108" s="39"/>
    </row>
    <row r="1109" spans="1:27" ht="21" hidden="1" customHeight="1" x14ac:dyDescent="0.35">
      <c r="A1109" s="81" t="str">
        <f>IF($AA1104=0,"",IF(INDEX(Quotes!$N$9:$N$258,$AA1104)="","No original link","Original quote"))</f>
        <v/>
      </c>
      <c r="B1109" s="39"/>
      <c r="C1109" s="39"/>
      <c r="D1109" s="39"/>
      <c r="E1109" s="39"/>
      <c r="F1109" s="39"/>
      <c r="G1109" s="39"/>
      <c r="I1109" s="81" t="str">
        <f>IF($AA1104=0,"",IF(INDEX(Quotes!$O$9:$O$258,$AA1104)="","No revised link","Revised quote"))</f>
        <v/>
      </c>
      <c r="J1109" s="39"/>
      <c r="K1109" s="39"/>
      <c r="L1109" s="39"/>
      <c r="M1109" s="39"/>
      <c r="N1109" s="39"/>
      <c r="O1109" s="39"/>
      <c r="Q1109" s="81" t="str">
        <f>IF($AA1104=0,"",HYPERLINK("#'Quotes'!A"&amp;($AA1104+8),"Open quote record"))</f>
        <v/>
      </c>
      <c r="R1109" s="39"/>
      <c r="S1109" s="39"/>
      <c r="T1109" s="39"/>
      <c r="U1109" s="39"/>
      <c r="V1109" s="39"/>
    </row>
    <row r="1110" spans="1:27" ht="21" hidden="1" customHeight="1" x14ac:dyDescent="0.35"/>
    <row r="1111" spans="1:27" hidden="1" x14ac:dyDescent="0.35"/>
    <row r="1112" spans="1:27" hidden="1" x14ac:dyDescent="0.35"/>
    <row r="1113" spans="1:27" ht="29" hidden="1" customHeight="1" x14ac:dyDescent="0.35">
      <c r="A1113" s="84" t="str">
        <f>IF($AA1113=0,"",IF(LEN(INDEX(Quotes!$U$9:$U$258,$AA1113)&amp;"")=0,"",INDEX(Quotes!$U$9:$U$258,$AA1113)))</f>
        <v/>
      </c>
      <c r="B1113" s="39"/>
      <c r="C1113" s="39"/>
      <c r="D1113" s="39"/>
      <c r="E1113" s="39"/>
      <c r="F1113" s="39"/>
      <c r="G1113" s="39"/>
      <c r="H1113" s="39"/>
      <c r="I1113" s="39"/>
      <c r="J1113" s="39"/>
      <c r="K1113" s="85" t="str">
        <f>IF($AA1113=0,"",IF(LEN(INDEX(Quotes!$Z$9:$Z$258,$AA1113)&amp;"")=0,"",INDEX(Quotes!$Z$9:$Z$258,$AA1113)))</f>
        <v/>
      </c>
      <c r="L1113" s="39"/>
      <c r="M1113" s="39"/>
      <c r="N1113" s="39"/>
      <c r="O1113" s="39"/>
      <c r="P1113" s="39"/>
      <c r="Q1113" s="39"/>
      <c r="R1113" s="39"/>
      <c r="S1113" s="39"/>
      <c r="T1113" s="39"/>
      <c r="U1113" s="39"/>
      <c r="V1113" s="39"/>
      <c r="AA1113">
        <f>IFERROR(MATCH(114,Quotes!$AK$9:$AK$258,0),0)</f>
        <v>0</v>
      </c>
    </row>
    <row r="1114" spans="1:27" ht="21" hidden="1" customHeight="1" x14ac:dyDescent="0.35">
      <c r="A1114" s="40" t="str">
        <f>IF($AA1113=0,"",IF(LEN(INDEX(Quotes!$V$9:$V$258,$AA1113)&amp;"")=0,"",INDEX(Quotes!$V$9:$V$258,$AA1113)))</f>
        <v/>
      </c>
      <c r="B1114" s="39"/>
      <c r="C1114" s="39"/>
      <c r="D1114" s="39"/>
      <c r="E1114" s="39"/>
      <c r="F1114" s="39"/>
      <c r="G1114" s="39"/>
      <c r="H1114" s="40" t="str">
        <f>IF($AA1113=0,"",IF(LEN(INDEX(Quotes!$W$9:$W$258,$AA1113)&amp;"")=0,"",INDEX(Quotes!$W$9:$W$258,$AA1113)))</f>
        <v/>
      </c>
      <c r="I1114" s="39"/>
      <c r="J1114" s="39"/>
      <c r="K1114" s="39"/>
      <c r="L1114" s="39"/>
      <c r="M1114" s="39"/>
      <c r="N1114" s="39"/>
      <c r="O1114" s="39"/>
      <c r="P1114" s="39"/>
      <c r="Q1114" s="39"/>
      <c r="R1114" s="77" t="str">
        <f>IF($AA1113=0,"",IF(LEN(INDEX(Quotes!$X$9:$X$258,$AA1113)&amp;"")=0,"",INDEX(Quotes!$X$9:$X$258,$AA1113)))</f>
        <v/>
      </c>
      <c r="S1114" s="39"/>
      <c r="T1114" s="39"/>
      <c r="U1114" s="39"/>
      <c r="V1114" s="39"/>
    </row>
    <row r="1115" spans="1:27" ht="21" hidden="1" customHeight="1" x14ac:dyDescent="0.35">
      <c r="A1115" s="83" t="str">
        <f>IF($AA1113=0,"","ORIGINAL EUR")</f>
        <v/>
      </c>
      <c r="B1115" s="39"/>
      <c r="C1115" s="39"/>
      <c r="D1115" s="39"/>
      <c r="E1115" s="39"/>
      <c r="F1115" s="39"/>
      <c r="G1115" s="39"/>
      <c r="I1115" s="83" t="str">
        <f>IF($AA1113=0,"","LATEST EUR")</f>
        <v/>
      </c>
      <c r="J1115" s="39"/>
      <c r="K1115" s="39"/>
      <c r="L1115" s="39"/>
      <c r="M1115" s="39"/>
      <c r="N1115" s="39"/>
      <c r="O1115" s="39"/>
      <c r="Q1115" s="83" t="str">
        <f>IF($AA1113=0,"","SAVED EUR")</f>
        <v/>
      </c>
      <c r="R1115" s="39"/>
      <c r="S1115" s="39"/>
      <c r="T1115" s="39"/>
      <c r="U1115" s="39"/>
      <c r="V1115" s="39"/>
    </row>
    <row r="1116" spans="1:27" ht="21" hidden="1" customHeight="1" x14ac:dyDescent="0.35">
      <c r="A1116" s="82" t="str">
        <f>IF($AA1113=0,"",IF(LEN(INDEX(Quotes!$AB$9:$AB$258,$AA1113)&amp;"")=0,"",INDEX(Quotes!$AB$9:$AB$258,$AA1113)))</f>
        <v/>
      </c>
      <c r="B1116" s="39"/>
      <c r="C1116" s="39"/>
      <c r="D1116" s="39"/>
      <c r="E1116" s="39"/>
      <c r="F1116" s="39"/>
      <c r="G1116" s="39"/>
      <c r="I1116" s="82" t="str">
        <f>IF($AA1113=0,"",IF(LEN(INDEX(Quotes!$AD$9:$AD$258,$AA1113)&amp;"")=0,"",INDEX(Quotes!$AD$9:$AD$258,$AA1113)))</f>
        <v/>
      </c>
      <c r="J1116" s="39"/>
      <c r="K1116" s="39"/>
      <c r="L1116" s="39"/>
      <c r="M1116" s="39"/>
      <c r="N1116" s="39"/>
      <c r="O1116" s="39"/>
      <c r="Q1116" s="82" t="str">
        <f>IF($AA1113=0,"",IF(LEN(INDEX(Quotes!$AF$9:$AF$258,$AA1113)&amp;"")=0,"",INDEX(Quotes!$AF$9:$AF$258,$AA1113)))</f>
        <v/>
      </c>
      <c r="R1116" s="39"/>
      <c r="S1116" s="39"/>
      <c r="T1116" s="39"/>
      <c r="U1116" s="39"/>
      <c r="V1116" s="39"/>
    </row>
    <row r="1117" spans="1:27" ht="21" hidden="1" customHeight="1" x14ac:dyDescent="0.35">
      <c r="A1117" s="48" t="str">
        <f>IF($AA1113=0,"","Reference: "&amp;IF(INDEX(Quotes!$M$9:$M$258,$AA1113)="",INDEX(Quotes!$S$9:$S$258,$AA1113),INDEX(Quotes!$M$9:$M$258,$AA1113)))</f>
        <v/>
      </c>
      <c r="B1117" s="39"/>
      <c r="C1117" s="39"/>
      <c r="D1117" s="39"/>
      <c r="E1117" s="39"/>
      <c r="F1117" s="39"/>
      <c r="G1117" s="39"/>
      <c r="H1117" s="39"/>
      <c r="I1117" s="39"/>
      <c r="J1117" s="39"/>
      <c r="K1117" s="39"/>
      <c r="L1117" s="39"/>
      <c r="M1117" s="39"/>
      <c r="N1117" s="39"/>
      <c r="O1117" s="39"/>
      <c r="P1117" s="39"/>
      <c r="Q1117" s="48" t="str">
        <f>IF($AA1113=0,"",INDEX(Quotes!$E$9:$E$258,$AA1113))</f>
        <v/>
      </c>
      <c r="R1117" s="39"/>
      <c r="S1117" s="39"/>
      <c r="T1117" s="39"/>
      <c r="U1117" s="39"/>
      <c r="V1117" s="39"/>
    </row>
    <row r="1118" spans="1:27" ht="21" hidden="1" customHeight="1" x14ac:dyDescent="0.35">
      <c r="A1118" s="81" t="str">
        <f>IF($AA1113=0,"",IF(INDEX(Quotes!$N$9:$N$258,$AA1113)="","No original link","Original quote"))</f>
        <v/>
      </c>
      <c r="B1118" s="39"/>
      <c r="C1118" s="39"/>
      <c r="D1118" s="39"/>
      <c r="E1118" s="39"/>
      <c r="F1118" s="39"/>
      <c r="G1118" s="39"/>
      <c r="I1118" s="81" t="str">
        <f>IF($AA1113=0,"",IF(INDEX(Quotes!$O$9:$O$258,$AA1113)="","No revised link","Revised quote"))</f>
        <v/>
      </c>
      <c r="J1118" s="39"/>
      <c r="K1118" s="39"/>
      <c r="L1118" s="39"/>
      <c r="M1118" s="39"/>
      <c r="N1118" s="39"/>
      <c r="O1118" s="39"/>
      <c r="Q1118" s="81" t="str">
        <f>IF($AA1113=0,"",HYPERLINK("#'Quotes'!A"&amp;($AA1113+8),"Open quote record"))</f>
        <v/>
      </c>
      <c r="R1118" s="39"/>
      <c r="S1118" s="39"/>
      <c r="T1118" s="39"/>
      <c r="U1118" s="39"/>
      <c r="V1118" s="39"/>
    </row>
    <row r="1119" spans="1:27" ht="21" hidden="1" customHeight="1" x14ac:dyDescent="0.35"/>
    <row r="1120" spans="1:27" hidden="1" x14ac:dyDescent="0.35"/>
    <row r="1121" spans="1:27" hidden="1" x14ac:dyDescent="0.35"/>
    <row r="1122" spans="1:27" ht="29" hidden="1" customHeight="1" x14ac:dyDescent="0.35">
      <c r="A1122" s="84" t="str">
        <f>IF($AA1122=0,"",IF(LEN(INDEX(Quotes!$U$9:$U$258,$AA1122)&amp;"")=0,"",INDEX(Quotes!$U$9:$U$258,$AA1122)))</f>
        <v/>
      </c>
      <c r="B1122" s="39"/>
      <c r="C1122" s="39"/>
      <c r="D1122" s="39"/>
      <c r="E1122" s="39"/>
      <c r="F1122" s="39"/>
      <c r="G1122" s="39"/>
      <c r="H1122" s="39"/>
      <c r="I1122" s="39"/>
      <c r="J1122" s="39"/>
      <c r="K1122" s="85" t="str">
        <f>IF($AA1122=0,"",IF(LEN(INDEX(Quotes!$Z$9:$Z$258,$AA1122)&amp;"")=0,"",INDEX(Quotes!$Z$9:$Z$258,$AA1122)))</f>
        <v/>
      </c>
      <c r="L1122" s="39"/>
      <c r="M1122" s="39"/>
      <c r="N1122" s="39"/>
      <c r="O1122" s="39"/>
      <c r="P1122" s="39"/>
      <c r="Q1122" s="39"/>
      <c r="R1122" s="39"/>
      <c r="S1122" s="39"/>
      <c r="T1122" s="39"/>
      <c r="U1122" s="39"/>
      <c r="V1122" s="39"/>
      <c r="AA1122">
        <f>IFERROR(MATCH(115,Quotes!$AK$9:$AK$258,0),0)</f>
        <v>0</v>
      </c>
    </row>
    <row r="1123" spans="1:27" ht="21" hidden="1" customHeight="1" x14ac:dyDescent="0.35">
      <c r="A1123" s="40" t="str">
        <f>IF($AA1122=0,"",IF(LEN(INDEX(Quotes!$V$9:$V$258,$AA1122)&amp;"")=0,"",INDEX(Quotes!$V$9:$V$258,$AA1122)))</f>
        <v/>
      </c>
      <c r="B1123" s="39"/>
      <c r="C1123" s="39"/>
      <c r="D1123" s="39"/>
      <c r="E1123" s="39"/>
      <c r="F1123" s="39"/>
      <c r="G1123" s="39"/>
      <c r="H1123" s="40" t="str">
        <f>IF($AA1122=0,"",IF(LEN(INDEX(Quotes!$W$9:$W$258,$AA1122)&amp;"")=0,"",INDEX(Quotes!$W$9:$W$258,$AA1122)))</f>
        <v/>
      </c>
      <c r="I1123" s="39"/>
      <c r="J1123" s="39"/>
      <c r="K1123" s="39"/>
      <c r="L1123" s="39"/>
      <c r="M1123" s="39"/>
      <c r="N1123" s="39"/>
      <c r="O1123" s="39"/>
      <c r="P1123" s="39"/>
      <c r="Q1123" s="39"/>
      <c r="R1123" s="77" t="str">
        <f>IF($AA1122=0,"",IF(LEN(INDEX(Quotes!$X$9:$X$258,$AA1122)&amp;"")=0,"",INDEX(Quotes!$X$9:$X$258,$AA1122)))</f>
        <v/>
      </c>
      <c r="S1123" s="39"/>
      <c r="T1123" s="39"/>
      <c r="U1123" s="39"/>
      <c r="V1123" s="39"/>
    </row>
    <row r="1124" spans="1:27" ht="21" hidden="1" customHeight="1" x14ac:dyDescent="0.35">
      <c r="A1124" s="83" t="str">
        <f>IF($AA1122=0,"","ORIGINAL EUR")</f>
        <v/>
      </c>
      <c r="B1124" s="39"/>
      <c r="C1124" s="39"/>
      <c r="D1124" s="39"/>
      <c r="E1124" s="39"/>
      <c r="F1124" s="39"/>
      <c r="G1124" s="39"/>
      <c r="I1124" s="83" t="str">
        <f>IF($AA1122=0,"","LATEST EUR")</f>
        <v/>
      </c>
      <c r="J1124" s="39"/>
      <c r="K1124" s="39"/>
      <c r="L1124" s="39"/>
      <c r="M1124" s="39"/>
      <c r="N1124" s="39"/>
      <c r="O1124" s="39"/>
      <c r="Q1124" s="83" t="str">
        <f>IF($AA1122=0,"","SAVED EUR")</f>
        <v/>
      </c>
      <c r="R1124" s="39"/>
      <c r="S1124" s="39"/>
      <c r="T1124" s="39"/>
      <c r="U1124" s="39"/>
      <c r="V1124" s="39"/>
    </row>
    <row r="1125" spans="1:27" ht="21" hidden="1" customHeight="1" x14ac:dyDescent="0.35">
      <c r="A1125" s="82" t="str">
        <f>IF($AA1122=0,"",IF(LEN(INDEX(Quotes!$AB$9:$AB$258,$AA1122)&amp;"")=0,"",INDEX(Quotes!$AB$9:$AB$258,$AA1122)))</f>
        <v/>
      </c>
      <c r="B1125" s="39"/>
      <c r="C1125" s="39"/>
      <c r="D1125" s="39"/>
      <c r="E1125" s="39"/>
      <c r="F1125" s="39"/>
      <c r="G1125" s="39"/>
      <c r="I1125" s="82" t="str">
        <f>IF($AA1122=0,"",IF(LEN(INDEX(Quotes!$AD$9:$AD$258,$AA1122)&amp;"")=0,"",INDEX(Quotes!$AD$9:$AD$258,$AA1122)))</f>
        <v/>
      </c>
      <c r="J1125" s="39"/>
      <c r="K1125" s="39"/>
      <c r="L1125" s="39"/>
      <c r="M1125" s="39"/>
      <c r="N1125" s="39"/>
      <c r="O1125" s="39"/>
      <c r="Q1125" s="82" t="str">
        <f>IF($AA1122=0,"",IF(LEN(INDEX(Quotes!$AF$9:$AF$258,$AA1122)&amp;"")=0,"",INDEX(Quotes!$AF$9:$AF$258,$AA1122)))</f>
        <v/>
      </c>
      <c r="R1125" s="39"/>
      <c r="S1125" s="39"/>
      <c r="T1125" s="39"/>
      <c r="U1125" s="39"/>
      <c r="V1125" s="39"/>
    </row>
    <row r="1126" spans="1:27" ht="21" hidden="1" customHeight="1" x14ac:dyDescent="0.35">
      <c r="A1126" s="48" t="str">
        <f>IF($AA1122=0,"","Reference: "&amp;IF(INDEX(Quotes!$M$9:$M$258,$AA1122)="",INDEX(Quotes!$S$9:$S$258,$AA1122),INDEX(Quotes!$M$9:$M$258,$AA1122)))</f>
        <v/>
      </c>
      <c r="B1126" s="39"/>
      <c r="C1126" s="39"/>
      <c r="D1126" s="39"/>
      <c r="E1126" s="39"/>
      <c r="F1126" s="39"/>
      <c r="G1126" s="39"/>
      <c r="H1126" s="39"/>
      <c r="I1126" s="39"/>
      <c r="J1126" s="39"/>
      <c r="K1126" s="39"/>
      <c r="L1126" s="39"/>
      <c r="M1126" s="39"/>
      <c r="N1126" s="39"/>
      <c r="O1126" s="39"/>
      <c r="P1126" s="39"/>
      <c r="Q1126" s="48" t="str">
        <f>IF($AA1122=0,"",INDEX(Quotes!$E$9:$E$258,$AA1122))</f>
        <v/>
      </c>
      <c r="R1126" s="39"/>
      <c r="S1126" s="39"/>
      <c r="T1126" s="39"/>
      <c r="U1126" s="39"/>
      <c r="V1126" s="39"/>
    </row>
    <row r="1127" spans="1:27" ht="21" hidden="1" customHeight="1" x14ac:dyDescent="0.35">
      <c r="A1127" s="81" t="str">
        <f>IF($AA1122=0,"",IF(INDEX(Quotes!$N$9:$N$258,$AA1122)="","No original link","Original quote"))</f>
        <v/>
      </c>
      <c r="B1127" s="39"/>
      <c r="C1127" s="39"/>
      <c r="D1127" s="39"/>
      <c r="E1127" s="39"/>
      <c r="F1127" s="39"/>
      <c r="G1127" s="39"/>
      <c r="I1127" s="81" t="str">
        <f>IF($AA1122=0,"",IF(INDEX(Quotes!$O$9:$O$258,$AA1122)="","No revised link","Revised quote"))</f>
        <v/>
      </c>
      <c r="J1127" s="39"/>
      <c r="K1127" s="39"/>
      <c r="L1127" s="39"/>
      <c r="M1127" s="39"/>
      <c r="N1127" s="39"/>
      <c r="O1127" s="39"/>
      <c r="Q1127" s="81" t="str">
        <f>IF($AA1122=0,"",HYPERLINK("#'Quotes'!A"&amp;($AA1122+8),"Open quote record"))</f>
        <v/>
      </c>
      <c r="R1127" s="39"/>
      <c r="S1127" s="39"/>
      <c r="T1127" s="39"/>
      <c r="U1127" s="39"/>
      <c r="V1127" s="39"/>
    </row>
    <row r="1128" spans="1:27" ht="21" hidden="1" customHeight="1" x14ac:dyDescent="0.35"/>
    <row r="1129" spans="1:27" hidden="1" x14ac:dyDescent="0.35"/>
    <row r="1130" spans="1:27" hidden="1" x14ac:dyDescent="0.35"/>
    <row r="1131" spans="1:27" ht="29" hidden="1" customHeight="1" x14ac:dyDescent="0.35">
      <c r="A1131" s="84" t="str">
        <f>IF($AA1131=0,"",IF(LEN(INDEX(Quotes!$U$9:$U$258,$AA1131)&amp;"")=0,"",INDEX(Quotes!$U$9:$U$258,$AA1131)))</f>
        <v/>
      </c>
      <c r="B1131" s="39"/>
      <c r="C1131" s="39"/>
      <c r="D1131" s="39"/>
      <c r="E1131" s="39"/>
      <c r="F1131" s="39"/>
      <c r="G1131" s="39"/>
      <c r="H1131" s="39"/>
      <c r="I1131" s="39"/>
      <c r="J1131" s="39"/>
      <c r="K1131" s="85" t="str">
        <f>IF($AA1131=0,"",IF(LEN(INDEX(Quotes!$Z$9:$Z$258,$AA1131)&amp;"")=0,"",INDEX(Quotes!$Z$9:$Z$258,$AA1131)))</f>
        <v/>
      </c>
      <c r="L1131" s="39"/>
      <c r="M1131" s="39"/>
      <c r="N1131" s="39"/>
      <c r="O1131" s="39"/>
      <c r="P1131" s="39"/>
      <c r="Q1131" s="39"/>
      <c r="R1131" s="39"/>
      <c r="S1131" s="39"/>
      <c r="T1131" s="39"/>
      <c r="U1131" s="39"/>
      <c r="V1131" s="39"/>
      <c r="AA1131">
        <f>IFERROR(MATCH(116,Quotes!$AK$9:$AK$258,0),0)</f>
        <v>0</v>
      </c>
    </row>
    <row r="1132" spans="1:27" ht="21" hidden="1" customHeight="1" x14ac:dyDescent="0.35">
      <c r="A1132" s="40" t="str">
        <f>IF($AA1131=0,"",IF(LEN(INDEX(Quotes!$V$9:$V$258,$AA1131)&amp;"")=0,"",INDEX(Quotes!$V$9:$V$258,$AA1131)))</f>
        <v/>
      </c>
      <c r="B1132" s="39"/>
      <c r="C1132" s="39"/>
      <c r="D1132" s="39"/>
      <c r="E1132" s="39"/>
      <c r="F1132" s="39"/>
      <c r="G1132" s="39"/>
      <c r="H1132" s="40" t="str">
        <f>IF($AA1131=0,"",IF(LEN(INDEX(Quotes!$W$9:$W$258,$AA1131)&amp;"")=0,"",INDEX(Quotes!$W$9:$W$258,$AA1131)))</f>
        <v/>
      </c>
      <c r="I1132" s="39"/>
      <c r="J1132" s="39"/>
      <c r="K1132" s="39"/>
      <c r="L1132" s="39"/>
      <c r="M1132" s="39"/>
      <c r="N1132" s="39"/>
      <c r="O1132" s="39"/>
      <c r="P1132" s="39"/>
      <c r="Q1132" s="39"/>
      <c r="R1132" s="77" t="str">
        <f>IF($AA1131=0,"",IF(LEN(INDEX(Quotes!$X$9:$X$258,$AA1131)&amp;"")=0,"",INDEX(Quotes!$X$9:$X$258,$AA1131)))</f>
        <v/>
      </c>
      <c r="S1132" s="39"/>
      <c r="T1132" s="39"/>
      <c r="U1132" s="39"/>
      <c r="V1132" s="39"/>
    </row>
    <row r="1133" spans="1:27" ht="21" hidden="1" customHeight="1" x14ac:dyDescent="0.35">
      <c r="A1133" s="83" t="str">
        <f>IF($AA1131=0,"","ORIGINAL EUR")</f>
        <v/>
      </c>
      <c r="B1133" s="39"/>
      <c r="C1133" s="39"/>
      <c r="D1133" s="39"/>
      <c r="E1133" s="39"/>
      <c r="F1133" s="39"/>
      <c r="G1133" s="39"/>
      <c r="I1133" s="83" t="str">
        <f>IF($AA1131=0,"","LATEST EUR")</f>
        <v/>
      </c>
      <c r="J1133" s="39"/>
      <c r="K1133" s="39"/>
      <c r="L1133" s="39"/>
      <c r="M1133" s="39"/>
      <c r="N1133" s="39"/>
      <c r="O1133" s="39"/>
      <c r="Q1133" s="83" t="str">
        <f>IF($AA1131=0,"","SAVED EUR")</f>
        <v/>
      </c>
      <c r="R1133" s="39"/>
      <c r="S1133" s="39"/>
      <c r="T1133" s="39"/>
      <c r="U1133" s="39"/>
      <c r="V1133" s="39"/>
    </row>
    <row r="1134" spans="1:27" ht="21" hidden="1" customHeight="1" x14ac:dyDescent="0.35">
      <c r="A1134" s="82" t="str">
        <f>IF($AA1131=0,"",IF(LEN(INDEX(Quotes!$AB$9:$AB$258,$AA1131)&amp;"")=0,"",INDEX(Quotes!$AB$9:$AB$258,$AA1131)))</f>
        <v/>
      </c>
      <c r="B1134" s="39"/>
      <c r="C1134" s="39"/>
      <c r="D1134" s="39"/>
      <c r="E1134" s="39"/>
      <c r="F1134" s="39"/>
      <c r="G1134" s="39"/>
      <c r="I1134" s="82" t="str">
        <f>IF($AA1131=0,"",IF(LEN(INDEX(Quotes!$AD$9:$AD$258,$AA1131)&amp;"")=0,"",INDEX(Quotes!$AD$9:$AD$258,$AA1131)))</f>
        <v/>
      </c>
      <c r="J1134" s="39"/>
      <c r="K1134" s="39"/>
      <c r="L1134" s="39"/>
      <c r="M1134" s="39"/>
      <c r="N1134" s="39"/>
      <c r="O1134" s="39"/>
      <c r="Q1134" s="82" t="str">
        <f>IF($AA1131=0,"",IF(LEN(INDEX(Quotes!$AF$9:$AF$258,$AA1131)&amp;"")=0,"",INDEX(Quotes!$AF$9:$AF$258,$AA1131)))</f>
        <v/>
      </c>
      <c r="R1134" s="39"/>
      <c r="S1134" s="39"/>
      <c r="T1134" s="39"/>
      <c r="U1134" s="39"/>
      <c r="V1134" s="39"/>
    </row>
    <row r="1135" spans="1:27" ht="21" hidden="1" customHeight="1" x14ac:dyDescent="0.35">
      <c r="A1135" s="48" t="str">
        <f>IF($AA1131=0,"","Reference: "&amp;IF(INDEX(Quotes!$M$9:$M$258,$AA1131)="",INDEX(Quotes!$S$9:$S$258,$AA1131),INDEX(Quotes!$M$9:$M$258,$AA1131)))</f>
        <v/>
      </c>
      <c r="B1135" s="39"/>
      <c r="C1135" s="39"/>
      <c r="D1135" s="39"/>
      <c r="E1135" s="39"/>
      <c r="F1135" s="39"/>
      <c r="G1135" s="39"/>
      <c r="H1135" s="39"/>
      <c r="I1135" s="39"/>
      <c r="J1135" s="39"/>
      <c r="K1135" s="39"/>
      <c r="L1135" s="39"/>
      <c r="M1135" s="39"/>
      <c r="N1135" s="39"/>
      <c r="O1135" s="39"/>
      <c r="P1135" s="39"/>
      <c r="Q1135" s="48" t="str">
        <f>IF($AA1131=0,"",INDEX(Quotes!$E$9:$E$258,$AA1131))</f>
        <v/>
      </c>
      <c r="R1135" s="39"/>
      <c r="S1135" s="39"/>
      <c r="T1135" s="39"/>
      <c r="U1135" s="39"/>
      <c r="V1135" s="39"/>
    </row>
    <row r="1136" spans="1:27" ht="21" hidden="1" customHeight="1" x14ac:dyDescent="0.35">
      <c r="A1136" s="81" t="str">
        <f>IF($AA1131=0,"",IF(INDEX(Quotes!$N$9:$N$258,$AA1131)="","No original link","Original quote"))</f>
        <v/>
      </c>
      <c r="B1136" s="39"/>
      <c r="C1136" s="39"/>
      <c r="D1136" s="39"/>
      <c r="E1136" s="39"/>
      <c r="F1136" s="39"/>
      <c r="G1136" s="39"/>
      <c r="I1136" s="81" t="str">
        <f>IF($AA1131=0,"",IF(INDEX(Quotes!$O$9:$O$258,$AA1131)="","No revised link","Revised quote"))</f>
        <v/>
      </c>
      <c r="J1136" s="39"/>
      <c r="K1136" s="39"/>
      <c r="L1136" s="39"/>
      <c r="M1136" s="39"/>
      <c r="N1136" s="39"/>
      <c r="O1136" s="39"/>
      <c r="Q1136" s="81" t="str">
        <f>IF($AA1131=0,"",HYPERLINK("#'Quotes'!A"&amp;($AA1131+8),"Open quote record"))</f>
        <v/>
      </c>
      <c r="R1136" s="39"/>
      <c r="S1136" s="39"/>
      <c r="T1136" s="39"/>
      <c r="U1136" s="39"/>
      <c r="V1136" s="39"/>
    </row>
    <row r="1137" spans="1:27" ht="21" hidden="1" customHeight="1" x14ac:dyDescent="0.35"/>
    <row r="1138" spans="1:27" hidden="1" x14ac:dyDescent="0.35"/>
    <row r="1139" spans="1:27" hidden="1" x14ac:dyDescent="0.35"/>
    <row r="1140" spans="1:27" hidden="1" x14ac:dyDescent="0.35"/>
    <row r="1141" spans="1:27" hidden="1" x14ac:dyDescent="0.35">
      <c r="A1141" s="67" t="s">
        <v>655</v>
      </c>
      <c r="B1141" s="39"/>
      <c r="C1141" s="39"/>
      <c r="D1141" s="39"/>
      <c r="E1141" s="39"/>
      <c r="F1141" s="39"/>
      <c r="G1141" s="39"/>
      <c r="H1141" s="39"/>
      <c r="I1141" s="39"/>
      <c r="J1141" s="39"/>
      <c r="K1141" s="39"/>
      <c r="L1141" s="39"/>
      <c r="M1141" s="39"/>
      <c r="N1141" s="39"/>
      <c r="O1141" s="39"/>
      <c r="P1141" s="39"/>
      <c r="Q1141" s="39"/>
      <c r="R1141" s="39"/>
      <c r="S1141" s="39"/>
      <c r="T1141" s="39"/>
      <c r="U1141" s="39"/>
      <c r="V1141" s="39"/>
    </row>
    <row r="1142" spans="1:27" ht="29" hidden="1" customHeight="1" x14ac:dyDescent="0.35">
      <c r="A1142" s="84" t="str">
        <f>IF($AA1142=0,"",IF(LEN(INDEX(Quotes!$U$9:$U$258,$AA1142)&amp;"")=0,"",INDEX(Quotes!$U$9:$U$258,$AA1142)))</f>
        <v/>
      </c>
      <c r="B1142" s="39"/>
      <c r="C1142" s="39"/>
      <c r="D1142" s="39"/>
      <c r="E1142" s="39"/>
      <c r="F1142" s="39"/>
      <c r="G1142" s="39"/>
      <c r="H1142" s="39"/>
      <c r="I1142" s="39"/>
      <c r="J1142" s="39"/>
      <c r="K1142" s="85" t="str">
        <f>IF($AA1142=0,"",IF(LEN(INDEX(Quotes!$Z$9:$Z$258,$AA1142)&amp;"")=0,"",INDEX(Quotes!$Z$9:$Z$258,$AA1142)))</f>
        <v/>
      </c>
      <c r="L1142" s="39"/>
      <c r="M1142" s="39"/>
      <c r="N1142" s="39"/>
      <c r="O1142" s="39"/>
      <c r="P1142" s="39"/>
      <c r="Q1142" s="39"/>
      <c r="R1142" s="39"/>
      <c r="S1142" s="39"/>
      <c r="T1142" s="39"/>
      <c r="U1142" s="39"/>
      <c r="V1142" s="39"/>
      <c r="AA1142">
        <f>IFERROR(MATCH(117,Quotes!$AK$9:$AK$258,0),0)</f>
        <v>0</v>
      </c>
    </row>
    <row r="1143" spans="1:27" ht="21" hidden="1" customHeight="1" x14ac:dyDescent="0.35">
      <c r="A1143" s="40" t="str">
        <f>IF($AA1142=0,"",IF(LEN(INDEX(Quotes!$V$9:$V$258,$AA1142)&amp;"")=0,"",INDEX(Quotes!$V$9:$V$258,$AA1142)))</f>
        <v/>
      </c>
      <c r="B1143" s="39"/>
      <c r="C1143" s="39"/>
      <c r="D1143" s="39"/>
      <c r="E1143" s="39"/>
      <c r="F1143" s="39"/>
      <c r="G1143" s="39"/>
      <c r="H1143" s="40" t="str">
        <f>IF($AA1142=0,"",IF(LEN(INDEX(Quotes!$W$9:$W$258,$AA1142)&amp;"")=0,"",INDEX(Quotes!$W$9:$W$258,$AA1142)))</f>
        <v/>
      </c>
      <c r="I1143" s="39"/>
      <c r="J1143" s="39"/>
      <c r="K1143" s="39"/>
      <c r="L1143" s="39"/>
      <c r="M1143" s="39"/>
      <c r="N1143" s="39"/>
      <c r="O1143" s="39"/>
      <c r="P1143" s="39"/>
      <c r="Q1143" s="39"/>
      <c r="R1143" s="77" t="str">
        <f>IF($AA1142=0,"",IF(LEN(INDEX(Quotes!$X$9:$X$258,$AA1142)&amp;"")=0,"",INDEX(Quotes!$X$9:$X$258,$AA1142)))</f>
        <v/>
      </c>
      <c r="S1143" s="39"/>
      <c r="T1143" s="39"/>
      <c r="U1143" s="39"/>
      <c r="V1143" s="39"/>
    </row>
    <row r="1144" spans="1:27" ht="21" hidden="1" customHeight="1" x14ac:dyDescent="0.35">
      <c r="A1144" s="83" t="str">
        <f>IF($AA1142=0,"","ORIGINAL EUR")</f>
        <v/>
      </c>
      <c r="B1144" s="39"/>
      <c r="C1144" s="39"/>
      <c r="D1144" s="39"/>
      <c r="E1144" s="39"/>
      <c r="F1144" s="39"/>
      <c r="G1144" s="39"/>
      <c r="I1144" s="83" t="str">
        <f>IF($AA1142=0,"","LATEST EUR")</f>
        <v/>
      </c>
      <c r="J1144" s="39"/>
      <c r="K1144" s="39"/>
      <c r="L1144" s="39"/>
      <c r="M1144" s="39"/>
      <c r="N1144" s="39"/>
      <c r="O1144" s="39"/>
      <c r="Q1144" s="83" t="str">
        <f>IF($AA1142=0,"","SAVED EUR")</f>
        <v/>
      </c>
      <c r="R1144" s="39"/>
      <c r="S1144" s="39"/>
      <c r="T1144" s="39"/>
      <c r="U1144" s="39"/>
      <c r="V1144" s="39"/>
    </row>
    <row r="1145" spans="1:27" ht="21" hidden="1" customHeight="1" x14ac:dyDescent="0.35">
      <c r="A1145" s="82" t="str">
        <f>IF($AA1142=0,"",IF(LEN(INDEX(Quotes!$AB$9:$AB$258,$AA1142)&amp;"")=0,"",INDEX(Quotes!$AB$9:$AB$258,$AA1142)))</f>
        <v/>
      </c>
      <c r="B1145" s="39"/>
      <c r="C1145" s="39"/>
      <c r="D1145" s="39"/>
      <c r="E1145" s="39"/>
      <c r="F1145" s="39"/>
      <c r="G1145" s="39"/>
      <c r="I1145" s="82" t="str">
        <f>IF($AA1142=0,"",IF(LEN(INDEX(Quotes!$AD$9:$AD$258,$AA1142)&amp;"")=0,"",INDEX(Quotes!$AD$9:$AD$258,$AA1142)))</f>
        <v/>
      </c>
      <c r="J1145" s="39"/>
      <c r="K1145" s="39"/>
      <c r="L1145" s="39"/>
      <c r="M1145" s="39"/>
      <c r="N1145" s="39"/>
      <c r="O1145" s="39"/>
      <c r="Q1145" s="82" t="str">
        <f>IF($AA1142=0,"",IF(LEN(INDEX(Quotes!$AF$9:$AF$258,$AA1142)&amp;"")=0,"",INDEX(Quotes!$AF$9:$AF$258,$AA1142)))</f>
        <v/>
      </c>
      <c r="R1145" s="39"/>
      <c r="S1145" s="39"/>
      <c r="T1145" s="39"/>
      <c r="U1145" s="39"/>
      <c r="V1145" s="39"/>
    </row>
    <row r="1146" spans="1:27" ht="21" hidden="1" customHeight="1" x14ac:dyDescent="0.35">
      <c r="A1146" s="48" t="str">
        <f>IF($AA1142=0,"","Reference: "&amp;IF(INDEX(Quotes!$M$9:$M$258,$AA1142)="",INDEX(Quotes!$S$9:$S$258,$AA1142),INDEX(Quotes!$M$9:$M$258,$AA1142)))</f>
        <v/>
      </c>
      <c r="B1146" s="39"/>
      <c r="C1146" s="39"/>
      <c r="D1146" s="39"/>
      <c r="E1146" s="39"/>
      <c r="F1146" s="39"/>
      <c r="G1146" s="39"/>
      <c r="H1146" s="39"/>
      <c r="I1146" s="39"/>
      <c r="J1146" s="39"/>
      <c r="K1146" s="39"/>
      <c r="L1146" s="39"/>
      <c r="M1146" s="39"/>
      <c r="N1146" s="39"/>
      <c r="O1146" s="39"/>
      <c r="P1146" s="39"/>
      <c r="Q1146" s="48" t="str">
        <f>IF($AA1142=0,"",INDEX(Quotes!$E$9:$E$258,$AA1142))</f>
        <v/>
      </c>
      <c r="R1146" s="39"/>
      <c r="S1146" s="39"/>
      <c r="T1146" s="39"/>
      <c r="U1146" s="39"/>
      <c r="V1146" s="39"/>
    </row>
    <row r="1147" spans="1:27" ht="21" hidden="1" customHeight="1" x14ac:dyDescent="0.35">
      <c r="A1147" s="81" t="str">
        <f>IF($AA1142=0,"",IF(INDEX(Quotes!$N$9:$N$258,$AA1142)="","No original link","Original quote"))</f>
        <v/>
      </c>
      <c r="B1147" s="39"/>
      <c r="C1147" s="39"/>
      <c r="D1147" s="39"/>
      <c r="E1147" s="39"/>
      <c r="F1147" s="39"/>
      <c r="G1147" s="39"/>
      <c r="I1147" s="81" t="str">
        <f>IF($AA1142=0,"",IF(INDEX(Quotes!$O$9:$O$258,$AA1142)="","No revised link","Revised quote"))</f>
        <v/>
      </c>
      <c r="J1147" s="39"/>
      <c r="K1147" s="39"/>
      <c r="L1147" s="39"/>
      <c r="M1147" s="39"/>
      <c r="N1147" s="39"/>
      <c r="O1147" s="39"/>
      <c r="Q1147" s="81" t="str">
        <f>IF($AA1142=0,"",HYPERLINK("#'Quotes'!A"&amp;($AA1142+8),"Open quote record"))</f>
        <v/>
      </c>
      <c r="R1147" s="39"/>
      <c r="S1147" s="39"/>
      <c r="T1147" s="39"/>
      <c r="U1147" s="39"/>
      <c r="V1147" s="39"/>
    </row>
    <row r="1148" spans="1:27" ht="21" hidden="1" customHeight="1" x14ac:dyDescent="0.35"/>
    <row r="1149" spans="1:27" hidden="1" x14ac:dyDescent="0.35"/>
    <row r="1150" spans="1:27" hidden="1" x14ac:dyDescent="0.35"/>
    <row r="1151" spans="1:27" ht="29" hidden="1" customHeight="1" x14ac:dyDescent="0.35">
      <c r="A1151" s="84" t="str">
        <f>IF($AA1151=0,"",IF(LEN(INDEX(Quotes!$U$9:$U$258,$AA1151)&amp;"")=0,"",INDEX(Quotes!$U$9:$U$258,$AA1151)))</f>
        <v/>
      </c>
      <c r="B1151" s="39"/>
      <c r="C1151" s="39"/>
      <c r="D1151" s="39"/>
      <c r="E1151" s="39"/>
      <c r="F1151" s="39"/>
      <c r="G1151" s="39"/>
      <c r="H1151" s="39"/>
      <c r="I1151" s="39"/>
      <c r="J1151" s="39"/>
      <c r="K1151" s="85" t="str">
        <f>IF($AA1151=0,"",IF(LEN(INDEX(Quotes!$Z$9:$Z$258,$AA1151)&amp;"")=0,"",INDEX(Quotes!$Z$9:$Z$258,$AA1151)))</f>
        <v/>
      </c>
      <c r="L1151" s="39"/>
      <c r="M1151" s="39"/>
      <c r="N1151" s="39"/>
      <c r="O1151" s="39"/>
      <c r="P1151" s="39"/>
      <c r="Q1151" s="39"/>
      <c r="R1151" s="39"/>
      <c r="S1151" s="39"/>
      <c r="T1151" s="39"/>
      <c r="U1151" s="39"/>
      <c r="V1151" s="39"/>
      <c r="AA1151">
        <f>IFERROR(MATCH(118,Quotes!$AK$9:$AK$258,0),0)</f>
        <v>0</v>
      </c>
    </row>
    <row r="1152" spans="1:27" ht="21" hidden="1" customHeight="1" x14ac:dyDescent="0.35">
      <c r="A1152" s="40" t="str">
        <f>IF($AA1151=0,"",IF(LEN(INDEX(Quotes!$V$9:$V$258,$AA1151)&amp;"")=0,"",INDEX(Quotes!$V$9:$V$258,$AA1151)))</f>
        <v/>
      </c>
      <c r="B1152" s="39"/>
      <c r="C1152" s="39"/>
      <c r="D1152" s="39"/>
      <c r="E1152" s="39"/>
      <c r="F1152" s="39"/>
      <c r="G1152" s="39"/>
      <c r="H1152" s="40" t="str">
        <f>IF($AA1151=0,"",IF(LEN(INDEX(Quotes!$W$9:$W$258,$AA1151)&amp;"")=0,"",INDEX(Quotes!$W$9:$W$258,$AA1151)))</f>
        <v/>
      </c>
      <c r="I1152" s="39"/>
      <c r="J1152" s="39"/>
      <c r="K1152" s="39"/>
      <c r="L1152" s="39"/>
      <c r="M1152" s="39"/>
      <c r="N1152" s="39"/>
      <c r="O1152" s="39"/>
      <c r="P1152" s="39"/>
      <c r="Q1152" s="39"/>
      <c r="R1152" s="77" t="str">
        <f>IF($AA1151=0,"",IF(LEN(INDEX(Quotes!$X$9:$X$258,$AA1151)&amp;"")=0,"",INDEX(Quotes!$X$9:$X$258,$AA1151)))</f>
        <v/>
      </c>
      <c r="S1152" s="39"/>
      <c r="T1152" s="39"/>
      <c r="U1152" s="39"/>
      <c r="V1152" s="39"/>
    </row>
    <row r="1153" spans="1:27" ht="21" hidden="1" customHeight="1" x14ac:dyDescent="0.35">
      <c r="A1153" s="83" t="str">
        <f>IF($AA1151=0,"","ORIGINAL EUR")</f>
        <v/>
      </c>
      <c r="B1153" s="39"/>
      <c r="C1153" s="39"/>
      <c r="D1153" s="39"/>
      <c r="E1153" s="39"/>
      <c r="F1153" s="39"/>
      <c r="G1153" s="39"/>
      <c r="I1153" s="83" t="str">
        <f>IF($AA1151=0,"","LATEST EUR")</f>
        <v/>
      </c>
      <c r="J1153" s="39"/>
      <c r="K1153" s="39"/>
      <c r="L1153" s="39"/>
      <c r="M1153" s="39"/>
      <c r="N1153" s="39"/>
      <c r="O1153" s="39"/>
      <c r="Q1153" s="83" t="str">
        <f>IF($AA1151=0,"","SAVED EUR")</f>
        <v/>
      </c>
      <c r="R1153" s="39"/>
      <c r="S1153" s="39"/>
      <c r="T1153" s="39"/>
      <c r="U1153" s="39"/>
      <c r="V1153" s="39"/>
    </row>
    <row r="1154" spans="1:27" ht="21" hidden="1" customHeight="1" x14ac:dyDescent="0.35">
      <c r="A1154" s="82" t="str">
        <f>IF($AA1151=0,"",IF(LEN(INDEX(Quotes!$AB$9:$AB$258,$AA1151)&amp;"")=0,"",INDEX(Quotes!$AB$9:$AB$258,$AA1151)))</f>
        <v/>
      </c>
      <c r="B1154" s="39"/>
      <c r="C1154" s="39"/>
      <c r="D1154" s="39"/>
      <c r="E1154" s="39"/>
      <c r="F1154" s="39"/>
      <c r="G1154" s="39"/>
      <c r="I1154" s="82" t="str">
        <f>IF($AA1151=0,"",IF(LEN(INDEX(Quotes!$AD$9:$AD$258,$AA1151)&amp;"")=0,"",INDEX(Quotes!$AD$9:$AD$258,$AA1151)))</f>
        <v/>
      </c>
      <c r="J1154" s="39"/>
      <c r="K1154" s="39"/>
      <c r="L1154" s="39"/>
      <c r="M1154" s="39"/>
      <c r="N1154" s="39"/>
      <c r="O1154" s="39"/>
      <c r="Q1154" s="82" t="str">
        <f>IF($AA1151=0,"",IF(LEN(INDEX(Quotes!$AF$9:$AF$258,$AA1151)&amp;"")=0,"",INDEX(Quotes!$AF$9:$AF$258,$AA1151)))</f>
        <v/>
      </c>
      <c r="R1154" s="39"/>
      <c r="S1154" s="39"/>
      <c r="T1154" s="39"/>
      <c r="U1154" s="39"/>
      <c r="V1154" s="39"/>
    </row>
    <row r="1155" spans="1:27" ht="21" hidden="1" customHeight="1" x14ac:dyDescent="0.35">
      <c r="A1155" s="48" t="str">
        <f>IF($AA1151=0,"","Reference: "&amp;IF(INDEX(Quotes!$M$9:$M$258,$AA1151)="",INDEX(Quotes!$S$9:$S$258,$AA1151),INDEX(Quotes!$M$9:$M$258,$AA1151)))</f>
        <v/>
      </c>
      <c r="B1155" s="39"/>
      <c r="C1155" s="39"/>
      <c r="D1155" s="39"/>
      <c r="E1155" s="39"/>
      <c r="F1155" s="39"/>
      <c r="G1155" s="39"/>
      <c r="H1155" s="39"/>
      <c r="I1155" s="39"/>
      <c r="J1155" s="39"/>
      <c r="K1155" s="39"/>
      <c r="L1155" s="39"/>
      <c r="M1155" s="39"/>
      <c r="N1155" s="39"/>
      <c r="O1155" s="39"/>
      <c r="P1155" s="39"/>
      <c r="Q1155" s="48" t="str">
        <f>IF($AA1151=0,"",INDEX(Quotes!$E$9:$E$258,$AA1151))</f>
        <v/>
      </c>
      <c r="R1155" s="39"/>
      <c r="S1155" s="39"/>
      <c r="T1155" s="39"/>
      <c r="U1155" s="39"/>
      <c r="V1155" s="39"/>
    </row>
    <row r="1156" spans="1:27" ht="21" hidden="1" customHeight="1" x14ac:dyDescent="0.35">
      <c r="A1156" s="81" t="str">
        <f>IF($AA1151=0,"",IF(INDEX(Quotes!$N$9:$N$258,$AA1151)="","No original link","Original quote"))</f>
        <v/>
      </c>
      <c r="B1156" s="39"/>
      <c r="C1156" s="39"/>
      <c r="D1156" s="39"/>
      <c r="E1156" s="39"/>
      <c r="F1156" s="39"/>
      <c r="G1156" s="39"/>
      <c r="I1156" s="81" t="str">
        <f>IF($AA1151=0,"",IF(INDEX(Quotes!$O$9:$O$258,$AA1151)="","No revised link","Revised quote"))</f>
        <v/>
      </c>
      <c r="J1156" s="39"/>
      <c r="K1156" s="39"/>
      <c r="L1156" s="39"/>
      <c r="M1156" s="39"/>
      <c r="N1156" s="39"/>
      <c r="O1156" s="39"/>
      <c r="Q1156" s="81" t="str">
        <f>IF($AA1151=0,"",HYPERLINK("#'Quotes'!A"&amp;($AA1151+8),"Open quote record"))</f>
        <v/>
      </c>
      <c r="R1156" s="39"/>
      <c r="S1156" s="39"/>
      <c r="T1156" s="39"/>
      <c r="U1156" s="39"/>
      <c r="V1156" s="39"/>
    </row>
    <row r="1157" spans="1:27" ht="21" hidden="1" customHeight="1" x14ac:dyDescent="0.35"/>
    <row r="1158" spans="1:27" hidden="1" x14ac:dyDescent="0.35"/>
    <row r="1159" spans="1:27" hidden="1" x14ac:dyDescent="0.35"/>
    <row r="1160" spans="1:27" ht="29" hidden="1" customHeight="1" x14ac:dyDescent="0.35">
      <c r="A1160" s="84" t="str">
        <f>IF($AA1160=0,"",IF(LEN(INDEX(Quotes!$U$9:$U$258,$AA1160)&amp;"")=0,"",INDEX(Quotes!$U$9:$U$258,$AA1160)))</f>
        <v/>
      </c>
      <c r="B1160" s="39"/>
      <c r="C1160" s="39"/>
      <c r="D1160" s="39"/>
      <c r="E1160" s="39"/>
      <c r="F1160" s="39"/>
      <c r="G1160" s="39"/>
      <c r="H1160" s="39"/>
      <c r="I1160" s="39"/>
      <c r="J1160" s="39"/>
      <c r="K1160" s="85" t="str">
        <f>IF($AA1160=0,"",IF(LEN(INDEX(Quotes!$Z$9:$Z$258,$AA1160)&amp;"")=0,"",INDEX(Quotes!$Z$9:$Z$258,$AA1160)))</f>
        <v/>
      </c>
      <c r="L1160" s="39"/>
      <c r="M1160" s="39"/>
      <c r="N1160" s="39"/>
      <c r="O1160" s="39"/>
      <c r="P1160" s="39"/>
      <c r="Q1160" s="39"/>
      <c r="R1160" s="39"/>
      <c r="S1160" s="39"/>
      <c r="T1160" s="39"/>
      <c r="U1160" s="39"/>
      <c r="V1160" s="39"/>
      <c r="AA1160">
        <f>IFERROR(MATCH(119,Quotes!$AK$9:$AK$258,0),0)</f>
        <v>0</v>
      </c>
    </row>
    <row r="1161" spans="1:27" ht="21" hidden="1" customHeight="1" x14ac:dyDescent="0.35">
      <c r="A1161" s="40" t="str">
        <f>IF($AA1160=0,"",IF(LEN(INDEX(Quotes!$V$9:$V$258,$AA1160)&amp;"")=0,"",INDEX(Quotes!$V$9:$V$258,$AA1160)))</f>
        <v/>
      </c>
      <c r="B1161" s="39"/>
      <c r="C1161" s="39"/>
      <c r="D1161" s="39"/>
      <c r="E1161" s="39"/>
      <c r="F1161" s="39"/>
      <c r="G1161" s="39"/>
      <c r="H1161" s="40" t="str">
        <f>IF($AA1160=0,"",IF(LEN(INDEX(Quotes!$W$9:$W$258,$AA1160)&amp;"")=0,"",INDEX(Quotes!$W$9:$W$258,$AA1160)))</f>
        <v/>
      </c>
      <c r="I1161" s="39"/>
      <c r="J1161" s="39"/>
      <c r="K1161" s="39"/>
      <c r="L1161" s="39"/>
      <c r="M1161" s="39"/>
      <c r="N1161" s="39"/>
      <c r="O1161" s="39"/>
      <c r="P1161" s="39"/>
      <c r="Q1161" s="39"/>
      <c r="R1161" s="77" t="str">
        <f>IF($AA1160=0,"",IF(LEN(INDEX(Quotes!$X$9:$X$258,$AA1160)&amp;"")=0,"",INDEX(Quotes!$X$9:$X$258,$AA1160)))</f>
        <v/>
      </c>
      <c r="S1161" s="39"/>
      <c r="T1161" s="39"/>
      <c r="U1161" s="39"/>
      <c r="V1161" s="39"/>
    </row>
    <row r="1162" spans="1:27" ht="21" hidden="1" customHeight="1" x14ac:dyDescent="0.35">
      <c r="A1162" s="83" t="str">
        <f>IF($AA1160=0,"","ORIGINAL EUR")</f>
        <v/>
      </c>
      <c r="B1162" s="39"/>
      <c r="C1162" s="39"/>
      <c r="D1162" s="39"/>
      <c r="E1162" s="39"/>
      <c r="F1162" s="39"/>
      <c r="G1162" s="39"/>
      <c r="I1162" s="83" t="str">
        <f>IF($AA1160=0,"","LATEST EUR")</f>
        <v/>
      </c>
      <c r="J1162" s="39"/>
      <c r="K1162" s="39"/>
      <c r="L1162" s="39"/>
      <c r="M1162" s="39"/>
      <c r="N1162" s="39"/>
      <c r="O1162" s="39"/>
      <c r="Q1162" s="83" t="str">
        <f>IF($AA1160=0,"","SAVED EUR")</f>
        <v/>
      </c>
      <c r="R1162" s="39"/>
      <c r="S1162" s="39"/>
      <c r="T1162" s="39"/>
      <c r="U1162" s="39"/>
      <c r="V1162" s="39"/>
    </row>
    <row r="1163" spans="1:27" ht="21" hidden="1" customHeight="1" x14ac:dyDescent="0.35">
      <c r="A1163" s="82" t="str">
        <f>IF($AA1160=0,"",IF(LEN(INDEX(Quotes!$AB$9:$AB$258,$AA1160)&amp;"")=0,"",INDEX(Quotes!$AB$9:$AB$258,$AA1160)))</f>
        <v/>
      </c>
      <c r="B1163" s="39"/>
      <c r="C1163" s="39"/>
      <c r="D1163" s="39"/>
      <c r="E1163" s="39"/>
      <c r="F1163" s="39"/>
      <c r="G1163" s="39"/>
      <c r="I1163" s="82" t="str">
        <f>IF($AA1160=0,"",IF(LEN(INDEX(Quotes!$AD$9:$AD$258,$AA1160)&amp;"")=0,"",INDEX(Quotes!$AD$9:$AD$258,$AA1160)))</f>
        <v/>
      </c>
      <c r="J1163" s="39"/>
      <c r="K1163" s="39"/>
      <c r="L1163" s="39"/>
      <c r="M1163" s="39"/>
      <c r="N1163" s="39"/>
      <c r="O1163" s="39"/>
      <c r="Q1163" s="82" t="str">
        <f>IF($AA1160=0,"",IF(LEN(INDEX(Quotes!$AF$9:$AF$258,$AA1160)&amp;"")=0,"",INDEX(Quotes!$AF$9:$AF$258,$AA1160)))</f>
        <v/>
      </c>
      <c r="R1163" s="39"/>
      <c r="S1163" s="39"/>
      <c r="T1163" s="39"/>
      <c r="U1163" s="39"/>
      <c r="V1163" s="39"/>
    </row>
    <row r="1164" spans="1:27" ht="21" hidden="1" customHeight="1" x14ac:dyDescent="0.35">
      <c r="A1164" s="48" t="str">
        <f>IF($AA1160=0,"","Reference: "&amp;IF(INDEX(Quotes!$M$9:$M$258,$AA1160)="",INDEX(Quotes!$S$9:$S$258,$AA1160),INDEX(Quotes!$M$9:$M$258,$AA1160)))</f>
        <v/>
      </c>
      <c r="B1164" s="39"/>
      <c r="C1164" s="39"/>
      <c r="D1164" s="39"/>
      <c r="E1164" s="39"/>
      <c r="F1164" s="39"/>
      <c r="G1164" s="39"/>
      <c r="H1164" s="39"/>
      <c r="I1164" s="39"/>
      <c r="J1164" s="39"/>
      <c r="K1164" s="39"/>
      <c r="L1164" s="39"/>
      <c r="M1164" s="39"/>
      <c r="N1164" s="39"/>
      <c r="O1164" s="39"/>
      <c r="P1164" s="39"/>
      <c r="Q1164" s="48" t="str">
        <f>IF($AA1160=0,"",INDEX(Quotes!$E$9:$E$258,$AA1160))</f>
        <v/>
      </c>
      <c r="R1164" s="39"/>
      <c r="S1164" s="39"/>
      <c r="T1164" s="39"/>
      <c r="U1164" s="39"/>
      <c r="V1164" s="39"/>
    </row>
    <row r="1165" spans="1:27" ht="21" hidden="1" customHeight="1" x14ac:dyDescent="0.35">
      <c r="A1165" s="81" t="str">
        <f>IF($AA1160=0,"",IF(INDEX(Quotes!$N$9:$N$258,$AA1160)="","No original link","Original quote"))</f>
        <v/>
      </c>
      <c r="B1165" s="39"/>
      <c r="C1165" s="39"/>
      <c r="D1165" s="39"/>
      <c r="E1165" s="39"/>
      <c r="F1165" s="39"/>
      <c r="G1165" s="39"/>
      <c r="I1165" s="81" t="str">
        <f>IF($AA1160=0,"",IF(INDEX(Quotes!$O$9:$O$258,$AA1160)="","No revised link","Revised quote"))</f>
        <v/>
      </c>
      <c r="J1165" s="39"/>
      <c r="K1165" s="39"/>
      <c r="L1165" s="39"/>
      <c r="M1165" s="39"/>
      <c r="N1165" s="39"/>
      <c r="O1165" s="39"/>
      <c r="Q1165" s="81" t="str">
        <f>IF($AA1160=0,"",HYPERLINK("#'Quotes'!A"&amp;($AA1160+8),"Open quote record"))</f>
        <v/>
      </c>
      <c r="R1165" s="39"/>
      <c r="S1165" s="39"/>
      <c r="T1165" s="39"/>
      <c r="U1165" s="39"/>
      <c r="V1165" s="39"/>
    </row>
    <row r="1166" spans="1:27" ht="21" hidden="1" customHeight="1" x14ac:dyDescent="0.35"/>
    <row r="1167" spans="1:27" hidden="1" x14ac:dyDescent="0.35"/>
    <row r="1168" spans="1:27" hidden="1" x14ac:dyDescent="0.35"/>
    <row r="1169" spans="1:27" ht="29" hidden="1" customHeight="1" x14ac:dyDescent="0.35">
      <c r="A1169" s="84" t="str">
        <f>IF($AA1169=0,"",IF(LEN(INDEX(Quotes!$U$9:$U$258,$AA1169)&amp;"")=0,"",INDEX(Quotes!$U$9:$U$258,$AA1169)))</f>
        <v/>
      </c>
      <c r="B1169" s="39"/>
      <c r="C1169" s="39"/>
      <c r="D1169" s="39"/>
      <c r="E1169" s="39"/>
      <c r="F1169" s="39"/>
      <c r="G1169" s="39"/>
      <c r="H1169" s="39"/>
      <c r="I1169" s="39"/>
      <c r="J1169" s="39"/>
      <c r="K1169" s="85" t="str">
        <f>IF($AA1169=0,"",IF(LEN(INDEX(Quotes!$Z$9:$Z$258,$AA1169)&amp;"")=0,"",INDEX(Quotes!$Z$9:$Z$258,$AA1169)))</f>
        <v/>
      </c>
      <c r="L1169" s="39"/>
      <c r="M1169" s="39"/>
      <c r="N1169" s="39"/>
      <c r="O1169" s="39"/>
      <c r="P1169" s="39"/>
      <c r="Q1169" s="39"/>
      <c r="R1169" s="39"/>
      <c r="S1169" s="39"/>
      <c r="T1169" s="39"/>
      <c r="U1169" s="39"/>
      <c r="V1169" s="39"/>
      <c r="AA1169">
        <f>IFERROR(MATCH(120,Quotes!$AK$9:$AK$258,0),0)</f>
        <v>0</v>
      </c>
    </row>
    <row r="1170" spans="1:27" ht="21" hidden="1" customHeight="1" x14ac:dyDescent="0.35">
      <c r="A1170" s="40" t="str">
        <f>IF($AA1169=0,"",IF(LEN(INDEX(Quotes!$V$9:$V$258,$AA1169)&amp;"")=0,"",INDEX(Quotes!$V$9:$V$258,$AA1169)))</f>
        <v/>
      </c>
      <c r="B1170" s="39"/>
      <c r="C1170" s="39"/>
      <c r="D1170" s="39"/>
      <c r="E1170" s="39"/>
      <c r="F1170" s="39"/>
      <c r="G1170" s="39"/>
      <c r="H1170" s="40" t="str">
        <f>IF($AA1169=0,"",IF(LEN(INDEX(Quotes!$W$9:$W$258,$AA1169)&amp;"")=0,"",INDEX(Quotes!$W$9:$W$258,$AA1169)))</f>
        <v/>
      </c>
      <c r="I1170" s="39"/>
      <c r="J1170" s="39"/>
      <c r="K1170" s="39"/>
      <c r="L1170" s="39"/>
      <c r="M1170" s="39"/>
      <c r="N1170" s="39"/>
      <c r="O1170" s="39"/>
      <c r="P1170" s="39"/>
      <c r="Q1170" s="39"/>
      <c r="R1170" s="77" t="str">
        <f>IF($AA1169=0,"",IF(LEN(INDEX(Quotes!$X$9:$X$258,$AA1169)&amp;"")=0,"",INDEX(Quotes!$X$9:$X$258,$AA1169)))</f>
        <v/>
      </c>
      <c r="S1170" s="39"/>
      <c r="T1170" s="39"/>
      <c r="U1170" s="39"/>
      <c r="V1170" s="39"/>
    </row>
    <row r="1171" spans="1:27" ht="21" hidden="1" customHeight="1" x14ac:dyDescent="0.35">
      <c r="A1171" s="83" t="str">
        <f>IF($AA1169=0,"","ORIGINAL EUR")</f>
        <v/>
      </c>
      <c r="B1171" s="39"/>
      <c r="C1171" s="39"/>
      <c r="D1171" s="39"/>
      <c r="E1171" s="39"/>
      <c r="F1171" s="39"/>
      <c r="G1171" s="39"/>
      <c r="I1171" s="83" t="str">
        <f>IF($AA1169=0,"","LATEST EUR")</f>
        <v/>
      </c>
      <c r="J1171" s="39"/>
      <c r="K1171" s="39"/>
      <c r="L1171" s="39"/>
      <c r="M1171" s="39"/>
      <c r="N1171" s="39"/>
      <c r="O1171" s="39"/>
      <c r="Q1171" s="83" t="str">
        <f>IF($AA1169=0,"","SAVED EUR")</f>
        <v/>
      </c>
      <c r="R1171" s="39"/>
      <c r="S1171" s="39"/>
      <c r="T1171" s="39"/>
      <c r="U1171" s="39"/>
      <c r="V1171" s="39"/>
    </row>
    <row r="1172" spans="1:27" ht="21" hidden="1" customHeight="1" x14ac:dyDescent="0.35">
      <c r="A1172" s="82" t="str">
        <f>IF($AA1169=0,"",IF(LEN(INDEX(Quotes!$AB$9:$AB$258,$AA1169)&amp;"")=0,"",INDEX(Quotes!$AB$9:$AB$258,$AA1169)))</f>
        <v/>
      </c>
      <c r="B1172" s="39"/>
      <c r="C1172" s="39"/>
      <c r="D1172" s="39"/>
      <c r="E1172" s="39"/>
      <c r="F1172" s="39"/>
      <c r="G1172" s="39"/>
      <c r="I1172" s="82" t="str">
        <f>IF($AA1169=0,"",IF(LEN(INDEX(Quotes!$AD$9:$AD$258,$AA1169)&amp;"")=0,"",INDEX(Quotes!$AD$9:$AD$258,$AA1169)))</f>
        <v/>
      </c>
      <c r="J1172" s="39"/>
      <c r="K1172" s="39"/>
      <c r="L1172" s="39"/>
      <c r="M1172" s="39"/>
      <c r="N1172" s="39"/>
      <c r="O1172" s="39"/>
      <c r="Q1172" s="82" t="str">
        <f>IF($AA1169=0,"",IF(LEN(INDEX(Quotes!$AF$9:$AF$258,$AA1169)&amp;"")=0,"",INDEX(Quotes!$AF$9:$AF$258,$AA1169)))</f>
        <v/>
      </c>
      <c r="R1172" s="39"/>
      <c r="S1172" s="39"/>
      <c r="T1172" s="39"/>
      <c r="U1172" s="39"/>
      <c r="V1172" s="39"/>
    </row>
    <row r="1173" spans="1:27" ht="21" hidden="1" customHeight="1" x14ac:dyDescent="0.35">
      <c r="A1173" s="48" t="str">
        <f>IF($AA1169=0,"","Reference: "&amp;IF(INDEX(Quotes!$M$9:$M$258,$AA1169)="",INDEX(Quotes!$S$9:$S$258,$AA1169),INDEX(Quotes!$M$9:$M$258,$AA1169)))</f>
        <v/>
      </c>
      <c r="B1173" s="39"/>
      <c r="C1173" s="39"/>
      <c r="D1173" s="39"/>
      <c r="E1173" s="39"/>
      <c r="F1173" s="39"/>
      <c r="G1173" s="39"/>
      <c r="H1173" s="39"/>
      <c r="I1173" s="39"/>
      <c r="J1173" s="39"/>
      <c r="K1173" s="39"/>
      <c r="L1173" s="39"/>
      <c r="M1173" s="39"/>
      <c r="N1173" s="39"/>
      <c r="O1173" s="39"/>
      <c r="P1173" s="39"/>
      <c r="Q1173" s="48" t="str">
        <f>IF($AA1169=0,"",INDEX(Quotes!$E$9:$E$258,$AA1169))</f>
        <v/>
      </c>
      <c r="R1173" s="39"/>
      <c r="S1173" s="39"/>
      <c r="T1173" s="39"/>
      <c r="U1173" s="39"/>
      <c r="V1173" s="39"/>
    </row>
    <row r="1174" spans="1:27" ht="21" hidden="1" customHeight="1" x14ac:dyDescent="0.35">
      <c r="A1174" s="81" t="str">
        <f>IF($AA1169=0,"",IF(INDEX(Quotes!$N$9:$N$258,$AA1169)="","No original link","Original quote"))</f>
        <v/>
      </c>
      <c r="B1174" s="39"/>
      <c r="C1174" s="39"/>
      <c r="D1174" s="39"/>
      <c r="E1174" s="39"/>
      <c r="F1174" s="39"/>
      <c r="G1174" s="39"/>
      <c r="I1174" s="81" t="str">
        <f>IF($AA1169=0,"",IF(INDEX(Quotes!$O$9:$O$258,$AA1169)="","No revised link","Revised quote"))</f>
        <v/>
      </c>
      <c r="J1174" s="39"/>
      <c r="K1174" s="39"/>
      <c r="L1174" s="39"/>
      <c r="M1174" s="39"/>
      <c r="N1174" s="39"/>
      <c r="O1174" s="39"/>
      <c r="Q1174" s="81" t="str">
        <f>IF($AA1169=0,"",HYPERLINK("#'Quotes'!A"&amp;($AA1169+8),"Open quote record"))</f>
        <v/>
      </c>
      <c r="R1174" s="39"/>
      <c r="S1174" s="39"/>
      <c r="T1174" s="39"/>
      <c r="U1174" s="39"/>
      <c r="V1174" s="39"/>
    </row>
    <row r="1175" spans="1:27" ht="21" hidden="1" customHeight="1" x14ac:dyDescent="0.35"/>
    <row r="1176" spans="1:27" hidden="1" x14ac:dyDescent="0.35"/>
    <row r="1177" spans="1:27" hidden="1" x14ac:dyDescent="0.35"/>
    <row r="1178" spans="1:27" hidden="1" x14ac:dyDescent="0.35"/>
    <row r="1179" spans="1:27" hidden="1" x14ac:dyDescent="0.35">
      <c r="A1179" s="67" t="s">
        <v>655</v>
      </c>
      <c r="B1179" s="39"/>
      <c r="C1179" s="39"/>
      <c r="D1179" s="39"/>
      <c r="E1179" s="39"/>
      <c r="F1179" s="39"/>
      <c r="G1179" s="39"/>
      <c r="H1179" s="39"/>
      <c r="I1179" s="39"/>
      <c r="J1179" s="39"/>
      <c r="K1179" s="39"/>
      <c r="L1179" s="39"/>
      <c r="M1179" s="39"/>
      <c r="N1179" s="39"/>
      <c r="O1179" s="39"/>
      <c r="P1179" s="39"/>
      <c r="Q1179" s="39"/>
      <c r="R1179" s="39"/>
      <c r="S1179" s="39"/>
      <c r="T1179" s="39"/>
      <c r="U1179" s="39"/>
      <c r="V1179" s="39"/>
    </row>
    <row r="1180" spans="1:27" ht="29" hidden="1" customHeight="1" x14ac:dyDescent="0.35">
      <c r="A1180" s="84" t="str">
        <f>IF($AA1180=0,"",IF(LEN(INDEX(Quotes!$U$9:$U$258,$AA1180)&amp;"")=0,"",INDEX(Quotes!$U$9:$U$258,$AA1180)))</f>
        <v/>
      </c>
      <c r="B1180" s="39"/>
      <c r="C1180" s="39"/>
      <c r="D1180" s="39"/>
      <c r="E1180" s="39"/>
      <c r="F1180" s="39"/>
      <c r="G1180" s="39"/>
      <c r="H1180" s="39"/>
      <c r="I1180" s="39"/>
      <c r="J1180" s="39"/>
      <c r="K1180" s="85" t="str">
        <f>IF($AA1180=0,"",IF(LEN(INDEX(Quotes!$Z$9:$Z$258,$AA1180)&amp;"")=0,"",INDEX(Quotes!$Z$9:$Z$258,$AA1180)))</f>
        <v/>
      </c>
      <c r="L1180" s="39"/>
      <c r="M1180" s="39"/>
      <c r="N1180" s="39"/>
      <c r="O1180" s="39"/>
      <c r="P1180" s="39"/>
      <c r="Q1180" s="39"/>
      <c r="R1180" s="39"/>
      <c r="S1180" s="39"/>
      <c r="T1180" s="39"/>
      <c r="U1180" s="39"/>
      <c r="V1180" s="39"/>
      <c r="AA1180">
        <f>IFERROR(MATCH(121,Quotes!$AK$9:$AK$258,0),0)</f>
        <v>0</v>
      </c>
    </row>
    <row r="1181" spans="1:27" ht="21" hidden="1" customHeight="1" x14ac:dyDescent="0.35">
      <c r="A1181" s="40" t="str">
        <f>IF($AA1180=0,"",IF(LEN(INDEX(Quotes!$V$9:$V$258,$AA1180)&amp;"")=0,"",INDEX(Quotes!$V$9:$V$258,$AA1180)))</f>
        <v/>
      </c>
      <c r="B1181" s="39"/>
      <c r="C1181" s="39"/>
      <c r="D1181" s="39"/>
      <c r="E1181" s="39"/>
      <c r="F1181" s="39"/>
      <c r="G1181" s="39"/>
      <c r="H1181" s="40" t="str">
        <f>IF($AA1180=0,"",IF(LEN(INDEX(Quotes!$W$9:$W$258,$AA1180)&amp;"")=0,"",INDEX(Quotes!$W$9:$W$258,$AA1180)))</f>
        <v/>
      </c>
      <c r="I1181" s="39"/>
      <c r="J1181" s="39"/>
      <c r="K1181" s="39"/>
      <c r="L1181" s="39"/>
      <c r="M1181" s="39"/>
      <c r="N1181" s="39"/>
      <c r="O1181" s="39"/>
      <c r="P1181" s="39"/>
      <c r="Q1181" s="39"/>
      <c r="R1181" s="77" t="str">
        <f>IF($AA1180=0,"",IF(LEN(INDEX(Quotes!$X$9:$X$258,$AA1180)&amp;"")=0,"",INDEX(Quotes!$X$9:$X$258,$AA1180)))</f>
        <v/>
      </c>
      <c r="S1181" s="39"/>
      <c r="T1181" s="39"/>
      <c r="U1181" s="39"/>
      <c r="V1181" s="39"/>
    </row>
    <row r="1182" spans="1:27" ht="21" hidden="1" customHeight="1" x14ac:dyDescent="0.35">
      <c r="A1182" s="83" t="str">
        <f>IF($AA1180=0,"","ORIGINAL EUR")</f>
        <v/>
      </c>
      <c r="B1182" s="39"/>
      <c r="C1182" s="39"/>
      <c r="D1182" s="39"/>
      <c r="E1182" s="39"/>
      <c r="F1182" s="39"/>
      <c r="G1182" s="39"/>
      <c r="I1182" s="83" t="str">
        <f>IF($AA1180=0,"","LATEST EUR")</f>
        <v/>
      </c>
      <c r="J1182" s="39"/>
      <c r="K1182" s="39"/>
      <c r="L1182" s="39"/>
      <c r="M1182" s="39"/>
      <c r="N1182" s="39"/>
      <c r="O1182" s="39"/>
      <c r="Q1182" s="83" t="str">
        <f>IF($AA1180=0,"","SAVED EUR")</f>
        <v/>
      </c>
      <c r="R1182" s="39"/>
      <c r="S1182" s="39"/>
      <c r="T1182" s="39"/>
      <c r="U1182" s="39"/>
      <c r="V1182" s="39"/>
    </row>
    <row r="1183" spans="1:27" ht="21" hidden="1" customHeight="1" x14ac:dyDescent="0.35">
      <c r="A1183" s="82" t="str">
        <f>IF($AA1180=0,"",IF(LEN(INDEX(Quotes!$AB$9:$AB$258,$AA1180)&amp;"")=0,"",INDEX(Quotes!$AB$9:$AB$258,$AA1180)))</f>
        <v/>
      </c>
      <c r="B1183" s="39"/>
      <c r="C1183" s="39"/>
      <c r="D1183" s="39"/>
      <c r="E1183" s="39"/>
      <c r="F1183" s="39"/>
      <c r="G1183" s="39"/>
      <c r="I1183" s="82" t="str">
        <f>IF($AA1180=0,"",IF(LEN(INDEX(Quotes!$AD$9:$AD$258,$AA1180)&amp;"")=0,"",INDEX(Quotes!$AD$9:$AD$258,$AA1180)))</f>
        <v/>
      </c>
      <c r="J1183" s="39"/>
      <c r="K1183" s="39"/>
      <c r="L1183" s="39"/>
      <c r="M1183" s="39"/>
      <c r="N1183" s="39"/>
      <c r="O1183" s="39"/>
      <c r="Q1183" s="82" t="str">
        <f>IF($AA1180=0,"",IF(LEN(INDEX(Quotes!$AF$9:$AF$258,$AA1180)&amp;"")=0,"",INDEX(Quotes!$AF$9:$AF$258,$AA1180)))</f>
        <v/>
      </c>
      <c r="R1183" s="39"/>
      <c r="S1183" s="39"/>
      <c r="T1183" s="39"/>
      <c r="U1183" s="39"/>
      <c r="V1183" s="39"/>
    </row>
    <row r="1184" spans="1:27" ht="21" hidden="1" customHeight="1" x14ac:dyDescent="0.35">
      <c r="A1184" s="48" t="str">
        <f>IF($AA1180=0,"","Reference: "&amp;IF(INDEX(Quotes!$M$9:$M$258,$AA1180)="",INDEX(Quotes!$S$9:$S$258,$AA1180),INDEX(Quotes!$M$9:$M$258,$AA1180)))</f>
        <v/>
      </c>
      <c r="B1184" s="39"/>
      <c r="C1184" s="39"/>
      <c r="D1184" s="39"/>
      <c r="E1184" s="39"/>
      <c r="F1184" s="39"/>
      <c r="G1184" s="39"/>
      <c r="H1184" s="39"/>
      <c r="I1184" s="39"/>
      <c r="J1184" s="39"/>
      <c r="K1184" s="39"/>
      <c r="L1184" s="39"/>
      <c r="M1184" s="39"/>
      <c r="N1184" s="39"/>
      <c r="O1184" s="39"/>
      <c r="P1184" s="39"/>
      <c r="Q1184" s="48" t="str">
        <f>IF($AA1180=0,"",INDEX(Quotes!$E$9:$E$258,$AA1180))</f>
        <v/>
      </c>
      <c r="R1184" s="39"/>
      <c r="S1184" s="39"/>
      <c r="T1184" s="39"/>
      <c r="U1184" s="39"/>
      <c r="V1184" s="39"/>
    </row>
    <row r="1185" spans="1:27" ht="21" hidden="1" customHeight="1" x14ac:dyDescent="0.35">
      <c r="A1185" s="81" t="str">
        <f>IF($AA1180=0,"",IF(INDEX(Quotes!$N$9:$N$258,$AA1180)="","No original link","Original quote"))</f>
        <v/>
      </c>
      <c r="B1185" s="39"/>
      <c r="C1185" s="39"/>
      <c r="D1185" s="39"/>
      <c r="E1185" s="39"/>
      <c r="F1185" s="39"/>
      <c r="G1185" s="39"/>
      <c r="I1185" s="81" t="str">
        <f>IF($AA1180=0,"",IF(INDEX(Quotes!$O$9:$O$258,$AA1180)="","No revised link","Revised quote"))</f>
        <v/>
      </c>
      <c r="J1185" s="39"/>
      <c r="K1185" s="39"/>
      <c r="L1185" s="39"/>
      <c r="M1185" s="39"/>
      <c r="N1185" s="39"/>
      <c r="O1185" s="39"/>
      <c r="Q1185" s="81" t="str">
        <f>IF($AA1180=0,"",HYPERLINK("#'Quotes'!A"&amp;($AA1180+8),"Open quote record"))</f>
        <v/>
      </c>
      <c r="R1185" s="39"/>
      <c r="S1185" s="39"/>
      <c r="T1185" s="39"/>
      <c r="U1185" s="39"/>
      <c r="V1185" s="39"/>
    </row>
    <row r="1186" spans="1:27" ht="21" hidden="1" customHeight="1" x14ac:dyDescent="0.35"/>
    <row r="1187" spans="1:27" hidden="1" x14ac:dyDescent="0.35"/>
    <row r="1188" spans="1:27" hidden="1" x14ac:dyDescent="0.35"/>
    <row r="1189" spans="1:27" ht="29" hidden="1" customHeight="1" x14ac:dyDescent="0.35">
      <c r="A1189" s="84" t="str">
        <f>IF($AA1189=0,"",IF(LEN(INDEX(Quotes!$U$9:$U$258,$AA1189)&amp;"")=0,"",INDEX(Quotes!$U$9:$U$258,$AA1189)))</f>
        <v/>
      </c>
      <c r="B1189" s="39"/>
      <c r="C1189" s="39"/>
      <c r="D1189" s="39"/>
      <c r="E1189" s="39"/>
      <c r="F1189" s="39"/>
      <c r="G1189" s="39"/>
      <c r="H1189" s="39"/>
      <c r="I1189" s="39"/>
      <c r="J1189" s="39"/>
      <c r="K1189" s="85" t="str">
        <f>IF($AA1189=0,"",IF(LEN(INDEX(Quotes!$Z$9:$Z$258,$AA1189)&amp;"")=0,"",INDEX(Quotes!$Z$9:$Z$258,$AA1189)))</f>
        <v/>
      </c>
      <c r="L1189" s="39"/>
      <c r="M1189" s="39"/>
      <c r="N1189" s="39"/>
      <c r="O1189" s="39"/>
      <c r="P1189" s="39"/>
      <c r="Q1189" s="39"/>
      <c r="R1189" s="39"/>
      <c r="S1189" s="39"/>
      <c r="T1189" s="39"/>
      <c r="U1189" s="39"/>
      <c r="V1189" s="39"/>
      <c r="AA1189">
        <f>IFERROR(MATCH(122,Quotes!$AK$9:$AK$258,0),0)</f>
        <v>0</v>
      </c>
    </row>
    <row r="1190" spans="1:27" ht="21" hidden="1" customHeight="1" x14ac:dyDescent="0.35">
      <c r="A1190" s="40" t="str">
        <f>IF($AA1189=0,"",IF(LEN(INDEX(Quotes!$V$9:$V$258,$AA1189)&amp;"")=0,"",INDEX(Quotes!$V$9:$V$258,$AA1189)))</f>
        <v/>
      </c>
      <c r="B1190" s="39"/>
      <c r="C1190" s="39"/>
      <c r="D1190" s="39"/>
      <c r="E1190" s="39"/>
      <c r="F1190" s="39"/>
      <c r="G1190" s="39"/>
      <c r="H1190" s="40" t="str">
        <f>IF($AA1189=0,"",IF(LEN(INDEX(Quotes!$W$9:$W$258,$AA1189)&amp;"")=0,"",INDEX(Quotes!$W$9:$W$258,$AA1189)))</f>
        <v/>
      </c>
      <c r="I1190" s="39"/>
      <c r="J1190" s="39"/>
      <c r="K1190" s="39"/>
      <c r="L1190" s="39"/>
      <c r="M1190" s="39"/>
      <c r="N1190" s="39"/>
      <c r="O1190" s="39"/>
      <c r="P1190" s="39"/>
      <c r="Q1190" s="39"/>
      <c r="R1190" s="77" t="str">
        <f>IF($AA1189=0,"",IF(LEN(INDEX(Quotes!$X$9:$X$258,$AA1189)&amp;"")=0,"",INDEX(Quotes!$X$9:$X$258,$AA1189)))</f>
        <v/>
      </c>
      <c r="S1190" s="39"/>
      <c r="T1190" s="39"/>
      <c r="U1190" s="39"/>
      <c r="V1190" s="39"/>
    </row>
    <row r="1191" spans="1:27" ht="21" hidden="1" customHeight="1" x14ac:dyDescent="0.35">
      <c r="A1191" s="83" t="str">
        <f>IF($AA1189=0,"","ORIGINAL EUR")</f>
        <v/>
      </c>
      <c r="B1191" s="39"/>
      <c r="C1191" s="39"/>
      <c r="D1191" s="39"/>
      <c r="E1191" s="39"/>
      <c r="F1191" s="39"/>
      <c r="G1191" s="39"/>
      <c r="I1191" s="83" t="str">
        <f>IF($AA1189=0,"","LATEST EUR")</f>
        <v/>
      </c>
      <c r="J1191" s="39"/>
      <c r="K1191" s="39"/>
      <c r="L1191" s="39"/>
      <c r="M1191" s="39"/>
      <c r="N1191" s="39"/>
      <c r="O1191" s="39"/>
      <c r="Q1191" s="83" t="str">
        <f>IF($AA1189=0,"","SAVED EUR")</f>
        <v/>
      </c>
      <c r="R1191" s="39"/>
      <c r="S1191" s="39"/>
      <c r="T1191" s="39"/>
      <c r="U1191" s="39"/>
      <c r="V1191" s="39"/>
    </row>
    <row r="1192" spans="1:27" ht="21" hidden="1" customHeight="1" x14ac:dyDescent="0.35">
      <c r="A1192" s="82" t="str">
        <f>IF($AA1189=0,"",IF(LEN(INDEX(Quotes!$AB$9:$AB$258,$AA1189)&amp;"")=0,"",INDEX(Quotes!$AB$9:$AB$258,$AA1189)))</f>
        <v/>
      </c>
      <c r="B1192" s="39"/>
      <c r="C1192" s="39"/>
      <c r="D1192" s="39"/>
      <c r="E1192" s="39"/>
      <c r="F1192" s="39"/>
      <c r="G1192" s="39"/>
      <c r="I1192" s="82" t="str">
        <f>IF($AA1189=0,"",IF(LEN(INDEX(Quotes!$AD$9:$AD$258,$AA1189)&amp;"")=0,"",INDEX(Quotes!$AD$9:$AD$258,$AA1189)))</f>
        <v/>
      </c>
      <c r="J1192" s="39"/>
      <c r="K1192" s="39"/>
      <c r="L1192" s="39"/>
      <c r="M1192" s="39"/>
      <c r="N1192" s="39"/>
      <c r="O1192" s="39"/>
      <c r="Q1192" s="82" t="str">
        <f>IF($AA1189=0,"",IF(LEN(INDEX(Quotes!$AF$9:$AF$258,$AA1189)&amp;"")=0,"",INDEX(Quotes!$AF$9:$AF$258,$AA1189)))</f>
        <v/>
      </c>
      <c r="R1192" s="39"/>
      <c r="S1192" s="39"/>
      <c r="T1192" s="39"/>
      <c r="U1192" s="39"/>
      <c r="V1192" s="39"/>
    </row>
    <row r="1193" spans="1:27" ht="21" hidden="1" customHeight="1" x14ac:dyDescent="0.35">
      <c r="A1193" s="48" t="str">
        <f>IF($AA1189=0,"","Reference: "&amp;IF(INDEX(Quotes!$M$9:$M$258,$AA1189)="",INDEX(Quotes!$S$9:$S$258,$AA1189),INDEX(Quotes!$M$9:$M$258,$AA1189)))</f>
        <v/>
      </c>
      <c r="B1193" s="39"/>
      <c r="C1193" s="39"/>
      <c r="D1193" s="39"/>
      <c r="E1193" s="39"/>
      <c r="F1193" s="39"/>
      <c r="G1193" s="39"/>
      <c r="H1193" s="39"/>
      <c r="I1193" s="39"/>
      <c r="J1193" s="39"/>
      <c r="K1193" s="39"/>
      <c r="L1193" s="39"/>
      <c r="M1193" s="39"/>
      <c r="N1193" s="39"/>
      <c r="O1193" s="39"/>
      <c r="P1193" s="39"/>
      <c r="Q1193" s="48" t="str">
        <f>IF($AA1189=0,"",INDEX(Quotes!$E$9:$E$258,$AA1189))</f>
        <v/>
      </c>
      <c r="R1193" s="39"/>
      <c r="S1193" s="39"/>
      <c r="T1193" s="39"/>
      <c r="U1193" s="39"/>
      <c r="V1193" s="39"/>
    </row>
    <row r="1194" spans="1:27" ht="21" hidden="1" customHeight="1" x14ac:dyDescent="0.35">
      <c r="A1194" s="81" t="str">
        <f>IF($AA1189=0,"",IF(INDEX(Quotes!$N$9:$N$258,$AA1189)="","No original link","Original quote"))</f>
        <v/>
      </c>
      <c r="B1194" s="39"/>
      <c r="C1194" s="39"/>
      <c r="D1194" s="39"/>
      <c r="E1194" s="39"/>
      <c r="F1194" s="39"/>
      <c r="G1194" s="39"/>
      <c r="I1194" s="81" t="str">
        <f>IF($AA1189=0,"",IF(INDEX(Quotes!$O$9:$O$258,$AA1189)="","No revised link","Revised quote"))</f>
        <v/>
      </c>
      <c r="J1194" s="39"/>
      <c r="K1194" s="39"/>
      <c r="L1194" s="39"/>
      <c r="M1194" s="39"/>
      <c r="N1194" s="39"/>
      <c r="O1194" s="39"/>
      <c r="Q1194" s="81" t="str">
        <f>IF($AA1189=0,"",HYPERLINK("#'Quotes'!A"&amp;($AA1189+8),"Open quote record"))</f>
        <v/>
      </c>
      <c r="R1194" s="39"/>
      <c r="S1194" s="39"/>
      <c r="T1194" s="39"/>
      <c r="U1194" s="39"/>
      <c r="V1194" s="39"/>
    </row>
    <row r="1195" spans="1:27" ht="21" hidden="1" customHeight="1" x14ac:dyDescent="0.35"/>
    <row r="1196" spans="1:27" hidden="1" x14ac:dyDescent="0.35"/>
    <row r="1197" spans="1:27" hidden="1" x14ac:dyDescent="0.35"/>
    <row r="1198" spans="1:27" ht="29" hidden="1" customHeight="1" x14ac:dyDescent="0.35">
      <c r="A1198" s="84" t="str">
        <f>IF($AA1198=0,"",IF(LEN(INDEX(Quotes!$U$9:$U$258,$AA1198)&amp;"")=0,"",INDEX(Quotes!$U$9:$U$258,$AA1198)))</f>
        <v/>
      </c>
      <c r="B1198" s="39"/>
      <c r="C1198" s="39"/>
      <c r="D1198" s="39"/>
      <c r="E1198" s="39"/>
      <c r="F1198" s="39"/>
      <c r="G1198" s="39"/>
      <c r="H1198" s="39"/>
      <c r="I1198" s="39"/>
      <c r="J1198" s="39"/>
      <c r="K1198" s="85" t="str">
        <f>IF($AA1198=0,"",IF(LEN(INDEX(Quotes!$Z$9:$Z$258,$AA1198)&amp;"")=0,"",INDEX(Quotes!$Z$9:$Z$258,$AA1198)))</f>
        <v/>
      </c>
      <c r="L1198" s="39"/>
      <c r="M1198" s="39"/>
      <c r="N1198" s="39"/>
      <c r="O1198" s="39"/>
      <c r="P1198" s="39"/>
      <c r="Q1198" s="39"/>
      <c r="R1198" s="39"/>
      <c r="S1198" s="39"/>
      <c r="T1198" s="39"/>
      <c r="U1198" s="39"/>
      <c r="V1198" s="39"/>
      <c r="AA1198">
        <f>IFERROR(MATCH(123,Quotes!$AK$9:$AK$258,0),0)</f>
        <v>0</v>
      </c>
    </row>
    <row r="1199" spans="1:27" ht="21" hidden="1" customHeight="1" x14ac:dyDescent="0.35">
      <c r="A1199" s="40" t="str">
        <f>IF($AA1198=0,"",IF(LEN(INDEX(Quotes!$V$9:$V$258,$AA1198)&amp;"")=0,"",INDEX(Quotes!$V$9:$V$258,$AA1198)))</f>
        <v/>
      </c>
      <c r="B1199" s="39"/>
      <c r="C1199" s="39"/>
      <c r="D1199" s="39"/>
      <c r="E1199" s="39"/>
      <c r="F1199" s="39"/>
      <c r="G1199" s="39"/>
      <c r="H1199" s="40" t="str">
        <f>IF($AA1198=0,"",IF(LEN(INDEX(Quotes!$W$9:$W$258,$AA1198)&amp;"")=0,"",INDEX(Quotes!$W$9:$W$258,$AA1198)))</f>
        <v/>
      </c>
      <c r="I1199" s="39"/>
      <c r="J1199" s="39"/>
      <c r="K1199" s="39"/>
      <c r="L1199" s="39"/>
      <c r="M1199" s="39"/>
      <c r="N1199" s="39"/>
      <c r="O1199" s="39"/>
      <c r="P1199" s="39"/>
      <c r="Q1199" s="39"/>
      <c r="R1199" s="77" t="str">
        <f>IF($AA1198=0,"",IF(LEN(INDEX(Quotes!$X$9:$X$258,$AA1198)&amp;"")=0,"",INDEX(Quotes!$X$9:$X$258,$AA1198)))</f>
        <v/>
      </c>
      <c r="S1199" s="39"/>
      <c r="T1199" s="39"/>
      <c r="U1199" s="39"/>
      <c r="V1199" s="39"/>
    </row>
    <row r="1200" spans="1:27" ht="21" hidden="1" customHeight="1" x14ac:dyDescent="0.35">
      <c r="A1200" s="83" t="str">
        <f>IF($AA1198=0,"","ORIGINAL EUR")</f>
        <v/>
      </c>
      <c r="B1200" s="39"/>
      <c r="C1200" s="39"/>
      <c r="D1200" s="39"/>
      <c r="E1200" s="39"/>
      <c r="F1200" s="39"/>
      <c r="G1200" s="39"/>
      <c r="I1200" s="83" t="str">
        <f>IF($AA1198=0,"","LATEST EUR")</f>
        <v/>
      </c>
      <c r="J1200" s="39"/>
      <c r="K1200" s="39"/>
      <c r="L1200" s="39"/>
      <c r="M1200" s="39"/>
      <c r="N1200" s="39"/>
      <c r="O1200" s="39"/>
      <c r="Q1200" s="83" t="str">
        <f>IF($AA1198=0,"","SAVED EUR")</f>
        <v/>
      </c>
      <c r="R1200" s="39"/>
      <c r="S1200" s="39"/>
      <c r="T1200" s="39"/>
      <c r="U1200" s="39"/>
      <c r="V1200" s="39"/>
    </row>
    <row r="1201" spans="1:27" ht="21" hidden="1" customHeight="1" x14ac:dyDescent="0.35">
      <c r="A1201" s="82" t="str">
        <f>IF($AA1198=0,"",IF(LEN(INDEX(Quotes!$AB$9:$AB$258,$AA1198)&amp;"")=0,"",INDEX(Quotes!$AB$9:$AB$258,$AA1198)))</f>
        <v/>
      </c>
      <c r="B1201" s="39"/>
      <c r="C1201" s="39"/>
      <c r="D1201" s="39"/>
      <c r="E1201" s="39"/>
      <c r="F1201" s="39"/>
      <c r="G1201" s="39"/>
      <c r="I1201" s="82" t="str">
        <f>IF($AA1198=0,"",IF(LEN(INDEX(Quotes!$AD$9:$AD$258,$AA1198)&amp;"")=0,"",INDEX(Quotes!$AD$9:$AD$258,$AA1198)))</f>
        <v/>
      </c>
      <c r="J1201" s="39"/>
      <c r="K1201" s="39"/>
      <c r="L1201" s="39"/>
      <c r="M1201" s="39"/>
      <c r="N1201" s="39"/>
      <c r="O1201" s="39"/>
      <c r="Q1201" s="82" t="str">
        <f>IF($AA1198=0,"",IF(LEN(INDEX(Quotes!$AF$9:$AF$258,$AA1198)&amp;"")=0,"",INDEX(Quotes!$AF$9:$AF$258,$AA1198)))</f>
        <v/>
      </c>
      <c r="R1201" s="39"/>
      <c r="S1201" s="39"/>
      <c r="T1201" s="39"/>
      <c r="U1201" s="39"/>
      <c r="V1201" s="39"/>
    </row>
    <row r="1202" spans="1:27" ht="21" hidden="1" customHeight="1" x14ac:dyDescent="0.35">
      <c r="A1202" s="48" t="str">
        <f>IF($AA1198=0,"","Reference: "&amp;IF(INDEX(Quotes!$M$9:$M$258,$AA1198)="",INDEX(Quotes!$S$9:$S$258,$AA1198),INDEX(Quotes!$M$9:$M$258,$AA1198)))</f>
        <v/>
      </c>
      <c r="B1202" s="39"/>
      <c r="C1202" s="39"/>
      <c r="D1202" s="39"/>
      <c r="E1202" s="39"/>
      <c r="F1202" s="39"/>
      <c r="G1202" s="39"/>
      <c r="H1202" s="39"/>
      <c r="I1202" s="39"/>
      <c r="J1202" s="39"/>
      <c r="K1202" s="39"/>
      <c r="L1202" s="39"/>
      <c r="M1202" s="39"/>
      <c r="N1202" s="39"/>
      <c r="O1202" s="39"/>
      <c r="P1202" s="39"/>
      <c r="Q1202" s="48" t="str">
        <f>IF($AA1198=0,"",INDEX(Quotes!$E$9:$E$258,$AA1198))</f>
        <v/>
      </c>
      <c r="R1202" s="39"/>
      <c r="S1202" s="39"/>
      <c r="T1202" s="39"/>
      <c r="U1202" s="39"/>
      <c r="V1202" s="39"/>
    </row>
    <row r="1203" spans="1:27" ht="21" hidden="1" customHeight="1" x14ac:dyDescent="0.35">
      <c r="A1203" s="81" t="str">
        <f>IF($AA1198=0,"",IF(INDEX(Quotes!$N$9:$N$258,$AA1198)="","No original link","Original quote"))</f>
        <v/>
      </c>
      <c r="B1203" s="39"/>
      <c r="C1203" s="39"/>
      <c r="D1203" s="39"/>
      <c r="E1203" s="39"/>
      <c r="F1203" s="39"/>
      <c r="G1203" s="39"/>
      <c r="I1203" s="81" t="str">
        <f>IF($AA1198=0,"",IF(INDEX(Quotes!$O$9:$O$258,$AA1198)="","No revised link","Revised quote"))</f>
        <v/>
      </c>
      <c r="J1203" s="39"/>
      <c r="K1203" s="39"/>
      <c r="L1203" s="39"/>
      <c r="M1203" s="39"/>
      <c r="N1203" s="39"/>
      <c r="O1203" s="39"/>
      <c r="Q1203" s="81" t="str">
        <f>IF($AA1198=0,"",HYPERLINK("#'Quotes'!A"&amp;($AA1198+8),"Open quote record"))</f>
        <v/>
      </c>
      <c r="R1203" s="39"/>
      <c r="S1203" s="39"/>
      <c r="T1203" s="39"/>
      <c r="U1203" s="39"/>
      <c r="V1203" s="39"/>
    </row>
    <row r="1204" spans="1:27" ht="21" hidden="1" customHeight="1" x14ac:dyDescent="0.35"/>
    <row r="1205" spans="1:27" hidden="1" x14ac:dyDescent="0.35"/>
    <row r="1206" spans="1:27" hidden="1" x14ac:dyDescent="0.35"/>
    <row r="1207" spans="1:27" ht="29" hidden="1" customHeight="1" x14ac:dyDescent="0.35">
      <c r="A1207" s="84" t="str">
        <f>IF($AA1207=0,"",IF(LEN(INDEX(Quotes!$U$9:$U$258,$AA1207)&amp;"")=0,"",INDEX(Quotes!$U$9:$U$258,$AA1207)))</f>
        <v/>
      </c>
      <c r="B1207" s="39"/>
      <c r="C1207" s="39"/>
      <c r="D1207" s="39"/>
      <c r="E1207" s="39"/>
      <c r="F1207" s="39"/>
      <c r="G1207" s="39"/>
      <c r="H1207" s="39"/>
      <c r="I1207" s="39"/>
      <c r="J1207" s="39"/>
      <c r="K1207" s="85" t="str">
        <f>IF($AA1207=0,"",IF(LEN(INDEX(Quotes!$Z$9:$Z$258,$AA1207)&amp;"")=0,"",INDEX(Quotes!$Z$9:$Z$258,$AA1207)))</f>
        <v/>
      </c>
      <c r="L1207" s="39"/>
      <c r="M1207" s="39"/>
      <c r="N1207" s="39"/>
      <c r="O1207" s="39"/>
      <c r="P1207" s="39"/>
      <c r="Q1207" s="39"/>
      <c r="R1207" s="39"/>
      <c r="S1207" s="39"/>
      <c r="T1207" s="39"/>
      <c r="U1207" s="39"/>
      <c r="V1207" s="39"/>
      <c r="AA1207">
        <f>IFERROR(MATCH(124,Quotes!$AK$9:$AK$258,0),0)</f>
        <v>0</v>
      </c>
    </row>
    <row r="1208" spans="1:27" ht="21" hidden="1" customHeight="1" x14ac:dyDescent="0.35">
      <c r="A1208" s="40" t="str">
        <f>IF($AA1207=0,"",IF(LEN(INDEX(Quotes!$V$9:$V$258,$AA1207)&amp;"")=0,"",INDEX(Quotes!$V$9:$V$258,$AA1207)))</f>
        <v/>
      </c>
      <c r="B1208" s="39"/>
      <c r="C1208" s="39"/>
      <c r="D1208" s="39"/>
      <c r="E1208" s="39"/>
      <c r="F1208" s="39"/>
      <c r="G1208" s="39"/>
      <c r="H1208" s="40" t="str">
        <f>IF($AA1207=0,"",IF(LEN(INDEX(Quotes!$W$9:$W$258,$AA1207)&amp;"")=0,"",INDEX(Quotes!$W$9:$W$258,$AA1207)))</f>
        <v/>
      </c>
      <c r="I1208" s="39"/>
      <c r="J1208" s="39"/>
      <c r="K1208" s="39"/>
      <c r="L1208" s="39"/>
      <c r="M1208" s="39"/>
      <c r="N1208" s="39"/>
      <c r="O1208" s="39"/>
      <c r="P1208" s="39"/>
      <c r="Q1208" s="39"/>
      <c r="R1208" s="77" t="str">
        <f>IF($AA1207=0,"",IF(LEN(INDEX(Quotes!$X$9:$X$258,$AA1207)&amp;"")=0,"",INDEX(Quotes!$X$9:$X$258,$AA1207)))</f>
        <v/>
      </c>
      <c r="S1208" s="39"/>
      <c r="T1208" s="39"/>
      <c r="U1208" s="39"/>
      <c r="V1208" s="39"/>
    </row>
    <row r="1209" spans="1:27" ht="21" hidden="1" customHeight="1" x14ac:dyDescent="0.35">
      <c r="A1209" s="83" t="str">
        <f>IF($AA1207=0,"","ORIGINAL EUR")</f>
        <v/>
      </c>
      <c r="B1209" s="39"/>
      <c r="C1209" s="39"/>
      <c r="D1209" s="39"/>
      <c r="E1209" s="39"/>
      <c r="F1209" s="39"/>
      <c r="G1209" s="39"/>
      <c r="I1209" s="83" t="str">
        <f>IF($AA1207=0,"","LATEST EUR")</f>
        <v/>
      </c>
      <c r="J1209" s="39"/>
      <c r="K1209" s="39"/>
      <c r="L1209" s="39"/>
      <c r="M1209" s="39"/>
      <c r="N1209" s="39"/>
      <c r="O1209" s="39"/>
      <c r="Q1209" s="83" t="str">
        <f>IF($AA1207=0,"","SAVED EUR")</f>
        <v/>
      </c>
      <c r="R1209" s="39"/>
      <c r="S1209" s="39"/>
      <c r="T1209" s="39"/>
      <c r="U1209" s="39"/>
      <c r="V1209" s="39"/>
    </row>
    <row r="1210" spans="1:27" ht="21" hidden="1" customHeight="1" x14ac:dyDescent="0.35">
      <c r="A1210" s="82" t="str">
        <f>IF($AA1207=0,"",IF(LEN(INDEX(Quotes!$AB$9:$AB$258,$AA1207)&amp;"")=0,"",INDEX(Quotes!$AB$9:$AB$258,$AA1207)))</f>
        <v/>
      </c>
      <c r="B1210" s="39"/>
      <c r="C1210" s="39"/>
      <c r="D1210" s="39"/>
      <c r="E1210" s="39"/>
      <c r="F1210" s="39"/>
      <c r="G1210" s="39"/>
      <c r="I1210" s="82" t="str">
        <f>IF($AA1207=0,"",IF(LEN(INDEX(Quotes!$AD$9:$AD$258,$AA1207)&amp;"")=0,"",INDEX(Quotes!$AD$9:$AD$258,$AA1207)))</f>
        <v/>
      </c>
      <c r="J1210" s="39"/>
      <c r="K1210" s="39"/>
      <c r="L1210" s="39"/>
      <c r="M1210" s="39"/>
      <c r="N1210" s="39"/>
      <c r="O1210" s="39"/>
      <c r="Q1210" s="82" t="str">
        <f>IF($AA1207=0,"",IF(LEN(INDEX(Quotes!$AF$9:$AF$258,$AA1207)&amp;"")=0,"",INDEX(Quotes!$AF$9:$AF$258,$AA1207)))</f>
        <v/>
      </c>
      <c r="R1210" s="39"/>
      <c r="S1210" s="39"/>
      <c r="T1210" s="39"/>
      <c r="U1210" s="39"/>
      <c r="V1210" s="39"/>
    </row>
    <row r="1211" spans="1:27" ht="21" hidden="1" customHeight="1" x14ac:dyDescent="0.35">
      <c r="A1211" s="48" t="str">
        <f>IF($AA1207=0,"","Reference: "&amp;IF(INDEX(Quotes!$M$9:$M$258,$AA1207)="",INDEX(Quotes!$S$9:$S$258,$AA1207),INDEX(Quotes!$M$9:$M$258,$AA1207)))</f>
        <v/>
      </c>
      <c r="B1211" s="39"/>
      <c r="C1211" s="39"/>
      <c r="D1211" s="39"/>
      <c r="E1211" s="39"/>
      <c r="F1211" s="39"/>
      <c r="G1211" s="39"/>
      <c r="H1211" s="39"/>
      <c r="I1211" s="39"/>
      <c r="J1211" s="39"/>
      <c r="K1211" s="39"/>
      <c r="L1211" s="39"/>
      <c r="M1211" s="39"/>
      <c r="N1211" s="39"/>
      <c r="O1211" s="39"/>
      <c r="P1211" s="39"/>
      <c r="Q1211" s="48" t="str">
        <f>IF($AA1207=0,"",INDEX(Quotes!$E$9:$E$258,$AA1207))</f>
        <v/>
      </c>
      <c r="R1211" s="39"/>
      <c r="S1211" s="39"/>
      <c r="T1211" s="39"/>
      <c r="U1211" s="39"/>
      <c r="V1211" s="39"/>
    </row>
    <row r="1212" spans="1:27" ht="21" hidden="1" customHeight="1" x14ac:dyDescent="0.35">
      <c r="A1212" s="81" t="str">
        <f>IF($AA1207=0,"",IF(INDEX(Quotes!$N$9:$N$258,$AA1207)="","No original link","Original quote"))</f>
        <v/>
      </c>
      <c r="B1212" s="39"/>
      <c r="C1212" s="39"/>
      <c r="D1212" s="39"/>
      <c r="E1212" s="39"/>
      <c r="F1212" s="39"/>
      <c r="G1212" s="39"/>
      <c r="I1212" s="81" t="str">
        <f>IF($AA1207=0,"",IF(INDEX(Quotes!$O$9:$O$258,$AA1207)="","No revised link","Revised quote"))</f>
        <v/>
      </c>
      <c r="J1212" s="39"/>
      <c r="K1212" s="39"/>
      <c r="L1212" s="39"/>
      <c r="M1212" s="39"/>
      <c r="N1212" s="39"/>
      <c r="O1212" s="39"/>
      <c r="Q1212" s="81" t="str">
        <f>IF($AA1207=0,"",HYPERLINK("#'Quotes'!A"&amp;($AA1207+8),"Open quote record"))</f>
        <v/>
      </c>
      <c r="R1212" s="39"/>
      <c r="S1212" s="39"/>
      <c r="T1212" s="39"/>
      <c r="U1212" s="39"/>
      <c r="V1212" s="39"/>
    </row>
    <row r="1213" spans="1:27" ht="21" hidden="1" customHeight="1" x14ac:dyDescent="0.35"/>
    <row r="1214" spans="1:27" hidden="1" x14ac:dyDescent="0.35"/>
    <row r="1215" spans="1:27" hidden="1" x14ac:dyDescent="0.35"/>
    <row r="1216" spans="1:27" hidden="1" x14ac:dyDescent="0.35"/>
    <row r="1217" spans="1:27" hidden="1" x14ac:dyDescent="0.35">
      <c r="A1217" s="67" t="s">
        <v>655</v>
      </c>
      <c r="B1217" s="39"/>
      <c r="C1217" s="39"/>
      <c r="D1217" s="39"/>
      <c r="E1217" s="39"/>
      <c r="F1217" s="39"/>
      <c r="G1217" s="39"/>
      <c r="H1217" s="39"/>
      <c r="I1217" s="39"/>
      <c r="J1217" s="39"/>
      <c r="K1217" s="39"/>
      <c r="L1217" s="39"/>
      <c r="M1217" s="39"/>
      <c r="N1217" s="39"/>
      <c r="O1217" s="39"/>
      <c r="P1217" s="39"/>
      <c r="Q1217" s="39"/>
      <c r="R1217" s="39"/>
      <c r="S1217" s="39"/>
      <c r="T1217" s="39"/>
      <c r="U1217" s="39"/>
      <c r="V1217" s="39"/>
    </row>
    <row r="1218" spans="1:27" ht="29" hidden="1" customHeight="1" x14ac:dyDescent="0.35">
      <c r="A1218" s="84" t="str">
        <f>IF($AA1218=0,"",IF(LEN(INDEX(Quotes!$U$9:$U$258,$AA1218)&amp;"")=0,"",INDEX(Quotes!$U$9:$U$258,$AA1218)))</f>
        <v/>
      </c>
      <c r="B1218" s="39"/>
      <c r="C1218" s="39"/>
      <c r="D1218" s="39"/>
      <c r="E1218" s="39"/>
      <c r="F1218" s="39"/>
      <c r="G1218" s="39"/>
      <c r="H1218" s="39"/>
      <c r="I1218" s="39"/>
      <c r="J1218" s="39"/>
      <c r="K1218" s="85" t="str">
        <f>IF($AA1218=0,"",IF(LEN(INDEX(Quotes!$Z$9:$Z$258,$AA1218)&amp;"")=0,"",INDEX(Quotes!$Z$9:$Z$258,$AA1218)))</f>
        <v/>
      </c>
      <c r="L1218" s="39"/>
      <c r="M1218" s="39"/>
      <c r="N1218" s="39"/>
      <c r="O1218" s="39"/>
      <c r="P1218" s="39"/>
      <c r="Q1218" s="39"/>
      <c r="R1218" s="39"/>
      <c r="S1218" s="39"/>
      <c r="T1218" s="39"/>
      <c r="U1218" s="39"/>
      <c r="V1218" s="39"/>
      <c r="AA1218">
        <f>IFERROR(MATCH(125,Quotes!$AK$9:$AK$258,0),0)</f>
        <v>0</v>
      </c>
    </row>
    <row r="1219" spans="1:27" ht="21" hidden="1" customHeight="1" x14ac:dyDescent="0.35">
      <c r="A1219" s="40" t="str">
        <f>IF($AA1218=0,"",IF(LEN(INDEX(Quotes!$V$9:$V$258,$AA1218)&amp;"")=0,"",INDEX(Quotes!$V$9:$V$258,$AA1218)))</f>
        <v/>
      </c>
      <c r="B1219" s="39"/>
      <c r="C1219" s="39"/>
      <c r="D1219" s="39"/>
      <c r="E1219" s="39"/>
      <c r="F1219" s="39"/>
      <c r="G1219" s="39"/>
      <c r="H1219" s="40" t="str">
        <f>IF($AA1218=0,"",IF(LEN(INDEX(Quotes!$W$9:$W$258,$AA1218)&amp;"")=0,"",INDEX(Quotes!$W$9:$W$258,$AA1218)))</f>
        <v/>
      </c>
      <c r="I1219" s="39"/>
      <c r="J1219" s="39"/>
      <c r="K1219" s="39"/>
      <c r="L1219" s="39"/>
      <c r="M1219" s="39"/>
      <c r="N1219" s="39"/>
      <c r="O1219" s="39"/>
      <c r="P1219" s="39"/>
      <c r="Q1219" s="39"/>
      <c r="R1219" s="77" t="str">
        <f>IF($AA1218=0,"",IF(LEN(INDEX(Quotes!$X$9:$X$258,$AA1218)&amp;"")=0,"",INDEX(Quotes!$X$9:$X$258,$AA1218)))</f>
        <v/>
      </c>
      <c r="S1219" s="39"/>
      <c r="T1219" s="39"/>
      <c r="U1219" s="39"/>
      <c r="V1219" s="39"/>
    </row>
    <row r="1220" spans="1:27" ht="21" hidden="1" customHeight="1" x14ac:dyDescent="0.35">
      <c r="A1220" s="83" t="str">
        <f>IF($AA1218=0,"","ORIGINAL EUR")</f>
        <v/>
      </c>
      <c r="B1220" s="39"/>
      <c r="C1220" s="39"/>
      <c r="D1220" s="39"/>
      <c r="E1220" s="39"/>
      <c r="F1220" s="39"/>
      <c r="G1220" s="39"/>
      <c r="I1220" s="83" t="str">
        <f>IF($AA1218=0,"","LATEST EUR")</f>
        <v/>
      </c>
      <c r="J1220" s="39"/>
      <c r="K1220" s="39"/>
      <c r="L1220" s="39"/>
      <c r="M1220" s="39"/>
      <c r="N1220" s="39"/>
      <c r="O1220" s="39"/>
      <c r="Q1220" s="83" t="str">
        <f>IF($AA1218=0,"","SAVED EUR")</f>
        <v/>
      </c>
      <c r="R1220" s="39"/>
      <c r="S1220" s="39"/>
      <c r="T1220" s="39"/>
      <c r="U1220" s="39"/>
      <c r="V1220" s="39"/>
    </row>
    <row r="1221" spans="1:27" ht="21" hidden="1" customHeight="1" x14ac:dyDescent="0.35">
      <c r="A1221" s="82" t="str">
        <f>IF($AA1218=0,"",IF(LEN(INDEX(Quotes!$AB$9:$AB$258,$AA1218)&amp;"")=0,"",INDEX(Quotes!$AB$9:$AB$258,$AA1218)))</f>
        <v/>
      </c>
      <c r="B1221" s="39"/>
      <c r="C1221" s="39"/>
      <c r="D1221" s="39"/>
      <c r="E1221" s="39"/>
      <c r="F1221" s="39"/>
      <c r="G1221" s="39"/>
      <c r="I1221" s="82" t="str">
        <f>IF($AA1218=0,"",IF(LEN(INDEX(Quotes!$AD$9:$AD$258,$AA1218)&amp;"")=0,"",INDEX(Quotes!$AD$9:$AD$258,$AA1218)))</f>
        <v/>
      </c>
      <c r="J1221" s="39"/>
      <c r="K1221" s="39"/>
      <c r="L1221" s="39"/>
      <c r="M1221" s="39"/>
      <c r="N1221" s="39"/>
      <c r="O1221" s="39"/>
      <c r="Q1221" s="82" t="str">
        <f>IF($AA1218=0,"",IF(LEN(INDEX(Quotes!$AF$9:$AF$258,$AA1218)&amp;"")=0,"",INDEX(Quotes!$AF$9:$AF$258,$AA1218)))</f>
        <v/>
      </c>
      <c r="R1221" s="39"/>
      <c r="S1221" s="39"/>
      <c r="T1221" s="39"/>
      <c r="U1221" s="39"/>
      <c r="V1221" s="39"/>
    </row>
    <row r="1222" spans="1:27" ht="21" hidden="1" customHeight="1" x14ac:dyDescent="0.35">
      <c r="A1222" s="48" t="str">
        <f>IF($AA1218=0,"","Reference: "&amp;IF(INDEX(Quotes!$M$9:$M$258,$AA1218)="",INDEX(Quotes!$S$9:$S$258,$AA1218),INDEX(Quotes!$M$9:$M$258,$AA1218)))</f>
        <v/>
      </c>
      <c r="B1222" s="39"/>
      <c r="C1222" s="39"/>
      <c r="D1222" s="39"/>
      <c r="E1222" s="39"/>
      <c r="F1222" s="39"/>
      <c r="G1222" s="39"/>
      <c r="H1222" s="39"/>
      <c r="I1222" s="39"/>
      <c r="J1222" s="39"/>
      <c r="K1222" s="39"/>
      <c r="L1222" s="39"/>
      <c r="M1222" s="39"/>
      <c r="N1222" s="39"/>
      <c r="O1222" s="39"/>
      <c r="P1222" s="39"/>
      <c r="Q1222" s="48" t="str">
        <f>IF($AA1218=0,"",INDEX(Quotes!$E$9:$E$258,$AA1218))</f>
        <v/>
      </c>
      <c r="R1222" s="39"/>
      <c r="S1222" s="39"/>
      <c r="T1222" s="39"/>
      <c r="U1222" s="39"/>
      <c r="V1222" s="39"/>
    </row>
    <row r="1223" spans="1:27" ht="21" hidden="1" customHeight="1" x14ac:dyDescent="0.35">
      <c r="A1223" s="81" t="str">
        <f>IF($AA1218=0,"",IF(INDEX(Quotes!$N$9:$N$258,$AA1218)="","No original link","Original quote"))</f>
        <v/>
      </c>
      <c r="B1223" s="39"/>
      <c r="C1223" s="39"/>
      <c r="D1223" s="39"/>
      <c r="E1223" s="39"/>
      <c r="F1223" s="39"/>
      <c r="G1223" s="39"/>
      <c r="I1223" s="81" t="str">
        <f>IF($AA1218=0,"",IF(INDEX(Quotes!$O$9:$O$258,$AA1218)="","No revised link","Revised quote"))</f>
        <v/>
      </c>
      <c r="J1223" s="39"/>
      <c r="K1223" s="39"/>
      <c r="L1223" s="39"/>
      <c r="M1223" s="39"/>
      <c r="N1223" s="39"/>
      <c r="O1223" s="39"/>
      <c r="Q1223" s="81" t="str">
        <f>IF($AA1218=0,"",HYPERLINK("#'Quotes'!A"&amp;($AA1218+8),"Open quote record"))</f>
        <v/>
      </c>
      <c r="R1223" s="39"/>
      <c r="S1223" s="39"/>
      <c r="T1223" s="39"/>
      <c r="U1223" s="39"/>
      <c r="V1223" s="39"/>
    </row>
    <row r="1224" spans="1:27" ht="21" hidden="1" customHeight="1" x14ac:dyDescent="0.35"/>
    <row r="1225" spans="1:27" hidden="1" x14ac:dyDescent="0.35"/>
    <row r="1226" spans="1:27" hidden="1" x14ac:dyDescent="0.35"/>
    <row r="1227" spans="1:27" ht="29" hidden="1" customHeight="1" x14ac:dyDescent="0.35">
      <c r="A1227" s="84" t="str">
        <f>IF($AA1227=0,"",IF(LEN(INDEX(Quotes!$U$9:$U$258,$AA1227)&amp;"")=0,"",INDEX(Quotes!$U$9:$U$258,$AA1227)))</f>
        <v/>
      </c>
      <c r="B1227" s="39"/>
      <c r="C1227" s="39"/>
      <c r="D1227" s="39"/>
      <c r="E1227" s="39"/>
      <c r="F1227" s="39"/>
      <c r="G1227" s="39"/>
      <c r="H1227" s="39"/>
      <c r="I1227" s="39"/>
      <c r="J1227" s="39"/>
      <c r="K1227" s="85" t="str">
        <f>IF($AA1227=0,"",IF(LEN(INDEX(Quotes!$Z$9:$Z$258,$AA1227)&amp;"")=0,"",INDEX(Quotes!$Z$9:$Z$258,$AA1227)))</f>
        <v/>
      </c>
      <c r="L1227" s="39"/>
      <c r="M1227" s="39"/>
      <c r="N1227" s="39"/>
      <c r="O1227" s="39"/>
      <c r="P1227" s="39"/>
      <c r="Q1227" s="39"/>
      <c r="R1227" s="39"/>
      <c r="S1227" s="39"/>
      <c r="T1227" s="39"/>
      <c r="U1227" s="39"/>
      <c r="V1227" s="39"/>
      <c r="AA1227">
        <f>IFERROR(MATCH(126,Quotes!$AK$9:$AK$258,0),0)</f>
        <v>0</v>
      </c>
    </row>
    <row r="1228" spans="1:27" ht="21" hidden="1" customHeight="1" x14ac:dyDescent="0.35">
      <c r="A1228" s="40" t="str">
        <f>IF($AA1227=0,"",IF(LEN(INDEX(Quotes!$V$9:$V$258,$AA1227)&amp;"")=0,"",INDEX(Quotes!$V$9:$V$258,$AA1227)))</f>
        <v/>
      </c>
      <c r="B1228" s="39"/>
      <c r="C1228" s="39"/>
      <c r="D1228" s="39"/>
      <c r="E1228" s="39"/>
      <c r="F1228" s="39"/>
      <c r="G1228" s="39"/>
      <c r="H1228" s="40" t="str">
        <f>IF($AA1227=0,"",IF(LEN(INDEX(Quotes!$W$9:$W$258,$AA1227)&amp;"")=0,"",INDEX(Quotes!$W$9:$W$258,$AA1227)))</f>
        <v/>
      </c>
      <c r="I1228" s="39"/>
      <c r="J1228" s="39"/>
      <c r="K1228" s="39"/>
      <c r="L1228" s="39"/>
      <c r="M1228" s="39"/>
      <c r="N1228" s="39"/>
      <c r="O1228" s="39"/>
      <c r="P1228" s="39"/>
      <c r="Q1228" s="39"/>
      <c r="R1228" s="77" t="str">
        <f>IF($AA1227=0,"",IF(LEN(INDEX(Quotes!$X$9:$X$258,$AA1227)&amp;"")=0,"",INDEX(Quotes!$X$9:$X$258,$AA1227)))</f>
        <v/>
      </c>
      <c r="S1228" s="39"/>
      <c r="T1228" s="39"/>
      <c r="U1228" s="39"/>
      <c r="V1228" s="39"/>
    </row>
    <row r="1229" spans="1:27" ht="21" hidden="1" customHeight="1" x14ac:dyDescent="0.35">
      <c r="A1229" s="83" t="str">
        <f>IF($AA1227=0,"","ORIGINAL EUR")</f>
        <v/>
      </c>
      <c r="B1229" s="39"/>
      <c r="C1229" s="39"/>
      <c r="D1229" s="39"/>
      <c r="E1229" s="39"/>
      <c r="F1229" s="39"/>
      <c r="G1229" s="39"/>
      <c r="I1229" s="83" t="str">
        <f>IF($AA1227=0,"","LATEST EUR")</f>
        <v/>
      </c>
      <c r="J1229" s="39"/>
      <c r="K1229" s="39"/>
      <c r="L1229" s="39"/>
      <c r="M1229" s="39"/>
      <c r="N1229" s="39"/>
      <c r="O1229" s="39"/>
      <c r="Q1229" s="83" t="str">
        <f>IF($AA1227=0,"","SAVED EUR")</f>
        <v/>
      </c>
      <c r="R1229" s="39"/>
      <c r="S1229" s="39"/>
      <c r="T1229" s="39"/>
      <c r="U1229" s="39"/>
      <c r="V1229" s="39"/>
    </row>
    <row r="1230" spans="1:27" ht="21" hidden="1" customHeight="1" x14ac:dyDescent="0.35">
      <c r="A1230" s="82" t="str">
        <f>IF($AA1227=0,"",IF(LEN(INDEX(Quotes!$AB$9:$AB$258,$AA1227)&amp;"")=0,"",INDEX(Quotes!$AB$9:$AB$258,$AA1227)))</f>
        <v/>
      </c>
      <c r="B1230" s="39"/>
      <c r="C1230" s="39"/>
      <c r="D1230" s="39"/>
      <c r="E1230" s="39"/>
      <c r="F1230" s="39"/>
      <c r="G1230" s="39"/>
      <c r="I1230" s="82" t="str">
        <f>IF($AA1227=0,"",IF(LEN(INDEX(Quotes!$AD$9:$AD$258,$AA1227)&amp;"")=0,"",INDEX(Quotes!$AD$9:$AD$258,$AA1227)))</f>
        <v/>
      </c>
      <c r="J1230" s="39"/>
      <c r="K1230" s="39"/>
      <c r="L1230" s="39"/>
      <c r="M1230" s="39"/>
      <c r="N1230" s="39"/>
      <c r="O1230" s="39"/>
      <c r="Q1230" s="82" t="str">
        <f>IF($AA1227=0,"",IF(LEN(INDEX(Quotes!$AF$9:$AF$258,$AA1227)&amp;"")=0,"",INDEX(Quotes!$AF$9:$AF$258,$AA1227)))</f>
        <v/>
      </c>
      <c r="R1230" s="39"/>
      <c r="S1230" s="39"/>
      <c r="T1230" s="39"/>
      <c r="U1230" s="39"/>
      <c r="V1230" s="39"/>
    </row>
    <row r="1231" spans="1:27" ht="21" hidden="1" customHeight="1" x14ac:dyDescent="0.35">
      <c r="A1231" s="48" t="str">
        <f>IF($AA1227=0,"","Reference: "&amp;IF(INDEX(Quotes!$M$9:$M$258,$AA1227)="",INDEX(Quotes!$S$9:$S$258,$AA1227),INDEX(Quotes!$M$9:$M$258,$AA1227)))</f>
        <v/>
      </c>
      <c r="B1231" s="39"/>
      <c r="C1231" s="39"/>
      <c r="D1231" s="39"/>
      <c r="E1231" s="39"/>
      <c r="F1231" s="39"/>
      <c r="G1231" s="39"/>
      <c r="H1231" s="39"/>
      <c r="I1231" s="39"/>
      <c r="J1231" s="39"/>
      <c r="K1231" s="39"/>
      <c r="L1231" s="39"/>
      <c r="M1231" s="39"/>
      <c r="N1231" s="39"/>
      <c r="O1231" s="39"/>
      <c r="P1231" s="39"/>
      <c r="Q1231" s="48" t="str">
        <f>IF($AA1227=0,"",INDEX(Quotes!$E$9:$E$258,$AA1227))</f>
        <v/>
      </c>
      <c r="R1231" s="39"/>
      <c r="S1231" s="39"/>
      <c r="T1231" s="39"/>
      <c r="U1231" s="39"/>
      <c r="V1231" s="39"/>
    </row>
    <row r="1232" spans="1:27" ht="21" hidden="1" customHeight="1" x14ac:dyDescent="0.35">
      <c r="A1232" s="81" t="str">
        <f>IF($AA1227=0,"",IF(INDEX(Quotes!$N$9:$N$258,$AA1227)="","No original link","Original quote"))</f>
        <v/>
      </c>
      <c r="B1232" s="39"/>
      <c r="C1232" s="39"/>
      <c r="D1232" s="39"/>
      <c r="E1232" s="39"/>
      <c r="F1232" s="39"/>
      <c r="G1232" s="39"/>
      <c r="I1232" s="81" t="str">
        <f>IF($AA1227=0,"",IF(INDEX(Quotes!$O$9:$O$258,$AA1227)="","No revised link","Revised quote"))</f>
        <v/>
      </c>
      <c r="J1232" s="39"/>
      <c r="K1232" s="39"/>
      <c r="L1232" s="39"/>
      <c r="M1232" s="39"/>
      <c r="N1232" s="39"/>
      <c r="O1232" s="39"/>
      <c r="Q1232" s="81" t="str">
        <f>IF($AA1227=0,"",HYPERLINK("#'Quotes'!A"&amp;($AA1227+8),"Open quote record"))</f>
        <v/>
      </c>
      <c r="R1232" s="39"/>
      <c r="S1232" s="39"/>
      <c r="T1232" s="39"/>
      <c r="U1232" s="39"/>
      <c r="V1232" s="39"/>
    </row>
    <row r="1233" spans="1:27" ht="21" hidden="1" customHeight="1" x14ac:dyDescent="0.35"/>
    <row r="1234" spans="1:27" hidden="1" x14ac:dyDescent="0.35"/>
    <row r="1235" spans="1:27" hidden="1" x14ac:dyDescent="0.35"/>
    <row r="1236" spans="1:27" ht="29" hidden="1" customHeight="1" x14ac:dyDescent="0.35">
      <c r="A1236" s="84" t="str">
        <f>IF($AA1236=0,"",IF(LEN(INDEX(Quotes!$U$9:$U$258,$AA1236)&amp;"")=0,"",INDEX(Quotes!$U$9:$U$258,$AA1236)))</f>
        <v/>
      </c>
      <c r="B1236" s="39"/>
      <c r="C1236" s="39"/>
      <c r="D1236" s="39"/>
      <c r="E1236" s="39"/>
      <c r="F1236" s="39"/>
      <c r="G1236" s="39"/>
      <c r="H1236" s="39"/>
      <c r="I1236" s="39"/>
      <c r="J1236" s="39"/>
      <c r="K1236" s="85" t="str">
        <f>IF($AA1236=0,"",IF(LEN(INDEX(Quotes!$Z$9:$Z$258,$AA1236)&amp;"")=0,"",INDEX(Quotes!$Z$9:$Z$258,$AA1236)))</f>
        <v/>
      </c>
      <c r="L1236" s="39"/>
      <c r="M1236" s="39"/>
      <c r="N1236" s="39"/>
      <c r="O1236" s="39"/>
      <c r="P1236" s="39"/>
      <c r="Q1236" s="39"/>
      <c r="R1236" s="39"/>
      <c r="S1236" s="39"/>
      <c r="T1236" s="39"/>
      <c r="U1236" s="39"/>
      <c r="V1236" s="39"/>
      <c r="AA1236">
        <f>IFERROR(MATCH(127,Quotes!$AK$9:$AK$258,0),0)</f>
        <v>0</v>
      </c>
    </row>
    <row r="1237" spans="1:27" ht="21" hidden="1" customHeight="1" x14ac:dyDescent="0.35">
      <c r="A1237" s="40" t="str">
        <f>IF($AA1236=0,"",IF(LEN(INDEX(Quotes!$V$9:$V$258,$AA1236)&amp;"")=0,"",INDEX(Quotes!$V$9:$V$258,$AA1236)))</f>
        <v/>
      </c>
      <c r="B1237" s="39"/>
      <c r="C1237" s="39"/>
      <c r="D1237" s="39"/>
      <c r="E1237" s="39"/>
      <c r="F1237" s="39"/>
      <c r="G1237" s="39"/>
      <c r="H1237" s="40" t="str">
        <f>IF($AA1236=0,"",IF(LEN(INDEX(Quotes!$W$9:$W$258,$AA1236)&amp;"")=0,"",INDEX(Quotes!$W$9:$W$258,$AA1236)))</f>
        <v/>
      </c>
      <c r="I1237" s="39"/>
      <c r="J1237" s="39"/>
      <c r="K1237" s="39"/>
      <c r="L1237" s="39"/>
      <c r="M1237" s="39"/>
      <c r="N1237" s="39"/>
      <c r="O1237" s="39"/>
      <c r="P1237" s="39"/>
      <c r="Q1237" s="39"/>
      <c r="R1237" s="77" t="str">
        <f>IF($AA1236=0,"",IF(LEN(INDEX(Quotes!$X$9:$X$258,$AA1236)&amp;"")=0,"",INDEX(Quotes!$X$9:$X$258,$AA1236)))</f>
        <v/>
      </c>
      <c r="S1237" s="39"/>
      <c r="T1237" s="39"/>
      <c r="U1237" s="39"/>
      <c r="V1237" s="39"/>
    </row>
    <row r="1238" spans="1:27" ht="21" hidden="1" customHeight="1" x14ac:dyDescent="0.35">
      <c r="A1238" s="83" t="str">
        <f>IF($AA1236=0,"","ORIGINAL EUR")</f>
        <v/>
      </c>
      <c r="B1238" s="39"/>
      <c r="C1238" s="39"/>
      <c r="D1238" s="39"/>
      <c r="E1238" s="39"/>
      <c r="F1238" s="39"/>
      <c r="G1238" s="39"/>
      <c r="I1238" s="83" t="str">
        <f>IF($AA1236=0,"","LATEST EUR")</f>
        <v/>
      </c>
      <c r="J1238" s="39"/>
      <c r="K1238" s="39"/>
      <c r="L1238" s="39"/>
      <c r="M1238" s="39"/>
      <c r="N1238" s="39"/>
      <c r="O1238" s="39"/>
      <c r="Q1238" s="83" t="str">
        <f>IF($AA1236=0,"","SAVED EUR")</f>
        <v/>
      </c>
      <c r="R1238" s="39"/>
      <c r="S1238" s="39"/>
      <c r="T1238" s="39"/>
      <c r="U1238" s="39"/>
      <c r="V1238" s="39"/>
    </row>
    <row r="1239" spans="1:27" ht="21" hidden="1" customHeight="1" x14ac:dyDescent="0.35">
      <c r="A1239" s="82" t="str">
        <f>IF($AA1236=0,"",IF(LEN(INDEX(Quotes!$AB$9:$AB$258,$AA1236)&amp;"")=0,"",INDEX(Quotes!$AB$9:$AB$258,$AA1236)))</f>
        <v/>
      </c>
      <c r="B1239" s="39"/>
      <c r="C1239" s="39"/>
      <c r="D1239" s="39"/>
      <c r="E1239" s="39"/>
      <c r="F1239" s="39"/>
      <c r="G1239" s="39"/>
      <c r="I1239" s="82" t="str">
        <f>IF($AA1236=0,"",IF(LEN(INDEX(Quotes!$AD$9:$AD$258,$AA1236)&amp;"")=0,"",INDEX(Quotes!$AD$9:$AD$258,$AA1236)))</f>
        <v/>
      </c>
      <c r="J1239" s="39"/>
      <c r="K1239" s="39"/>
      <c r="L1239" s="39"/>
      <c r="M1239" s="39"/>
      <c r="N1239" s="39"/>
      <c r="O1239" s="39"/>
      <c r="Q1239" s="82" t="str">
        <f>IF($AA1236=0,"",IF(LEN(INDEX(Quotes!$AF$9:$AF$258,$AA1236)&amp;"")=0,"",INDEX(Quotes!$AF$9:$AF$258,$AA1236)))</f>
        <v/>
      </c>
      <c r="R1239" s="39"/>
      <c r="S1239" s="39"/>
      <c r="T1239" s="39"/>
      <c r="U1239" s="39"/>
      <c r="V1239" s="39"/>
    </row>
    <row r="1240" spans="1:27" ht="21" hidden="1" customHeight="1" x14ac:dyDescent="0.35">
      <c r="A1240" s="48" t="str">
        <f>IF($AA1236=0,"","Reference: "&amp;IF(INDEX(Quotes!$M$9:$M$258,$AA1236)="",INDEX(Quotes!$S$9:$S$258,$AA1236),INDEX(Quotes!$M$9:$M$258,$AA1236)))</f>
        <v/>
      </c>
      <c r="B1240" s="39"/>
      <c r="C1240" s="39"/>
      <c r="D1240" s="39"/>
      <c r="E1240" s="39"/>
      <c r="F1240" s="39"/>
      <c r="G1240" s="39"/>
      <c r="H1240" s="39"/>
      <c r="I1240" s="39"/>
      <c r="J1240" s="39"/>
      <c r="K1240" s="39"/>
      <c r="L1240" s="39"/>
      <c r="M1240" s="39"/>
      <c r="N1240" s="39"/>
      <c r="O1240" s="39"/>
      <c r="P1240" s="39"/>
      <c r="Q1240" s="48" t="str">
        <f>IF($AA1236=0,"",INDEX(Quotes!$E$9:$E$258,$AA1236))</f>
        <v/>
      </c>
      <c r="R1240" s="39"/>
      <c r="S1240" s="39"/>
      <c r="T1240" s="39"/>
      <c r="U1240" s="39"/>
      <c r="V1240" s="39"/>
    </row>
    <row r="1241" spans="1:27" ht="21" hidden="1" customHeight="1" x14ac:dyDescent="0.35">
      <c r="A1241" s="81" t="str">
        <f>IF($AA1236=0,"",IF(INDEX(Quotes!$N$9:$N$258,$AA1236)="","No original link","Original quote"))</f>
        <v/>
      </c>
      <c r="B1241" s="39"/>
      <c r="C1241" s="39"/>
      <c r="D1241" s="39"/>
      <c r="E1241" s="39"/>
      <c r="F1241" s="39"/>
      <c r="G1241" s="39"/>
      <c r="I1241" s="81" t="str">
        <f>IF($AA1236=0,"",IF(INDEX(Quotes!$O$9:$O$258,$AA1236)="","No revised link","Revised quote"))</f>
        <v/>
      </c>
      <c r="J1241" s="39"/>
      <c r="K1241" s="39"/>
      <c r="L1241" s="39"/>
      <c r="M1241" s="39"/>
      <c r="N1241" s="39"/>
      <c r="O1241" s="39"/>
      <c r="Q1241" s="81" t="str">
        <f>IF($AA1236=0,"",HYPERLINK("#'Quotes'!A"&amp;($AA1236+8),"Open quote record"))</f>
        <v/>
      </c>
      <c r="R1241" s="39"/>
      <c r="S1241" s="39"/>
      <c r="T1241" s="39"/>
      <c r="U1241" s="39"/>
      <c r="V1241" s="39"/>
    </row>
    <row r="1242" spans="1:27" ht="21" hidden="1" customHeight="1" x14ac:dyDescent="0.35"/>
    <row r="1243" spans="1:27" hidden="1" x14ac:dyDescent="0.35"/>
    <row r="1244" spans="1:27" hidden="1" x14ac:dyDescent="0.35"/>
    <row r="1245" spans="1:27" ht="29" hidden="1" customHeight="1" x14ac:dyDescent="0.35">
      <c r="A1245" s="84" t="str">
        <f>IF($AA1245=0,"",IF(LEN(INDEX(Quotes!$U$9:$U$258,$AA1245)&amp;"")=0,"",INDEX(Quotes!$U$9:$U$258,$AA1245)))</f>
        <v/>
      </c>
      <c r="B1245" s="39"/>
      <c r="C1245" s="39"/>
      <c r="D1245" s="39"/>
      <c r="E1245" s="39"/>
      <c r="F1245" s="39"/>
      <c r="G1245" s="39"/>
      <c r="H1245" s="39"/>
      <c r="I1245" s="39"/>
      <c r="J1245" s="39"/>
      <c r="K1245" s="85" t="str">
        <f>IF($AA1245=0,"",IF(LEN(INDEX(Quotes!$Z$9:$Z$258,$AA1245)&amp;"")=0,"",INDEX(Quotes!$Z$9:$Z$258,$AA1245)))</f>
        <v/>
      </c>
      <c r="L1245" s="39"/>
      <c r="M1245" s="39"/>
      <c r="N1245" s="39"/>
      <c r="O1245" s="39"/>
      <c r="P1245" s="39"/>
      <c r="Q1245" s="39"/>
      <c r="R1245" s="39"/>
      <c r="S1245" s="39"/>
      <c r="T1245" s="39"/>
      <c r="U1245" s="39"/>
      <c r="V1245" s="39"/>
      <c r="AA1245">
        <f>IFERROR(MATCH(128,Quotes!$AK$9:$AK$258,0),0)</f>
        <v>0</v>
      </c>
    </row>
    <row r="1246" spans="1:27" ht="21" hidden="1" customHeight="1" x14ac:dyDescent="0.35">
      <c r="A1246" s="40" t="str">
        <f>IF($AA1245=0,"",IF(LEN(INDEX(Quotes!$V$9:$V$258,$AA1245)&amp;"")=0,"",INDEX(Quotes!$V$9:$V$258,$AA1245)))</f>
        <v/>
      </c>
      <c r="B1246" s="39"/>
      <c r="C1246" s="39"/>
      <c r="D1246" s="39"/>
      <c r="E1246" s="39"/>
      <c r="F1246" s="39"/>
      <c r="G1246" s="39"/>
      <c r="H1246" s="40" t="str">
        <f>IF($AA1245=0,"",IF(LEN(INDEX(Quotes!$W$9:$W$258,$AA1245)&amp;"")=0,"",INDEX(Quotes!$W$9:$W$258,$AA1245)))</f>
        <v/>
      </c>
      <c r="I1246" s="39"/>
      <c r="J1246" s="39"/>
      <c r="K1246" s="39"/>
      <c r="L1246" s="39"/>
      <c r="M1246" s="39"/>
      <c r="N1246" s="39"/>
      <c r="O1246" s="39"/>
      <c r="P1246" s="39"/>
      <c r="Q1246" s="39"/>
      <c r="R1246" s="77" t="str">
        <f>IF($AA1245=0,"",IF(LEN(INDEX(Quotes!$X$9:$X$258,$AA1245)&amp;"")=0,"",INDEX(Quotes!$X$9:$X$258,$AA1245)))</f>
        <v/>
      </c>
      <c r="S1246" s="39"/>
      <c r="T1246" s="39"/>
      <c r="U1246" s="39"/>
      <c r="V1246" s="39"/>
    </row>
    <row r="1247" spans="1:27" ht="21" hidden="1" customHeight="1" x14ac:dyDescent="0.35">
      <c r="A1247" s="83" t="str">
        <f>IF($AA1245=0,"","ORIGINAL EUR")</f>
        <v/>
      </c>
      <c r="B1247" s="39"/>
      <c r="C1247" s="39"/>
      <c r="D1247" s="39"/>
      <c r="E1247" s="39"/>
      <c r="F1247" s="39"/>
      <c r="G1247" s="39"/>
      <c r="I1247" s="83" t="str">
        <f>IF($AA1245=0,"","LATEST EUR")</f>
        <v/>
      </c>
      <c r="J1247" s="39"/>
      <c r="K1247" s="39"/>
      <c r="L1247" s="39"/>
      <c r="M1247" s="39"/>
      <c r="N1247" s="39"/>
      <c r="O1247" s="39"/>
      <c r="Q1247" s="83" t="str">
        <f>IF($AA1245=0,"","SAVED EUR")</f>
        <v/>
      </c>
      <c r="R1247" s="39"/>
      <c r="S1247" s="39"/>
      <c r="T1247" s="39"/>
      <c r="U1247" s="39"/>
      <c r="V1247" s="39"/>
    </row>
    <row r="1248" spans="1:27" ht="21" hidden="1" customHeight="1" x14ac:dyDescent="0.35">
      <c r="A1248" s="82" t="str">
        <f>IF($AA1245=0,"",IF(LEN(INDEX(Quotes!$AB$9:$AB$258,$AA1245)&amp;"")=0,"",INDEX(Quotes!$AB$9:$AB$258,$AA1245)))</f>
        <v/>
      </c>
      <c r="B1248" s="39"/>
      <c r="C1248" s="39"/>
      <c r="D1248" s="39"/>
      <c r="E1248" s="39"/>
      <c r="F1248" s="39"/>
      <c r="G1248" s="39"/>
      <c r="I1248" s="82" t="str">
        <f>IF($AA1245=0,"",IF(LEN(INDEX(Quotes!$AD$9:$AD$258,$AA1245)&amp;"")=0,"",INDEX(Quotes!$AD$9:$AD$258,$AA1245)))</f>
        <v/>
      </c>
      <c r="J1248" s="39"/>
      <c r="K1248" s="39"/>
      <c r="L1248" s="39"/>
      <c r="M1248" s="39"/>
      <c r="N1248" s="39"/>
      <c r="O1248" s="39"/>
      <c r="Q1248" s="82" t="str">
        <f>IF($AA1245=0,"",IF(LEN(INDEX(Quotes!$AF$9:$AF$258,$AA1245)&amp;"")=0,"",INDEX(Quotes!$AF$9:$AF$258,$AA1245)))</f>
        <v/>
      </c>
      <c r="R1248" s="39"/>
      <c r="S1248" s="39"/>
      <c r="T1248" s="39"/>
      <c r="U1248" s="39"/>
      <c r="V1248" s="39"/>
    </row>
    <row r="1249" spans="1:27" ht="21" hidden="1" customHeight="1" x14ac:dyDescent="0.35">
      <c r="A1249" s="48" t="str">
        <f>IF($AA1245=0,"","Reference: "&amp;IF(INDEX(Quotes!$M$9:$M$258,$AA1245)="",INDEX(Quotes!$S$9:$S$258,$AA1245),INDEX(Quotes!$M$9:$M$258,$AA1245)))</f>
        <v/>
      </c>
      <c r="B1249" s="39"/>
      <c r="C1249" s="39"/>
      <c r="D1249" s="39"/>
      <c r="E1249" s="39"/>
      <c r="F1249" s="39"/>
      <c r="G1249" s="39"/>
      <c r="H1249" s="39"/>
      <c r="I1249" s="39"/>
      <c r="J1249" s="39"/>
      <c r="K1249" s="39"/>
      <c r="L1249" s="39"/>
      <c r="M1249" s="39"/>
      <c r="N1249" s="39"/>
      <c r="O1249" s="39"/>
      <c r="P1249" s="39"/>
      <c r="Q1249" s="48" t="str">
        <f>IF($AA1245=0,"",INDEX(Quotes!$E$9:$E$258,$AA1245))</f>
        <v/>
      </c>
      <c r="R1249" s="39"/>
      <c r="S1249" s="39"/>
      <c r="T1249" s="39"/>
      <c r="U1249" s="39"/>
      <c r="V1249" s="39"/>
    </row>
    <row r="1250" spans="1:27" ht="21" hidden="1" customHeight="1" x14ac:dyDescent="0.35">
      <c r="A1250" s="81" t="str">
        <f>IF($AA1245=0,"",IF(INDEX(Quotes!$N$9:$N$258,$AA1245)="","No original link","Original quote"))</f>
        <v/>
      </c>
      <c r="B1250" s="39"/>
      <c r="C1250" s="39"/>
      <c r="D1250" s="39"/>
      <c r="E1250" s="39"/>
      <c r="F1250" s="39"/>
      <c r="G1250" s="39"/>
      <c r="I1250" s="81" t="str">
        <f>IF($AA1245=0,"",IF(INDEX(Quotes!$O$9:$O$258,$AA1245)="","No revised link","Revised quote"))</f>
        <v/>
      </c>
      <c r="J1250" s="39"/>
      <c r="K1250" s="39"/>
      <c r="L1250" s="39"/>
      <c r="M1250" s="39"/>
      <c r="N1250" s="39"/>
      <c r="O1250" s="39"/>
      <c r="Q1250" s="81" t="str">
        <f>IF($AA1245=0,"",HYPERLINK("#'Quotes'!A"&amp;($AA1245+8),"Open quote record"))</f>
        <v/>
      </c>
      <c r="R1250" s="39"/>
      <c r="S1250" s="39"/>
      <c r="T1250" s="39"/>
      <c r="U1250" s="39"/>
      <c r="V1250" s="39"/>
    </row>
    <row r="1251" spans="1:27" ht="21" hidden="1" customHeight="1" x14ac:dyDescent="0.35"/>
    <row r="1252" spans="1:27" hidden="1" x14ac:dyDescent="0.35"/>
    <row r="1253" spans="1:27" hidden="1" x14ac:dyDescent="0.35"/>
    <row r="1254" spans="1:27" hidden="1" x14ac:dyDescent="0.35"/>
    <row r="1255" spans="1:27" hidden="1" x14ac:dyDescent="0.35">
      <c r="A1255" s="67" t="s">
        <v>655</v>
      </c>
      <c r="B1255" s="39"/>
      <c r="C1255" s="39"/>
      <c r="D1255" s="39"/>
      <c r="E1255" s="39"/>
      <c r="F1255" s="39"/>
      <c r="G1255" s="39"/>
      <c r="H1255" s="39"/>
      <c r="I1255" s="39"/>
      <c r="J1255" s="39"/>
      <c r="K1255" s="39"/>
      <c r="L1255" s="39"/>
      <c r="M1255" s="39"/>
      <c r="N1255" s="39"/>
      <c r="O1255" s="39"/>
      <c r="P1255" s="39"/>
      <c r="Q1255" s="39"/>
      <c r="R1255" s="39"/>
      <c r="S1255" s="39"/>
      <c r="T1255" s="39"/>
      <c r="U1255" s="39"/>
      <c r="V1255" s="39"/>
    </row>
    <row r="1256" spans="1:27" ht="29" hidden="1" customHeight="1" x14ac:dyDescent="0.35">
      <c r="A1256" s="84" t="str">
        <f>IF($AA1256=0,"",IF(LEN(INDEX(Quotes!$U$9:$U$258,$AA1256)&amp;"")=0,"",INDEX(Quotes!$U$9:$U$258,$AA1256)))</f>
        <v/>
      </c>
      <c r="B1256" s="39"/>
      <c r="C1256" s="39"/>
      <c r="D1256" s="39"/>
      <c r="E1256" s="39"/>
      <c r="F1256" s="39"/>
      <c r="G1256" s="39"/>
      <c r="H1256" s="39"/>
      <c r="I1256" s="39"/>
      <c r="J1256" s="39"/>
      <c r="K1256" s="85" t="str">
        <f>IF($AA1256=0,"",IF(LEN(INDEX(Quotes!$Z$9:$Z$258,$AA1256)&amp;"")=0,"",INDEX(Quotes!$Z$9:$Z$258,$AA1256)))</f>
        <v/>
      </c>
      <c r="L1256" s="39"/>
      <c r="M1256" s="39"/>
      <c r="N1256" s="39"/>
      <c r="O1256" s="39"/>
      <c r="P1256" s="39"/>
      <c r="Q1256" s="39"/>
      <c r="R1256" s="39"/>
      <c r="S1256" s="39"/>
      <c r="T1256" s="39"/>
      <c r="U1256" s="39"/>
      <c r="V1256" s="39"/>
      <c r="AA1256">
        <f>IFERROR(MATCH(129,Quotes!$AK$9:$AK$258,0),0)</f>
        <v>0</v>
      </c>
    </row>
    <row r="1257" spans="1:27" ht="21" hidden="1" customHeight="1" x14ac:dyDescent="0.35">
      <c r="A1257" s="40" t="str">
        <f>IF($AA1256=0,"",IF(LEN(INDEX(Quotes!$V$9:$V$258,$AA1256)&amp;"")=0,"",INDEX(Quotes!$V$9:$V$258,$AA1256)))</f>
        <v/>
      </c>
      <c r="B1257" s="39"/>
      <c r="C1257" s="39"/>
      <c r="D1257" s="39"/>
      <c r="E1257" s="39"/>
      <c r="F1257" s="39"/>
      <c r="G1257" s="39"/>
      <c r="H1257" s="40" t="str">
        <f>IF($AA1256=0,"",IF(LEN(INDEX(Quotes!$W$9:$W$258,$AA1256)&amp;"")=0,"",INDEX(Quotes!$W$9:$W$258,$AA1256)))</f>
        <v/>
      </c>
      <c r="I1257" s="39"/>
      <c r="J1257" s="39"/>
      <c r="K1257" s="39"/>
      <c r="L1257" s="39"/>
      <c r="M1257" s="39"/>
      <c r="N1257" s="39"/>
      <c r="O1257" s="39"/>
      <c r="P1257" s="39"/>
      <c r="Q1257" s="39"/>
      <c r="R1257" s="77" t="str">
        <f>IF($AA1256=0,"",IF(LEN(INDEX(Quotes!$X$9:$X$258,$AA1256)&amp;"")=0,"",INDEX(Quotes!$X$9:$X$258,$AA1256)))</f>
        <v/>
      </c>
      <c r="S1257" s="39"/>
      <c r="T1257" s="39"/>
      <c r="U1257" s="39"/>
      <c r="V1257" s="39"/>
    </row>
    <row r="1258" spans="1:27" ht="21" hidden="1" customHeight="1" x14ac:dyDescent="0.35">
      <c r="A1258" s="83" t="str">
        <f>IF($AA1256=0,"","ORIGINAL EUR")</f>
        <v/>
      </c>
      <c r="B1258" s="39"/>
      <c r="C1258" s="39"/>
      <c r="D1258" s="39"/>
      <c r="E1258" s="39"/>
      <c r="F1258" s="39"/>
      <c r="G1258" s="39"/>
      <c r="I1258" s="83" t="str">
        <f>IF($AA1256=0,"","LATEST EUR")</f>
        <v/>
      </c>
      <c r="J1258" s="39"/>
      <c r="K1258" s="39"/>
      <c r="L1258" s="39"/>
      <c r="M1258" s="39"/>
      <c r="N1258" s="39"/>
      <c r="O1258" s="39"/>
      <c r="Q1258" s="83" t="str">
        <f>IF($AA1256=0,"","SAVED EUR")</f>
        <v/>
      </c>
      <c r="R1258" s="39"/>
      <c r="S1258" s="39"/>
      <c r="T1258" s="39"/>
      <c r="U1258" s="39"/>
      <c r="V1258" s="39"/>
    </row>
    <row r="1259" spans="1:27" ht="21" hidden="1" customHeight="1" x14ac:dyDescent="0.35">
      <c r="A1259" s="82" t="str">
        <f>IF($AA1256=0,"",IF(LEN(INDEX(Quotes!$AB$9:$AB$258,$AA1256)&amp;"")=0,"",INDEX(Quotes!$AB$9:$AB$258,$AA1256)))</f>
        <v/>
      </c>
      <c r="B1259" s="39"/>
      <c r="C1259" s="39"/>
      <c r="D1259" s="39"/>
      <c r="E1259" s="39"/>
      <c r="F1259" s="39"/>
      <c r="G1259" s="39"/>
      <c r="I1259" s="82" t="str">
        <f>IF($AA1256=0,"",IF(LEN(INDEX(Quotes!$AD$9:$AD$258,$AA1256)&amp;"")=0,"",INDEX(Quotes!$AD$9:$AD$258,$AA1256)))</f>
        <v/>
      </c>
      <c r="J1259" s="39"/>
      <c r="K1259" s="39"/>
      <c r="L1259" s="39"/>
      <c r="M1259" s="39"/>
      <c r="N1259" s="39"/>
      <c r="O1259" s="39"/>
      <c r="Q1259" s="82" t="str">
        <f>IF($AA1256=0,"",IF(LEN(INDEX(Quotes!$AF$9:$AF$258,$AA1256)&amp;"")=0,"",INDEX(Quotes!$AF$9:$AF$258,$AA1256)))</f>
        <v/>
      </c>
      <c r="R1259" s="39"/>
      <c r="S1259" s="39"/>
      <c r="T1259" s="39"/>
      <c r="U1259" s="39"/>
      <c r="V1259" s="39"/>
    </row>
    <row r="1260" spans="1:27" ht="21" hidden="1" customHeight="1" x14ac:dyDescent="0.35">
      <c r="A1260" s="48" t="str">
        <f>IF($AA1256=0,"","Reference: "&amp;IF(INDEX(Quotes!$M$9:$M$258,$AA1256)="",INDEX(Quotes!$S$9:$S$258,$AA1256),INDEX(Quotes!$M$9:$M$258,$AA1256)))</f>
        <v/>
      </c>
      <c r="B1260" s="39"/>
      <c r="C1260" s="39"/>
      <c r="D1260" s="39"/>
      <c r="E1260" s="39"/>
      <c r="F1260" s="39"/>
      <c r="G1260" s="39"/>
      <c r="H1260" s="39"/>
      <c r="I1260" s="39"/>
      <c r="J1260" s="39"/>
      <c r="K1260" s="39"/>
      <c r="L1260" s="39"/>
      <c r="M1260" s="39"/>
      <c r="N1260" s="39"/>
      <c r="O1260" s="39"/>
      <c r="P1260" s="39"/>
      <c r="Q1260" s="48" t="str">
        <f>IF($AA1256=0,"",INDEX(Quotes!$E$9:$E$258,$AA1256))</f>
        <v/>
      </c>
      <c r="R1260" s="39"/>
      <c r="S1260" s="39"/>
      <c r="T1260" s="39"/>
      <c r="U1260" s="39"/>
      <c r="V1260" s="39"/>
    </row>
    <row r="1261" spans="1:27" ht="21" hidden="1" customHeight="1" x14ac:dyDescent="0.35">
      <c r="A1261" s="81" t="str">
        <f>IF($AA1256=0,"",IF(INDEX(Quotes!$N$9:$N$258,$AA1256)="","No original link","Original quote"))</f>
        <v/>
      </c>
      <c r="B1261" s="39"/>
      <c r="C1261" s="39"/>
      <c r="D1261" s="39"/>
      <c r="E1261" s="39"/>
      <c r="F1261" s="39"/>
      <c r="G1261" s="39"/>
      <c r="I1261" s="81" t="str">
        <f>IF($AA1256=0,"",IF(INDEX(Quotes!$O$9:$O$258,$AA1256)="","No revised link","Revised quote"))</f>
        <v/>
      </c>
      <c r="J1261" s="39"/>
      <c r="K1261" s="39"/>
      <c r="L1261" s="39"/>
      <c r="M1261" s="39"/>
      <c r="N1261" s="39"/>
      <c r="O1261" s="39"/>
      <c r="Q1261" s="81" t="str">
        <f>IF($AA1256=0,"",HYPERLINK("#'Quotes'!A"&amp;($AA1256+8),"Open quote record"))</f>
        <v/>
      </c>
      <c r="R1261" s="39"/>
      <c r="S1261" s="39"/>
      <c r="T1261" s="39"/>
      <c r="U1261" s="39"/>
      <c r="V1261" s="39"/>
    </row>
    <row r="1262" spans="1:27" ht="21" hidden="1" customHeight="1" x14ac:dyDescent="0.35"/>
    <row r="1263" spans="1:27" hidden="1" x14ac:dyDescent="0.35"/>
    <row r="1264" spans="1:27" hidden="1" x14ac:dyDescent="0.35"/>
    <row r="1265" spans="1:27" ht="29" hidden="1" customHeight="1" x14ac:dyDescent="0.35">
      <c r="A1265" s="84" t="str">
        <f>IF($AA1265=0,"",IF(LEN(INDEX(Quotes!$U$9:$U$258,$AA1265)&amp;"")=0,"",INDEX(Quotes!$U$9:$U$258,$AA1265)))</f>
        <v/>
      </c>
      <c r="B1265" s="39"/>
      <c r="C1265" s="39"/>
      <c r="D1265" s="39"/>
      <c r="E1265" s="39"/>
      <c r="F1265" s="39"/>
      <c r="G1265" s="39"/>
      <c r="H1265" s="39"/>
      <c r="I1265" s="39"/>
      <c r="J1265" s="39"/>
      <c r="K1265" s="85" t="str">
        <f>IF($AA1265=0,"",IF(LEN(INDEX(Quotes!$Z$9:$Z$258,$AA1265)&amp;"")=0,"",INDEX(Quotes!$Z$9:$Z$258,$AA1265)))</f>
        <v/>
      </c>
      <c r="L1265" s="39"/>
      <c r="M1265" s="39"/>
      <c r="N1265" s="39"/>
      <c r="O1265" s="39"/>
      <c r="P1265" s="39"/>
      <c r="Q1265" s="39"/>
      <c r="R1265" s="39"/>
      <c r="S1265" s="39"/>
      <c r="T1265" s="39"/>
      <c r="U1265" s="39"/>
      <c r="V1265" s="39"/>
      <c r="AA1265">
        <f>IFERROR(MATCH(130,Quotes!$AK$9:$AK$258,0),0)</f>
        <v>0</v>
      </c>
    </row>
    <row r="1266" spans="1:27" ht="21" hidden="1" customHeight="1" x14ac:dyDescent="0.35">
      <c r="A1266" s="40" t="str">
        <f>IF($AA1265=0,"",IF(LEN(INDEX(Quotes!$V$9:$V$258,$AA1265)&amp;"")=0,"",INDEX(Quotes!$V$9:$V$258,$AA1265)))</f>
        <v/>
      </c>
      <c r="B1266" s="39"/>
      <c r="C1266" s="39"/>
      <c r="D1266" s="39"/>
      <c r="E1266" s="39"/>
      <c r="F1266" s="39"/>
      <c r="G1266" s="39"/>
      <c r="H1266" s="40" t="str">
        <f>IF($AA1265=0,"",IF(LEN(INDEX(Quotes!$W$9:$W$258,$AA1265)&amp;"")=0,"",INDEX(Quotes!$W$9:$W$258,$AA1265)))</f>
        <v/>
      </c>
      <c r="I1266" s="39"/>
      <c r="J1266" s="39"/>
      <c r="K1266" s="39"/>
      <c r="L1266" s="39"/>
      <c r="M1266" s="39"/>
      <c r="N1266" s="39"/>
      <c r="O1266" s="39"/>
      <c r="P1266" s="39"/>
      <c r="Q1266" s="39"/>
      <c r="R1266" s="77" t="str">
        <f>IF($AA1265=0,"",IF(LEN(INDEX(Quotes!$X$9:$X$258,$AA1265)&amp;"")=0,"",INDEX(Quotes!$X$9:$X$258,$AA1265)))</f>
        <v/>
      </c>
      <c r="S1266" s="39"/>
      <c r="T1266" s="39"/>
      <c r="U1266" s="39"/>
      <c r="V1266" s="39"/>
    </row>
    <row r="1267" spans="1:27" ht="21" hidden="1" customHeight="1" x14ac:dyDescent="0.35">
      <c r="A1267" s="83" t="str">
        <f>IF($AA1265=0,"","ORIGINAL EUR")</f>
        <v/>
      </c>
      <c r="B1267" s="39"/>
      <c r="C1267" s="39"/>
      <c r="D1267" s="39"/>
      <c r="E1267" s="39"/>
      <c r="F1267" s="39"/>
      <c r="G1267" s="39"/>
      <c r="I1267" s="83" t="str">
        <f>IF($AA1265=0,"","LATEST EUR")</f>
        <v/>
      </c>
      <c r="J1267" s="39"/>
      <c r="K1267" s="39"/>
      <c r="L1267" s="39"/>
      <c r="M1267" s="39"/>
      <c r="N1267" s="39"/>
      <c r="O1267" s="39"/>
      <c r="Q1267" s="83" t="str">
        <f>IF($AA1265=0,"","SAVED EUR")</f>
        <v/>
      </c>
      <c r="R1267" s="39"/>
      <c r="S1267" s="39"/>
      <c r="T1267" s="39"/>
      <c r="U1267" s="39"/>
      <c r="V1267" s="39"/>
    </row>
    <row r="1268" spans="1:27" ht="21" hidden="1" customHeight="1" x14ac:dyDescent="0.35">
      <c r="A1268" s="82" t="str">
        <f>IF($AA1265=0,"",IF(LEN(INDEX(Quotes!$AB$9:$AB$258,$AA1265)&amp;"")=0,"",INDEX(Quotes!$AB$9:$AB$258,$AA1265)))</f>
        <v/>
      </c>
      <c r="B1268" s="39"/>
      <c r="C1268" s="39"/>
      <c r="D1268" s="39"/>
      <c r="E1268" s="39"/>
      <c r="F1268" s="39"/>
      <c r="G1268" s="39"/>
      <c r="I1268" s="82" t="str">
        <f>IF($AA1265=0,"",IF(LEN(INDEX(Quotes!$AD$9:$AD$258,$AA1265)&amp;"")=0,"",INDEX(Quotes!$AD$9:$AD$258,$AA1265)))</f>
        <v/>
      </c>
      <c r="J1268" s="39"/>
      <c r="K1268" s="39"/>
      <c r="L1268" s="39"/>
      <c r="M1268" s="39"/>
      <c r="N1268" s="39"/>
      <c r="O1268" s="39"/>
      <c r="Q1268" s="82" t="str">
        <f>IF($AA1265=0,"",IF(LEN(INDEX(Quotes!$AF$9:$AF$258,$AA1265)&amp;"")=0,"",INDEX(Quotes!$AF$9:$AF$258,$AA1265)))</f>
        <v/>
      </c>
      <c r="R1268" s="39"/>
      <c r="S1268" s="39"/>
      <c r="T1268" s="39"/>
      <c r="U1268" s="39"/>
      <c r="V1268" s="39"/>
    </row>
    <row r="1269" spans="1:27" ht="21" hidden="1" customHeight="1" x14ac:dyDescent="0.35">
      <c r="A1269" s="48" t="str">
        <f>IF($AA1265=0,"","Reference: "&amp;IF(INDEX(Quotes!$M$9:$M$258,$AA1265)="",INDEX(Quotes!$S$9:$S$258,$AA1265),INDEX(Quotes!$M$9:$M$258,$AA1265)))</f>
        <v/>
      </c>
      <c r="B1269" s="39"/>
      <c r="C1269" s="39"/>
      <c r="D1269" s="39"/>
      <c r="E1269" s="39"/>
      <c r="F1269" s="39"/>
      <c r="G1269" s="39"/>
      <c r="H1269" s="39"/>
      <c r="I1269" s="39"/>
      <c r="J1269" s="39"/>
      <c r="K1269" s="39"/>
      <c r="L1269" s="39"/>
      <c r="M1269" s="39"/>
      <c r="N1269" s="39"/>
      <c r="O1269" s="39"/>
      <c r="P1269" s="39"/>
      <c r="Q1269" s="48" t="str">
        <f>IF($AA1265=0,"",INDEX(Quotes!$E$9:$E$258,$AA1265))</f>
        <v/>
      </c>
      <c r="R1269" s="39"/>
      <c r="S1269" s="39"/>
      <c r="T1269" s="39"/>
      <c r="U1269" s="39"/>
      <c r="V1269" s="39"/>
    </row>
    <row r="1270" spans="1:27" ht="21" hidden="1" customHeight="1" x14ac:dyDescent="0.35">
      <c r="A1270" s="81" t="str">
        <f>IF($AA1265=0,"",IF(INDEX(Quotes!$N$9:$N$258,$AA1265)="","No original link","Original quote"))</f>
        <v/>
      </c>
      <c r="B1270" s="39"/>
      <c r="C1270" s="39"/>
      <c r="D1270" s="39"/>
      <c r="E1270" s="39"/>
      <c r="F1270" s="39"/>
      <c r="G1270" s="39"/>
      <c r="I1270" s="81" t="str">
        <f>IF($AA1265=0,"",IF(INDEX(Quotes!$O$9:$O$258,$AA1265)="","No revised link","Revised quote"))</f>
        <v/>
      </c>
      <c r="J1270" s="39"/>
      <c r="K1270" s="39"/>
      <c r="L1270" s="39"/>
      <c r="M1270" s="39"/>
      <c r="N1270" s="39"/>
      <c r="O1270" s="39"/>
      <c r="Q1270" s="81" t="str">
        <f>IF($AA1265=0,"",HYPERLINK("#'Quotes'!A"&amp;($AA1265+8),"Open quote record"))</f>
        <v/>
      </c>
      <c r="R1270" s="39"/>
      <c r="S1270" s="39"/>
      <c r="T1270" s="39"/>
      <c r="U1270" s="39"/>
      <c r="V1270" s="39"/>
    </row>
    <row r="1271" spans="1:27" ht="21" hidden="1" customHeight="1" x14ac:dyDescent="0.35"/>
    <row r="1272" spans="1:27" hidden="1" x14ac:dyDescent="0.35"/>
    <row r="1273" spans="1:27" hidden="1" x14ac:dyDescent="0.35"/>
    <row r="1274" spans="1:27" ht="29" hidden="1" customHeight="1" x14ac:dyDescent="0.35">
      <c r="A1274" s="84" t="str">
        <f>IF($AA1274=0,"",IF(LEN(INDEX(Quotes!$U$9:$U$258,$AA1274)&amp;"")=0,"",INDEX(Quotes!$U$9:$U$258,$AA1274)))</f>
        <v/>
      </c>
      <c r="B1274" s="39"/>
      <c r="C1274" s="39"/>
      <c r="D1274" s="39"/>
      <c r="E1274" s="39"/>
      <c r="F1274" s="39"/>
      <c r="G1274" s="39"/>
      <c r="H1274" s="39"/>
      <c r="I1274" s="39"/>
      <c r="J1274" s="39"/>
      <c r="K1274" s="85" t="str">
        <f>IF($AA1274=0,"",IF(LEN(INDEX(Quotes!$Z$9:$Z$258,$AA1274)&amp;"")=0,"",INDEX(Quotes!$Z$9:$Z$258,$AA1274)))</f>
        <v/>
      </c>
      <c r="L1274" s="39"/>
      <c r="M1274" s="39"/>
      <c r="N1274" s="39"/>
      <c r="O1274" s="39"/>
      <c r="P1274" s="39"/>
      <c r="Q1274" s="39"/>
      <c r="R1274" s="39"/>
      <c r="S1274" s="39"/>
      <c r="T1274" s="39"/>
      <c r="U1274" s="39"/>
      <c r="V1274" s="39"/>
      <c r="AA1274">
        <f>IFERROR(MATCH(131,Quotes!$AK$9:$AK$258,0),0)</f>
        <v>0</v>
      </c>
    </row>
    <row r="1275" spans="1:27" ht="21" hidden="1" customHeight="1" x14ac:dyDescent="0.35">
      <c r="A1275" s="40" t="str">
        <f>IF($AA1274=0,"",IF(LEN(INDEX(Quotes!$V$9:$V$258,$AA1274)&amp;"")=0,"",INDEX(Quotes!$V$9:$V$258,$AA1274)))</f>
        <v/>
      </c>
      <c r="B1275" s="39"/>
      <c r="C1275" s="39"/>
      <c r="D1275" s="39"/>
      <c r="E1275" s="39"/>
      <c r="F1275" s="39"/>
      <c r="G1275" s="39"/>
      <c r="H1275" s="40" t="str">
        <f>IF($AA1274=0,"",IF(LEN(INDEX(Quotes!$W$9:$W$258,$AA1274)&amp;"")=0,"",INDEX(Quotes!$W$9:$W$258,$AA1274)))</f>
        <v/>
      </c>
      <c r="I1275" s="39"/>
      <c r="J1275" s="39"/>
      <c r="K1275" s="39"/>
      <c r="L1275" s="39"/>
      <c r="M1275" s="39"/>
      <c r="N1275" s="39"/>
      <c r="O1275" s="39"/>
      <c r="P1275" s="39"/>
      <c r="Q1275" s="39"/>
      <c r="R1275" s="77" t="str">
        <f>IF($AA1274=0,"",IF(LEN(INDEX(Quotes!$X$9:$X$258,$AA1274)&amp;"")=0,"",INDEX(Quotes!$X$9:$X$258,$AA1274)))</f>
        <v/>
      </c>
      <c r="S1275" s="39"/>
      <c r="T1275" s="39"/>
      <c r="U1275" s="39"/>
      <c r="V1275" s="39"/>
    </row>
    <row r="1276" spans="1:27" ht="21" hidden="1" customHeight="1" x14ac:dyDescent="0.35">
      <c r="A1276" s="83" t="str">
        <f>IF($AA1274=0,"","ORIGINAL EUR")</f>
        <v/>
      </c>
      <c r="B1276" s="39"/>
      <c r="C1276" s="39"/>
      <c r="D1276" s="39"/>
      <c r="E1276" s="39"/>
      <c r="F1276" s="39"/>
      <c r="G1276" s="39"/>
      <c r="I1276" s="83" t="str">
        <f>IF($AA1274=0,"","LATEST EUR")</f>
        <v/>
      </c>
      <c r="J1276" s="39"/>
      <c r="K1276" s="39"/>
      <c r="L1276" s="39"/>
      <c r="M1276" s="39"/>
      <c r="N1276" s="39"/>
      <c r="O1276" s="39"/>
      <c r="Q1276" s="83" t="str">
        <f>IF($AA1274=0,"","SAVED EUR")</f>
        <v/>
      </c>
      <c r="R1276" s="39"/>
      <c r="S1276" s="39"/>
      <c r="T1276" s="39"/>
      <c r="U1276" s="39"/>
      <c r="V1276" s="39"/>
    </row>
    <row r="1277" spans="1:27" ht="21" hidden="1" customHeight="1" x14ac:dyDescent="0.35">
      <c r="A1277" s="82" t="str">
        <f>IF($AA1274=0,"",IF(LEN(INDEX(Quotes!$AB$9:$AB$258,$AA1274)&amp;"")=0,"",INDEX(Quotes!$AB$9:$AB$258,$AA1274)))</f>
        <v/>
      </c>
      <c r="B1277" s="39"/>
      <c r="C1277" s="39"/>
      <c r="D1277" s="39"/>
      <c r="E1277" s="39"/>
      <c r="F1277" s="39"/>
      <c r="G1277" s="39"/>
      <c r="I1277" s="82" t="str">
        <f>IF($AA1274=0,"",IF(LEN(INDEX(Quotes!$AD$9:$AD$258,$AA1274)&amp;"")=0,"",INDEX(Quotes!$AD$9:$AD$258,$AA1274)))</f>
        <v/>
      </c>
      <c r="J1277" s="39"/>
      <c r="K1277" s="39"/>
      <c r="L1277" s="39"/>
      <c r="M1277" s="39"/>
      <c r="N1277" s="39"/>
      <c r="O1277" s="39"/>
      <c r="Q1277" s="82" t="str">
        <f>IF($AA1274=0,"",IF(LEN(INDEX(Quotes!$AF$9:$AF$258,$AA1274)&amp;"")=0,"",INDEX(Quotes!$AF$9:$AF$258,$AA1274)))</f>
        <v/>
      </c>
      <c r="R1277" s="39"/>
      <c r="S1277" s="39"/>
      <c r="T1277" s="39"/>
      <c r="U1277" s="39"/>
      <c r="V1277" s="39"/>
    </row>
    <row r="1278" spans="1:27" ht="21" hidden="1" customHeight="1" x14ac:dyDescent="0.35">
      <c r="A1278" s="48" t="str">
        <f>IF($AA1274=0,"","Reference: "&amp;IF(INDEX(Quotes!$M$9:$M$258,$AA1274)="",INDEX(Quotes!$S$9:$S$258,$AA1274),INDEX(Quotes!$M$9:$M$258,$AA1274)))</f>
        <v/>
      </c>
      <c r="B1278" s="39"/>
      <c r="C1278" s="39"/>
      <c r="D1278" s="39"/>
      <c r="E1278" s="39"/>
      <c r="F1278" s="39"/>
      <c r="G1278" s="39"/>
      <c r="H1278" s="39"/>
      <c r="I1278" s="39"/>
      <c r="J1278" s="39"/>
      <c r="K1278" s="39"/>
      <c r="L1278" s="39"/>
      <c r="M1278" s="39"/>
      <c r="N1278" s="39"/>
      <c r="O1278" s="39"/>
      <c r="P1278" s="39"/>
      <c r="Q1278" s="48" t="str">
        <f>IF($AA1274=0,"",INDEX(Quotes!$E$9:$E$258,$AA1274))</f>
        <v/>
      </c>
      <c r="R1278" s="39"/>
      <c r="S1278" s="39"/>
      <c r="T1278" s="39"/>
      <c r="U1278" s="39"/>
      <c r="V1278" s="39"/>
    </row>
    <row r="1279" spans="1:27" ht="21" hidden="1" customHeight="1" x14ac:dyDescent="0.35">
      <c r="A1279" s="81" t="str">
        <f>IF($AA1274=0,"",IF(INDEX(Quotes!$N$9:$N$258,$AA1274)="","No original link","Original quote"))</f>
        <v/>
      </c>
      <c r="B1279" s="39"/>
      <c r="C1279" s="39"/>
      <c r="D1279" s="39"/>
      <c r="E1279" s="39"/>
      <c r="F1279" s="39"/>
      <c r="G1279" s="39"/>
      <c r="I1279" s="81" t="str">
        <f>IF($AA1274=0,"",IF(INDEX(Quotes!$O$9:$O$258,$AA1274)="","No revised link","Revised quote"))</f>
        <v/>
      </c>
      <c r="J1279" s="39"/>
      <c r="K1279" s="39"/>
      <c r="L1279" s="39"/>
      <c r="M1279" s="39"/>
      <c r="N1279" s="39"/>
      <c r="O1279" s="39"/>
      <c r="Q1279" s="81" t="str">
        <f>IF($AA1274=0,"",HYPERLINK("#'Quotes'!A"&amp;($AA1274+8),"Open quote record"))</f>
        <v/>
      </c>
      <c r="R1279" s="39"/>
      <c r="S1279" s="39"/>
      <c r="T1279" s="39"/>
      <c r="U1279" s="39"/>
      <c r="V1279" s="39"/>
    </row>
    <row r="1280" spans="1:27" ht="21" hidden="1" customHeight="1" x14ac:dyDescent="0.35"/>
    <row r="1281" spans="1:27" hidden="1" x14ac:dyDescent="0.35"/>
    <row r="1282" spans="1:27" hidden="1" x14ac:dyDescent="0.35"/>
    <row r="1283" spans="1:27" ht="29" hidden="1" customHeight="1" x14ac:dyDescent="0.35">
      <c r="A1283" s="84" t="str">
        <f>IF($AA1283=0,"",IF(LEN(INDEX(Quotes!$U$9:$U$258,$AA1283)&amp;"")=0,"",INDEX(Quotes!$U$9:$U$258,$AA1283)))</f>
        <v/>
      </c>
      <c r="B1283" s="39"/>
      <c r="C1283" s="39"/>
      <c r="D1283" s="39"/>
      <c r="E1283" s="39"/>
      <c r="F1283" s="39"/>
      <c r="G1283" s="39"/>
      <c r="H1283" s="39"/>
      <c r="I1283" s="39"/>
      <c r="J1283" s="39"/>
      <c r="K1283" s="85" t="str">
        <f>IF($AA1283=0,"",IF(LEN(INDEX(Quotes!$Z$9:$Z$258,$AA1283)&amp;"")=0,"",INDEX(Quotes!$Z$9:$Z$258,$AA1283)))</f>
        <v/>
      </c>
      <c r="L1283" s="39"/>
      <c r="M1283" s="39"/>
      <c r="N1283" s="39"/>
      <c r="O1283" s="39"/>
      <c r="P1283" s="39"/>
      <c r="Q1283" s="39"/>
      <c r="R1283" s="39"/>
      <c r="S1283" s="39"/>
      <c r="T1283" s="39"/>
      <c r="U1283" s="39"/>
      <c r="V1283" s="39"/>
      <c r="AA1283">
        <f>IFERROR(MATCH(132,Quotes!$AK$9:$AK$258,0),0)</f>
        <v>0</v>
      </c>
    </row>
    <row r="1284" spans="1:27" ht="21" hidden="1" customHeight="1" x14ac:dyDescent="0.35">
      <c r="A1284" s="40" t="str">
        <f>IF($AA1283=0,"",IF(LEN(INDEX(Quotes!$V$9:$V$258,$AA1283)&amp;"")=0,"",INDEX(Quotes!$V$9:$V$258,$AA1283)))</f>
        <v/>
      </c>
      <c r="B1284" s="39"/>
      <c r="C1284" s="39"/>
      <c r="D1284" s="39"/>
      <c r="E1284" s="39"/>
      <c r="F1284" s="39"/>
      <c r="G1284" s="39"/>
      <c r="H1284" s="40" t="str">
        <f>IF($AA1283=0,"",IF(LEN(INDEX(Quotes!$W$9:$W$258,$AA1283)&amp;"")=0,"",INDEX(Quotes!$W$9:$W$258,$AA1283)))</f>
        <v/>
      </c>
      <c r="I1284" s="39"/>
      <c r="J1284" s="39"/>
      <c r="K1284" s="39"/>
      <c r="L1284" s="39"/>
      <c r="M1284" s="39"/>
      <c r="N1284" s="39"/>
      <c r="O1284" s="39"/>
      <c r="P1284" s="39"/>
      <c r="Q1284" s="39"/>
      <c r="R1284" s="77" t="str">
        <f>IF($AA1283=0,"",IF(LEN(INDEX(Quotes!$X$9:$X$258,$AA1283)&amp;"")=0,"",INDEX(Quotes!$X$9:$X$258,$AA1283)))</f>
        <v/>
      </c>
      <c r="S1284" s="39"/>
      <c r="T1284" s="39"/>
      <c r="U1284" s="39"/>
      <c r="V1284" s="39"/>
    </row>
    <row r="1285" spans="1:27" ht="21" hidden="1" customHeight="1" x14ac:dyDescent="0.35">
      <c r="A1285" s="83" t="str">
        <f>IF($AA1283=0,"","ORIGINAL EUR")</f>
        <v/>
      </c>
      <c r="B1285" s="39"/>
      <c r="C1285" s="39"/>
      <c r="D1285" s="39"/>
      <c r="E1285" s="39"/>
      <c r="F1285" s="39"/>
      <c r="G1285" s="39"/>
      <c r="I1285" s="83" t="str">
        <f>IF($AA1283=0,"","LATEST EUR")</f>
        <v/>
      </c>
      <c r="J1285" s="39"/>
      <c r="K1285" s="39"/>
      <c r="L1285" s="39"/>
      <c r="M1285" s="39"/>
      <c r="N1285" s="39"/>
      <c r="O1285" s="39"/>
      <c r="Q1285" s="83" t="str">
        <f>IF($AA1283=0,"","SAVED EUR")</f>
        <v/>
      </c>
      <c r="R1285" s="39"/>
      <c r="S1285" s="39"/>
      <c r="T1285" s="39"/>
      <c r="U1285" s="39"/>
      <c r="V1285" s="39"/>
    </row>
    <row r="1286" spans="1:27" ht="21" hidden="1" customHeight="1" x14ac:dyDescent="0.35">
      <c r="A1286" s="82" t="str">
        <f>IF($AA1283=0,"",IF(LEN(INDEX(Quotes!$AB$9:$AB$258,$AA1283)&amp;"")=0,"",INDEX(Quotes!$AB$9:$AB$258,$AA1283)))</f>
        <v/>
      </c>
      <c r="B1286" s="39"/>
      <c r="C1286" s="39"/>
      <c r="D1286" s="39"/>
      <c r="E1286" s="39"/>
      <c r="F1286" s="39"/>
      <c r="G1286" s="39"/>
      <c r="I1286" s="82" t="str">
        <f>IF($AA1283=0,"",IF(LEN(INDEX(Quotes!$AD$9:$AD$258,$AA1283)&amp;"")=0,"",INDEX(Quotes!$AD$9:$AD$258,$AA1283)))</f>
        <v/>
      </c>
      <c r="J1286" s="39"/>
      <c r="K1286" s="39"/>
      <c r="L1286" s="39"/>
      <c r="M1286" s="39"/>
      <c r="N1286" s="39"/>
      <c r="O1286" s="39"/>
      <c r="Q1286" s="82" t="str">
        <f>IF($AA1283=0,"",IF(LEN(INDEX(Quotes!$AF$9:$AF$258,$AA1283)&amp;"")=0,"",INDEX(Quotes!$AF$9:$AF$258,$AA1283)))</f>
        <v/>
      </c>
      <c r="R1286" s="39"/>
      <c r="S1286" s="39"/>
      <c r="T1286" s="39"/>
      <c r="U1286" s="39"/>
      <c r="V1286" s="39"/>
    </row>
    <row r="1287" spans="1:27" ht="21" hidden="1" customHeight="1" x14ac:dyDescent="0.35">
      <c r="A1287" s="48" t="str">
        <f>IF($AA1283=0,"","Reference: "&amp;IF(INDEX(Quotes!$M$9:$M$258,$AA1283)="",INDEX(Quotes!$S$9:$S$258,$AA1283),INDEX(Quotes!$M$9:$M$258,$AA1283)))</f>
        <v/>
      </c>
      <c r="B1287" s="39"/>
      <c r="C1287" s="39"/>
      <c r="D1287" s="39"/>
      <c r="E1287" s="39"/>
      <c r="F1287" s="39"/>
      <c r="G1287" s="39"/>
      <c r="H1287" s="39"/>
      <c r="I1287" s="39"/>
      <c r="J1287" s="39"/>
      <c r="K1287" s="39"/>
      <c r="L1287" s="39"/>
      <c r="M1287" s="39"/>
      <c r="N1287" s="39"/>
      <c r="O1287" s="39"/>
      <c r="P1287" s="39"/>
      <c r="Q1287" s="48" t="str">
        <f>IF($AA1283=0,"",INDEX(Quotes!$E$9:$E$258,$AA1283))</f>
        <v/>
      </c>
      <c r="R1287" s="39"/>
      <c r="S1287" s="39"/>
      <c r="T1287" s="39"/>
      <c r="U1287" s="39"/>
      <c r="V1287" s="39"/>
    </row>
    <row r="1288" spans="1:27" ht="21" hidden="1" customHeight="1" x14ac:dyDescent="0.35">
      <c r="A1288" s="81" t="str">
        <f>IF($AA1283=0,"",IF(INDEX(Quotes!$N$9:$N$258,$AA1283)="","No original link","Original quote"))</f>
        <v/>
      </c>
      <c r="B1288" s="39"/>
      <c r="C1288" s="39"/>
      <c r="D1288" s="39"/>
      <c r="E1288" s="39"/>
      <c r="F1288" s="39"/>
      <c r="G1288" s="39"/>
      <c r="I1288" s="81" t="str">
        <f>IF($AA1283=0,"",IF(INDEX(Quotes!$O$9:$O$258,$AA1283)="","No revised link","Revised quote"))</f>
        <v/>
      </c>
      <c r="J1288" s="39"/>
      <c r="K1288" s="39"/>
      <c r="L1288" s="39"/>
      <c r="M1288" s="39"/>
      <c r="N1288" s="39"/>
      <c r="O1288" s="39"/>
      <c r="Q1288" s="81" t="str">
        <f>IF($AA1283=0,"",HYPERLINK("#'Quotes'!A"&amp;($AA1283+8),"Open quote record"))</f>
        <v/>
      </c>
      <c r="R1288" s="39"/>
      <c r="S1288" s="39"/>
      <c r="T1288" s="39"/>
      <c r="U1288" s="39"/>
      <c r="V1288" s="39"/>
    </row>
    <row r="1289" spans="1:27" ht="21" hidden="1" customHeight="1" x14ac:dyDescent="0.35"/>
    <row r="1290" spans="1:27" hidden="1" x14ac:dyDescent="0.35"/>
    <row r="1291" spans="1:27" hidden="1" x14ac:dyDescent="0.35"/>
    <row r="1292" spans="1:27" hidden="1" x14ac:dyDescent="0.35"/>
    <row r="1293" spans="1:27" hidden="1" x14ac:dyDescent="0.35">
      <c r="A1293" s="67" t="s">
        <v>655</v>
      </c>
      <c r="B1293" s="39"/>
      <c r="C1293" s="39"/>
      <c r="D1293" s="39"/>
      <c r="E1293" s="39"/>
      <c r="F1293" s="39"/>
      <c r="G1293" s="39"/>
      <c r="H1293" s="39"/>
      <c r="I1293" s="39"/>
      <c r="J1293" s="39"/>
      <c r="K1293" s="39"/>
      <c r="L1293" s="39"/>
      <c r="M1293" s="39"/>
      <c r="N1293" s="39"/>
      <c r="O1293" s="39"/>
      <c r="P1293" s="39"/>
      <c r="Q1293" s="39"/>
      <c r="R1293" s="39"/>
      <c r="S1293" s="39"/>
      <c r="T1293" s="39"/>
      <c r="U1293" s="39"/>
      <c r="V1293" s="39"/>
    </row>
    <row r="1294" spans="1:27" ht="29" hidden="1" customHeight="1" x14ac:dyDescent="0.35">
      <c r="A1294" s="84" t="str">
        <f>IF($AA1294=0,"",IF(LEN(INDEX(Quotes!$U$9:$U$258,$AA1294)&amp;"")=0,"",INDEX(Quotes!$U$9:$U$258,$AA1294)))</f>
        <v/>
      </c>
      <c r="B1294" s="39"/>
      <c r="C1294" s="39"/>
      <c r="D1294" s="39"/>
      <c r="E1294" s="39"/>
      <c r="F1294" s="39"/>
      <c r="G1294" s="39"/>
      <c r="H1294" s="39"/>
      <c r="I1294" s="39"/>
      <c r="J1294" s="39"/>
      <c r="K1294" s="85" t="str">
        <f>IF($AA1294=0,"",IF(LEN(INDEX(Quotes!$Z$9:$Z$258,$AA1294)&amp;"")=0,"",INDEX(Quotes!$Z$9:$Z$258,$AA1294)))</f>
        <v/>
      </c>
      <c r="L1294" s="39"/>
      <c r="M1294" s="39"/>
      <c r="N1294" s="39"/>
      <c r="O1294" s="39"/>
      <c r="P1294" s="39"/>
      <c r="Q1294" s="39"/>
      <c r="R1294" s="39"/>
      <c r="S1294" s="39"/>
      <c r="T1294" s="39"/>
      <c r="U1294" s="39"/>
      <c r="V1294" s="39"/>
      <c r="AA1294">
        <f>IFERROR(MATCH(133,Quotes!$AK$9:$AK$258,0),0)</f>
        <v>0</v>
      </c>
    </row>
    <row r="1295" spans="1:27" ht="21" hidden="1" customHeight="1" x14ac:dyDescent="0.35">
      <c r="A1295" s="40" t="str">
        <f>IF($AA1294=0,"",IF(LEN(INDEX(Quotes!$V$9:$V$258,$AA1294)&amp;"")=0,"",INDEX(Quotes!$V$9:$V$258,$AA1294)))</f>
        <v/>
      </c>
      <c r="B1295" s="39"/>
      <c r="C1295" s="39"/>
      <c r="D1295" s="39"/>
      <c r="E1295" s="39"/>
      <c r="F1295" s="39"/>
      <c r="G1295" s="39"/>
      <c r="H1295" s="40" t="str">
        <f>IF($AA1294=0,"",IF(LEN(INDEX(Quotes!$W$9:$W$258,$AA1294)&amp;"")=0,"",INDEX(Quotes!$W$9:$W$258,$AA1294)))</f>
        <v/>
      </c>
      <c r="I1295" s="39"/>
      <c r="J1295" s="39"/>
      <c r="K1295" s="39"/>
      <c r="L1295" s="39"/>
      <c r="M1295" s="39"/>
      <c r="N1295" s="39"/>
      <c r="O1295" s="39"/>
      <c r="P1295" s="39"/>
      <c r="Q1295" s="39"/>
      <c r="R1295" s="77" t="str">
        <f>IF($AA1294=0,"",IF(LEN(INDEX(Quotes!$X$9:$X$258,$AA1294)&amp;"")=0,"",INDEX(Quotes!$X$9:$X$258,$AA1294)))</f>
        <v/>
      </c>
      <c r="S1295" s="39"/>
      <c r="T1295" s="39"/>
      <c r="U1295" s="39"/>
      <c r="V1295" s="39"/>
    </row>
    <row r="1296" spans="1:27" ht="21" hidden="1" customHeight="1" x14ac:dyDescent="0.35">
      <c r="A1296" s="83" t="str">
        <f>IF($AA1294=0,"","ORIGINAL EUR")</f>
        <v/>
      </c>
      <c r="B1296" s="39"/>
      <c r="C1296" s="39"/>
      <c r="D1296" s="39"/>
      <c r="E1296" s="39"/>
      <c r="F1296" s="39"/>
      <c r="G1296" s="39"/>
      <c r="I1296" s="83" t="str">
        <f>IF($AA1294=0,"","LATEST EUR")</f>
        <v/>
      </c>
      <c r="J1296" s="39"/>
      <c r="K1296" s="39"/>
      <c r="L1296" s="39"/>
      <c r="M1296" s="39"/>
      <c r="N1296" s="39"/>
      <c r="O1296" s="39"/>
      <c r="Q1296" s="83" t="str">
        <f>IF($AA1294=0,"","SAVED EUR")</f>
        <v/>
      </c>
      <c r="R1296" s="39"/>
      <c r="S1296" s="39"/>
      <c r="T1296" s="39"/>
      <c r="U1296" s="39"/>
      <c r="V1296" s="39"/>
    </row>
    <row r="1297" spans="1:27" ht="21" hidden="1" customHeight="1" x14ac:dyDescent="0.35">
      <c r="A1297" s="82" t="str">
        <f>IF($AA1294=0,"",IF(LEN(INDEX(Quotes!$AB$9:$AB$258,$AA1294)&amp;"")=0,"",INDEX(Quotes!$AB$9:$AB$258,$AA1294)))</f>
        <v/>
      </c>
      <c r="B1297" s="39"/>
      <c r="C1297" s="39"/>
      <c r="D1297" s="39"/>
      <c r="E1297" s="39"/>
      <c r="F1297" s="39"/>
      <c r="G1297" s="39"/>
      <c r="I1297" s="82" t="str">
        <f>IF($AA1294=0,"",IF(LEN(INDEX(Quotes!$AD$9:$AD$258,$AA1294)&amp;"")=0,"",INDEX(Quotes!$AD$9:$AD$258,$AA1294)))</f>
        <v/>
      </c>
      <c r="J1297" s="39"/>
      <c r="K1297" s="39"/>
      <c r="L1297" s="39"/>
      <c r="M1297" s="39"/>
      <c r="N1297" s="39"/>
      <c r="O1297" s="39"/>
      <c r="Q1297" s="82" t="str">
        <f>IF($AA1294=0,"",IF(LEN(INDEX(Quotes!$AF$9:$AF$258,$AA1294)&amp;"")=0,"",INDEX(Quotes!$AF$9:$AF$258,$AA1294)))</f>
        <v/>
      </c>
      <c r="R1297" s="39"/>
      <c r="S1297" s="39"/>
      <c r="T1297" s="39"/>
      <c r="U1297" s="39"/>
      <c r="V1297" s="39"/>
    </row>
    <row r="1298" spans="1:27" ht="21" hidden="1" customHeight="1" x14ac:dyDescent="0.35">
      <c r="A1298" s="48" t="str">
        <f>IF($AA1294=0,"","Reference: "&amp;IF(INDEX(Quotes!$M$9:$M$258,$AA1294)="",INDEX(Quotes!$S$9:$S$258,$AA1294),INDEX(Quotes!$M$9:$M$258,$AA1294)))</f>
        <v/>
      </c>
      <c r="B1298" s="39"/>
      <c r="C1298" s="39"/>
      <c r="D1298" s="39"/>
      <c r="E1298" s="39"/>
      <c r="F1298" s="39"/>
      <c r="G1298" s="39"/>
      <c r="H1298" s="39"/>
      <c r="I1298" s="39"/>
      <c r="J1298" s="39"/>
      <c r="K1298" s="39"/>
      <c r="L1298" s="39"/>
      <c r="M1298" s="39"/>
      <c r="N1298" s="39"/>
      <c r="O1298" s="39"/>
      <c r="P1298" s="39"/>
      <c r="Q1298" s="48" t="str">
        <f>IF($AA1294=0,"",INDEX(Quotes!$E$9:$E$258,$AA1294))</f>
        <v/>
      </c>
      <c r="R1298" s="39"/>
      <c r="S1298" s="39"/>
      <c r="T1298" s="39"/>
      <c r="U1298" s="39"/>
      <c r="V1298" s="39"/>
    </row>
    <row r="1299" spans="1:27" ht="21" hidden="1" customHeight="1" x14ac:dyDescent="0.35">
      <c r="A1299" s="81" t="str">
        <f>IF($AA1294=0,"",IF(INDEX(Quotes!$N$9:$N$258,$AA1294)="","No original link","Original quote"))</f>
        <v/>
      </c>
      <c r="B1299" s="39"/>
      <c r="C1299" s="39"/>
      <c r="D1299" s="39"/>
      <c r="E1299" s="39"/>
      <c r="F1299" s="39"/>
      <c r="G1299" s="39"/>
      <c r="I1299" s="81" t="str">
        <f>IF($AA1294=0,"",IF(INDEX(Quotes!$O$9:$O$258,$AA1294)="","No revised link","Revised quote"))</f>
        <v/>
      </c>
      <c r="J1299" s="39"/>
      <c r="K1299" s="39"/>
      <c r="L1299" s="39"/>
      <c r="M1299" s="39"/>
      <c r="N1299" s="39"/>
      <c r="O1299" s="39"/>
      <c r="Q1299" s="81" t="str">
        <f>IF($AA1294=0,"",HYPERLINK("#'Quotes'!A"&amp;($AA1294+8),"Open quote record"))</f>
        <v/>
      </c>
      <c r="R1299" s="39"/>
      <c r="S1299" s="39"/>
      <c r="T1299" s="39"/>
      <c r="U1299" s="39"/>
      <c r="V1299" s="39"/>
    </row>
    <row r="1300" spans="1:27" ht="21" hidden="1" customHeight="1" x14ac:dyDescent="0.35"/>
    <row r="1301" spans="1:27" hidden="1" x14ac:dyDescent="0.35"/>
    <row r="1302" spans="1:27" hidden="1" x14ac:dyDescent="0.35"/>
    <row r="1303" spans="1:27" ht="29" hidden="1" customHeight="1" x14ac:dyDescent="0.35">
      <c r="A1303" s="84" t="str">
        <f>IF($AA1303=0,"",IF(LEN(INDEX(Quotes!$U$9:$U$258,$AA1303)&amp;"")=0,"",INDEX(Quotes!$U$9:$U$258,$AA1303)))</f>
        <v/>
      </c>
      <c r="B1303" s="39"/>
      <c r="C1303" s="39"/>
      <c r="D1303" s="39"/>
      <c r="E1303" s="39"/>
      <c r="F1303" s="39"/>
      <c r="G1303" s="39"/>
      <c r="H1303" s="39"/>
      <c r="I1303" s="39"/>
      <c r="J1303" s="39"/>
      <c r="K1303" s="85" t="str">
        <f>IF($AA1303=0,"",IF(LEN(INDEX(Quotes!$Z$9:$Z$258,$AA1303)&amp;"")=0,"",INDEX(Quotes!$Z$9:$Z$258,$AA1303)))</f>
        <v/>
      </c>
      <c r="L1303" s="39"/>
      <c r="M1303" s="39"/>
      <c r="N1303" s="39"/>
      <c r="O1303" s="39"/>
      <c r="P1303" s="39"/>
      <c r="Q1303" s="39"/>
      <c r="R1303" s="39"/>
      <c r="S1303" s="39"/>
      <c r="T1303" s="39"/>
      <c r="U1303" s="39"/>
      <c r="V1303" s="39"/>
      <c r="AA1303">
        <f>IFERROR(MATCH(134,Quotes!$AK$9:$AK$258,0),0)</f>
        <v>0</v>
      </c>
    </row>
    <row r="1304" spans="1:27" ht="21" hidden="1" customHeight="1" x14ac:dyDescent="0.35">
      <c r="A1304" s="40" t="str">
        <f>IF($AA1303=0,"",IF(LEN(INDEX(Quotes!$V$9:$V$258,$AA1303)&amp;"")=0,"",INDEX(Quotes!$V$9:$V$258,$AA1303)))</f>
        <v/>
      </c>
      <c r="B1304" s="39"/>
      <c r="C1304" s="39"/>
      <c r="D1304" s="39"/>
      <c r="E1304" s="39"/>
      <c r="F1304" s="39"/>
      <c r="G1304" s="39"/>
      <c r="H1304" s="40" t="str">
        <f>IF($AA1303=0,"",IF(LEN(INDEX(Quotes!$W$9:$W$258,$AA1303)&amp;"")=0,"",INDEX(Quotes!$W$9:$W$258,$AA1303)))</f>
        <v/>
      </c>
      <c r="I1304" s="39"/>
      <c r="J1304" s="39"/>
      <c r="K1304" s="39"/>
      <c r="L1304" s="39"/>
      <c r="M1304" s="39"/>
      <c r="N1304" s="39"/>
      <c r="O1304" s="39"/>
      <c r="P1304" s="39"/>
      <c r="Q1304" s="39"/>
      <c r="R1304" s="77" t="str">
        <f>IF($AA1303=0,"",IF(LEN(INDEX(Quotes!$X$9:$X$258,$AA1303)&amp;"")=0,"",INDEX(Quotes!$X$9:$X$258,$AA1303)))</f>
        <v/>
      </c>
      <c r="S1304" s="39"/>
      <c r="T1304" s="39"/>
      <c r="U1304" s="39"/>
      <c r="V1304" s="39"/>
    </row>
    <row r="1305" spans="1:27" ht="21" hidden="1" customHeight="1" x14ac:dyDescent="0.35">
      <c r="A1305" s="83" t="str">
        <f>IF($AA1303=0,"","ORIGINAL EUR")</f>
        <v/>
      </c>
      <c r="B1305" s="39"/>
      <c r="C1305" s="39"/>
      <c r="D1305" s="39"/>
      <c r="E1305" s="39"/>
      <c r="F1305" s="39"/>
      <c r="G1305" s="39"/>
      <c r="I1305" s="83" t="str">
        <f>IF($AA1303=0,"","LATEST EUR")</f>
        <v/>
      </c>
      <c r="J1305" s="39"/>
      <c r="K1305" s="39"/>
      <c r="L1305" s="39"/>
      <c r="M1305" s="39"/>
      <c r="N1305" s="39"/>
      <c r="O1305" s="39"/>
      <c r="Q1305" s="83" t="str">
        <f>IF($AA1303=0,"","SAVED EUR")</f>
        <v/>
      </c>
      <c r="R1305" s="39"/>
      <c r="S1305" s="39"/>
      <c r="T1305" s="39"/>
      <c r="U1305" s="39"/>
      <c r="V1305" s="39"/>
    </row>
    <row r="1306" spans="1:27" ht="21" hidden="1" customHeight="1" x14ac:dyDescent="0.35">
      <c r="A1306" s="82" t="str">
        <f>IF($AA1303=0,"",IF(LEN(INDEX(Quotes!$AB$9:$AB$258,$AA1303)&amp;"")=0,"",INDEX(Quotes!$AB$9:$AB$258,$AA1303)))</f>
        <v/>
      </c>
      <c r="B1306" s="39"/>
      <c r="C1306" s="39"/>
      <c r="D1306" s="39"/>
      <c r="E1306" s="39"/>
      <c r="F1306" s="39"/>
      <c r="G1306" s="39"/>
      <c r="I1306" s="82" t="str">
        <f>IF($AA1303=0,"",IF(LEN(INDEX(Quotes!$AD$9:$AD$258,$AA1303)&amp;"")=0,"",INDEX(Quotes!$AD$9:$AD$258,$AA1303)))</f>
        <v/>
      </c>
      <c r="J1306" s="39"/>
      <c r="K1306" s="39"/>
      <c r="L1306" s="39"/>
      <c r="M1306" s="39"/>
      <c r="N1306" s="39"/>
      <c r="O1306" s="39"/>
      <c r="Q1306" s="82" t="str">
        <f>IF($AA1303=0,"",IF(LEN(INDEX(Quotes!$AF$9:$AF$258,$AA1303)&amp;"")=0,"",INDEX(Quotes!$AF$9:$AF$258,$AA1303)))</f>
        <v/>
      </c>
      <c r="R1306" s="39"/>
      <c r="S1306" s="39"/>
      <c r="T1306" s="39"/>
      <c r="U1306" s="39"/>
      <c r="V1306" s="39"/>
    </row>
    <row r="1307" spans="1:27" ht="21" hidden="1" customHeight="1" x14ac:dyDescent="0.35">
      <c r="A1307" s="48" t="str">
        <f>IF($AA1303=0,"","Reference: "&amp;IF(INDEX(Quotes!$M$9:$M$258,$AA1303)="",INDEX(Quotes!$S$9:$S$258,$AA1303),INDEX(Quotes!$M$9:$M$258,$AA1303)))</f>
        <v/>
      </c>
      <c r="B1307" s="39"/>
      <c r="C1307" s="39"/>
      <c r="D1307" s="39"/>
      <c r="E1307" s="39"/>
      <c r="F1307" s="39"/>
      <c r="G1307" s="39"/>
      <c r="H1307" s="39"/>
      <c r="I1307" s="39"/>
      <c r="J1307" s="39"/>
      <c r="K1307" s="39"/>
      <c r="L1307" s="39"/>
      <c r="M1307" s="39"/>
      <c r="N1307" s="39"/>
      <c r="O1307" s="39"/>
      <c r="P1307" s="39"/>
      <c r="Q1307" s="48" t="str">
        <f>IF($AA1303=0,"",INDEX(Quotes!$E$9:$E$258,$AA1303))</f>
        <v/>
      </c>
      <c r="R1307" s="39"/>
      <c r="S1307" s="39"/>
      <c r="T1307" s="39"/>
      <c r="U1307" s="39"/>
      <c r="V1307" s="39"/>
    </row>
    <row r="1308" spans="1:27" ht="21" hidden="1" customHeight="1" x14ac:dyDescent="0.35">
      <c r="A1308" s="81" t="str">
        <f>IF($AA1303=0,"",IF(INDEX(Quotes!$N$9:$N$258,$AA1303)="","No original link","Original quote"))</f>
        <v/>
      </c>
      <c r="B1308" s="39"/>
      <c r="C1308" s="39"/>
      <c r="D1308" s="39"/>
      <c r="E1308" s="39"/>
      <c r="F1308" s="39"/>
      <c r="G1308" s="39"/>
      <c r="I1308" s="81" t="str">
        <f>IF($AA1303=0,"",IF(INDEX(Quotes!$O$9:$O$258,$AA1303)="","No revised link","Revised quote"))</f>
        <v/>
      </c>
      <c r="J1308" s="39"/>
      <c r="K1308" s="39"/>
      <c r="L1308" s="39"/>
      <c r="M1308" s="39"/>
      <c r="N1308" s="39"/>
      <c r="O1308" s="39"/>
      <c r="Q1308" s="81" t="str">
        <f>IF($AA1303=0,"",HYPERLINK("#'Quotes'!A"&amp;($AA1303+8),"Open quote record"))</f>
        <v/>
      </c>
      <c r="R1308" s="39"/>
      <c r="S1308" s="39"/>
      <c r="T1308" s="39"/>
      <c r="U1308" s="39"/>
      <c r="V1308" s="39"/>
    </row>
    <row r="1309" spans="1:27" ht="21" hidden="1" customHeight="1" x14ac:dyDescent="0.35"/>
    <row r="1310" spans="1:27" hidden="1" x14ac:dyDescent="0.35"/>
    <row r="1311" spans="1:27" hidden="1" x14ac:dyDescent="0.35"/>
    <row r="1312" spans="1:27" ht="29" hidden="1" customHeight="1" x14ac:dyDescent="0.35">
      <c r="A1312" s="84" t="str">
        <f>IF($AA1312=0,"",IF(LEN(INDEX(Quotes!$U$9:$U$258,$AA1312)&amp;"")=0,"",INDEX(Quotes!$U$9:$U$258,$AA1312)))</f>
        <v/>
      </c>
      <c r="B1312" s="39"/>
      <c r="C1312" s="39"/>
      <c r="D1312" s="39"/>
      <c r="E1312" s="39"/>
      <c r="F1312" s="39"/>
      <c r="G1312" s="39"/>
      <c r="H1312" s="39"/>
      <c r="I1312" s="39"/>
      <c r="J1312" s="39"/>
      <c r="K1312" s="85" t="str">
        <f>IF($AA1312=0,"",IF(LEN(INDEX(Quotes!$Z$9:$Z$258,$AA1312)&amp;"")=0,"",INDEX(Quotes!$Z$9:$Z$258,$AA1312)))</f>
        <v/>
      </c>
      <c r="L1312" s="39"/>
      <c r="M1312" s="39"/>
      <c r="N1312" s="39"/>
      <c r="O1312" s="39"/>
      <c r="P1312" s="39"/>
      <c r="Q1312" s="39"/>
      <c r="R1312" s="39"/>
      <c r="S1312" s="39"/>
      <c r="T1312" s="39"/>
      <c r="U1312" s="39"/>
      <c r="V1312" s="39"/>
      <c r="AA1312">
        <f>IFERROR(MATCH(135,Quotes!$AK$9:$AK$258,0),0)</f>
        <v>0</v>
      </c>
    </row>
    <row r="1313" spans="1:27" ht="21" hidden="1" customHeight="1" x14ac:dyDescent="0.35">
      <c r="A1313" s="40" t="str">
        <f>IF($AA1312=0,"",IF(LEN(INDEX(Quotes!$V$9:$V$258,$AA1312)&amp;"")=0,"",INDEX(Quotes!$V$9:$V$258,$AA1312)))</f>
        <v/>
      </c>
      <c r="B1313" s="39"/>
      <c r="C1313" s="39"/>
      <c r="D1313" s="39"/>
      <c r="E1313" s="39"/>
      <c r="F1313" s="39"/>
      <c r="G1313" s="39"/>
      <c r="H1313" s="40" t="str">
        <f>IF($AA1312=0,"",IF(LEN(INDEX(Quotes!$W$9:$W$258,$AA1312)&amp;"")=0,"",INDEX(Quotes!$W$9:$W$258,$AA1312)))</f>
        <v/>
      </c>
      <c r="I1313" s="39"/>
      <c r="J1313" s="39"/>
      <c r="K1313" s="39"/>
      <c r="L1313" s="39"/>
      <c r="M1313" s="39"/>
      <c r="N1313" s="39"/>
      <c r="O1313" s="39"/>
      <c r="P1313" s="39"/>
      <c r="Q1313" s="39"/>
      <c r="R1313" s="77" t="str">
        <f>IF($AA1312=0,"",IF(LEN(INDEX(Quotes!$X$9:$X$258,$AA1312)&amp;"")=0,"",INDEX(Quotes!$X$9:$X$258,$AA1312)))</f>
        <v/>
      </c>
      <c r="S1313" s="39"/>
      <c r="T1313" s="39"/>
      <c r="U1313" s="39"/>
      <c r="V1313" s="39"/>
    </row>
    <row r="1314" spans="1:27" ht="21" hidden="1" customHeight="1" x14ac:dyDescent="0.35">
      <c r="A1314" s="83" t="str">
        <f>IF($AA1312=0,"","ORIGINAL EUR")</f>
        <v/>
      </c>
      <c r="B1314" s="39"/>
      <c r="C1314" s="39"/>
      <c r="D1314" s="39"/>
      <c r="E1314" s="39"/>
      <c r="F1314" s="39"/>
      <c r="G1314" s="39"/>
      <c r="I1314" s="83" t="str">
        <f>IF($AA1312=0,"","LATEST EUR")</f>
        <v/>
      </c>
      <c r="J1314" s="39"/>
      <c r="K1314" s="39"/>
      <c r="L1314" s="39"/>
      <c r="M1314" s="39"/>
      <c r="N1314" s="39"/>
      <c r="O1314" s="39"/>
      <c r="Q1314" s="83" t="str">
        <f>IF($AA1312=0,"","SAVED EUR")</f>
        <v/>
      </c>
      <c r="R1314" s="39"/>
      <c r="S1314" s="39"/>
      <c r="T1314" s="39"/>
      <c r="U1314" s="39"/>
      <c r="V1314" s="39"/>
    </row>
    <row r="1315" spans="1:27" ht="21" hidden="1" customHeight="1" x14ac:dyDescent="0.35">
      <c r="A1315" s="82" t="str">
        <f>IF($AA1312=0,"",IF(LEN(INDEX(Quotes!$AB$9:$AB$258,$AA1312)&amp;"")=0,"",INDEX(Quotes!$AB$9:$AB$258,$AA1312)))</f>
        <v/>
      </c>
      <c r="B1315" s="39"/>
      <c r="C1315" s="39"/>
      <c r="D1315" s="39"/>
      <c r="E1315" s="39"/>
      <c r="F1315" s="39"/>
      <c r="G1315" s="39"/>
      <c r="I1315" s="82" t="str">
        <f>IF($AA1312=0,"",IF(LEN(INDEX(Quotes!$AD$9:$AD$258,$AA1312)&amp;"")=0,"",INDEX(Quotes!$AD$9:$AD$258,$AA1312)))</f>
        <v/>
      </c>
      <c r="J1315" s="39"/>
      <c r="K1315" s="39"/>
      <c r="L1315" s="39"/>
      <c r="M1315" s="39"/>
      <c r="N1315" s="39"/>
      <c r="O1315" s="39"/>
      <c r="Q1315" s="82" t="str">
        <f>IF($AA1312=0,"",IF(LEN(INDEX(Quotes!$AF$9:$AF$258,$AA1312)&amp;"")=0,"",INDEX(Quotes!$AF$9:$AF$258,$AA1312)))</f>
        <v/>
      </c>
      <c r="R1315" s="39"/>
      <c r="S1315" s="39"/>
      <c r="T1315" s="39"/>
      <c r="U1315" s="39"/>
      <c r="V1315" s="39"/>
    </row>
    <row r="1316" spans="1:27" ht="21" hidden="1" customHeight="1" x14ac:dyDescent="0.35">
      <c r="A1316" s="48" t="str">
        <f>IF($AA1312=0,"","Reference: "&amp;IF(INDEX(Quotes!$M$9:$M$258,$AA1312)="",INDEX(Quotes!$S$9:$S$258,$AA1312),INDEX(Quotes!$M$9:$M$258,$AA1312)))</f>
        <v/>
      </c>
      <c r="B1316" s="39"/>
      <c r="C1316" s="39"/>
      <c r="D1316" s="39"/>
      <c r="E1316" s="39"/>
      <c r="F1316" s="39"/>
      <c r="G1316" s="39"/>
      <c r="H1316" s="39"/>
      <c r="I1316" s="39"/>
      <c r="J1316" s="39"/>
      <c r="K1316" s="39"/>
      <c r="L1316" s="39"/>
      <c r="M1316" s="39"/>
      <c r="N1316" s="39"/>
      <c r="O1316" s="39"/>
      <c r="P1316" s="39"/>
      <c r="Q1316" s="48" t="str">
        <f>IF($AA1312=0,"",INDEX(Quotes!$E$9:$E$258,$AA1312))</f>
        <v/>
      </c>
      <c r="R1316" s="39"/>
      <c r="S1316" s="39"/>
      <c r="T1316" s="39"/>
      <c r="U1316" s="39"/>
      <c r="V1316" s="39"/>
    </row>
    <row r="1317" spans="1:27" ht="21" hidden="1" customHeight="1" x14ac:dyDescent="0.35">
      <c r="A1317" s="81" t="str">
        <f>IF($AA1312=0,"",IF(INDEX(Quotes!$N$9:$N$258,$AA1312)="","No original link","Original quote"))</f>
        <v/>
      </c>
      <c r="B1317" s="39"/>
      <c r="C1317" s="39"/>
      <c r="D1317" s="39"/>
      <c r="E1317" s="39"/>
      <c r="F1317" s="39"/>
      <c r="G1317" s="39"/>
      <c r="I1317" s="81" t="str">
        <f>IF($AA1312=0,"",IF(INDEX(Quotes!$O$9:$O$258,$AA1312)="","No revised link","Revised quote"))</f>
        <v/>
      </c>
      <c r="J1317" s="39"/>
      <c r="K1317" s="39"/>
      <c r="L1317" s="39"/>
      <c r="M1317" s="39"/>
      <c r="N1317" s="39"/>
      <c r="O1317" s="39"/>
      <c r="Q1317" s="81" t="str">
        <f>IF($AA1312=0,"",HYPERLINK("#'Quotes'!A"&amp;($AA1312+8),"Open quote record"))</f>
        <v/>
      </c>
      <c r="R1317" s="39"/>
      <c r="S1317" s="39"/>
      <c r="T1317" s="39"/>
      <c r="U1317" s="39"/>
      <c r="V1317" s="39"/>
    </row>
    <row r="1318" spans="1:27" ht="21" hidden="1" customHeight="1" x14ac:dyDescent="0.35"/>
    <row r="1319" spans="1:27" hidden="1" x14ac:dyDescent="0.35"/>
    <row r="1320" spans="1:27" hidden="1" x14ac:dyDescent="0.35"/>
    <row r="1321" spans="1:27" ht="29" hidden="1" customHeight="1" x14ac:dyDescent="0.35">
      <c r="A1321" s="84" t="str">
        <f>IF($AA1321=0,"",IF(LEN(INDEX(Quotes!$U$9:$U$258,$AA1321)&amp;"")=0,"",INDEX(Quotes!$U$9:$U$258,$AA1321)))</f>
        <v/>
      </c>
      <c r="B1321" s="39"/>
      <c r="C1321" s="39"/>
      <c r="D1321" s="39"/>
      <c r="E1321" s="39"/>
      <c r="F1321" s="39"/>
      <c r="G1321" s="39"/>
      <c r="H1321" s="39"/>
      <c r="I1321" s="39"/>
      <c r="J1321" s="39"/>
      <c r="K1321" s="85" t="str">
        <f>IF($AA1321=0,"",IF(LEN(INDEX(Quotes!$Z$9:$Z$258,$AA1321)&amp;"")=0,"",INDEX(Quotes!$Z$9:$Z$258,$AA1321)))</f>
        <v/>
      </c>
      <c r="L1321" s="39"/>
      <c r="M1321" s="39"/>
      <c r="N1321" s="39"/>
      <c r="O1321" s="39"/>
      <c r="P1321" s="39"/>
      <c r="Q1321" s="39"/>
      <c r="R1321" s="39"/>
      <c r="S1321" s="39"/>
      <c r="T1321" s="39"/>
      <c r="U1321" s="39"/>
      <c r="V1321" s="39"/>
      <c r="AA1321">
        <f>IFERROR(MATCH(136,Quotes!$AK$9:$AK$258,0),0)</f>
        <v>0</v>
      </c>
    </row>
    <row r="1322" spans="1:27" ht="21" hidden="1" customHeight="1" x14ac:dyDescent="0.35">
      <c r="A1322" s="40" t="str">
        <f>IF($AA1321=0,"",IF(LEN(INDEX(Quotes!$V$9:$V$258,$AA1321)&amp;"")=0,"",INDEX(Quotes!$V$9:$V$258,$AA1321)))</f>
        <v/>
      </c>
      <c r="B1322" s="39"/>
      <c r="C1322" s="39"/>
      <c r="D1322" s="39"/>
      <c r="E1322" s="39"/>
      <c r="F1322" s="39"/>
      <c r="G1322" s="39"/>
      <c r="H1322" s="40" t="str">
        <f>IF($AA1321=0,"",IF(LEN(INDEX(Quotes!$W$9:$W$258,$AA1321)&amp;"")=0,"",INDEX(Quotes!$W$9:$W$258,$AA1321)))</f>
        <v/>
      </c>
      <c r="I1322" s="39"/>
      <c r="J1322" s="39"/>
      <c r="K1322" s="39"/>
      <c r="L1322" s="39"/>
      <c r="M1322" s="39"/>
      <c r="N1322" s="39"/>
      <c r="O1322" s="39"/>
      <c r="P1322" s="39"/>
      <c r="Q1322" s="39"/>
      <c r="R1322" s="77" t="str">
        <f>IF($AA1321=0,"",IF(LEN(INDEX(Quotes!$X$9:$X$258,$AA1321)&amp;"")=0,"",INDEX(Quotes!$X$9:$X$258,$AA1321)))</f>
        <v/>
      </c>
      <c r="S1322" s="39"/>
      <c r="T1322" s="39"/>
      <c r="U1322" s="39"/>
      <c r="V1322" s="39"/>
    </row>
    <row r="1323" spans="1:27" ht="21" hidden="1" customHeight="1" x14ac:dyDescent="0.35">
      <c r="A1323" s="83" t="str">
        <f>IF($AA1321=0,"","ORIGINAL EUR")</f>
        <v/>
      </c>
      <c r="B1323" s="39"/>
      <c r="C1323" s="39"/>
      <c r="D1323" s="39"/>
      <c r="E1323" s="39"/>
      <c r="F1323" s="39"/>
      <c r="G1323" s="39"/>
      <c r="I1323" s="83" t="str">
        <f>IF($AA1321=0,"","LATEST EUR")</f>
        <v/>
      </c>
      <c r="J1323" s="39"/>
      <c r="K1323" s="39"/>
      <c r="L1323" s="39"/>
      <c r="M1323" s="39"/>
      <c r="N1323" s="39"/>
      <c r="O1323" s="39"/>
      <c r="Q1323" s="83" t="str">
        <f>IF($AA1321=0,"","SAVED EUR")</f>
        <v/>
      </c>
      <c r="R1323" s="39"/>
      <c r="S1323" s="39"/>
      <c r="T1323" s="39"/>
      <c r="U1323" s="39"/>
      <c r="V1323" s="39"/>
    </row>
    <row r="1324" spans="1:27" ht="21" hidden="1" customHeight="1" x14ac:dyDescent="0.35">
      <c r="A1324" s="82" t="str">
        <f>IF($AA1321=0,"",IF(LEN(INDEX(Quotes!$AB$9:$AB$258,$AA1321)&amp;"")=0,"",INDEX(Quotes!$AB$9:$AB$258,$AA1321)))</f>
        <v/>
      </c>
      <c r="B1324" s="39"/>
      <c r="C1324" s="39"/>
      <c r="D1324" s="39"/>
      <c r="E1324" s="39"/>
      <c r="F1324" s="39"/>
      <c r="G1324" s="39"/>
      <c r="I1324" s="82" t="str">
        <f>IF($AA1321=0,"",IF(LEN(INDEX(Quotes!$AD$9:$AD$258,$AA1321)&amp;"")=0,"",INDEX(Quotes!$AD$9:$AD$258,$AA1321)))</f>
        <v/>
      </c>
      <c r="J1324" s="39"/>
      <c r="K1324" s="39"/>
      <c r="L1324" s="39"/>
      <c r="M1324" s="39"/>
      <c r="N1324" s="39"/>
      <c r="O1324" s="39"/>
      <c r="Q1324" s="82" t="str">
        <f>IF($AA1321=0,"",IF(LEN(INDEX(Quotes!$AF$9:$AF$258,$AA1321)&amp;"")=0,"",INDEX(Quotes!$AF$9:$AF$258,$AA1321)))</f>
        <v/>
      </c>
      <c r="R1324" s="39"/>
      <c r="S1324" s="39"/>
      <c r="T1324" s="39"/>
      <c r="U1324" s="39"/>
      <c r="V1324" s="39"/>
    </row>
    <row r="1325" spans="1:27" ht="21" hidden="1" customHeight="1" x14ac:dyDescent="0.35">
      <c r="A1325" s="48" t="str">
        <f>IF($AA1321=0,"","Reference: "&amp;IF(INDEX(Quotes!$M$9:$M$258,$AA1321)="",INDEX(Quotes!$S$9:$S$258,$AA1321),INDEX(Quotes!$M$9:$M$258,$AA1321)))</f>
        <v/>
      </c>
      <c r="B1325" s="39"/>
      <c r="C1325" s="39"/>
      <c r="D1325" s="39"/>
      <c r="E1325" s="39"/>
      <c r="F1325" s="39"/>
      <c r="G1325" s="39"/>
      <c r="H1325" s="39"/>
      <c r="I1325" s="39"/>
      <c r="J1325" s="39"/>
      <c r="K1325" s="39"/>
      <c r="L1325" s="39"/>
      <c r="M1325" s="39"/>
      <c r="N1325" s="39"/>
      <c r="O1325" s="39"/>
      <c r="P1325" s="39"/>
      <c r="Q1325" s="48" t="str">
        <f>IF($AA1321=0,"",INDEX(Quotes!$E$9:$E$258,$AA1321))</f>
        <v/>
      </c>
      <c r="R1325" s="39"/>
      <c r="S1325" s="39"/>
      <c r="T1325" s="39"/>
      <c r="U1325" s="39"/>
      <c r="V1325" s="39"/>
    </row>
    <row r="1326" spans="1:27" ht="21" hidden="1" customHeight="1" x14ac:dyDescent="0.35">
      <c r="A1326" s="81" t="str">
        <f>IF($AA1321=0,"",IF(INDEX(Quotes!$N$9:$N$258,$AA1321)="","No original link","Original quote"))</f>
        <v/>
      </c>
      <c r="B1326" s="39"/>
      <c r="C1326" s="39"/>
      <c r="D1326" s="39"/>
      <c r="E1326" s="39"/>
      <c r="F1326" s="39"/>
      <c r="G1326" s="39"/>
      <c r="I1326" s="81" t="str">
        <f>IF($AA1321=0,"",IF(INDEX(Quotes!$O$9:$O$258,$AA1321)="","No revised link","Revised quote"))</f>
        <v/>
      </c>
      <c r="J1326" s="39"/>
      <c r="K1326" s="39"/>
      <c r="L1326" s="39"/>
      <c r="M1326" s="39"/>
      <c r="N1326" s="39"/>
      <c r="O1326" s="39"/>
      <c r="Q1326" s="81" t="str">
        <f>IF($AA1321=0,"",HYPERLINK("#'Quotes'!A"&amp;($AA1321+8),"Open quote record"))</f>
        <v/>
      </c>
      <c r="R1326" s="39"/>
      <c r="S1326" s="39"/>
      <c r="T1326" s="39"/>
      <c r="U1326" s="39"/>
      <c r="V1326" s="39"/>
    </row>
    <row r="1327" spans="1:27" ht="21" hidden="1" customHeight="1" x14ac:dyDescent="0.35"/>
    <row r="1328" spans="1:27" hidden="1" x14ac:dyDescent="0.35"/>
    <row r="1329" spans="1:27" hidden="1" x14ac:dyDescent="0.35"/>
    <row r="1330" spans="1:27" hidden="1" x14ac:dyDescent="0.35"/>
    <row r="1331" spans="1:27" hidden="1" x14ac:dyDescent="0.35">
      <c r="A1331" s="67" t="s">
        <v>655</v>
      </c>
      <c r="B1331" s="39"/>
      <c r="C1331" s="39"/>
      <c r="D1331" s="39"/>
      <c r="E1331" s="39"/>
      <c r="F1331" s="39"/>
      <c r="G1331" s="39"/>
      <c r="H1331" s="39"/>
      <c r="I1331" s="39"/>
      <c r="J1331" s="39"/>
      <c r="K1331" s="39"/>
      <c r="L1331" s="39"/>
      <c r="M1331" s="39"/>
      <c r="N1331" s="39"/>
      <c r="O1331" s="39"/>
      <c r="P1331" s="39"/>
      <c r="Q1331" s="39"/>
      <c r="R1331" s="39"/>
      <c r="S1331" s="39"/>
      <c r="T1331" s="39"/>
      <c r="U1331" s="39"/>
      <c r="V1331" s="39"/>
    </row>
    <row r="1332" spans="1:27" ht="29" hidden="1" customHeight="1" x14ac:dyDescent="0.35">
      <c r="A1332" s="84" t="str">
        <f>IF($AA1332=0,"",IF(LEN(INDEX(Quotes!$U$9:$U$258,$AA1332)&amp;"")=0,"",INDEX(Quotes!$U$9:$U$258,$AA1332)))</f>
        <v/>
      </c>
      <c r="B1332" s="39"/>
      <c r="C1332" s="39"/>
      <c r="D1332" s="39"/>
      <c r="E1332" s="39"/>
      <c r="F1332" s="39"/>
      <c r="G1332" s="39"/>
      <c r="H1332" s="39"/>
      <c r="I1332" s="39"/>
      <c r="J1332" s="39"/>
      <c r="K1332" s="85" t="str">
        <f>IF($AA1332=0,"",IF(LEN(INDEX(Quotes!$Z$9:$Z$258,$AA1332)&amp;"")=0,"",INDEX(Quotes!$Z$9:$Z$258,$AA1332)))</f>
        <v/>
      </c>
      <c r="L1332" s="39"/>
      <c r="M1332" s="39"/>
      <c r="N1332" s="39"/>
      <c r="O1332" s="39"/>
      <c r="P1332" s="39"/>
      <c r="Q1332" s="39"/>
      <c r="R1332" s="39"/>
      <c r="S1332" s="39"/>
      <c r="T1332" s="39"/>
      <c r="U1332" s="39"/>
      <c r="V1332" s="39"/>
      <c r="AA1332">
        <f>IFERROR(MATCH(137,Quotes!$AK$9:$AK$258,0),0)</f>
        <v>0</v>
      </c>
    </row>
    <row r="1333" spans="1:27" ht="21" hidden="1" customHeight="1" x14ac:dyDescent="0.35">
      <c r="A1333" s="40" t="str">
        <f>IF($AA1332=0,"",IF(LEN(INDEX(Quotes!$V$9:$V$258,$AA1332)&amp;"")=0,"",INDEX(Quotes!$V$9:$V$258,$AA1332)))</f>
        <v/>
      </c>
      <c r="B1333" s="39"/>
      <c r="C1333" s="39"/>
      <c r="D1333" s="39"/>
      <c r="E1333" s="39"/>
      <c r="F1333" s="39"/>
      <c r="G1333" s="39"/>
      <c r="H1333" s="40" t="str">
        <f>IF($AA1332=0,"",IF(LEN(INDEX(Quotes!$W$9:$W$258,$AA1332)&amp;"")=0,"",INDEX(Quotes!$W$9:$W$258,$AA1332)))</f>
        <v/>
      </c>
      <c r="I1333" s="39"/>
      <c r="J1333" s="39"/>
      <c r="K1333" s="39"/>
      <c r="L1333" s="39"/>
      <c r="M1333" s="39"/>
      <c r="N1333" s="39"/>
      <c r="O1333" s="39"/>
      <c r="P1333" s="39"/>
      <c r="Q1333" s="39"/>
      <c r="R1333" s="77" t="str">
        <f>IF($AA1332=0,"",IF(LEN(INDEX(Quotes!$X$9:$X$258,$AA1332)&amp;"")=0,"",INDEX(Quotes!$X$9:$X$258,$AA1332)))</f>
        <v/>
      </c>
      <c r="S1333" s="39"/>
      <c r="T1333" s="39"/>
      <c r="U1333" s="39"/>
      <c r="V1333" s="39"/>
    </row>
    <row r="1334" spans="1:27" ht="21" hidden="1" customHeight="1" x14ac:dyDescent="0.35">
      <c r="A1334" s="83" t="str">
        <f>IF($AA1332=0,"","ORIGINAL EUR")</f>
        <v/>
      </c>
      <c r="B1334" s="39"/>
      <c r="C1334" s="39"/>
      <c r="D1334" s="39"/>
      <c r="E1334" s="39"/>
      <c r="F1334" s="39"/>
      <c r="G1334" s="39"/>
      <c r="I1334" s="83" t="str">
        <f>IF($AA1332=0,"","LATEST EUR")</f>
        <v/>
      </c>
      <c r="J1334" s="39"/>
      <c r="K1334" s="39"/>
      <c r="L1334" s="39"/>
      <c r="M1334" s="39"/>
      <c r="N1334" s="39"/>
      <c r="O1334" s="39"/>
      <c r="Q1334" s="83" t="str">
        <f>IF($AA1332=0,"","SAVED EUR")</f>
        <v/>
      </c>
      <c r="R1334" s="39"/>
      <c r="S1334" s="39"/>
      <c r="T1334" s="39"/>
      <c r="U1334" s="39"/>
      <c r="V1334" s="39"/>
    </row>
    <row r="1335" spans="1:27" ht="21" hidden="1" customHeight="1" x14ac:dyDescent="0.35">
      <c r="A1335" s="82" t="str">
        <f>IF($AA1332=0,"",IF(LEN(INDEX(Quotes!$AB$9:$AB$258,$AA1332)&amp;"")=0,"",INDEX(Quotes!$AB$9:$AB$258,$AA1332)))</f>
        <v/>
      </c>
      <c r="B1335" s="39"/>
      <c r="C1335" s="39"/>
      <c r="D1335" s="39"/>
      <c r="E1335" s="39"/>
      <c r="F1335" s="39"/>
      <c r="G1335" s="39"/>
      <c r="I1335" s="82" t="str">
        <f>IF($AA1332=0,"",IF(LEN(INDEX(Quotes!$AD$9:$AD$258,$AA1332)&amp;"")=0,"",INDEX(Quotes!$AD$9:$AD$258,$AA1332)))</f>
        <v/>
      </c>
      <c r="J1335" s="39"/>
      <c r="K1335" s="39"/>
      <c r="L1335" s="39"/>
      <c r="M1335" s="39"/>
      <c r="N1335" s="39"/>
      <c r="O1335" s="39"/>
      <c r="Q1335" s="82" t="str">
        <f>IF($AA1332=0,"",IF(LEN(INDEX(Quotes!$AF$9:$AF$258,$AA1332)&amp;"")=0,"",INDEX(Quotes!$AF$9:$AF$258,$AA1332)))</f>
        <v/>
      </c>
      <c r="R1335" s="39"/>
      <c r="S1335" s="39"/>
      <c r="T1335" s="39"/>
      <c r="U1335" s="39"/>
      <c r="V1335" s="39"/>
    </row>
    <row r="1336" spans="1:27" ht="21" hidden="1" customHeight="1" x14ac:dyDescent="0.35">
      <c r="A1336" s="48" t="str">
        <f>IF($AA1332=0,"","Reference: "&amp;IF(INDEX(Quotes!$M$9:$M$258,$AA1332)="",INDEX(Quotes!$S$9:$S$258,$AA1332),INDEX(Quotes!$M$9:$M$258,$AA1332)))</f>
        <v/>
      </c>
      <c r="B1336" s="39"/>
      <c r="C1336" s="39"/>
      <c r="D1336" s="39"/>
      <c r="E1336" s="39"/>
      <c r="F1336" s="39"/>
      <c r="G1336" s="39"/>
      <c r="H1336" s="39"/>
      <c r="I1336" s="39"/>
      <c r="J1336" s="39"/>
      <c r="K1336" s="39"/>
      <c r="L1336" s="39"/>
      <c r="M1336" s="39"/>
      <c r="N1336" s="39"/>
      <c r="O1336" s="39"/>
      <c r="P1336" s="39"/>
      <c r="Q1336" s="48" t="str">
        <f>IF($AA1332=0,"",INDEX(Quotes!$E$9:$E$258,$AA1332))</f>
        <v/>
      </c>
      <c r="R1336" s="39"/>
      <c r="S1336" s="39"/>
      <c r="T1336" s="39"/>
      <c r="U1336" s="39"/>
      <c r="V1336" s="39"/>
    </row>
    <row r="1337" spans="1:27" ht="21" hidden="1" customHeight="1" x14ac:dyDescent="0.35">
      <c r="A1337" s="81" t="str">
        <f>IF($AA1332=0,"",IF(INDEX(Quotes!$N$9:$N$258,$AA1332)="","No original link","Original quote"))</f>
        <v/>
      </c>
      <c r="B1337" s="39"/>
      <c r="C1337" s="39"/>
      <c r="D1337" s="39"/>
      <c r="E1337" s="39"/>
      <c r="F1337" s="39"/>
      <c r="G1337" s="39"/>
      <c r="I1337" s="81" t="str">
        <f>IF($AA1332=0,"",IF(INDEX(Quotes!$O$9:$O$258,$AA1332)="","No revised link","Revised quote"))</f>
        <v/>
      </c>
      <c r="J1337" s="39"/>
      <c r="K1337" s="39"/>
      <c r="L1337" s="39"/>
      <c r="M1337" s="39"/>
      <c r="N1337" s="39"/>
      <c r="O1337" s="39"/>
      <c r="Q1337" s="81" t="str">
        <f>IF($AA1332=0,"",HYPERLINK("#'Quotes'!A"&amp;($AA1332+8),"Open quote record"))</f>
        <v/>
      </c>
      <c r="R1337" s="39"/>
      <c r="S1337" s="39"/>
      <c r="T1337" s="39"/>
      <c r="U1337" s="39"/>
      <c r="V1337" s="39"/>
    </row>
    <row r="1338" spans="1:27" ht="21" hidden="1" customHeight="1" x14ac:dyDescent="0.35"/>
    <row r="1339" spans="1:27" hidden="1" x14ac:dyDescent="0.35"/>
    <row r="1340" spans="1:27" hidden="1" x14ac:dyDescent="0.35"/>
    <row r="1341" spans="1:27" ht="29" hidden="1" customHeight="1" x14ac:dyDescent="0.35">
      <c r="A1341" s="84" t="str">
        <f>IF($AA1341=0,"",IF(LEN(INDEX(Quotes!$U$9:$U$258,$AA1341)&amp;"")=0,"",INDEX(Quotes!$U$9:$U$258,$AA1341)))</f>
        <v/>
      </c>
      <c r="B1341" s="39"/>
      <c r="C1341" s="39"/>
      <c r="D1341" s="39"/>
      <c r="E1341" s="39"/>
      <c r="F1341" s="39"/>
      <c r="G1341" s="39"/>
      <c r="H1341" s="39"/>
      <c r="I1341" s="39"/>
      <c r="J1341" s="39"/>
      <c r="K1341" s="85" t="str">
        <f>IF($AA1341=0,"",IF(LEN(INDEX(Quotes!$Z$9:$Z$258,$AA1341)&amp;"")=0,"",INDEX(Quotes!$Z$9:$Z$258,$AA1341)))</f>
        <v/>
      </c>
      <c r="L1341" s="39"/>
      <c r="M1341" s="39"/>
      <c r="N1341" s="39"/>
      <c r="O1341" s="39"/>
      <c r="P1341" s="39"/>
      <c r="Q1341" s="39"/>
      <c r="R1341" s="39"/>
      <c r="S1341" s="39"/>
      <c r="T1341" s="39"/>
      <c r="U1341" s="39"/>
      <c r="V1341" s="39"/>
      <c r="AA1341">
        <f>IFERROR(MATCH(138,Quotes!$AK$9:$AK$258,0),0)</f>
        <v>0</v>
      </c>
    </row>
    <row r="1342" spans="1:27" ht="21" hidden="1" customHeight="1" x14ac:dyDescent="0.35">
      <c r="A1342" s="40" t="str">
        <f>IF($AA1341=0,"",IF(LEN(INDEX(Quotes!$V$9:$V$258,$AA1341)&amp;"")=0,"",INDEX(Quotes!$V$9:$V$258,$AA1341)))</f>
        <v/>
      </c>
      <c r="B1342" s="39"/>
      <c r="C1342" s="39"/>
      <c r="D1342" s="39"/>
      <c r="E1342" s="39"/>
      <c r="F1342" s="39"/>
      <c r="G1342" s="39"/>
      <c r="H1342" s="40" t="str">
        <f>IF($AA1341=0,"",IF(LEN(INDEX(Quotes!$W$9:$W$258,$AA1341)&amp;"")=0,"",INDEX(Quotes!$W$9:$W$258,$AA1341)))</f>
        <v/>
      </c>
      <c r="I1342" s="39"/>
      <c r="J1342" s="39"/>
      <c r="K1342" s="39"/>
      <c r="L1342" s="39"/>
      <c r="M1342" s="39"/>
      <c r="N1342" s="39"/>
      <c r="O1342" s="39"/>
      <c r="P1342" s="39"/>
      <c r="Q1342" s="39"/>
      <c r="R1342" s="77" t="str">
        <f>IF($AA1341=0,"",IF(LEN(INDEX(Quotes!$X$9:$X$258,$AA1341)&amp;"")=0,"",INDEX(Quotes!$X$9:$X$258,$AA1341)))</f>
        <v/>
      </c>
      <c r="S1342" s="39"/>
      <c r="T1342" s="39"/>
      <c r="U1342" s="39"/>
      <c r="V1342" s="39"/>
    </row>
    <row r="1343" spans="1:27" ht="21" hidden="1" customHeight="1" x14ac:dyDescent="0.35">
      <c r="A1343" s="83" t="str">
        <f>IF($AA1341=0,"","ORIGINAL EUR")</f>
        <v/>
      </c>
      <c r="B1343" s="39"/>
      <c r="C1343" s="39"/>
      <c r="D1343" s="39"/>
      <c r="E1343" s="39"/>
      <c r="F1343" s="39"/>
      <c r="G1343" s="39"/>
      <c r="I1343" s="83" t="str">
        <f>IF($AA1341=0,"","LATEST EUR")</f>
        <v/>
      </c>
      <c r="J1343" s="39"/>
      <c r="K1343" s="39"/>
      <c r="L1343" s="39"/>
      <c r="M1343" s="39"/>
      <c r="N1343" s="39"/>
      <c r="O1343" s="39"/>
      <c r="Q1343" s="83" t="str">
        <f>IF($AA1341=0,"","SAVED EUR")</f>
        <v/>
      </c>
      <c r="R1343" s="39"/>
      <c r="S1343" s="39"/>
      <c r="T1343" s="39"/>
      <c r="U1343" s="39"/>
      <c r="V1343" s="39"/>
    </row>
    <row r="1344" spans="1:27" ht="21" hidden="1" customHeight="1" x14ac:dyDescent="0.35">
      <c r="A1344" s="82" t="str">
        <f>IF($AA1341=0,"",IF(LEN(INDEX(Quotes!$AB$9:$AB$258,$AA1341)&amp;"")=0,"",INDEX(Quotes!$AB$9:$AB$258,$AA1341)))</f>
        <v/>
      </c>
      <c r="B1344" s="39"/>
      <c r="C1344" s="39"/>
      <c r="D1344" s="39"/>
      <c r="E1344" s="39"/>
      <c r="F1344" s="39"/>
      <c r="G1344" s="39"/>
      <c r="I1344" s="82" t="str">
        <f>IF($AA1341=0,"",IF(LEN(INDEX(Quotes!$AD$9:$AD$258,$AA1341)&amp;"")=0,"",INDEX(Quotes!$AD$9:$AD$258,$AA1341)))</f>
        <v/>
      </c>
      <c r="J1344" s="39"/>
      <c r="K1344" s="39"/>
      <c r="L1344" s="39"/>
      <c r="M1344" s="39"/>
      <c r="N1344" s="39"/>
      <c r="O1344" s="39"/>
      <c r="Q1344" s="82" t="str">
        <f>IF($AA1341=0,"",IF(LEN(INDEX(Quotes!$AF$9:$AF$258,$AA1341)&amp;"")=0,"",INDEX(Quotes!$AF$9:$AF$258,$AA1341)))</f>
        <v/>
      </c>
      <c r="R1344" s="39"/>
      <c r="S1344" s="39"/>
      <c r="T1344" s="39"/>
      <c r="U1344" s="39"/>
      <c r="V1344" s="39"/>
    </row>
    <row r="1345" spans="1:27" ht="21" hidden="1" customHeight="1" x14ac:dyDescent="0.35">
      <c r="A1345" s="48" t="str">
        <f>IF($AA1341=0,"","Reference: "&amp;IF(INDEX(Quotes!$M$9:$M$258,$AA1341)="",INDEX(Quotes!$S$9:$S$258,$AA1341),INDEX(Quotes!$M$9:$M$258,$AA1341)))</f>
        <v/>
      </c>
      <c r="B1345" s="39"/>
      <c r="C1345" s="39"/>
      <c r="D1345" s="39"/>
      <c r="E1345" s="39"/>
      <c r="F1345" s="39"/>
      <c r="G1345" s="39"/>
      <c r="H1345" s="39"/>
      <c r="I1345" s="39"/>
      <c r="J1345" s="39"/>
      <c r="K1345" s="39"/>
      <c r="L1345" s="39"/>
      <c r="M1345" s="39"/>
      <c r="N1345" s="39"/>
      <c r="O1345" s="39"/>
      <c r="P1345" s="39"/>
      <c r="Q1345" s="48" t="str">
        <f>IF($AA1341=0,"",INDEX(Quotes!$E$9:$E$258,$AA1341))</f>
        <v/>
      </c>
      <c r="R1345" s="39"/>
      <c r="S1345" s="39"/>
      <c r="T1345" s="39"/>
      <c r="U1345" s="39"/>
      <c r="V1345" s="39"/>
    </row>
    <row r="1346" spans="1:27" ht="21" hidden="1" customHeight="1" x14ac:dyDescent="0.35">
      <c r="A1346" s="81" t="str">
        <f>IF($AA1341=0,"",IF(INDEX(Quotes!$N$9:$N$258,$AA1341)="","No original link","Original quote"))</f>
        <v/>
      </c>
      <c r="B1346" s="39"/>
      <c r="C1346" s="39"/>
      <c r="D1346" s="39"/>
      <c r="E1346" s="39"/>
      <c r="F1346" s="39"/>
      <c r="G1346" s="39"/>
      <c r="I1346" s="81" t="str">
        <f>IF($AA1341=0,"",IF(INDEX(Quotes!$O$9:$O$258,$AA1341)="","No revised link","Revised quote"))</f>
        <v/>
      </c>
      <c r="J1346" s="39"/>
      <c r="K1346" s="39"/>
      <c r="L1346" s="39"/>
      <c r="M1346" s="39"/>
      <c r="N1346" s="39"/>
      <c r="O1346" s="39"/>
      <c r="Q1346" s="81" t="str">
        <f>IF($AA1341=0,"",HYPERLINK("#'Quotes'!A"&amp;($AA1341+8),"Open quote record"))</f>
        <v/>
      </c>
      <c r="R1346" s="39"/>
      <c r="S1346" s="39"/>
      <c r="T1346" s="39"/>
      <c r="U1346" s="39"/>
      <c r="V1346" s="39"/>
    </row>
    <row r="1347" spans="1:27" ht="21" hidden="1" customHeight="1" x14ac:dyDescent="0.35"/>
    <row r="1348" spans="1:27" hidden="1" x14ac:dyDescent="0.35"/>
    <row r="1349" spans="1:27" hidden="1" x14ac:dyDescent="0.35"/>
    <row r="1350" spans="1:27" ht="29" hidden="1" customHeight="1" x14ac:dyDescent="0.35">
      <c r="A1350" s="84" t="str">
        <f>IF($AA1350=0,"",IF(LEN(INDEX(Quotes!$U$9:$U$258,$AA1350)&amp;"")=0,"",INDEX(Quotes!$U$9:$U$258,$AA1350)))</f>
        <v/>
      </c>
      <c r="B1350" s="39"/>
      <c r="C1350" s="39"/>
      <c r="D1350" s="39"/>
      <c r="E1350" s="39"/>
      <c r="F1350" s="39"/>
      <c r="G1350" s="39"/>
      <c r="H1350" s="39"/>
      <c r="I1350" s="39"/>
      <c r="J1350" s="39"/>
      <c r="K1350" s="85" t="str">
        <f>IF($AA1350=0,"",IF(LEN(INDEX(Quotes!$Z$9:$Z$258,$AA1350)&amp;"")=0,"",INDEX(Quotes!$Z$9:$Z$258,$AA1350)))</f>
        <v/>
      </c>
      <c r="L1350" s="39"/>
      <c r="M1350" s="39"/>
      <c r="N1350" s="39"/>
      <c r="O1350" s="39"/>
      <c r="P1350" s="39"/>
      <c r="Q1350" s="39"/>
      <c r="R1350" s="39"/>
      <c r="S1350" s="39"/>
      <c r="T1350" s="39"/>
      <c r="U1350" s="39"/>
      <c r="V1350" s="39"/>
      <c r="AA1350">
        <f>IFERROR(MATCH(139,Quotes!$AK$9:$AK$258,0),0)</f>
        <v>0</v>
      </c>
    </row>
    <row r="1351" spans="1:27" ht="21" hidden="1" customHeight="1" x14ac:dyDescent="0.35">
      <c r="A1351" s="40" t="str">
        <f>IF($AA1350=0,"",IF(LEN(INDEX(Quotes!$V$9:$V$258,$AA1350)&amp;"")=0,"",INDEX(Quotes!$V$9:$V$258,$AA1350)))</f>
        <v/>
      </c>
      <c r="B1351" s="39"/>
      <c r="C1351" s="39"/>
      <c r="D1351" s="39"/>
      <c r="E1351" s="39"/>
      <c r="F1351" s="39"/>
      <c r="G1351" s="39"/>
      <c r="H1351" s="40" t="str">
        <f>IF($AA1350=0,"",IF(LEN(INDEX(Quotes!$W$9:$W$258,$AA1350)&amp;"")=0,"",INDEX(Quotes!$W$9:$W$258,$AA1350)))</f>
        <v/>
      </c>
      <c r="I1351" s="39"/>
      <c r="J1351" s="39"/>
      <c r="K1351" s="39"/>
      <c r="L1351" s="39"/>
      <c r="M1351" s="39"/>
      <c r="N1351" s="39"/>
      <c r="O1351" s="39"/>
      <c r="P1351" s="39"/>
      <c r="Q1351" s="39"/>
      <c r="R1351" s="77" t="str">
        <f>IF($AA1350=0,"",IF(LEN(INDEX(Quotes!$X$9:$X$258,$AA1350)&amp;"")=0,"",INDEX(Quotes!$X$9:$X$258,$AA1350)))</f>
        <v/>
      </c>
      <c r="S1351" s="39"/>
      <c r="T1351" s="39"/>
      <c r="U1351" s="39"/>
      <c r="V1351" s="39"/>
    </row>
    <row r="1352" spans="1:27" ht="21" hidden="1" customHeight="1" x14ac:dyDescent="0.35">
      <c r="A1352" s="83" t="str">
        <f>IF($AA1350=0,"","ORIGINAL EUR")</f>
        <v/>
      </c>
      <c r="B1352" s="39"/>
      <c r="C1352" s="39"/>
      <c r="D1352" s="39"/>
      <c r="E1352" s="39"/>
      <c r="F1352" s="39"/>
      <c r="G1352" s="39"/>
      <c r="I1352" s="83" t="str">
        <f>IF($AA1350=0,"","LATEST EUR")</f>
        <v/>
      </c>
      <c r="J1352" s="39"/>
      <c r="K1352" s="39"/>
      <c r="L1352" s="39"/>
      <c r="M1352" s="39"/>
      <c r="N1352" s="39"/>
      <c r="O1352" s="39"/>
      <c r="Q1352" s="83" t="str">
        <f>IF($AA1350=0,"","SAVED EUR")</f>
        <v/>
      </c>
      <c r="R1352" s="39"/>
      <c r="S1352" s="39"/>
      <c r="T1352" s="39"/>
      <c r="U1352" s="39"/>
      <c r="V1352" s="39"/>
    </row>
    <row r="1353" spans="1:27" ht="21" hidden="1" customHeight="1" x14ac:dyDescent="0.35">
      <c r="A1353" s="82" t="str">
        <f>IF($AA1350=0,"",IF(LEN(INDEX(Quotes!$AB$9:$AB$258,$AA1350)&amp;"")=0,"",INDEX(Quotes!$AB$9:$AB$258,$AA1350)))</f>
        <v/>
      </c>
      <c r="B1353" s="39"/>
      <c r="C1353" s="39"/>
      <c r="D1353" s="39"/>
      <c r="E1353" s="39"/>
      <c r="F1353" s="39"/>
      <c r="G1353" s="39"/>
      <c r="I1353" s="82" t="str">
        <f>IF($AA1350=0,"",IF(LEN(INDEX(Quotes!$AD$9:$AD$258,$AA1350)&amp;"")=0,"",INDEX(Quotes!$AD$9:$AD$258,$AA1350)))</f>
        <v/>
      </c>
      <c r="J1353" s="39"/>
      <c r="K1353" s="39"/>
      <c r="L1353" s="39"/>
      <c r="M1353" s="39"/>
      <c r="N1353" s="39"/>
      <c r="O1353" s="39"/>
      <c r="Q1353" s="82" t="str">
        <f>IF($AA1350=0,"",IF(LEN(INDEX(Quotes!$AF$9:$AF$258,$AA1350)&amp;"")=0,"",INDEX(Quotes!$AF$9:$AF$258,$AA1350)))</f>
        <v/>
      </c>
      <c r="R1353" s="39"/>
      <c r="S1353" s="39"/>
      <c r="T1353" s="39"/>
      <c r="U1353" s="39"/>
      <c r="V1353" s="39"/>
    </row>
    <row r="1354" spans="1:27" ht="21" hidden="1" customHeight="1" x14ac:dyDescent="0.35">
      <c r="A1354" s="48" t="str">
        <f>IF($AA1350=0,"","Reference: "&amp;IF(INDEX(Quotes!$M$9:$M$258,$AA1350)="",INDEX(Quotes!$S$9:$S$258,$AA1350),INDEX(Quotes!$M$9:$M$258,$AA1350)))</f>
        <v/>
      </c>
      <c r="B1354" s="39"/>
      <c r="C1354" s="39"/>
      <c r="D1354" s="39"/>
      <c r="E1354" s="39"/>
      <c r="F1354" s="39"/>
      <c r="G1354" s="39"/>
      <c r="H1354" s="39"/>
      <c r="I1354" s="39"/>
      <c r="J1354" s="39"/>
      <c r="K1354" s="39"/>
      <c r="L1354" s="39"/>
      <c r="M1354" s="39"/>
      <c r="N1354" s="39"/>
      <c r="O1354" s="39"/>
      <c r="P1354" s="39"/>
      <c r="Q1354" s="48" t="str">
        <f>IF($AA1350=0,"",INDEX(Quotes!$E$9:$E$258,$AA1350))</f>
        <v/>
      </c>
      <c r="R1354" s="39"/>
      <c r="S1354" s="39"/>
      <c r="T1354" s="39"/>
      <c r="U1354" s="39"/>
      <c r="V1354" s="39"/>
    </row>
    <row r="1355" spans="1:27" ht="21" hidden="1" customHeight="1" x14ac:dyDescent="0.35">
      <c r="A1355" s="81" t="str">
        <f>IF($AA1350=0,"",IF(INDEX(Quotes!$N$9:$N$258,$AA1350)="","No original link","Original quote"))</f>
        <v/>
      </c>
      <c r="B1355" s="39"/>
      <c r="C1355" s="39"/>
      <c r="D1355" s="39"/>
      <c r="E1355" s="39"/>
      <c r="F1355" s="39"/>
      <c r="G1355" s="39"/>
      <c r="I1355" s="81" t="str">
        <f>IF($AA1350=0,"",IF(INDEX(Quotes!$O$9:$O$258,$AA1350)="","No revised link","Revised quote"))</f>
        <v/>
      </c>
      <c r="J1355" s="39"/>
      <c r="K1355" s="39"/>
      <c r="L1355" s="39"/>
      <c r="M1355" s="39"/>
      <c r="N1355" s="39"/>
      <c r="O1355" s="39"/>
      <c r="Q1355" s="81" t="str">
        <f>IF($AA1350=0,"",HYPERLINK("#'Quotes'!A"&amp;($AA1350+8),"Open quote record"))</f>
        <v/>
      </c>
      <c r="R1355" s="39"/>
      <c r="S1355" s="39"/>
      <c r="T1355" s="39"/>
      <c r="U1355" s="39"/>
      <c r="V1355" s="39"/>
    </row>
    <row r="1356" spans="1:27" ht="21" hidden="1" customHeight="1" x14ac:dyDescent="0.35"/>
    <row r="1357" spans="1:27" hidden="1" x14ac:dyDescent="0.35"/>
    <row r="1358" spans="1:27" hidden="1" x14ac:dyDescent="0.35"/>
    <row r="1359" spans="1:27" ht="29" hidden="1" customHeight="1" x14ac:dyDescent="0.35">
      <c r="A1359" s="84" t="str">
        <f>IF($AA1359=0,"",IF(LEN(INDEX(Quotes!$U$9:$U$258,$AA1359)&amp;"")=0,"",INDEX(Quotes!$U$9:$U$258,$AA1359)))</f>
        <v/>
      </c>
      <c r="B1359" s="39"/>
      <c r="C1359" s="39"/>
      <c r="D1359" s="39"/>
      <c r="E1359" s="39"/>
      <c r="F1359" s="39"/>
      <c r="G1359" s="39"/>
      <c r="H1359" s="39"/>
      <c r="I1359" s="39"/>
      <c r="J1359" s="39"/>
      <c r="K1359" s="85" t="str">
        <f>IF($AA1359=0,"",IF(LEN(INDEX(Quotes!$Z$9:$Z$258,$AA1359)&amp;"")=0,"",INDEX(Quotes!$Z$9:$Z$258,$AA1359)))</f>
        <v/>
      </c>
      <c r="L1359" s="39"/>
      <c r="M1359" s="39"/>
      <c r="N1359" s="39"/>
      <c r="O1359" s="39"/>
      <c r="P1359" s="39"/>
      <c r="Q1359" s="39"/>
      <c r="R1359" s="39"/>
      <c r="S1359" s="39"/>
      <c r="T1359" s="39"/>
      <c r="U1359" s="39"/>
      <c r="V1359" s="39"/>
      <c r="AA1359">
        <f>IFERROR(MATCH(140,Quotes!$AK$9:$AK$258,0),0)</f>
        <v>0</v>
      </c>
    </row>
    <row r="1360" spans="1:27" ht="21" hidden="1" customHeight="1" x14ac:dyDescent="0.35">
      <c r="A1360" s="40" t="str">
        <f>IF($AA1359=0,"",IF(LEN(INDEX(Quotes!$V$9:$V$258,$AA1359)&amp;"")=0,"",INDEX(Quotes!$V$9:$V$258,$AA1359)))</f>
        <v/>
      </c>
      <c r="B1360" s="39"/>
      <c r="C1360" s="39"/>
      <c r="D1360" s="39"/>
      <c r="E1360" s="39"/>
      <c r="F1360" s="39"/>
      <c r="G1360" s="39"/>
      <c r="H1360" s="40" t="str">
        <f>IF($AA1359=0,"",IF(LEN(INDEX(Quotes!$W$9:$W$258,$AA1359)&amp;"")=0,"",INDEX(Quotes!$W$9:$W$258,$AA1359)))</f>
        <v/>
      </c>
      <c r="I1360" s="39"/>
      <c r="J1360" s="39"/>
      <c r="K1360" s="39"/>
      <c r="L1360" s="39"/>
      <c r="M1360" s="39"/>
      <c r="N1360" s="39"/>
      <c r="O1360" s="39"/>
      <c r="P1360" s="39"/>
      <c r="Q1360" s="39"/>
      <c r="R1360" s="77" t="str">
        <f>IF($AA1359=0,"",IF(LEN(INDEX(Quotes!$X$9:$X$258,$AA1359)&amp;"")=0,"",INDEX(Quotes!$X$9:$X$258,$AA1359)))</f>
        <v/>
      </c>
      <c r="S1360" s="39"/>
      <c r="T1360" s="39"/>
      <c r="U1360" s="39"/>
      <c r="V1360" s="39"/>
    </row>
    <row r="1361" spans="1:27" ht="21" hidden="1" customHeight="1" x14ac:dyDescent="0.35">
      <c r="A1361" s="83" t="str">
        <f>IF($AA1359=0,"","ORIGINAL EUR")</f>
        <v/>
      </c>
      <c r="B1361" s="39"/>
      <c r="C1361" s="39"/>
      <c r="D1361" s="39"/>
      <c r="E1361" s="39"/>
      <c r="F1361" s="39"/>
      <c r="G1361" s="39"/>
      <c r="I1361" s="83" t="str">
        <f>IF($AA1359=0,"","LATEST EUR")</f>
        <v/>
      </c>
      <c r="J1361" s="39"/>
      <c r="K1361" s="39"/>
      <c r="L1361" s="39"/>
      <c r="M1361" s="39"/>
      <c r="N1361" s="39"/>
      <c r="O1361" s="39"/>
      <c r="Q1361" s="83" t="str">
        <f>IF($AA1359=0,"","SAVED EUR")</f>
        <v/>
      </c>
      <c r="R1361" s="39"/>
      <c r="S1361" s="39"/>
      <c r="T1361" s="39"/>
      <c r="U1361" s="39"/>
      <c r="V1361" s="39"/>
    </row>
    <row r="1362" spans="1:27" ht="21" hidden="1" customHeight="1" x14ac:dyDescent="0.35">
      <c r="A1362" s="82" t="str">
        <f>IF($AA1359=0,"",IF(LEN(INDEX(Quotes!$AB$9:$AB$258,$AA1359)&amp;"")=0,"",INDEX(Quotes!$AB$9:$AB$258,$AA1359)))</f>
        <v/>
      </c>
      <c r="B1362" s="39"/>
      <c r="C1362" s="39"/>
      <c r="D1362" s="39"/>
      <c r="E1362" s="39"/>
      <c r="F1362" s="39"/>
      <c r="G1362" s="39"/>
      <c r="I1362" s="82" t="str">
        <f>IF($AA1359=0,"",IF(LEN(INDEX(Quotes!$AD$9:$AD$258,$AA1359)&amp;"")=0,"",INDEX(Quotes!$AD$9:$AD$258,$AA1359)))</f>
        <v/>
      </c>
      <c r="J1362" s="39"/>
      <c r="K1362" s="39"/>
      <c r="L1362" s="39"/>
      <c r="M1362" s="39"/>
      <c r="N1362" s="39"/>
      <c r="O1362" s="39"/>
      <c r="Q1362" s="82" t="str">
        <f>IF($AA1359=0,"",IF(LEN(INDEX(Quotes!$AF$9:$AF$258,$AA1359)&amp;"")=0,"",INDEX(Quotes!$AF$9:$AF$258,$AA1359)))</f>
        <v/>
      </c>
      <c r="R1362" s="39"/>
      <c r="S1362" s="39"/>
      <c r="T1362" s="39"/>
      <c r="U1362" s="39"/>
      <c r="V1362" s="39"/>
    </row>
    <row r="1363" spans="1:27" ht="21" hidden="1" customHeight="1" x14ac:dyDescent="0.35">
      <c r="A1363" s="48" t="str">
        <f>IF($AA1359=0,"","Reference: "&amp;IF(INDEX(Quotes!$M$9:$M$258,$AA1359)="",INDEX(Quotes!$S$9:$S$258,$AA1359),INDEX(Quotes!$M$9:$M$258,$AA1359)))</f>
        <v/>
      </c>
      <c r="B1363" s="39"/>
      <c r="C1363" s="39"/>
      <c r="D1363" s="39"/>
      <c r="E1363" s="39"/>
      <c r="F1363" s="39"/>
      <c r="G1363" s="39"/>
      <c r="H1363" s="39"/>
      <c r="I1363" s="39"/>
      <c r="J1363" s="39"/>
      <c r="K1363" s="39"/>
      <c r="L1363" s="39"/>
      <c r="M1363" s="39"/>
      <c r="N1363" s="39"/>
      <c r="O1363" s="39"/>
      <c r="P1363" s="39"/>
      <c r="Q1363" s="48" t="str">
        <f>IF($AA1359=0,"",INDEX(Quotes!$E$9:$E$258,$AA1359))</f>
        <v/>
      </c>
      <c r="R1363" s="39"/>
      <c r="S1363" s="39"/>
      <c r="T1363" s="39"/>
      <c r="U1363" s="39"/>
      <c r="V1363" s="39"/>
    </row>
    <row r="1364" spans="1:27" ht="21" hidden="1" customHeight="1" x14ac:dyDescent="0.35">
      <c r="A1364" s="81" t="str">
        <f>IF($AA1359=0,"",IF(INDEX(Quotes!$N$9:$N$258,$AA1359)="","No original link","Original quote"))</f>
        <v/>
      </c>
      <c r="B1364" s="39"/>
      <c r="C1364" s="39"/>
      <c r="D1364" s="39"/>
      <c r="E1364" s="39"/>
      <c r="F1364" s="39"/>
      <c r="G1364" s="39"/>
      <c r="I1364" s="81" t="str">
        <f>IF($AA1359=0,"",IF(INDEX(Quotes!$O$9:$O$258,$AA1359)="","No revised link","Revised quote"))</f>
        <v/>
      </c>
      <c r="J1364" s="39"/>
      <c r="K1364" s="39"/>
      <c r="L1364" s="39"/>
      <c r="M1364" s="39"/>
      <c r="N1364" s="39"/>
      <c r="O1364" s="39"/>
      <c r="Q1364" s="81" t="str">
        <f>IF($AA1359=0,"",HYPERLINK("#'Quotes'!A"&amp;($AA1359+8),"Open quote record"))</f>
        <v/>
      </c>
      <c r="R1364" s="39"/>
      <c r="S1364" s="39"/>
      <c r="T1364" s="39"/>
      <c r="U1364" s="39"/>
      <c r="V1364" s="39"/>
    </row>
    <row r="1365" spans="1:27" ht="21" hidden="1" customHeight="1" x14ac:dyDescent="0.35"/>
    <row r="1366" spans="1:27" hidden="1" x14ac:dyDescent="0.35"/>
    <row r="1367" spans="1:27" hidden="1" x14ac:dyDescent="0.35"/>
    <row r="1368" spans="1:27" hidden="1" x14ac:dyDescent="0.35"/>
    <row r="1369" spans="1:27" hidden="1" x14ac:dyDescent="0.35">
      <c r="A1369" s="67" t="s">
        <v>655</v>
      </c>
      <c r="B1369" s="39"/>
      <c r="C1369" s="39"/>
      <c r="D1369" s="39"/>
      <c r="E1369" s="39"/>
      <c r="F1369" s="39"/>
      <c r="G1369" s="39"/>
      <c r="H1369" s="39"/>
      <c r="I1369" s="39"/>
      <c r="J1369" s="39"/>
      <c r="K1369" s="39"/>
      <c r="L1369" s="39"/>
      <c r="M1369" s="39"/>
      <c r="N1369" s="39"/>
      <c r="O1369" s="39"/>
      <c r="P1369" s="39"/>
      <c r="Q1369" s="39"/>
      <c r="R1369" s="39"/>
      <c r="S1369" s="39"/>
      <c r="T1369" s="39"/>
      <c r="U1369" s="39"/>
      <c r="V1369" s="39"/>
    </row>
    <row r="1370" spans="1:27" ht="29" hidden="1" customHeight="1" x14ac:dyDescent="0.35">
      <c r="A1370" s="84" t="str">
        <f>IF($AA1370=0,"",IF(LEN(INDEX(Quotes!$U$9:$U$258,$AA1370)&amp;"")=0,"",INDEX(Quotes!$U$9:$U$258,$AA1370)))</f>
        <v/>
      </c>
      <c r="B1370" s="39"/>
      <c r="C1370" s="39"/>
      <c r="D1370" s="39"/>
      <c r="E1370" s="39"/>
      <c r="F1370" s="39"/>
      <c r="G1370" s="39"/>
      <c r="H1370" s="39"/>
      <c r="I1370" s="39"/>
      <c r="J1370" s="39"/>
      <c r="K1370" s="85" t="str">
        <f>IF($AA1370=0,"",IF(LEN(INDEX(Quotes!$Z$9:$Z$258,$AA1370)&amp;"")=0,"",INDEX(Quotes!$Z$9:$Z$258,$AA1370)))</f>
        <v/>
      </c>
      <c r="L1370" s="39"/>
      <c r="M1370" s="39"/>
      <c r="N1370" s="39"/>
      <c r="O1370" s="39"/>
      <c r="P1370" s="39"/>
      <c r="Q1370" s="39"/>
      <c r="R1370" s="39"/>
      <c r="S1370" s="39"/>
      <c r="T1370" s="39"/>
      <c r="U1370" s="39"/>
      <c r="V1370" s="39"/>
      <c r="AA1370">
        <f>IFERROR(MATCH(141,Quotes!$AK$9:$AK$258,0),0)</f>
        <v>0</v>
      </c>
    </row>
    <row r="1371" spans="1:27" ht="21" hidden="1" customHeight="1" x14ac:dyDescent="0.35">
      <c r="A1371" s="40" t="str">
        <f>IF($AA1370=0,"",IF(LEN(INDEX(Quotes!$V$9:$V$258,$AA1370)&amp;"")=0,"",INDEX(Quotes!$V$9:$V$258,$AA1370)))</f>
        <v/>
      </c>
      <c r="B1371" s="39"/>
      <c r="C1371" s="39"/>
      <c r="D1371" s="39"/>
      <c r="E1371" s="39"/>
      <c r="F1371" s="39"/>
      <c r="G1371" s="39"/>
      <c r="H1371" s="40" t="str">
        <f>IF($AA1370=0,"",IF(LEN(INDEX(Quotes!$W$9:$W$258,$AA1370)&amp;"")=0,"",INDEX(Quotes!$W$9:$W$258,$AA1370)))</f>
        <v/>
      </c>
      <c r="I1371" s="39"/>
      <c r="J1371" s="39"/>
      <c r="K1371" s="39"/>
      <c r="L1371" s="39"/>
      <c r="M1371" s="39"/>
      <c r="N1371" s="39"/>
      <c r="O1371" s="39"/>
      <c r="P1371" s="39"/>
      <c r="Q1371" s="39"/>
      <c r="R1371" s="77" t="str">
        <f>IF($AA1370=0,"",IF(LEN(INDEX(Quotes!$X$9:$X$258,$AA1370)&amp;"")=0,"",INDEX(Quotes!$X$9:$X$258,$AA1370)))</f>
        <v/>
      </c>
      <c r="S1371" s="39"/>
      <c r="T1371" s="39"/>
      <c r="U1371" s="39"/>
      <c r="V1371" s="39"/>
    </row>
    <row r="1372" spans="1:27" ht="21" hidden="1" customHeight="1" x14ac:dyDescent="0.35">
      <c r="A1372" s="83" t="str">
        <f>IF($AA1370=0,"","ORIGINAL EUR")</f>
        <v/>
      </c>
      <c r="B1372" s="39"/>
      <c r="C1372" s="39"/>
      <c r="D1372" s="39"/>
      <c r="E1372" s="39"/>
      <c r="F1372" s="39"/>
      <c r="G1372" s="39"/>
      <c r="I1372" s="83" t="str">
        <f>IF($AA1370=0,"","LATEST EUR")</f>
        <v/>
      </c>
      <c r="J1372" s="39"/>
      <c r="K1372" s="39"/>
      <c r="L1372" s="39"/>
      <c r="M1372" s="39"/>
      <c r="N1372" s="39"/>
      <c r="O1372" s="39"/>
      <c r="Q1372" s="83" t="str">
        <f>IF($AA1370=0,"","SAVED EUR")</f>
        <v/>
      </c>
      <c r="R1372" s="39"/>
      <c r="S1372" s="39"/>
      <c r="T1372" s="39"/>
      <c r="U1372" s="39"/>
      <c r="V1372" s="39"/>
    </row>
    <row r="1373" spans="1:27" ht="21" hidden="1" customHeight="1" x14ac:dyDescent="0.35">
      <c r="A1373" s="82" t="str">
        <f>IF($AA1370=0,"",IF(LEN(INDEX(Quotes!$AB$9:$AB$258,$AA1370)&amp;"")=0,"",INDEX(Quotes!$AB$9:$AB$258,$AA1370)))</f>
        <v/>
      </c>
      <c r="B1373" s="39"/>
      <c r="C1373" s="39"/>
      <c r="D1373" s="39"/>
      <c r="E1373" s="39"/>
      <c r="F1373" s="39"/>
      <c r="G1373" s="39"/>
      <c r="I1373" s="82" t="str">
        <f>IF($AA1370=0,"",IF(LEN(INDEX(Quotes!$AD$9:$AD$258,$AA1370)&amp;"")=0,"",INDEX(Quotes!$AD$9:$AD$258,$AA1370)))</f>
        <v/>
      </c>
      <c r="J1373" s="39"/>
      <c r="K1373" s="39"/>
      <c r="L1373" s="39"/>
      <c r="M1373" s="39"/>
      <c r="N1373" s="39"/>
      <c r="O1373" s="39"/>
      <c r="Q1373" s="82" t="str">
        <f>IF($AA1370=0,"",IF(LEN(INDEX(Quotes!$AF$9:$AF$258,$AA1370)&amp;"")=0,"",INDEX(Quotes!$AF$9:$AF$258,$AA1370)))</f>
        <v/>
      </c>
      <c r="R1373" s="39"/>
      <c r="S1373" s="39"/>
      <c r="T1373" s="39"/>
      <c r="U1373" s="39"/>
      <c r="V1373" s="39"/>
    </row>
    <row r="1374" spans="1:27" ht="21" hidden="1" customHeight="1" x14ac:dyDescent="0.35">
      <c r="A1374" s="48" t="str">
        <f>IF($AA1370=0,"","Reference: "&amp;IF(INDEX(Quotes!$M$9:$M$258,$AA1370)="",INDEX(Quotes!$S$9:$S$258,$AA1370),INDEX(Quotes!$M$9:$M$258,$AA1370)))</f>
        <v/>
      </c>
      <c r="B1374" s="39"/>
      <c r="C1374" s="39"/>
      <c r="D1374" s="39"/>
      <c r="E1374" s="39"/>
      <c r="F1374" s="39"/>
      <c r="G1374" s="39"/>
      <c r="H1374" s="39"/>
      <c r="I1374" s="39"/>
      <c r="J1374" s="39"/>
      <c r="K1374" s="39"/>
      <c r="L1374" s="39"/>
      <c r="M1374" s="39"/>
      <c r="N1374" s="39"/>
      <c r="O1374" s="39"/>
      <c r="P1374" s="39"/>
      <c r="Q1374" s="48" t="str">
        <f>IF($AA1370=0,"",INDEX(Quotes!$E$9:$E$258,$AA1370))</f>
        <v/>
      </c>
      <c r="R1374" s="39"/>
      <c r="S1374" s="39"/>
      <c r="T1374" s="39"/>
      <c r="U1374" s="39"/>
      <c r="V1374" s="39"/>
    </row>
    <row r="1375" spans="1:27" ht="21" hidden="1" customHeight="1" x14ac:dyDescent="0.35">
      <c r="A1375" s="81" t="str">
        <f>IF($AA1370=0,"",IF(INDEX(Quotes!$N$9:$N$258,$AA1370)="","No original link","Original quote"))</f>
        <v/>
      </c>
      <c r="B1375" s="39"/>
      <c r="C1375" s="39"/>
      <c r="D1375" s="39"/>
      <c r="E1375" s="39"/>
      <c r="F1375" s="39"/>
      <c r="G1375" s="39"/>
      <c r="I1375" s="81" t="str">
        <f>IF($AA1370=0,"",IF(INDEX(Quotes!$O$9:$O$258,$AA1370)="","No revised link","Revised quote"))</f>
        <v/>
      </c>
      <c r="J1375" s="39"/>
      <c r="K1375" s="39"/>
      <c r="L1375" s="39"/>
      <c r="M1375" s="39"/>
      <c r="N1375" s="39"/>
      <c r="O1375" s="39"/>
      <c r="Q1375" s="81" t="str">
        <f>IF($AA1370=0,"",HYPERLINK("#'Quotes'!A"&amp;($AA1370+8),"Open quote record"))</f>
        <v/>
      </c>
      <c r="R1375" s="39"/>
      <c r="S1375" s="39"/>
      <c r="T1375" s="39"/>
      <c r="U1375" s="39"/>
      <c r="V1375" s="39"/>
    </row>
    <row r="1376" spans="1:27" ht="21" hidden="1" customHeight="1" x14ac:dyDescent="0.35"/>
    <row r="1377" spans="1:27" hidden="1" x14ac:dyDescent="0.35"/>
    <row r="1378" spans="1:27" hidden="1" x14ac:dyDescent="0.35"/>
    <row r="1379" spans="1:27" ht="29" hidden="1" customHeight="1" x14ac:dyDescent="0.35">
      <c r="A1379" s="84" t="str">
        <f>IF($AA1379=0,"",IF(LEN(INDEX(Quotes!$U$9:$U$258,$AA1379)&amp;"")=0,"",INDEX(Quotes!$U$9:$U$258,$AA1379)))</f>
        <v/>
      </c>
      <c r="B1379" s="39"/>
      <c r="C1379" s="39"/>
      <c r="D1379" s="39"/>
      <c r="E1379" s="39"/>
      <c r="F1379" s="39"/>
      <c r="G1379" s="39"/>
      <c r="H1379" s="39"/>
      <c r="I1379" s="39"/>
      <c r="J1379" s="39"/>
      <c r="K1379" s="85" t="str">
        <f>IF($AA1379=0,"",IF(LEN(INDEX(Quotes!$Z$9:$Z$258,$AA1379)&amp;"")=0,"",INDEX(Quotes!$Z$9:$Z$258,$AA1379)))</f>
        <v/>
      </c>
      <c r="L1379" s="39"/>
      <c r="M1379" s="39"/>
      <c r="N1379" s="39"/>
      <c r="O1379" s="39"/>
      <c r="P1379" s="39"/>
      <c r="Q1379" s="39"/>
      <c r="R1379" s="39"/>
      <c r="S1379" s="39"/>
      <c r="T1379" s="39"/>
      <c r="U1379" s="39"/>
      <c r="V1379" s="39"/>
      <c r="AA1379">
        <f>IFERROR(MATCH(142,Quotes!$AK$9:$AK$258,0),0)</f>
        <v>0</v>
      </c>
    </row>
    <row r="1380" spans="1:27" ht="21" hidden="1" customHeight="1" x14ac:dyDescent="0.35">
      <c r="A1380" s="40" t="str">
        <f>IF($AA1379=0,"",IF(LEN(INDEX(Quotes!$V$9:$V$258,$AA1379)&amp;"")=0,"",INDEX(Quotes!$V$9:$V$258,$AA1379)))</f>
        <v/>
      </c>
      <c r="B1380" s="39"/>
      <c r="C1380" s="39"/>
      <c r="D1380" s="39"/>
      <c r="E1380" s="39"/>
      <c r="F1380" s="39"/>
      <c r="G1380" s="39"/>
      <c r="H1380" s="40" t="str">
        <f>IF($AA1379=0,"",IF(LEN(INDEX(Quotes!$W$9:$W$258,$AA1379)&amp;"")=0,"",INDEX(Quotes!$W$9:$W$258,$AA1379)))</f>
        <v/>
      </c>
      <c r="I1380" s="39"/>
      <c r="J1380" s="39"/>
      <c r="K1380" s="39"/>
      <c r="L1380" s="39"/>
      <c r="M1380" s="39"/>
      <c r="N1380" s="39"/>
      <c r="O1380" s="39"/>
      <c r="P1380" s="39"/>
      <c r="Q1380" s="39"/>
      <c r="R1380" s="77" t="str">
        <f>IF($AA1379=0,"",IF(LEN(INDEX(Quotes!$X$9:$X$258,$AA1379)&amp;"")=0,"",INDEX(Quotes!$X$9:$X$258,$AA1379)))</f>
        <v/>
      </c>
      <c r="S1380" s="39"/>
      <c r="T1380" s="39"/>
      <c r="U1380" s="39"/>
      <c r="V1380" s="39"/>
    </row>
    <row r="1381" spans="1:27" ht="21" hidden="1" customHeight="1" x14ac:dyDescent="0.35">
      <c r="A1381" s="83" t="str">
        <f>IF($AA1379=0,"","ORIGINAL EUR")</f>
        <v/>
      </c>
      <c r="B1381" s="39"/>
      <c r="C1381" s="39"/>
      <c r="D1381" s="39"/>
      <c r="E1381" s="39"/>
      <c r="F1381" s="39"/>
      <c r="G1381" s="39"/>
      <c r="I1381" s="83" t="str">
        <f>IF($AA1379=0,"","LATEST EUR")</f>
        <v/>
      </c>
      <c r="J1381" s="39"/>
      <c r="K1381" s="39"/>
      <c r="L1381" s="39"/>
      <c r="M1381" s="39"/>
      <c r="N1381" s="39"/>
      <c r="O1381" s="39"/>
      <c r="Q1381" s="83" t="str">
        <f>IF($AA1379=0,"","SAVED EUR")</f>
        <v/>
      </c>
      <c r="R1381" s="39"/>
      <c r="S1381" s="39"/>
      <c r="T1381" s="39"/>
      <c r="U1381" s="39"/>
      <c r="V1381" s="39"/>
    </row>
    <row r="1382" spans="1:27" ht="21" hidden="1" customHeight="1" x14ac:dyDescent="0.35">
      <c r="A1382" s="82" t="str">
        <f>IF($AA1379=0,"",IF(LEN(INDEX(Quotes!$AB$9:$AB$258,$AA1379)&amp;"")=0,"",INDEX(Quotes!$AB$9:$AB$258,$AA1379)))</f>
        <v/>
      </c>
      <c r="B1382" s="39"/>
      <c r="C1382" s="39"/>
      <c r="D1382" s="39"/>
      <c r="E1382" s="39"/>
      <c r="F1382" s="39"/>
      <c r="G1382" s="39"/>
      <c r="I1382" s="82" t="str">
        <f>IF($AA1379=0,"",IF(LEN(INDEX(Quotes!$AD$9:$AD$258,$AA1379)&amp;"")=0,"",INDEX(Quotes!$AD$9:$AD$258,$AA1379)))</f>
        <v/>
      </c>
      <c r="J1382" s="39"/>
      <c r="K1382" s="39"/>
      <c r="L1382" s="39"/>
      <c r="M1382" s="39"/>
      <c r="N1382" s="39"/>
      <c r="O1382" s="39"/>
      <c r="Q1382" s="82" t="str">
        <f>IF($AA1379=0,"",IF(LEN(INDEX(Quotes!$AF$9:$AF$258,$AA1379)&amp;"")=0,"",INDEX(Quotes!$AF$9:$AF$258,$AA1379)))</f>
        <v/>
      </c>
      <c r="R1382" s="39"/>
      <c r="S1382" s="39"/>
      <c r="T1382" s="39"/>
      <c r="U1382" s="39"/>
      <c r="V1382" s="39"/>
    </row>
    <row r="1383" spans="1:27" ht="21" hidden="1" customHeight="1" x14ac:dyDescent="0.35">
      <c r="A1383" s="48" t="str">
        <f>IF($AA1379=0,"","Reference: "&amp;IF(INDEX(Quotes!$M$9:$M$258,$AA1379)="",INDEX(Quotes!$S$9:$S$258,$AA1379),INDEX(Quotes!$M$9:$M$258,$AA1379)))</f>
        <v/>
      </c>
      <c r="B1383" s="39"/>
      <c r="C1383" s="39"/>
      <c r="D1383" s="39"/>
      <c r="E1383" s="39"/>
      <c r="F1383" s="39"/>
      <c r="G1383" s="39"/>
      <c r="H1383" s="39"/>
      <c r="I1383" s="39"/>
      <c r="J1383" s="39"/>
      <c r="K1383" s="39"/>
      <c r="L1383" s="39"/>
      <c r="M1383" s="39"/>
      <c r="N1383" s="39"/>
      <c r="O1383" s="39"/>
      <c r="P1383" s="39"/>
      <c r="Q1383" s="48" t="str">
        <f>IF($AA1379=0,"",INDEX(Quotes!$E$9:$E$258,$AA1379))</f>
        <v/>
      </c>
      <c r="R1383" s="39"/>
      <c r="S1383" s="39"/>
      <c r="T1383" s="39"/>
      <c r="U1383" s="39"/>
      <c r="V1383" s="39"/>
    </row>
    <row r="1384" spans="1:27" ht="21" hidden="1" customHeight="1" x14ac:dyDescent="0.35">
      <c r="A1384" s="81" t="str">
        <f>IF($AA1379=0,"",IF(INDEX(Quotes!$N$9:$N$258,$AA1379)="","No original link","Original quote"))</f>
        <v/>
      </c>
      <c r="B1384" s="39"/>
      <c r="C1384" s="39"/>
      <c r="D1384" s="39"/>
      <c r="E1384" s="39"/>
      <c r="F1384" s="39"/>
      <c r="G1384" s="39"/>
      <c r="I1384" s="81" t="str">
        <f>IF($AA1379=0,"",IF(INDEX(Quotes!$O$9:$O$258,$AA1379)="","No revised link","Revised quote"))</f>
        <v/>
      </c>
      <c r="J1384" s="39"/>
      <c r="K1384" s="39"/>
      <c r="L1384" s="39"/>
      <c r="M1384" s="39"/>
      <c r="N1384" s="39"/>
      <c r="O1384" s="39"/>
      <c r="Q1384" s="81" t="str">
        <f>IF($AA1379=0,"",HYPERLINK("#'Quotes'!A"&amp;($AA1379+8),"Open quote record"))</f>
        <v/>
      </c>
      <c r="R1384" s="39"/>
      <c r="S1384" s="39"/>
      <c r="T1384" s="39"/>
      <c r="U1384" s="39"/>
      <c r="V1384" s="39"/>
    </row>
    <row r="1385" spans="1:27" ht="21" hidden="1" customHeight="1" x14ac:dyDescent="0.35"/>
    <row r="1386" spans="1:27" hidden="1" x14ac:dyDescent="0.35"/>
    <row r="1387" spans="1:27" hidden="1" x14ac:dyDescent="0.35"/>
    <row r="1388" spans="1:27" ht="29" hidden="1" customHeight="1" x14ac:dyDescent="0.35">
      <c r="A1388" s="84" t="str">
        <f>IF($AA1388=0,"",IF(LEN(INDEX(Quotes!$U$9:$U$258,$AA1388)&amp;"")=0,"",INDEX(Quotes!$U$9:$U$258,$AA1388)))</f>
        <v/>
      </c>
      <c r="B1388" s="39"/>
      <c r="C1388" s="39"/>
      <c r="D1388" s="39"/>
      <c r="E1388" s="39"/>
      <c r="F1388" s="39"/>
      <c r="G1388" s="39"/>
      <c r="H1388" s="39"/>
      <c r="I1388" s="39"/>
      <c r="J1388" s="39"/>
      <c r="K1388" s="85" t="str">
        <f>IF($AA1388=0,"",IF(LEN(INDEX(Quotes!$Z$9:$Z$258,$AA1388)&amp;"")=0,"",INDEX(Quotes!$Z$9:$Z$258,$AA1388)))</f>
        <v/>
      </c>
      <c r="L1388" s="39"/>
      <c r="M1388" s="39"/>
      <c r="N1388" s="39"/>
      <c r="O1388" s="39"/>
      <c r="P1388" s="39"/>
      <c r="Q1388" s="39"/>
      <c r="R1388" s="39"/>
      <c r="S1388" s="39"/>
      <c r="T1388" s="39"/>
      <c r="U1388" s="39"/>
      <c r="V1388" s="39"/>
      <c r="AA1388">
        <f>IFERROR(MATCH(143,Quotes!$AK$9:$AK$258,0),0)</f>
        <v>0</v>
      </c>
    </row>
    <row r="1389" spans="1:27" ht="21" hidden="1" customHeight="1" x14ac:dyDescent="0.35">
      <c r="A1389" s="40" t="str">
        <f>IF($AA1388=0,"",IF(LEN(INDEX(Quotes!$V$9:$V$258,$AA1388)&amp;"")=0,"",INDEX(Quotes!$V$9:$V$258,$AA1388)))</f>
        <v/>
      </c>
      <c r="B1389" s="39"/>
      <c r="C1389" s="39"/>
      <c r="D1389" s="39"/>
      <c r="E1389" s="39"/>
      <c r="F1389" s="39"/>
      <c r="G1389" s="39"/>
      <c r="H1389" s="40" t="str">
        <f>IF($AA1388=0,"",IF(LEN(INDEX(Quotes!$W$9:$W$258,$AA1388)&amp;"")=0,"",INDEX(Quotes!$W$9:$W$258,$AA1388)))</f>
        <v/>
      </c>
      <c r="I1389" s="39"/>
      <c r="J1389" s="39"/>
      <c r="K1389" s="39"/>
      <c r="L1389" s="39"/>
      <c r="M1389" s="39"/>
      <c r="N1389" s="39"/>
      <c r="O1389" s="39"/>
      <c r="P1389" s="39"/>
      <c r="Q1389" s="39"/>
      <c r="R1389" s="77" t="str">
        <f>IF($AA1388=0,"",IF(LEN(INDEX(Quotes!$X$9:$X$258,$AA1388)&amp;"")=0,"",INDEX(Quotes!$X$9:$X$258,$AA1388)))</f>
        <v/>
      </c>
      <c r="S1389" s="39"/>
      <c r="T1389" s="39"/>
      <c r="U1389" s="39"/>
      <c r="V1389" s="39"/>
    </row>
    <row r="1390" spans="1:27" ht="21" hidden="1" customHeight="1" x14ac:dyDescent="0.35">
      <c r="A1390" s="83" t="str">
        <f>IF($AA1388=0,"","ORIGINAL EUR")</f>
        <v/>
      </c>
      <c r="B1390" s="39"/>
      <c r="C1390" s="39"/>
      <c r="D1390" s="39"/>
      <c r="E1390" s="39"/>
      <c r="F1390" s="39"/>
      <c r="G1390" s="39"/>
      <c r="I1390" s="83" t="str">
        <f>IF($AA1388=0,"","LATEST EUR")</f>
        <v/>
      </c>
      <c r="J1390" s="39"/>
      <c r="K1390" s="39"/>
      <c r="L1390" s="39"/>
      <c r="M1390" s="39"/>
      <c r="N1390" s="39"/>
      <c r="O1390" s="39"/>
      <c r="Q1390" s="83" t="str">
        <f>IF($AA1388=0,"","SAVED EUR")</f>
        <v/>
      </c>
      <c r="R1390" s="39"/>
      <c r="S1390" s="39"/>
      <c r="T1390" s="39"/>
      <c r="U1390" s="39"/>
      <c r="V1390" s="39"/>
    </row>
    <row r="1391" spans="1:27" ht="21" hidden="1" customHeight="1" x14ac:dyDescent="0.35">
      <c r="A1391" s="82" t="str">
        <f>IF($AA1388=0,"",IF(LEN(INDEX(Quotes!$AB$9:$AB$258,$AA1388)&amp;"")=0,"",INDEX(Quotes!$AB$9:$AB$258,$AA1388)))</f>
        <v/>
      </c>
      <c r="B1391" s="39"/>
      <c r="C1391" s="39"/>
      <c r="D1391" s="39"/>
      <c r="E1391" s="39"/>
      <c r="F1391" s="39"/>
      <c r="G1391" s="39"/>
      <c r="I1391" s="82" t="str">
        <f>IF($AA1388=0,"",IF(LEN(INDEX(Quotes!$AD$9:$AD$258,$AA1388)&amp;"")=0,"",INDEX(Quotes!$AD$9:$AD$258,$AA1388)))</f>
        <v/>
      </c>
      <c r="J1391" s="39"/>
      <c r="K1391" s="39"/>
      <c r="L1391" s="39"/>
      <c r="M1391" s="39"/>
      <c r="N1391" s="39"/>
      <c r="O1391" s="39"/>
      <c r="Q1391" s="82" t="str">
        <f>IF($AA1388=0,"",IF(LEN(INDEX(Quotes!$AF$9:$AF$258,$AA1388)&amp;"")=0,"",INDEX(Quotes!$AF$9:$AF$258,$AA1388)))</f>
        <v/>
      </c>
      <c r="R1391" s="39"/>
      <c r="S1391" s="39"/>
      <c r="T1391" s="39"/>
      <c r="U1391" s="39"/>
      <c r="V1391" s="39"/>
    </row>
    <row r="1392" spans="1:27" ht="21" hidden="1" customHeight="1" x14ac:dyDescent="0.35">
      <c r="A1392" s="48" t="str">
        <f>IF($AA1388=0,"","Reference: "&amp;IF(INDEX(Quotes!$M$9:$M$258,$AA1388)="",INDEX(Quotes!$S$9:$S$258,$AA1388),INDEX(Quotes!$M$9:$M$258,$AA1388)))</f>
        <v/>
      </c>
      <c r="B1392" s="39"/>
      <c r="C1392" s="39"/>
      <c r="D1392" s="39"/>
      <c r="E1392" s="39"/>
      <c r="F1392" s="39"/>
      <c r="G1392" s="39"/>
      <c r="H1392" s="39"/>
      <c r="I1392" s="39"/>
      <c r="J1392" s="39"/>
      <c r="K1392" s="39"/>
      <c r="L1392" s="39"/>
      <c r="M1392" s="39"/>
      <c r="N1392" s="39"/>
      <c r="O1392" s="39"/>
      <c r="P1392" s="39"/>
      <c r="Q1392" s="48" t="str">
        <f>IF($AA1388=0,"",INDEX(Quotes!$E$9:$E$258,$AA1388))</f>
        <v/>
      </c>
      <c r="R1392" s="39"/>
      <c r="S1392" s="39"/>
      <c r="T1392" s="39"/>
      <c r="U1392" s="39"/>
      <c r="V1392" s="39"/>
    </row>
    <row r="1393" spans="1:27" ht="21" hidden="1" customHeight="1" x14ac:dyDescent="0.35">
      <c r="A1393" s="81" t="str">
        <f>IF($AA1388=0,"",IF(INDEX(Quotes!$N$9:$N$258,$AA1388)="","No original link","Original quote"))</f>
        <v/>
      </c>
      <c r="B1393" s="39"/>
      <c r="C1393" s="39"/>
      <c r="D1393" s="39"/>
      <c r="E1393" s="39"/>
      <c r="F1393" s="39"/>
      <c r="G1393" s="39"/>
      <c r="I1393" s="81" t="str">
        <f>IF($AA1388=0,"",IF(INDEX(Quotes!$O$9:$O$258,$AA1388)="","No revised link","Revised quote"))</f>
        <v/>
      </c>
      <c r="J1393" s="39"/>
      <c r="K1393" s="39"/>
      <c r="L1393" s="39"/>
      <c r="M1393" s="39"/>
      <c r="N1393" s="39"/>
      <c r="O1393" s="39"/>
      <c r="Q1393" s="81" t="str">
        <f>IF($AA1388=0,"",HYPERLINK("#'Quotes'!A"&amp;($AA1388+8),"Open quote record"))</f>
        <v/>
      </c>
      <c r="R1393" s="39"/>
      <c r="S1393" s="39"/>
      <c r="T1393" s="39"/>
      <c r="U1393" s="39"/>
      <c r="V1393" s="39"/>
    </row>
    <row r="1394" spans="1:27" ht="21" hidden="1" customHeight="1" x14ac:dyDescent="0.35"/>
    <row r="1395" spans="1:27" hidden="1" x14ac:dyDescent="0.35"/>
    <row r="1396" spans="1:27" hidden="1" x14ac:dyDescent="0.35"/>
    <row r="1397" spans="1:27" ht="29" hidden="1" customHeight="1" x14ac:dyDescent="0.35">
      <c r="A1397" s="84" t="str">
        <f>IF($AA1397=0,"",IF(LEN(INDEX(Quotes!$U$9:$U$258,$AA1397)&amp;"")=0,"",INDEX(Quotes!$U$9:$U$258,$AA1397)))</f>
        <v/>
      </c>
      <c r="B1397" s="39"/>
      <c r="C1397" s="39"/>
      <c r="D1397" s="39"/>
      <c r="E1397" s="39"/>
      <c r="F1397" s="39"/>
      <c r="G1397" s="39"/>
      <c r="H1397" s="39"/>
      <c r="I1397" s="39"/>
      <c r="J1397" s="39"/>
      <c r="K1397" s="85" t="str">
        <f>IF($AA1397=0,"",IF(LEN(INDEX(Quotes!$Z$9:$Z$258,$AA1397)&amp;"")=0,"",INDEX(Quotes!$Z$9:$Z$258,$AA1397)))</f>
        <v/>
      </c>
      <c r="L1397" s="39"/>
      <c r="M1397" s="39"/>
      <c r="N1397" s="39"/>
      <c r="O1397" s="39"/>
      <c r="P1397" s="39"/>
      <c r="Q1397" s="39"/>
      <c r="R1397" s="39"/>
      <c r="S1397" s="39"/>
      <c r="T1397" s="39"/>
      <c r="U1397" s="39"/>
      <c r="V1397" s="39"/>
      <c r="AA1397">
        <f>IFERROR(MATCH(144,Quotes!$AK$9:$AK$258,0),0)</f>
        <v>0</v>
      </c>
    </row>
    <row r="1398" spans="1:27" ht="21" hidden="1" customHeight="1" x14ac:dyDescent="0.35">
      <c r="A1398" s="40" t="str">
        <f>IF($AA1397=0,"",IF(LEN(INDEX(Quotes!$V$9:$V$258,$AA1397)&amp;"")=0,"",INDEX(Quotes!$V$9:$V$258,$AA1397)))</f>
        <v/>
      </c>
      <c r="B1398" s="39"/>
      <c r="C1398" s="39"/>
      <c r="D1398" s="39"/>
      <c r="E1398" s="39"/>
      <c r="F1398" s="39"/>
      <c r="G1398" s="39"/>
      <c r="H1398" s="40" t="str">
        <f>IF($AA1397=0,"",IF(LEN(INDEX(Quotes!$W$9:$W$258,$AA1397)&amp;"")=0,"",INDEX(Quotes!$W$9:$W$258,$AA1397)))</f>
        <v/>
      </c>
      <c r="I1398" s="39"/>
      <c r="J1398" s="39"/>
      <c r="K1398" s="39"/>
      <c r="L1398" s="39"/>
      <c r="M1398" s="39"/>
      <c r="N1398" s="39"/>
      <c r="O1398" s="39"/>
      <c r="P1398" s="39"/>
      <c r="Q1398" s="39"/>
      <c r="R1398" s="77" t="str">
        <f>IF($AA1397=0,"",IF(LEN(INDEX(Quotes!$X$9:$X$258,$AA1397)&amp;"")=0,"",INDEX(Quotes!$X$9:$X$258,$AA1397)))</f>
        <v/>
      </c>
      <c r="S1398" s="39"/>
      <c r="T1398" s="39"/>
      <c r="U1398" s="39"/>
      <c r="V1398" s="39"/>
    </row>
    <row r="1399" spans="1:27" ht="21" hidden="1" customHeight="1" x14ac:dyDescent="0.35">
      <c r="A1399" s="83" t="str">
        <f>IF($AA1397=0,"","ORIGINAL EUR")</f>
        <v/>
      </c>
      <c r="B1399" s="39"/>
      <c r="C1399" s="39"/>
      <c r="D1399" s="39"/>
      <c r="E1399" s="39"/>
      <c r="F1399" s="39"/>
      <c r="G1399" s="39"/>
      <c r="I1399" s="83" t="str">
        <f>IF($AA1397=0,"","LATEST EUR")</f>
        <v/>
      </c>
      <c r="J1399" s="39"/>
      <c r="K1399" s="39"/>
      <c r="L1399" s="39"/>
      <c r="M1399" s="39"/>
      <c r="N1399" s="39"/>
      <c r="O1399" s="39"/>
      <c r="Q1399" s="83" t="str">
        <f>IF($AA1397=0,"","SAVED EUR")</f>
        <v/>
      </c>
      <c r="R1399" s="39"/>
      <c r="S1399" s="39"/>
      <c r="T1399" s="39"/>
      <c r="U1399" s="39"/>
      <c r="V1399" s="39"/>
    </row>
    <row r="1400" spans="1:27" ht="21" hidden="1" customHeight="1" x14ac:dyDescent="0.35">
      <c r="A1400" s="82" t="str">
        <f>IF($AA1397=0,"",IF(LEN(INDEX(Quotes!$AB$9:$AB$258,$AA1397)&amp;"")=0,"",INDEX(Quotes!$AB$9:$AB$258,$AA1397)))</f>
        <v/>
      </c>
      <c r="B1400" s="39"/>
      <c r="C1400" s="39"/>
      <c r="D1400" s="39"/>
      <c r="E1400" s="39"/>
      <c r="F1400" s="39"/>
      <c r="G1400" s="39"/>
      <c r="I1400" s="82" t="str">
        <f>IF($AA1397=0,"",IF(LEN(INDEX(Quotes!$AD$9:$AD$258,$AA1397)&amp;"")=0,"",INDEX(Quotes!$AD$9:$AD$258,$AA1397)))</f>
        <v/>
      </c>
      <c r="J1400" s="39"/>
      <c r="K1400" s="39"/>
      <c r="L1400" s="39"/>
      <c r="M1400" s="39"/>
      <c r="N1400" s="39"/>
      <c r="O1400" s="39"/>
      <c r="Q1400" s="82" t="str">
        <f>IF($AA1397=0,"",IF(LEN(INDEX(Quotes!$AF$9:$AF$258,$AA1397)&amp;"")=0,"",INDEX(Quotes!$AF$9:$AF$258,$AA1397)))</f>
        <v/>
      </c>
      <c r="R1400" s="39"/>
      <c r="S1400" s="39"/>
      <c r="T1400" s="39"/>
      <c r="U1400" s="39"/>
      <c r="V1400" s="39"/>
    </row>
    <row r="1401" spans="1:27" ht="21" hidden="1" customHeight="1" x14ac:dyDescent="0.35">
      <c r="A1401" s="48" t="str">
        <f>IF($AA1397=0,"","Reference: "&amp;IF(INDEX(Quotes!$M$9:$M$258,$AA1397)="",INDEX(Quotes!$S$9:$S$258,$AA1397),INDEX(Quotes!$M$9:$M$258,$AA1397)))</f>
        <v/>
      </c>
      <c r="B1401" s="39"/>
      <c r="C1401" s="39"/>
      <c r="D1401" s="39"/>
      <c r="E1401" s="39"/>
      <c r="F1401" s="39"/>
      <c r="G1401" s="39"/>
      <c r="H1401" s="39"/>
      <c r="I1401" s="39"/>
      <c r="J1401" s="39"/>
      <c r="K1401" s="39"/>
      <c r="L1401" s="39"/>
      <c r="M1401" s="39"/>
      <c r="N1401" s="39"/>
      <c r="O1401" s="39"/>
      <c r="P1401" s="39"/>
      <c r="Q1401" s="48" t="str">
        <f>IF($AA1397=0,"",INDEX(Quotes!$E$9:$E$258,$AA1397))</f>
        <v/>
      </c>
      <c r="R1401" s="39"/>
      <c r="S1401" s="39"/>
      <c r="T1401" s="39"/>
      <c r="U1401" s="39"/>
      <c r="V1401" s="39"/>
    </row>
    <row r="1402" spans="1:27" ht="21" hidden="1" customHeight="1" x14ac:dyDescent="0.35">
      <c r="A1402" s="81" t="str">
        <f>IF($AA1397=0,"",IF(INDEX(Quotes!$N$9:$N$258,$AA1397)="","No original link","Original quote"))</f>
        <v/>
      </c>
      <c r="B1402" s="39"/>
      <c r="C1402" s="39"/>
      <c r="D1402" s="39"/>
      <c r="E1402" s="39"/>
      <c r="F1402" s="39"/>
      <c r="G1402" s="39"/>
      <c r="I1402" s="81" t="str">
        <f>IF($AA1397=0,"",IF(INDEX(Quotes!$O$9:$O$258,$AA1397)="","No revised link","Revised quote"))</f>
        <v/>
      </c>
      <c r="J1402" s="39"/>
      <c r="K1402" s="39"/>
      <c r="L1402" s="39"/>
      <c r="M1402" s="39"/>
      <c r="N1402" s="39"/>
      <c r="O1402" s="39"/>
      <c r="Q1402" s="81" t="str">
        <f>IF($AA1397=0,"",HYPERLINK("#'Quotes'!A"&amp;($AA1397+8),"Open quote record"))</f>
        <v/>
      </c>
      <c r="R1402" s="39"/>
      <c r="S1402" s="39"/>
      <c r="T1402" s="39"/>
      <c r="U1402" s="39"/>
      <c r="V1402" s="39"/>
    </row>
    <row r="1403" spans="1:27" ht="21" hidden="1" customHeight="1" x14ac:dyDescent="0.35"/>
    <row r="1404" spans="1:27" hidden="1" x14ac:dyDescent="0.35"/>
    <row r="1405" spans="1:27" hidden="1" x14ac:dyDescent="0.35"/>
    <row r="1406" spans="1:27" hidden="1" x14ac:dyDescent="0.35"/>
    <row r="1407" spans="1:27" hidden="1" x14ac:dyDescent="0.35">
      <c r="A1407" s="67" t="s">
        <v>655</v>
      </c>
      <c r="B1407" s="39"/>
      <c r="C1407" s="39"/>
      <c r="D1407" s="39"/>
      <c r="E1407" s="39"/>
      <c r="F1407" s="39"/>
      <c r="G1407" s="39"/>
      <c r="H1407" s="39"/>
      <c r="I1407" s="39"/>
      <c r="J1407" s="39"/>
      <c r="K1407" s="39"/>
      <c r="L1407" s="39"/>
      <c r="M1407" s="39"/>
      <c r="N1407" s="39"/>
      <c r="O1407" s="39"/>
      <c r="P1407" s="39"/>
      <c r="Q1407" s="39"/>
      <c r="R1407" s="39"/>
      <c r="S1407" s="39"/>
      <c r="T1407" s="39"/>
      <c r="U1407" s="39"/>
      <c r="V1407" s="39"/>
    </row>
    <row r="1408" spans="1:27" ht="29" hidden="1" customHeight="1" x14ac:dyDescent="0.35">
      <c r="A1408" s="84" t="str">
        <f>IF($AA1408=0,"",IF(LEN(INDEX(Quotes!$U$9:$U$258,$AA1408)&amp;"")=0,"",INDEX(Quotes!$U$9:$U$258,$AA1408)))</f>
        <v/>
      </c>
      <c r="B1408" s="39"/>
      <c r="C1408" s="39"/>
      <c r="D1408" s="39"/>
      <c r="E1408" s="39"/>
      <c r="F1408" s="39"/>
      <c r="G1408" s="39"/>
      <c r="H1408" s="39"/>
      <c r="I1408" s="39"/>
      <c r="J1408" s="39"/>
      <c r="K1408" s="85" t="str">
        <f>IF($AA1408=0,"",IF(LEN(INDEX(Quotes!$Z$9:$Z$258,$AA1408)&amp;"")=0,"",INDEX(Quotes!$Z$9:$Z$258,$AA1408)))</f>
        <v/>
      </c>
      <c r="L1408" s="39"/>
      <c r="M1408" s="39"/>
      <c r="N1408" s="39"/>
      <c r="O1408" s="39"/>
      <c r="P1408" s="39"/>
      <c r="Q1408" s="39"/>
      <c r="R1408" s="39"/>
      <c r="S1408" s="39"/>
      <c r="T1408" s="39"/>
      <c r="U1408" s="39"/>
      <c r="V1408" s="39"/>
      <c r="AA1408">
        <f>IFERROR(MATCH(145,Quotes!$AK$9:$AK$258,0),0)</f>
        <v>0</v>
      </c>
    </row>
    <row r="1409" spans="1:27" ht="21" hidden="1" customHeight="1" x14ac:dyDescent="0.35">
      <c r="A1409" s="40" t="str">
        <f>IF($AA1408=0,"",IF(LEN(INDEX(Quotes!$V$9:$V$258,$AA1408)&amp;"")=0,"",INDEX(Quotes!$V$9:$V$258,$AA1408)))</f>
        <v/>
      </c>
      <c r="B1409" s="39"/>
      <c r="C1409" s="39"/>
      <c r="D1409" s="39"/>
      <c r="E1409" s="39"/>
      <c r="F1409" s="39"/>
      <c r="G1409" s="39"/>
      <c r="H1409" s="40" t="str">
        <f>IF($AA1408=0,"",IF(LEN(INDEX(Quotes!$W$9:$W$258,$AA1408)&amp;"")=0,"",INDEX(Quotes!$W$9:$W$258,$AA1408)))</f>
        <v/>
      </c>
      <c r="I1409" s="39"/>
      <c r="J1409" s="39"/>
      <c r="K1409" s="39"/>
      <c r="L1409" s="39"/>
      <c r="M1409" s="39"/>
      <c r="N1409" s="39"/>
      <c r="O1409" s="39"/>
      <c r="P1409" s="39"/>
      <c r="Q1409" s="39"/>
      <c r="R1409" s="77" t="str">
        <f>IF($AA1408=0,"",IF(LEN(INDEX(Quotes!$X$9:$X$258,$AA1408)&amp;"")=0,"",INDEX(Quotes!$X$9:$X$258,$AA1408)))</f>
        <v/>
      </c>
      <c r="S1409" s="39"/>
      <c r="T1409" s="39"/>
      <c r="U1409" s="39"/>
      <c r="V1409" s="39"/>
    </row>
    <row r="1410" spans="1:27" ht="21" hidden="1" customHeight="1" x14ac:dyDescent="0.35">
      <c r="A1410" s="83" t="str">
        <f>IF($AA1408=0,"","ORIGINAL EUR")</f>
        <v/>
      </c>
      <c r="B1410" s="39"/>
      <c r="C1410" s="39"/>
      <c r="D1410" s="39"/>
      <c r="E1410" s="39"/>
      <c r="F1410" s="39"/>
      <c r="G1410" s="39"/>
      <c r="I1410" s="83" t="str">
        <f>IF($AA1408=0,"","LATEST EUR")</f>
        <v/>
      </c>
      <c r="J1410" s="39"/>
      <c r="K1410" s="39"/>
      <c r="L1410" s="39"/>
      <c r="M1410" s="39"/>
      <c r="N1410" s="39"/>
      <c r="O1410" s="39"/>
      <c r="Q1410" s="83" t="str">
        <f>IF($AA1408=0,"","SAVED EUR")</f>
        <v/>
      </c>
      <c r="R1410" s="39"/>
      <c r="S1410" s="39"/>
      <c r="T1410" s="39"/>
      <c r="U1410" s="39"/>
      <c r="V1410" s="39"/>
    </row>
    <row r="1411" spans="1:27" ht="21" hidden="1" customHeight="1" x14ac:dyDescent="0.35">
      <c r="A1411" s="82" t="str">
        <f>IF($AA1408=0,"",IF(LEN(INDEX(Quotes!$AB$9:$AB$258,$AA1408)&amp;"")=0,"",INDEX(Quotes!$AB$9:$AB$258,$AA1408)))</f>
        <v/>
      </c>
      <c r="B1411" s="39"/>
      <c r="C1411" s="39"/>
      <c r="D1411" s="39"/>
      <c r="E1411" s="39"/>
      <c r="F1411" s="39"/>
      <c r="G1411" s="39"/>
      <c r="I1411" s="82" t="str">
        <f>IF($AA1408=0,"",IF(LEN(INDEX(Quotes!$AD$9:$AD$258,$AA1408)&amp;"")=0,"",INDEX(Quotes!$AD$9:$AD$258,$AA1408)))</f>
        <v/>
      </c>
      <c r="J1411" s="39"/>
      <c r="K1411" s="39"/>
      <c r="L1411" s="39"/>
      <c r="M1411" s="39"/>
      <c r="N1411" s="39"/>
      <c r="O1411" s="39"/>
      <c r="Q1411" s="82" t="str">
        <f>IF($AA1408=0,"",IF(LEN(INDEX(Quotes!$AF$9:$AF$258,$AA1408)&amp;"")=0,"",INDEX(Quotes!$AF$9:$AF$258,$AA1408)))</f>
        <v/>
      </c>
      <c r="R1411" s="39"/>
      <c r="S1411" s="39"/>
      <c r="T1411" s="39"/>
      <c r="U1411" s="39"/>
      <c r="V1411" s="39"/>
    </row>
    <row r="1412" spans="1:27" ht="21" hidden="1" customHeight="1" x14ac:dyDescent="0.35">
      <c r="A1412" s="48" t="str">
        <f>IF($AA1408=0,"","Reference: "&amp;IF(INDEX(Quotes!$M$9:$M$258,$AA1408)="",INDEX(Quotes!$S$9:$S$258,$AA1408),INDEX(Quotes!$M$9:$M$258,$AA1408)))</f>
        <v/>
      </c>
      <c r="B1412" s="39"/>
      <c r="C1412" s="39"/>
      <c r="D1412" s="39"/>
      <c r="E1412" s="39"/>
      <c r="F1412" s="39"/>
      <c r="G1412" s="39"/>
      <c r="H1412" s="39"/>
      <c r="I1412" s="39"/>
      <c r="J1412" s="39"/>
      <c r="K1412" s="39"/>
      <c r="L1412" s="39"/>
      <c r="M1412" s="39"/>
      <c r="N1412" s="39"/>
      <c r="O1412" s="39"/>
      <c r="P1412" s="39"/>
      <c r="Q1412" s="48" t="str">
        <f>IF($AA1408=0,"",INDEX(Quotes!$E$9:$E$258,$AA1408))</f>
        <v/>
      </c>
      <c r="R1412" s="39"/>
      <c r="S1412" s="39"/>
      <c r="T1412" s="39"/>
      <c r="U1412" s="39"/>
      <c r="V1412" s="39"/>
    </row>
    <row r="1413" spans="1:27" ht="21" hidden="1" customHeight="1" x14ac:dyDescent="0.35">
      <c r="A1413" s="81" t="str">
        <f>IF($AA1408=0,"",IF(INDEX(Quotes!$N$9:$N$258,$AA1408)="","No original link","Original quote"))</f>
        <v/>
      </c>
      <c r="B1413" s="39"/>
      <c r="C1413" s="39"/>
      <c r="D1413" s="39"/>
      <c r="E1413" s="39"/>
      <c r="F1413" s="39"/>
      <c r="G1413" s="39"/>
      <c r="I1413" s="81" t="str">
        <f>IF($AA1408=0,"",IF(INDEX(Quotes!$O$9:$O$258,$AA1408)="","No revised link","Revised quote"))</f>
        <v/>
      </c>
      <c r="J1413" s="39"/>
      <c r="K1413" s="39"/>
      <c r="L1413" s="39"/>
      <c r="M1413" s="39"/>
      <c r="N1413" s="39"/>
      <c r="O1413" s="39"/>
      <c r="Q1413" s="81" t="str">
        <f>IF($AA1408=0,"",HYPERLINK("#'Quotes'!A"&amp;($AA1408+8),"Open quote record"))</f>
        <v/>
      </c>
      <c r="R1413" s="39"/>
      <c r="S1413" s="39"/>
      <c r="T1413" s="39"/>
      <c r="U1413" s="39"/>
      <c r="V1413" s="39"/>
    </row>
    <row r="1414" spans="1:27" ht="21" hidden="1" customHeight="1" x14ac:dyDescent="0.35"/>
    <row r="1415" spans="1:27" hidden="1" x14ac:dyDescent="0.35"/>
    <row r="1416" spans="1:27" hidden="1" x14ac:dyDescent="0.35"/>
    <row r="1417" spans="1:27" ht="29" hidden="1" customHeight="1" x14ac:dyDescent="0.35">
      <c r="A1417" s="84" t="str">
        <f>IF($AA1417=0,"",IF(LEN(INDEX(Quotes!$U$9:$U$258,$AA1417)&amp;"")=0,"",INDEX(Quotes!$U$9:$U$258,$AA1417)))</f>
        <v/>
      </c>
      <c r="B1417" s="39"/>
      <c r="C1417" s="39"/>
      <c r="D1417" s="39"/>
      <c r="E1417" s="39"/>
      <c r="F1417" s="39"/>
      <c r="G1417" s="39"/>
      <c r="H1417" s="39"/>
      <c r="I1417" s="39"/>
      <c r="J1417" s="39"/>
      <c r="K1417" s="85" t="str">
        <f>IF($AA1417=0,"",IF(LEN(INDEX(Quotes!$Z$9:$Z$258,$AA1417)&amp;"")=0,"",INDEX(Quotes!$Z$9:$Z$258,$AA1417)))</f>
        <v/>
      </c>
      <c r="L1417" s="39"/>
      <c r="M1417" s="39"/>
      <c r="N1417" s="39"/>
      <c r="O1417" s="39"/>
      <c r="P1417" s="39"/>
      <c r="Q1417" s="39"/>
      <c r="R1417" s="39"/>
      <c r="S1417" s="39"/>
      <c r="T1417" s="39"/>
      <c r="U1417" s="39"/>
      <c r="V1417" s="39"/>
      <c r="AA1417">
        <f>IFERROR(MATCH(146,Quotes!$AK$9:$AK$258,0),0)</f>
        <v>0</v>
      </c>
    </row>
    <row r="1418" spans="1:27" ht="21" hidden="1" customHeight="1" x14ac:dyDescent="0.35">
      <c r="A1418" s="40" t="str">
        <f>IF($AA1417=0,"",IF(LEN(INDEX(Quotes!$V$9:$V$258,$AA1417)&amp;"")=0,"",INDEX(Quotes!$V$9:$V$258,$AA1417)))</f>
        <v/>
      </c>
      <c r="B1418" s="39"/>
      <c r="C1418" s="39"/>
      <c r="D1418" s="39"/>
      <c r="E1418" s="39"/>
      <c r="F1418" s="39"/>
      <c r="G1418" s="39"/>
      <c r="H1418" s="40" t="str">
        <f>IF($AA1417=0,"",IF(LEN(INDEX(Quotes!$W$9:$W$258,$AA1417)&amp;"")=0,"",INDEX(Quotes!$W$9:$W$258,$AA1417)))</f>
        <v/>
      </c>
      <c r="I1418" s="39"/>
      <c r="J1418" s="39"/>
      <c r="K1418" s="39"/>
      <c r="L1418" s="39"/>
      <c r="M1418" s="39"/>
      <c r="N1418" s="39"/>
      <c r="O1418" s="39"/>
      <c r="P1418" s="39"/>
      <c r="Q1418" s="39"/>
      <c r="R1418" s="77" t="str">
        <f>IF($AA1417=0,"",IF(LEN(INDEX(Quotes!$X$9:$X$258,$AA1417)&amp;"")=0,"",INDEX(Quotes!$X$9:$X$258,$AA1417)))</f>
        <v/>
      </c>
      <c r="S1418" s="39"/>
      <c r="T1418" s="39"/>
      <c r="U1418" s="39"/>
      <c r="V1418" s="39"/>
    </row>
    <row r="1419" spans="1:27" ht="21" hidden="1" customHeight="1" x14ac:dyDescent="0.35">
      <c r="A1419" s="83" t="str">
        <f>IF($AA1417=0,"","ORIGINAL EUR")</f>
        <v/>
      </c>
      <c r="B1419" s="39"/>
      <c r="C1419" s="39"/>
      <c r="D1419" s="39"/>
      <c r="E1419" s="39"/>
      <c r="F1419" s="39"/>
      <c r="G1419" s="39"/>
      <c r="I1419" s="83" t="str">
        <f>IF($AA1417=0,"","LATEST EUR")</f>
        <v/>
      </c>
      <c r="J1419" s="39"/>
      <c r="K1419" s="39"/>
      <c r="L1419" s="39"/>
      <c r="M1419" s="39"/>
      <c r="N1419" s="39"/>
      <c r="O1419" s="39"/>
      <c r="Q1419" s="83" t="str">
        <f>IF($AA1417=0,"","SAVED EUR")</f>
        <v/>
      </c>
      <c r="R1419" s="39"/>
      <c r="S1419" s="39"/>
      <c r="T1419" s="39"/>
      <c r="U1419" s="39"/>
      <c r="V1419" s="39"/>
    </row>
    <row r="1420" spans="1:27" ht="21" hidden="1" customHeight="1" x14ac:dyDescent="0.35">
      <c r="A1420" s="82" t="str">
        <f>IF($AA1417=0,"",IF(LEN(INDEX(Quotes!$AB$9:$AB$258,$AA1417)&amp;"")=0,"",INDEX(Quotes!$AB$9:$AB$258,$AA1417)))</f>
        <v/>
      </c>
      <c r="B1420" s="39"/>
      <c r="C1420" s="39"/>
      <c r="D1420" s="39"/>
      <c r="E1420" s="39"/>
      <c r="F1420" s="39"/>
      <c r="G1420" s="39"/>
      <c r="I1420" s="82" t="str">
        <f>IF($AA1417=0,"",IF(LEN(INDEX(Quotes!$AD$9:$AD$258,$AA1417)&amp;"")=0,"",INDEX(Quotes!$AD$9:$AD$258,$AA1417)))</f>
        <v/>
      </c>
      <c r="J1420" s="39"/>
      <c r="K1420" s="39"/>
      <c r="L1420" s="39"/>
      <c r="M1420" s="39"/>
      <c r="N1420" s="39"/>
      <c r="O1420" s="39"/>
      <c r="Q1420" s="82" t="str">
        <f>IF($AA1417=0,"",IF(LEN(INDEX(Quotes!$AF$9:$AF$258,$AA1417)&amp;"")=0,"",INDEX(Quotes!$AF$9:$AF$258,$AA1417)))</f>
        <v/>
      </c>
      <c r="R1420" s="39"/>
      <c r="S1420" s="39"/>
      <c r="T1420" s="39"/>
      <c r="U1420" s="39"/>
      <c r="V1420" s="39"/>
    </row>
    <row r="1421" spans="1:27" ht="21" hidden="1" customHeight="1" x14ac:dyDescent="0.35">
      <c r="A1421" s="48" t="str">
        <f>IF($AA1417=0,"","Reference: "&amp;IF(INDEX(Quotes!$M$9:$M$258,$AA1417)="",INDEX(Quotes!$S$9:$S$258,$AA1417),INDEX(Quotes!$M$9:$M$258,$AA1417)))</f>
        <v/>
      </c>
      <c r="B1421" s="39"/>
      <c r="C1421" s="39"/>
      <c r="D1421" s="39"/>
      <c r="E1421" s="39"/>
      <c r="F1421" s="39"/>
      <c r="G1421" s="39"/>
      <c r="H1421" s="39"/>
      <c r="I1421" s="39"/>
      <c r="J1421" s="39"/>
      <c r="K1421" s="39"/>
      <c r="L1421" s="39"/>
      <c r="M1421" s="39"/>
      <c r="N1421" s="39"/>
      <c r="O1421" s="39"/>
      <c r="P1421" s="39"/>
      <c r="Q1421" s="48" t="str">
        <f>IF($AA1417=0,"",INDEX(Quotes!$E$9:$E$258,$AA1417))</f>
        <v/>
      </c>
      <c r="R1421" s="39"/>
      <c r="S1421" s="39"/>
      <c r="T1421" s="39"/>
      <c r="U1421" s="39"/>
      <c r="V1421" s="39"/>
    </row>
    <row r="1422" spans="1:27" ht="21" hidden="1" customHeight="1" x14ac:dyDescent="0.35">
      <c r="A1422" s="81" t="str">
        <f>IF($AA1417=0,"",IF(INDEX(Quotes!$N$9:$N$258,$AA1417)="","No original link","Original quote"))</f>
        <v/>
      </c>
      <c r="B1422" s="39"/>
      <c r="C1422" s="39"/>
      <c r="D1422" s="39"/>
      <c r="E1422" s="39"/>
      <c r="F1422" s="39"/>
      <c r="G1422" s="39"/>
      <c r="I1422" s="81" t="str">
        <f>IF($AA1417=0,"",IF(INDEX(Quotes!$O$9:$O$258,$AA1417)="","No revised link","Revised quote"))</f>
        <v/>
      </c>
      <c r="J1422" s="39"/>
      <c r="K1422" s="39"/>
      <c r="L1422" s="39"/>
      <c r="M1422" s="39"/>
      <c r="N1422" s="39"/>
      <c r="O1422" s="39"/>
      <c r="Q1422" s="81" t="str">
        <f>IF($AA1417=0,"",HYPERLINK("#'Quotes'!A"&amp;($AA1417+8),"Open quote record"))</f>
        <v/>
      </c>
      <c r="R1422" s="39"/>
      <c r="S1422" s="39"/>
      <c r="T1422" s="39"/>
      <c r="U1422" s="39"/>
      <c r="V1422" s="39"/>
    </row>
    <row r="1423" spans="1:27" ht="21" hidden="1" customHeight="1" x14ac:dyDescent="0.35"/>
    <row r="1424" spans="1:27" hidden="1" x14ac:dyDescent="0.35"/>
    <row r="1425" spans="1:27" hidden="1" x14ac:dyDescent="0.35"/>
    <row r="1426" spans="1:27" ht="29" hidden="1" customHeight="1" x14ac:dyDescent="0.35">
      <c r="A1426" s="84" t="str">
        <f>IF($AA1426=0,"",IF(LEN(INDEX(Quotes!$U$9:$U$258,$AA1426)&amp;"")=0,"",INDEX(Quotes!$U$9:$U$258,$AA1426)))</f>
        <v/>
      </c>
      <c r="B1426" s="39"/>
      <c r="C1426" s="39"/>
      <c r="D1426" s="39"/>
      <c r="E1426" s="39"/>
      <c r="F1426" s="39"/>
      <c r="G1426" s="39"/>
      <c r="H1426" s="39"/>
      <c r="I1426" s="39"/>
      <c r="J1426" s="39"/>
      <c r="K1426" s="85" t="str">
        <f>IF($AA1426=0,"",IF(LEN(INDEX(Quotes!$Z$9:$Z$258,$AA1426)&amp;"")=0,"",INDEX(Quotes!$Z$9:$Z$258,$AA1426)))</f>
        <v/>
      </c>
      <c r="L1426" s="39"/>
      <c r="M1426" s="39"/>
      <c r="N1426" s="39"/>
      <c r="O1426" s="39"/>
      <c r="P1426" s="39"/>
      <c r="Q1426" s="39"/>
      <c r="R1426" s="39"/>
      <c r="S1426" s="39"/>
      <c r="T1426" s="39"/>
      <c r="U1426" s="39"/>
      <c r="V1426" s="39"/>
      <c r="AA1426">
        <f>IFERROR(MATCH(147,Quotes!$AK$9:$AK$258,0),0)</f>
        <v>0</v>
      </c>
    </row>
    <row r="1427" spans="1:27" ht="21" hidden="1" customHeight="1" x14ac:dyDescent="0.35">
      <c r="A1427" s="40" t="str">
        <f>IF($AA1426=0,"",IF(LEN(INDEX(Quotes!$V$9:$V$258,$AA1426)&amp;"")=0,"",INDEX(Quotes!$V$9:$V$258,$AA1426)))</f>
        <v/>
      </c>
      <c r="B1427" s="39"/>
      <c r="C1427" s="39"/>
      <c r="D1427" s="39"/>
      <c r="E1427" s="39"/>
      <c r="F1427" s="39"/>
      <c r="G1427" s="39"/>
      <c r="H1427" s="40" t="str">
        <f>IF($AA1426=0,"",IF(LEN(INDEX(Quotes!$W$9:$W$258,$AA1426)&amp;"")=0,"",INDEX(Quotes!$W$9:$W$258,$AA1426)))</f>
        <v/>
      </c>
      <c r="I1427" s="39"/>
      <c r="J1427" s="39"/>
      <c r="K1427" s="39"/>
      <c r="L1427" s="39"/>
      <c r="M1427" s="39"/>
      <c r="N1427" s="39"/>
      <c r="O1427" s="39"/>
      <c r="P1427" s="39"/>
      <c r="Q1427" s="39"/>
      <c r="R1427" s="77" t="str">
        <f>IF($AA1426=0,"",IF(LEN(INDEX(Quotes!$X$9:$X$258,$AA1426)&amp;"")=0,"",INDEX(Quotes!$X$9:$X$258,$AA1426)))</f>
        <v/>
      </c>
      <c r="S1427" s="39"/>
      <c r="T1427" s="39"/>
      <c r="U1427" s="39"/>
      <c r="V1427" s="39"/>
    </row>
    <row r="1428" spans="1:27" ht="21" hidden="1" customHeight="1" x14ac:dyDescent="0.35">
      <c r="A1428" s="83" t="str">
        <f>IF($AA1426=0,"","ORIGINAL EUR")</f>
        <v/>
      </c>
      <c r="B1428" s="39"/>
      <c r="C1428" s="39"/>
      <c r="D1428" s="39"/>
      <c r="E1428" s="39"/>
      <c r="F1428" s="39"/>
      <c r="G1428" s="39"/>
      <c r="I1428" s="83" t="str">
        <f>IF($AA1426=0,"","LATEST EUR")</f>
        <v/>
      </c>
      <c r="J1428" s="39"/>
      <c r="K1428" s="39"/>
      <c r="L1428" s="39"/>
      <c r="M1428" s="39"/>
      <c r="N1428" s="39"/>
      <c r="O1428" s="39"/>
      <c r="Q1428" s="83" t="str">
        <f>IF($AA1426=0,"","SAVED EUR")</f>
        <v/>
      </c>
      <c r="R1428" s="39"/>
      <c r="S1428" s="39"/>
      <c r="T1428" s="39"/>
      <c r="U1428" s="39"/>
      <c r="V1428" s="39"/>
    </row>
    <row r="1429" spans="1:27" ht="21" hidden="1" customHeight="1" x14ac:dyDescent="0.35">
      <c r="A1429" s="82" t="str">
        <f>IF($AA1426=0,"",IF(LEN(INDEX(Quotes!$AB$9:$AB$258,$AA1426)&amp;"")=0,"",INDEX(Quotes!$AB$9:$AB$258,$AA1426)))</f>
        <v/>
      </c>
      <c r="B1429" s="39"/>
      <c r="C1429" s="39"/>
      <c r="D1429" s="39"/>
      <c r="E1429" s="39"/>
      <c r="F1429" s="39"/>
      <c r="G1429" s="39"/>
      <c r="I1429" s="82" t="str">
        <f>IF($AA1426=0,"",IF(LEN(INDEX(Quotes!$AD$9:$AD$258,$AA1426)&amp;"")=0,"",INDEX(Quotes!$AD$9:$AD$258,$AA1426)))</f>
        <v/>
      </c>
      <c r="J1429" s="39"/>
      <c r="K1429" s="39"/>
      <c r="L1429" s="39"/>
      <c r="M1429" s="39"/>
      <c r="N1429" s="39"/>
      <c r="O1429" s="39"/>
      <c r="Q1429" s="82" t="str">
        <f>IF($AA1426=0,"",IF(LEN(INDEX(Quotes!$AF$9:$AF$258,$AA1426)&amp;"")=0,"",INDEX(Quotes!$AF$9:$AF$258,$AA1426)))</f>
        <v/>
      </c>
      <c r="R1429" s="39"/>
      <c r="S1429" s="39"/>
      <c r="T1429" s="39"/>
      <c r="U1429" s="39"/>
      <c r="V1429" s="39"/>
    </row>
    <row r="1430" spans="1:27" ht="21" hidden="1" customHeight="1" x14ac:dyDescent="0.35">
      <c r="A1430" s="48" t="str">
        <f>IF($AA1426=0,"","Reference: "&amp;IF(INDEX(Quotes!$M$9:$M$258,$AA1426)="",INDEX(Quotes!$S$9:$S$258,$AA1426),INDEX(Quotes!$M$9:$M$258,$AA1426)))</f>
        <v/>
      </c>
      <c r="B1430" s="39"/>
      <c r="C1430" s="39"/>
      <c r="D1430" s="39"/>
      <c r="E1430" s="39"/>
      <c r="F1430" s="39"/>
      <c r="G1430" s="39"/>
      <c r="H1430" s="39"/>
      <c r="I1430" s="39"/>
      <c r="J1430" s="39"/>
      <c r="K1430" s="39"/>
      <c r="L1430" s="39"/>
      <c r="M1430" s="39"/>
      <c r="N1430" s="39"/>
      <c r="O1430" s="39"/>
      <c r="P1430" s="39"/>
      <c r="Q1430" s="48" t="str">
        <f>IF($AA1426=0,"",INDEX(Quotes!$E$9:$E$258,$AA1426))</f>
        <v/>
      </c>
      <c r="R1430" s="39"/>
      <c r="S1430" s="39"/>
      <c r="T1430" s="39"/>
      <c r="U1430" s="39"/>
      <c r="V1430" s="39"/>
    </row>
    <row r="1431" spans="1:27" ht="21" hidden="1" customHeight="1" x14ac:dyDescent="0.35">
      <c r="A1431" s="81" t="str">
        <f>IF($AA1426=0,"",IF(INDEX(Quotes!$N$9:$N$258,$AA1426)="","No original link","Original quote"))</f>
        <v/>
      </c>
      <c r="B1431" s="39"/>
      <c r="C1431" s="39"/>
      <c r="D1431" s="39"/>
      <c r="E1431" s="39"/>
      <c r="F1431" s="39"/>
      <c r="G1431" s="39"/>
      <c r="I1431" s="81" t="str">
        <f>IF($AA1426=0,"",IF(INDEX(Quotes!$O$9:$O$258,$AA1426)="","No revised link","Revised quote"))</f>
        <v/>
      </c>
      <c r="J1431" s="39"/>
      <c r="K1431" s="39"/>
      <c r="L1431" s="39"/>
      <c r="M1431" s="39"/>
      <c r="N1431" s="39"/>
      <c r="O1431" s="39"/>
      <c r="Q1431" s="81" t="str">
        <f>IF($AA1426=0,"",HYPERLINK("#'Quotes'!A"&amp;($AA1426+8),"Open quote record"))</f>
        <v/>
      </c>
      <c r="R1431" s="39"/>
      <c r="S1431" s="39"/>
      <c r="T1431" s="39"/>
      <c r="U1431" s="39"/>
      <c r="V1431" s="39"/>
    </row>
    <row r="1432" spans="1:27" ht="21" hidden="1" customHeight="1" x14ac:dyDescent="0.35"/>
    <row r="1433" spans="1:27" hidden="1" x14ac:dyDescent="0.35"/>
    <row r="1434" spans="1:27" hidden="1" x14ac:dyDescent="0.35"/>
    <row r="1435" spans="1:27" ht="29" hidden="1" customHeight="1" x14ac:dyDescent="0.35">
      <c r="A1435" s="84" t="str">
        <f>IF($AA1435=0,"",IF(LEN(INDEX(Quotes!$U$9:$U$258,$AA1435)&amp;"")=0,"",INDEX(Quotes!$U$9:$U$258,$AA1435)))</f>
        <v/>
      </c>
      <c r="B1435" s="39"/>
      <c r="C1435" s="39"/>
      <c r="D1435" s="39"/>
      <c r="E1435" s="39"/>
      <c r="F1435" s="39"/>
      <c r="G1435" s="39"/>
      <c r="H1435" s="39"/>
      <c r="I1435" s="39"/>
      <c r="J1435" s="39"/>
      <c r="K1435" s="85" t="str">
        <f>IF($AA1435=0,"",IF(LEN(INDEX(Quotes!$Z$9:$Z$258,$AA1435)&amp;"")=0,"",INDEX(Quotes!$Z$9:$Z$258,$AA1435)))</f>
        <v/>
      </c>
      <c r="L1435" s="39"/>
      <c r="M1435" s="39"/>
      <c r="N1435" s="39"/>
      <c r="O1435" s="39"/>
      <c r="P1435" s="39"/>
      <c r="Q1435" s="39"/>
      <c r="R1435" s="39"/>
      <c r="S1435" s="39"/>
      <c r="T1435" s="39"/>
      <c r="U1435" s="39"/>
      <c r="V1435" s="39"/>
      <c r="AA1435">
        <f>IFERROR(MATCH(148,Quotes!$AK$9:$AK$258,0),0)</f>
        <v>0</v>
      </c>
    </row>
    <row r="1436" spans="1:27" ht="21" hidden="1" customHeight="1" x14ac:dyDescent="0.35">
      <c r="A1436" s="40" t="str">
        <f>IF($AA1435=0,"",IF(LEN(INDEX(Quotes!$V$9:$V$258,$AA1435)&amp;"")=0,"",INDEX(Quotes!$V$9:$V$258,$AA1435)))</f>
        <v/>
      </c>
      <c r="B1436" s="39"/>
      <c r="C1436" s="39"/>
      <c r="D1436" s="39"/>
      <c r="E1436" s="39"/>
      <c r="F1436" s="39"/>
      <c r="G1436" s="39"/>
      <c r="H1436" s="40" t="str">
        <f>IF($AA1435=0,"",IF(LEN(INDEX(Quotes!$W$9:$W$258,$AA1435)&amp;"")=0,"",INDEX(Quotes!$W$9:$W$258,$AA1435)))</f>
        <v/>
      </c>
      <c r="I1436" s="39"/>
      <c r="J1436" s="39"/>
      <c r="K1436" s="39"/>
      <c r="L1436" s="39"/>
      <c r="M1436" s="39"/>
      <c r="N1436" s="39"/>
      <c r="O1436" s="39"/>
      <c r="P1436" s="39"/>
      <c r="Q1436" s="39"/>
      <c r="R1436" s="77" t="str">
        <f>IF($AA1435=0,"",IF(LEN(INDEX(Quotes!$X$9:$X$258,$AA1435)&amp;"")=0,"",INDEX(Quotes!$X$9:$X$258,$AA1435)))</f>
        <v/>
      </c>
      <c r="S1436" s="39"/>
      <c r="T1436" s="39"/>
      <c r="U1436" s="39"/>
      <c r="V1436" s="39"/>
    </row>
    <row r="1437" spans="1:27" ht="21" hidden="1" customHeight="1" x14ac:dyDescent="0.35">
      <c r="A1437" s="83" t="str">
        <f>IF($AA1435=0,"","ORIGINAL EUR")</f>
        <v/>
      </c>
      <c r="B1437" s="39"/>
      <c r="C1437" s="39"/>
      <c r="D1437" s="39"/>
      <c r="E1437" s="39"/>
      <c r="F1437" s="39"/>
      <c r="G1437" s="39"/>
      <c r="I1437" s="83" t="str">
        <f>IF($AA1435=0,"","LATEST EUR")</f>
        <v/>
      </c>
      <c r="J1437" s="39"/>
      <c r="K1437" s="39"/>
      <c r="L1437" s="39"/>
      <c r="M1437" s="39"/>
      <c r="N1437" s="39"/>
      <c r="O1437" s="39"/>
      <c r="Q1437" s="83" t="str">
        <f>IF($AA1435=0,"","SAVED EUR")</f>
        <v/>
      </c>
      <c r="R1437" s="39"/>
      <c r="S1437" s="39"/>
      <c r="T1437" s="39"/>
      <c r="U1437" s="39"/>
      <c r="V1437" s="39"/>
    </row>
    <row r="1438" spans="1:27" ht="21" hidden="1" customHeight="1" x14ac:dyDescent="0.35">
      <c r="A1438" s="82" t="str">
        <f>IF($AA1435=0,"",IF(LEN(INDEX(Quotes!$AB$9:$AB$258,$AA1435)&amp;"")=0,"",INDEX(Quotes!$AB$9:$AB$258,$AA1435)))</f>
        <v/>
      </c>
      <c r="B1438" s="39"/>
      <c r="C1438" s="39"/>
      <c r="D1438" s="39"/>
      <c r="E1438" s="39"/>
      <c r="F1438" s="39"/>
      <c r="G1438" s="39"/>
      <c r="I1438" s="82" t="str">
        <f>IF($AA1435=0,"",IF(LEN(INDEX(Quotes!$AD$9:$AD$258,$AA1435)&amp;"")=0,"",INDEX(Quotes!$AD$9:$AD$258,$AA1435)))</f>
        <v/>
      </c>
      <c r="J1438" s="39"/>
      <c r="K1438" s="39"/>
      <c r="L1438" s="39"/>
      <c r="M1438" s="39"/>
      <c r="N1438" s="39"/>
      <c r="O1438" s="39"/>
      <c r="Q1438" s="82" t="str">
        <f>IF($AA1435=0,"",IF(LEN(INDEX(Quotes!$AF$9:$AF$258,$AA1435)&amp;"")=0,"",INDEX(Quotes!$AF$9:$AF$258,$AA1435)))</f>
        <v/>
      </c>
      <c r="R1438" s="39"/>
      <c r="S1438" s="39"/>
      <c r="T1438" s="39"/>
      <c r="U1438" s="39"/>
      <c r="V1438" s="39"/>
    </row>
    <row r="1439" spans="1:27" ht="21" hidden="1" customHeight="1" x14ac:dyDescent="0.35">
      <c r="A1439" s="48" t="str">
        <f>IF($AA1435=0,"","Reference: "&amp;IF(INDEX(Quotes!$M$9:$M$258,$AA1435)="",INDEX(Quotes!$S$9:$S$258,$AA1435),INDEX(Quotes!$M$9:$M$258,$AA1435)))</f>
        <v/>
      </c>
      <c r="B1439" s="39"/>
      <c r="C1439" s="39"/>
      <c r="D1439" s="39"/>
      <c r="E1439" s="39"/>
      <c r="F1439" s="39"/>
      <c r="G1439" s="39"/>
      <c r="H1439" s="39"/>
      <c r="I1439" s="39"/>
      <c r="J1439" s="39"/>
      <c r="K1439" s="39"/>
      <c r="L1439" s="39"/>
      <c r="M1439" s="39"/>
      <c r="N1439" s="39"/>
      <c r="O1439" s="39"/>
      <c r="P1439" s="39"/>
      <c r="Q1439" s="48" t="str">
        <f>IF($AA1435=0,"",INDEX(Quotes!$E$9:$E$258,$AA1435))</f>
        <v/>
      </c>
      <c r="R1439" s="39"/>
      <c r="S1439" s="39"/>
      <c r="T1439" s="39"/>
      <c r="U1439" s="39"/>
      <c r="V1439" s="39"/>
    </row>
    <row r="1440" spans="1:27" ht="21" hidden="1" customHeight="1" x14ac:dyDescent="0.35">
      <c r="A1440" s="81" t="str">
        <f>IF($AA1435=0,"",IF(INDEX(Quotes!$N$9:$N$258,$AA1435)="","No original link","Original quote"))</f>
        <v/>
      </c>
      <c r="B1440" s="39"/>
      <c r="C1440" s="39"/>
      <c r="D1440" s="39"/>
      <c r="E1440" s="39"/>
      <c r="F1440" s="39"/>
      <c r="G1440" s="39"/>
      <c r="I1440" s="81" t="str">
        <f>IF($AA1435=0,"",IF(INDEX(Quotes!$O$9:$O$258,$AA1435)="","No revised link","Revised quote"))</f>
        <v/>
      </c>
      <c r="J1440" s="39"/>
      <c r="K1440" s="39"/>
      <c r="L1440" s="39"/>
      <c r="M1440" s="39"/>
      <c r="N1440" s="39"/>
      <c r="O1440" s="39"/>
      <c r="Q1440" s="81" t="str">
        <f>IF($AA1435=0,"",HYPERLINK("#'Quotes'!A"&amp;($AA1435+8),"Open quote record"))</f>
        <v/>
      </c>
      <c r="R1440" s="39"/>
      <c r="S1440" s="39"/>
      <c r="T1440" s="39"/>
      <c r="U1440" s="39"/>
      <c r="V1440" s="39"/>
    </row>
    <row r="1441" spans="1:27" ht="21" hidden="1" customHeight="1" x14ac:dyDescent="0.35"/>
    <row r="1442" spans="1:27" hidden="1" x14ac:dyDescent="0.35"/>
    <row r="1443" spans="1:27" hidden="1" x14ac:dyDescent="0.35"/>
    <row r="1444" spans="1:27" hidden="1" x14ac:dyDescent="0.35"/>
    <row r="1445" spans="1:27" hidden="1" x14ac:dyDescent="0.35">
      <c r="A1445" s="67" t="s">
        <v>655</v>
      </c>
      <c r="B1445" s="39"/>
      <c r="C1445" s="39"/>
      <c r="D1445" s="39"/>
      <c r="E1445" s="39"/>
      <c r="F1445" s="39"/>
      <c r="G1445" s="39"/>
      <c r="H1445" s="39"/>
      <c r="I1445" s="39"/>
      <c r="J1445" s="39"/>
      <c r="K1445" s="39"/>
      <c r="L1445" s="39"/>
      <c r="M1445" s="39"/>
      <c r="N1445" s="39"/>
      <c r="O1445" s="39"/>
      <c r="P1445" s="39"/>
      <c r="Q1445" s="39"/>
      <c r="R1445" s="39"/>
      <c r="S1445" s="39"/>
      <c r="T1445" s="39"/>
      <c r="U1445" s="39"/>
      <c r="V1445" s="39"/>
    </row>
    <row r="1446" spans="1:27" ht="29" hidden="1" customHeight="1" x14ac:dyDescent="0.35">
      <c r="A1446" s="84" t="str">
        <f>IF($AA1446=0,"",IF(LEN(INDEX(Quotes!$U$9:$U$258,$AA1446)&amp;"")=0,"",INDEX(Quotes!$U$9:$U$258,$AA1446)))</f>
        <v/>
      </c>
      <c r="B1446" s="39"/>
      <c r="C1446" s="39"/>
      <c r="D1446" s="39"/>
      <c r="E1446" s="39"/>
      <c r="F1446" s="39"/>
      <c r="G1446" s="39"/>
      <c r="H1446" s="39"/>
      <c r="I1446" s="39"/>
      <c r="J1446" s="39"/>
      <c r="K1446" s="85" t="str">
        <f>IF($AA1446=0,"",IF(LEN(INDEX(Quotes!$Z$9:$Z$258,$AA1446)&amp;"")=0,"",INDEX(Quotes!$Z$9:$Z$258,$AA1446)))</f>
        <v/>
      </c>
      <c r="L1446" s="39"/>
      <c r="M1446" s="39"/>
      <c r="N1446" s="39"/>
      <c r="O1446" s="39"/>
      <c r="P1446" s="39"/>
      <c r="Q1446" s="39"/>
      <c r="R1446" s="39"/>
      <c r="S1446" s="39"/>
      <c r="T1446" s="39"/>
      <c r="U1446" s="39"/>
      <c r="V1446" s="39"/>
      <c r="AA1446">
        <f>IFERROR(MATCH(149,Quotes!$AK$9:$AK$258,0),0)</f>
        <v>0</v>
      </c>
    </row>
    <row r="1447" spans="1:27" ht="21" hidden="1" customHeight="1" x14ac:dyDescent="0.35">
      <c r="A1447" s="40" t="str">
        <f>IF($AA1446=0,"",IF(LEN(INDEX(Quotes!$V$9:$V$258,$AA1446)&amp;"")=0,"",INDEX(Quotes!$V$9:$V$258,$AA1446)))</f>
        <v/>
      </c>
      <c r="B1447" s="39"/>
      <c r="C1447" s="39"/>
      <c r="D1447" s="39"/>
      <c r="E1447" s="39"/>
      <c r="F1447" s="39"/>
      <c r="G1447" s="39"/>
      <c r="H1447" s="40" t="str">
        <f>IF($AA1446=0,"",IF(LEN(INDEX(Quotes!$W$9:$W$258,$AA1446)&amp;"")=0,"",INDEX(Quotes!$W$9:$W$258,$AA1446)))</f>
        <v/>
      </c>
      <c r="I1447" s="39"/>
      <c r="J1447" s="39"/>
      <c r="K1447" s="39"/>
      <c r="L1447" s="39"/>
      <c r="M1447" s="39"/>
      <c r="N1447" s="39"/>
      <c r="O1447" s="39"/>
      <c r="P1447" s="39"/>
      <c r="Q1447" s="39"/>
      <c r="R1447" s="77" t="str">
        <f>IF($AA1446=0,"",IF(LEN(INDEX(Quotes!$X$9:$X$258,$AA1446)&amp;"")=0,"",INDEX(Quotes!$X$9:$X$258,$AA1446)))</f>
        <v/>
      </c>
      <c r="S1447" s="39"/>
      <c r="T1447" s="39"/>
      <c r="U1447" s="39"/>
      <c r="V1447" s="39"/>
    </row>
    <row r="1448" spans="1:27" ht="21" hidden="1" customHeight="1" x14ac:dyDescent="0.35">
      <c r="A1448" s="83" t="str">
        <f>IF($AA1446=0,"","ORIGINAL EUR")</f>
        <v/>
      </c>
      <c r="B1448" s="39"/>
      <c r="C1448" s="39"/>
      <c r="D1448" s="39"/>
      <c r="E1448" s="39"/>
      <c r="F1448" s="39"/>
      <c r="G1448" s="39"/>
      <c r="I1448" s="83" t="str">
        <f>IF($AA1446=0,"","LATEST EUR")</f>
        <v/>
      </c>
      <c r="J1448" s="39"/>
      <c r="K1448" s="39"/>
      <c r="L1448" s="39"/>
      <c r="M1448" s="39"/>
      <c r="N1448" s="39"/>
      <c r="O1448" s="39"/>
      <c r="Q1448" s="83" t="str">
        <f>IF($AA1446=0,"","SAVED EUR")</f>
        <v/>
      </c>
      <c r="R1448" s="39"/>
      <c r="S1448" s="39"/>
      <c r="T1448" s="39"/>
      <c r="U1448" s="39"/>
      <c r="V1448" s="39"/>
    </row>
    <row r="1449" spans="1:27" ht="21" hidden="1" customHeight="1" x14ac:dyDescent="0.35">
      <c r="A1449" s="82" t="str">
        <f>IF($AA1446=0,"",IF(LEN(INDEX(Quotes!$AB$9:$AB$258,$AA1446)&amp;"")=0,"",INDEX(Quotes!$AB$9:$AB$258,$AA1446)))</f>
        <v/>
      </c>
      <c r="B1449" s="39"/>
      <c r="C1449" s="39"/>
      <c r="D1449" s="39"/>
      <c r="E1449" s="39"/>
      <c r="F1449" s="39"/>
      <c r="G1449" s="39"/>
      <c r="I1449" s="82" t="str">
        <f>IF($AA1446=0,"",IF(LEN(INDEX(Quotes!$AD$9:$AD$258,$AA1446)&amp;"")=0,"",INDEX(Quotes!$AD$9:$AD$258,$AA1446)))</f>
        <v/>
      </c>
      <c r="J1449" s="39"/>
      <c r="K1449" s="39"/>
      <c r="L1449" s="39"/>
      <c r="M1449" s="39"/>
      <c r="N1449" s="39"/>
      <c r="O1449" s="39"/>
      <c r="Q1449" s="82" t="str">
        <f>IF($AA1446=0,"",IF(LEN(INDEX(Quotes!$AF$9:$AF$258,$AA1446)&amp;"")=0,"",INDEX(Quotes!$AF$9:$AF$258,$AA1446)))</f>
        <v/>
      </c>
      <c r="R1449" s="39"/>
      <c r="S1449" s="39"/>
      <c r="T1449" s="39"/>
      <c r="U1449" s="39"/>
      <c r="V1449" s="39"/>
    </row>
    <row r="1450" spans="1:27" ht="21" hidden="1" customHeight="1" x14ac:dyDescent="0.35">
      <c r="A1450" s="48" t="str">
        <f>IF($AA1446=0,"","Reference: "&amp;IF(INDEX(Quotes!$M$9:$M$258,$AA1446)="",INDEX(Quotes!$S$9:$S$258,$AA1446),INDEX(Quotes!$M$9:$M$258,$AA1446)))</f>
        <v/>
      </c>
      <c r="B1450" s="39"/>
      <c r="C1450" s="39"/>
      <c r="D1450" s="39"/>
      <c r="E1450" s="39"/>
      <c r="F1450" s="39"/>
      <c r="G1450" s="39"/>
      <c r="H1450" s="39"/>
      <c r="I1450" s="39"/>
      <c r="J1450" s="39"/>
      <c r="K1450" s="39"/>
      <c r="L1450" s="39"/>
      <c r="M1450" s="39"/>
      <c r="N1450" s="39"/>
      <c r="O1450" s="39"/>
      <c r="P1450" s="39"/>
      <c r="Q1450" s="48" t="str">
        <f>IF($AA1446=0,"",INDEX(Quotes!$E$9:$E$258,$AA1446))</f>
        <v/>
      </c>
      <c r="R1450" s="39"/>
      <c r="S1450" s="39"/>
      <c r="T1450" s="39"/>
      <c r="U1450" s="39"/>
      <c r="V1450" s="39"/>
    </row>
    <row r="1451" spans="1:27" ht="21" hidden="1" customHeight="1" x14ac:dyDescent="0.35">
      <c r="A1451" s="81" t="str">
        <f>IF($AA1446=0,"",IF(INDEX(Quotes!$N$9:$N$258,$AA1446)="","No original link","Original quote"))</f>
        <v/>
      </c>
      <c r="B1451" s="39"/>
      <c r="C1451" s="39"/>
      <c r="D1451" s="39"/>
      <c r="E1451" s="39"/>
      <c r="F1451" s="39"/>
      <c r="G1451" s="39"/>
      <c r="I1451" s="81" t="str">
        <f>IF($AA1446=0,"",IF(INDEX(Quotes!$O$9:$O$258,$AA1446)="","No revised link","Revised quote"))</f>
        <v/>
      </c>
      <c r="J1451" s="39"/>
      <c r="K1451" s="39"/>
      <c r="L1451" s="39"/>
      <c r="M1451" s="39"/>
      <c r="N1451" s="39"/>
      <c r="O1451" s="39"/>
      <c r="Q1451" s="81" t="str">
        <f>IF($AA1446=0,"",HYPERLINK("#'Quotes'!A"&amp;($AA1446+8),"Open quote record"))</f>
        <v/>
      </c>
      <c r="R1451" s="39"/>
      <c r="S1451" s="39"/>
      <c r="T1451" s="39"/>
      <c r="U1451" s="39"/>
      <c r="V1451" s="39"/>
    </row>
    <row r="1452" spans="1:27" ht="21" hidden="1" customHeight="1" x14ac:dyDescent="0.35"/>
    <row r="1453" spans="1:27" hidden="1" x14ac:dyDescent="0.35"/>
    <row r="1454" spans="1:27" hidden="1" x14ac:dyDescent="0.35"/>
    <row r="1455" spans="1:27" ht="29" hidden="1" customHeight="1" x14ac:dyDescent="0.35">
      <c r="A1455" s="84" t="str">
        <f>IF($AA1455=0,"",IF(LEN(INDEX(Quotes!$U$9:$U$258,$AA1455)&amp;"")=0,"",INDEX(Quotes!$U$9:$U$258,$AA1455)))</f>
        <v/>
      </c>
      <c r="B1455" s="39"/>
      <c r="C1455" s="39"/>
      <c r="D1455" s="39"/>
      <c r="E1455" s="39"/>
      <c r="F1455" s="39"/>
      <c r="G1455" s="39"/>
      <c r="H1455" s="39"/>
      <c r="I1455" s="39"/>
      <c r="J1455" s="39"/>
      <c r="K1455" s="85" t="str">
        <f>IF($AA1455=0,"",IF(LEN(INDEX(Quotes!$Z$9:$Z$258,$AA1455)&amp;"")=0,"",INDEX(Quotes!$Z$9:$Z$258,$AA1455)))</f>
        <v/>
      </c>
      <c r="L1455" s="39"/>
      <c r="M1455" s="39"/>
      <c r="N1455" s="39"/>
      <c r="O1455" s="39"/>
      <c r="P1455" s="39"/>
      <c r="Q1455" s="39"/>
      <c r="R1455" s="39"/>
      <c r="S1455" s="39"/>
      <c r="T1455" s="39"/>
      <c r="U1455" s="39"/>
      <c r="V1455" s="39"/>
      <c r="AA1455">
        <f>IFERROR(MATCH(150,Quotes!$AK$9:$AK$258,0),0)</f>
        <v>0</v>
      </c>
    </row>
    <row r="1456" spans="1:27" ht="21" hidden="1" customHeight="1" x14ac:dyDescent="0.35">
      <c r="A1456" s="40" t="str">
        <f>IF($AA1455=0,"",IF(LEN(INDEX(Quotes!$V$9:$V$258,$AA1455)&amp;"")=0,"",INDEX(Quotes!$V$9:$V$258,$AA1455)))</f>
        <v/>
      </c>
      <c r="B1456" s="39"/>
      <c r="C1456" s="39"/>
      <c r="D1456" s="39"/>
      <c r="E1456" s="39"/>
      <c r="F1456" s="39"/>
      <c r="G1456" s="39"/>
      <c r="H1456" s="40" t="str">
        <f>IF($AA1455=0,"",IF(LEN(INDEX(Quotes!$W$9:$W$258,$AA1455)&amp;"")=0,"",INDEX(Quotes!$W$9:$W$258,$AA1455)))</f>
        <v/>
      </c>
      <c r="I1456" s="39"/>
      <c r="J1456" s="39"/>
      <c r="K1456" s="39"/>
      <c r="L1456" s="39"/>
      <c r="M1456" s="39"/>
      <c r="N1456" s="39"/>
      <c r="O1456" s="39"/>
      <c r="P1456" s="39"/>
      <c r="Q1456" s="39"/>
      <c r="R1456" s="77" t="str">
        <f>IF($AA1455=0,"",IF(LEN(INDEX(Quotes!$X$9:$X$258,$AA1455)&amp;"")=0,"",INDEX(Quotes!$X$9:$X$258,$AA1455)))</f>
        <v/>
      </c>
      <c r="S1456" s="39"/>
      <c r="T1456" s="39"/>
      <c r="U1456" s="39"/>
      <c r="V1456" s="39"/>
    </row>
    <row r="1457" spans="1:27" ht="21" hidden="1" customHeight="1" x14ac:dyDescent="0.35">
      <c r="A1457" s="83" t="str">
        <f>IF($AA1455=0,"","ORIGINAL EUR")</f>
        <v/>
      </c>
      <c r="B1457" s="39"/>
      <c r="C1457" s="39"/>
      <c r="D1457" s="39"/>
      <c r="E1457" s="39"/>
      <c r="F1457" s="39"/>
      <c r="G1457" s="39"/>
      <c r="I1457" s="83" t="str">
        <f>IF($AA1455=0,"","LATEST EUR")</f>
        <v/>
      </c>
      <c r="J1457" s="39"/>
      <c r="K1457" s="39"/>
      <c r="L1457" s="39"/>
      <c r="M1457" s="39"/>
      <c r="N1457" s="39"/>
      <c r="O1457" s="39"/>
      <c r="Q1457" s="83" t="str">
        <f>IF($AA1455=0,"","SAVED EUR")</f>
        <v/>
      </c>
      <c r="R1457" s="39"/>
      <c r="S1457" s="39"/>
      <c r="T1457" s="39"/>
      <c r="U1457" s="39"/>
      <c r="V1457" s="39"/>
    </row>
    <row r="1458" spans="1:27" ht="21" hidden="1" customHeight="1" x14ac:dyDescent="0.35">
      <c r="A1458" s="82" t="str">
        <f>IF($AA1455=0,"",IF(LEN(INDEX(Quotes!$AB$9:$AB$258,$AA1455)&amp;"")=0,"",INDEX(Quotes!$AB$9:$AB$258,$AA1455)))</f>
        <v/>
      </c>
      <c r="B1458" s="39"/>
      <c r="C1458" s="39"/>
      <c r="D1458" s="39"/>
      <c r="E1458" s="39"/>
      <c r="F1458" s="39"/>
      <c r="G1458" s="39"/>
      <c r="I1458" s="82" t="str">
        <f>IF($AA1455=0,"",IF(LEN(INDEX(Quotes!$AD$9:$AD$258,$AA1455)&amp;"")=0,"",INDEX(Quotes!$AD$9:$AD$258,$AA1455)))</f>
        <v/>
      </c>
      <c r="J1458" s="39"/>
      <c r="K1458" s="39"/>
      <c r="L1458" s="39"/>
      <c r="M1458" s="39"/>
      <c r="N1458" s="39"/>
      <c r="O1458" s="39"/>
      <c r="Q1458" s="82" t="str">
        <f>IF($AA1455=0,"",IF(LEN(INDEX(Quotes!$AF$9:$AF$258,$AA1455)&amp;"")=0,"",INDEX(Quotes!$AF$9:$AF$258,$AA1455)))</f>
        <v/>
      </c>
      <c r="R1458" s="39"/>
      <c r="S1458" s="39"/>
      <c r="T1458" s="39"/>
      <c r="U1458" s="39"/>
      <c r="V1458" s="39"/>
    </row>
    <row r="1459" spans="1:27" ht="21" hidden="1" customHeight="1" x14ac:dyDescent="0.35">
      <c r="A1459" s="48" t="str">
        <f>IF($AA1455=0,"","Reference: "&amp;IF(INDEX(Quotes!$M$9:$M$258,$AA1455)="",INDEX(Quotes!$S$9:$S$258,$AA1455),INDEX(Quotes!$M$9:$M$258,$AA1455)))</f>
        <v/>
      </c>
      <c r="B1459" s="39"/>
      <c r="C1459" s="39"/>
      <c r="D1459" s="39"/>
      <c r="E1459" s="39"/>
      <c r="F1459" s="39"/>
      <c r="G1459" s="39"/>
      <c r="H1459" s="39"/>
      <c r="I1459" s="39"/>
      <c r="J1459" s="39"/>
      <c r="K1459" s="39"/>
      <c r="L1459" s="39"/>
      <c r="M1459" s="39"/>
      <c r="N1459" s="39"/>
      <c r="O1459" s="39"/>
      <c r="P1459" s="39"/>
      <c r="Q1459" s="48" t="str">
        <f>IF($AA1455=0,"",INDEX(Quotes!$E$9:$E$258,$AA1455))</f>
        <v/>
      </c>
      <c r="R1459" s="39"/>
      <c r="S1459" s="39"/>
      <c r="T1459" s="39"/>
      <c r="U1459" s="39"/>
      <c r="V1459" s="39"/>
    </row>
    <row r="1460" spans="1:27" ht="21" hidden="1" customHeight="1" x14ac:dyDescent="0.35">
      <c r="A1460" s="81" t="str">
        <f>IF($AA1455=0,"",IF(INDEX(Quotes!$N$9:$N$258,$AA1455)="","No original link","Original quote"))</f>
        <v/>
      </c>
      <c r="B1460" s="39"/>
      <c r="C1460" s="39"/>
      <c r="D1460" s="39"/>
      <c r="E1460" s="39"/>
      <c r="F1460" s="39"/>
      <c r="G1460" s="39"/>
      <c r="I1460" s="81" t="str">
        <f>IF($AA1455=0,"",IF(INDEX(Quotes!$O$9:$O$258,$AA1455)="","No revised link","Revised quote"))</f>
        <v/>
      </c>
      <c r="J1460" s="39"/>
      <c r="K1460" s="39"/>
      <c r="L1460" s="39"/>
      <c r="M1460" s="39"/>
      <c r="N1460" s="39"/>
      <c r="O1460" s="39"/>
      <c r="Q1460" s="81" t="str">
        <f>IF($AA1455=0,"",HYPERLINK("#'Quotes'!A"&amp;($AA1455+8),"Open quote record"))</f>
        <v/>
      </c>
      <c r="R1460" s="39"/>
      <c r="S1460" s="39"/>
      <c r="T1460" s="39"/>
      <c r="U1460" s="39"/>
      <c r="V1460" s="39"/>
    </row>
    <row r="1461" spans="1:27" ht="21" hidden="1" customHeight="1" x14ac:dyDescent="0.35"/>
    <row r="1462" spans="1:27" hidden="1" x14ac:dyDescent="0.35"/>
    <row r="1463" spans="1:27" hidden="1" x14ac:dyDescent="0.35"/>
    <row r="1464" spans="1:27" ht="29" hidden="1" customHeight="1" x14ac:dyDescent="0.35">
      <c r="A1464" s="84" t="str">
        <f>IF($AA1464=0,"",IF(LEN(INDEX(Quotes!$U$9:$U$258,$AA1464)&amp;"")=0,"",INDEX(Quotes!$U$9:$U$258,$AA1464)))</f>
        <v/>
      </c>
      <c r="B1464" s="39"/>
      <c r="C1464" s="39"/>
      <c r="D1464" s="39"/>
      <c r="E1464" s="39"/>
      <c r="F1464" s="39"/>
      <c r="G1464" s="39"/>
      <c r="H1464" s="39"/>
      <c r="I1464" s="39"/>
      <c r="J1464" s="39"/>
      <c r="K1464" s="85" t="str">
        <f>IF($AA1464=0,"",IF(LEN(INDEX(Quotes!$Z$9:$Z$258,$AA1464)&amp;"")=0,"",INDEX(Quotes!$Z$9:$Z$258,$AA1464)))</f>
        <v/>
      </c>
      <c r="L1464" s="39"/>
      <c r="M1464" s="39"/>
      <c r="N1464" s="39"/>
      <c r="O1464" s="39"/>
      <c r="P1464" s="39"/>
      <c r="Q1464" s="39"/>
      <c r="R1464" s="39"/>
      <c r="S1464" s="39"/>
      <c r="T1464" s="39"/>
      <c r="U1464" s="39"/>
      <c r="V1464" s="39"/>
      <c r="AA1464">
        <f>IFERROR(MATCH(151,Quotes!$AK$9:$AK$258,0),0)</f>
        <v>0</v>
      </c>
    </row>
    <row r="1465" spans="1:27" ht="21" hidden="1" customHeight="1" x14ac:dyDescent="0.35">
      <c r="A1465" s="40" t="str">
        <f>IF($AA1464=0,"",IF(LEN(INDEX(Quotes!$V$9:$V$258,$AA1464)&amp;"")=0,"",INDEX(Quotes!$V$9:$V$258,$AA1464)))</f>
        <v/>
      </c>
      <c r="B1465" s="39"/>
      <c r="C1465" s="39"/>
      <c r="D1465" s="39"/>
      <c r="E1465" s="39"/>
      <c r="F1465" s="39"/>
      <c r="G1465" s="39"/>
      <c r="H1465" s="40" t="str">
        <f>IF($AA1464=0,"",IF(LEN(INDEX(Quotes!$W$9:$W$258,$AA1464)&amp;"")=0,"",INDEX(Quotes!$W$9:$W$258,$AA1464)))</f>
        <v/>
      </c>
      <c r="I1465" s="39"/>
      <c r="J1465" s="39"/>
      <c r="K1465" s="39"/>
      <c r="L1465" s="39"/>
      <c r="M1465" s="39"/>
      <c r="N1465" s="39"/>
      <c r="O1465" s="39"/>
      <c r="P1465" s="39"/>
      <c r="Q1465" s="39"/>
      <c r="R1465" s="77" t="str">
        <f>IF($AA1464=0,"",IF(LEN(INDEX(Quotes!$X$9:$X$258,$AA1464)&amp;"")=0,"",INDEX(Quotes!$X$9:$X$258,$AA1464)))</f>
        <v/>
      </c>
      <c r="S1465" s="39"/>
      <c r="T1465" s="39"/>
      <c r="U1465" s="39"/>
      <c r="V1465" s="39"/>
    </row>
    <row r="1466" spans="1:27" ht="21" hidden="1" customHeight="1" x14ac:dyDescent="0.35">
      <c r="A1466" s="83" t="str">
        <f>IF($AA1464=0,"","ORIGINAL EUR")</f>
        <v/>
      </c>
      <c r="B1466" s="39"/>
      <c r="C1466" s="39"/>
      <c r="D1466" s="39"/>
      <c r="E1466" s="39"/>
      <c r="F1466" s="39"/>
      <c r="G1466" s="39"/>
      <c r="I1466" s="83" t="str">
        <f>IF($AA1464=0,"","LATEST EUR")</f>
        <v/>
      </c>
      <c r="J1466" s="39"/>
      <c r="K1466" s="39"/>
      <c r="L1466" s="39"/>
      <c r="M1466" s="39"/>
      <c r="N1466" s="39"/>
      <c r="O1466" s="39"/>
      <c r="Q1466" s="83" t="str">
        <f>IF($AA1464=0,"","SAVED EUR")</f>
        <v/>
      </c>
      <c r="R1466" s="39"/>
      <c r="S1466" s="39"/>
      <c r="T1466" s="39"/>
      <c r="U1466" s="39"/>
      <c r="V1466" s="39"/>
    </row>
    <row r="1467" spans="1:27" ht="21" hidden="1" customHeight="1" x14ac:dyDescent="0.35">
      <c r="A1467" s="82" t="str">
        <f>IF($AA1464=0,"",IF(LEN(INDEX(Quotes!$AB$9:$AB$258,$AA1464)&amp;"")=0,"",INDEX(Quotes!$AB$9:$AB$258,$AA1464)))</f>
        <v/>
      </c>
      <c r="B1467" s="39"/>
      <c r="C1467" s="39"/>
      <c r="D1467" s="39"/>
      <c r="E1467" s="39"/>
      <c r="F1467" s="39"/>
      <c r="G1467" s="39"/>
      <c r="I1467" s="82" t="str">
        <f>IF($AA1464=0,"",IF(LEN(INDEX(Quotes!$AD$9:$AD$258,$AA1464)&amp;"")=0,"",INDEX(Quotes!$AD$9:$AD$258,$AA1464)))</f>
        <v/>
      </c>
      <c r="J1467" s="39"/>
      <c r="K1467" s="39"/>
      <c r="L1467" s="39"/>
      <c r="M1467" s="39"/>
      <c r="N1467" s="39"/>
      <c r="O1467" s="39"/>
      <c r="Q1467" s="82" t="str">
        <f>IF($AA1464=0,"",IF(LEN(INDEX(Quotes!$AF$9:$AF$258,$AA1464)&amp;"")=0,"",INDEX(Quotes!$AF$9:$AF$258,$AA1464)))</f>
        <v/>
      </c>
      <c r="R1467" s="39"/>
      <c r="S1467" s="39"/>
      <c r="T1467" s="39"/>
      <c r="U1467" s="39"/>
      <c r="V1467" s="39"/>
    </row>
    <row r="1468" spans="1:27" ht="21" hidden="1" customHeight="1" x14ac:dyDescent="0.35">
      <c r="A1468" s="48" t="str">
        <f>IF($AA1464=0,"","Reference: "&amp;IF(INDEX(Quotes!$M$9:$M$258,$AA1464)="",INDEX(Quotes!$S$9:$S$258,$AA1464),INDEX(Quotes!$M$9:$M$258,$AA1464)))</f>
        <v/>
      </c>
      <c r="B1468" s="39"/>
      <c r="C1468" s="39"/>
      <c r="D1468" s="39"/>
      <c r="E1468" s="39"/>
      <c r="F1468" s="39"/>
      <c r="G1468" s="39"/>
      <c r="H1468" s="39"/>
      <c r="I1468" s="39"/>
      <c r="J1468" s="39"/>
      <c r="K1468" s="39"/>
      <c r="L1468" s="39"/>
      <c r="M1468" s="39"/>
      <c r="N1468" s="39"/>
      <c r="O1468" s="39"/>
      <c r="P1468" s="39"/>
      <c r="Q1468" s="48" t="str">
        <f>IF($AA1464=0,"",INDEX(Quotes!$E$9:$E$258,$AA1464))</f>
        <v/>
      </c>
      <c r="R1468" s="39"/>
      <c r="S1468" s="39"/>
      <c r="T1468" s="39"/>
      <c r="U1468" s="39"/>
      <c r="V1468" s="39"/>
    </row>
    <row r="1469" spans="1:27" ht="21" hidden="1" customHeight="1" x14ac:dyDescent="0.35">
      <c r="A1469" s="81" t="str">
        <f>IF($AA1464=0,"",IF(INDEX(Quotes!$N$9:$N$258,$AA1464)="","No original link","Original quote"))</f>
        <v/>
      </c>
      <c r="B1469" s="39"/>
      <c r="C1469" s="39"/>
      <c r="D1469" s="39"/>
      <c r="E1469" s="39"/>
      <c r="F1469" s="39"/>
      <c r="G1469" s="39"/>
      <c r="I1469" s="81" t="str">
        <f>IF($AA1464=0,"",IF(INDEX(Quotes!$O$9:$O$258,$AA1464)="","No revised link","Revised quote"))</f>
        <v/>
      </c>
      <c r="J1469" s="39"/>
      <c r="K1469" s="39"/>
      <c r="L1469" s="39"/>
      <c r="M1469" s="39"/>
      <c r="N1469" s="39"/>
      <c r="O1469" s="39"/>
      <c r="Q1469" s="81" t="str">
        <f>IF($AA1464=0,"",HYPERLINK("#'Quotes'!A"&amp;($AA1464+8),"Open quote record"))</f>
        <v/>
      </c>
      <c r="R1469" s="39"/>
      <c r="S1469" s="39"/>
      <c r="T1469" s="39"/>
      <c r="U1469" s="39"/>
      <c r="V1469" s="39"/>
    </row>
    <row r="1470" spans="1:27" ht="21" hidden="1" customHeight="1" x14ac:dyDescent="0.35"/>
    <row r="1471" spans="1:27" hidden="1" x14ac:dyDescent="0.35"/>
    <row r="1472" spans="1:27" hidden="1" x14ac:dyDescent="0.35"/>
    <row r="1473" spans="1:27" ht="29" hidden="1" customHeight="1" x14ac:dyDescent="0.35">
      <c r="A1473" s="84" t="str">
        <f>IF($AA1473=0,"",IF(LEN(INDEX(Quotes!$U$9:$U$258,$AA1473)&amp;"")=0,"",INDEX(Quotes!$U$9:$U$258,$AA1473)))</f>
        <v/>
      </c>
      <c r="B1473" s="39"/>
      <c r="C1473" s="39"/>
      <c r="D1473" s="39"/>
      <c r="E1473" s="39"/>
      <c r="F1473" s="39"/>
      <c r="G1473" s="39"/>
      <c r="H1473" s="39"/>
      <c r="I1473" s="39"/>
      <c r="J1473" s="39"/>
      <c r="K1473" s="85" t="str">
        <f>IF($AA1473=0,"",IF(LEN(INDEX(Quotes!$Z$9:$Z$258,$AA1473)&amp;"")=0,"",INDEX(Quotes!$Z$9:$Z$258,$AA1473)))</f>
        <v/>
      </c>
      <c r="L1473" s="39"/>
      <c r="M1473" s="39"/>
      <c r="N1473" s="39"/>
      <c r="O1473" s="39"/>
      <c r="P1473" s="39"/>
      <c r="Q1473" s="39"/>
      <c r="R1473" s="39"/>
      <c r="S1473" s="39"/>
      <c r="T1473" s="39"/>
      <c r="U1473" s="39"/>
      <c r="V1473" s="39"/>
      <c r="AA1473">
        <f>IFERROR(MATCH(152,Quotes!$AK$9:$AK$258,0),0)</f>
        <v>0</v>
      </c>
    </row>
    <row r="1474" spans="1:27" ht="21" hidden="1" customHeight="1" x14ac:dyDescent="0.35">
      <c r="A1474" s="40" t="str">
        <f>IF($AA1473=0,"",IF(LEN(INDEX(Quotes!$V$9:$V$258,$AA1473)&amp;"")=0,"",INDEX(Quotes!$V$9:$V$258,$AA1473)))</f>
        <v/>
      </c>
      <c r="B1474" s="39"/>
      <c r="C1474" s="39"/>
      <c r="D1474" s="39"/>
      <c r="E1474" s="39"/>
      <c r="F1474" s="39"/>
      <c r="G1474" s="39"/>
      <c r="H1474" s="40" t="str">
        <f>IF($AA1473=0,"",IF(LEN(INDEX(Quotes!$W$9:$W$258,$AA1473)&amp;"")=0,"",INDEX(Quotes!$W$9:$W$258,$AA1473)))</f>
        <v/>
      </c>
      <c r="I1474" s="39"/>
      <c r="J1474" s="39"/>
      <c r="K1474" s="39"/>
      <c r="L1474" s="39"/>
      <c r="M1474" s="39"/>
      <c r="N1474" s="39"/>
      <c r="O1474" s="39"/>
      <c r="P1474" s="39"/>
      <c r="Q1474" s="39"/>
      <c r="R1474" s="77" t="str">
        <f>IF($AA1473=0,"",IF(LEN(INDEX(Quotes!$X$9:$X$258,$AA1473)&amp;"")=0,"",INDEX(Quotes!$X$9:$X$258,$AA1473)))</f>
        <v/>
      </c>
      <c r="S1474" s="39"/>
      <c r="T1474" s="39"/>
      <c r="U1474" s="39"/>
      <c r="V1474" s="39"/>
    </row>
    <row r="1475" spans="1:27" ht="21" hidden="1" customHeight="1" x14ac:dyDescent="0.35">
      <c r="A1475" s="83" t="str">
        <f>IF($AA1473=0,"","ORIGINAL EUR")</f>
        <v/>
      </c>
      <c r="B1475" s="39"/>
      <c r="C1475" s="39"/>
      <c r="D1475" s="39"/>
      <c r="E1475" s="39"/>
      <c r="F1475" s="39"/>
      <c r="G1475" s="39"/>
      <c r="I1475" s="83" t="str">
        <f>IF($AA1473=0,"","LATEST EUR")</f>
        <v/>
      </c>
      <c r="J1475" s="39"/>
      <c r="K1475" s="39"/>
      <c r="L1475" s="39"/>
      <c r="M1475" s="39"/>
      <c r="N1475" s="39"/>
      <c r="O1475" s="39"/>
      <c r="Q1475" s="83" t="str">
        <f>IF($AA1473=0,"","SAVED EUR")</f>
        <v/>
      </c>
      <c r="R1475" s="39"/>
      <c r="S1475" s="39"/>
      <c r="T1475" s="39"/>
      <c r="U1475" s="39"/>
      <c r="V1475" s="39"/>
    </row>
    <row r="1476" spans="1:27" ht="21" hidden="1" customHeight="1" x14ac:dyDescent="0.35">
      <c r="A1476" s="82" t="str">
        <f>IF($AA1473=0,"",IF(LEN(INDEX(Quotes!$AB$9:$AB$258,$AA1473)&amp;"")=0,"",INDEX(Quotes!$AB$9:$AB$258,$AA1473)))</f>
        <v/>
      </c>
      <c r="B1476" s="39"/>
      <c r="C1476" s="39"/>
      <c r="D1476" s="39"/>
      <c r="E1476" s="39"/>
      <c r="F1476" s="39"/>
      <c r="G1476" s="39"/>
      <c r="I1476" s="82" t="str">
        <f>IF($AA1473=0,"",IF(LEN(INDEX(Quotes!$AD$9:$AD$258,$AA1473)&amp;"")=0,"",INDEX(Quotes!$AD$9:$AD$258,$AA1473)))</f>
        <v/>
      </c>
      <c r="J1476" s="39"/>
      <c r="K1476" s="39"/>
      <c r="L1476" s="39"/>
      <c r="M1476" s="39"/>
      <c r="N1476" s="39"/>
      <c r="O1476" s="39"/>
      <c r="Q1476" s="82" t="str">
        <f>IF($AA1473=0,"",IF(LEN(INDEX(Quotes!$AF$9:$AF$258,$AA1473)&amp;"")=0,"",INDEX(Quotes!$AF$9:$AF$258,$AA1473)))</f>
        <v/>
      </c>
      <c r="R1476" s="39"/>
      <c r="S1476" s="39"/>
      <c r="T1476" s="39"/>
      <c r="U1476" s="39"/>
      <c r="V1476" s="39"/>
    </row>
    <row r="1477" spans="1:27" ht="21" hidden="1" customHeight="1" x14ac:dyDescent="0.35">
      <c r="A1477" s="48" t="str">
        <f>IF($AA1473=0,"","Reference: "&amp;IF(INDEX(Quotes!$M$9:$M$258,$AA1473)="",INDEX(Quotes!$S$9:$S$258,$AA1473),INDEX(Quotes!$M$9:$M$258,$AA1473)))</f>
        <v/>
      </c>
      <c r="B1477" s="39"/>
      <c r="C1477" s="39"/>
      <c r="D1477" s="39"/>
      <c r="E1477" s="39"/>
      <c r="F1477" s="39"/>
      <c r="G1477" s="39"/>
      <c r="H1477" s="39"/>
      <c r="I1477" s="39"/>
      <c r="J1477" s="39"/>
      <c r="K1477" s="39"/>
      <c r="L1477" s="39"/>
      <c r="M1477" s="39"/>
      <c r="N1477" s="39"/>
      <c r="O1477" s="39"/>
      <c r="P1477" s="39"/>
      <c r="Q1477" s="48" t="str">
        <f>IF($AA1473=0,"",INDEX(Quotes!$E$9:$E$258,$AA1473))</f>
        <v/>
      </c>
      <c r="R1477" s="39"/>
      <c r="S1477" s="39"/>
      <c r="T1477" s="39"/>
      <c r="U1477" s="39"/>
      <c r="V1477" s="39"/>
    </row>
    <row r="1478" spans="1:27" ht="21" hidden="1" customHeight="1" x14ac:dyDescent="0.35">
      <c r="A1478" s="81" t="str">
        <f>IF($AA1473=0,"",IF(INDEX(Quotes!$N$9:$N$258,$AA1473)="","No original link","Original quote"))</f>
        <v/>
      </c>
      <c r="B1478" s="39"/>
      <c r="C1478" s="39"/>
      <c r="D1478" s="39"/>
      <c r="E1478" s="39"/>
      <c r="F1478" s="39"/>
      <c r="G1478" s="39"/>
      <c r="I1478" s="81" t="str">
        <f>IF($AA1473=0,"",IF(INDEX(Quotes!$O$9:$O$258,$AA1473)="","No revised link","Revised quote"))</f>
        <v/>
      </c>
      <c r="J1478" s="39"/>
      <c r="K1478" s="39"/>
      <c r="L1478" s="39"/>
      <c r="M1478" s="39"/>
      <c r="N1478" s="39"/>
      <c r="O1478" s="39"/>
      <c r="Q1478" s="81" t="str">
        <f>IF($AA1473=0,"",HYPERLINK("#'Quotes'!A"&amp;($AA1473+8),"Open quote record"))</f>
        <v/>
      </c>
      <c r="R1478" s="39"/>
      <c r="S1478" s="39"/>
      <c r="T1478" s="39"/>
      <c r="U1478" s="39"/>
      <c r="V1478" s="39"/>
    </row>
    <row r="1479" spans="1:27" ht="21" hidden="1" customHeight="1" x14ac:dyDescent="0.35"/>
    <row r="1480" spans="1:27" hidden="1" x14ac:dyDescent="0.35"/>
    <row r="1481" spans="1:27" hidden="1" x14ac:dyDescent="0.35"/>
    <row r="1482" spans="1:27" hidden="1" x14ac:dyDescent="0.35"/>
    <row r="1483" spans="1:27" hidden="1" x14ac:dyDescent="0.35">
      <c r="A1483" s="67" t="s">
        <v>655</v>
      </c>
      <c r="B1483" s="39"/>
      <c r="C1483" s="39"/>
      <c r="D1483" s="39"/>
      <c r="E1483" s="39"/>
      <c r="F1483" s="39"/>
      <c r="G1483" s="39"/>
      <c r="H1483" s="39"/>
      <c r="I1483" s="39"/>
      <c r="J1483" s="39"/>
      <c r="K1483" s="39"/>
      <c r="L1483" s="39"/>
      <c r="M1483" s="39"/>
      <c r="N1483" s="39"/>
      <c r="O1483" s="39"/>
      <c r="P1483" s="39"/>
      <c r="Q1483" s="39"/>
      <c r="R1483" s="39"/>
      <c r="S1483" s="39"/>
      <c r="T1483" s="39"/>
      <c r="U1483" s="39"/>
      <c r="V1483" s="39"/>
    </row>
    <row r="1484" spans="1:27" ht="29" hidden="1" customHeight="1" x14ac:dyDescent="0.35">
      <c r="A1484" s="84" t="str">
        <f>IF($AA1484=0,"",IF(LEN(INDEX(Quotes!$U$9:$U$258,$AA1484)&amp;"")=0,"",INDEX(Quotes!$U$9:$U$258,$AA1484)))</f>
        <v/>
      </c>
      <c r="B1484" s="39"/>
      <c r="C1484" s="39"/>
      <c r="D1484" s="39"/>
      <c r="E1484" s="39"/>
      <c r="F1484" s="39"/>
      <c r="G1484" s="39"/>
      <c r="H1484" s="39"/>
      <c r="I1484" s="39"/>
      <c r="J1484" s="39"/>
      <c r="K1484" s="85" t="str">
        <f>IF($AA1484=0,"",IF(LEN(INDEX(Quotes!$Z$9:$Z$258,$AA1484)&amp;"")=0,"",INDEX(Quotes!$Z$9:$Z$258,$AA1484)))</f>
        <v/>
      </c>
      <c r="L1484" s="39"/>
      <c r="M1484" s="39"/>
      <c r="N1484" s="39"/>
      <c r="O1484" s="39"/>
      <c r="P1484" s="39"/>
      <c r="Q1484" s="39"/>
      <c r="R1484" s="39"/>
      <c r="S1484" s="39"/>
      <c r="T1484" s="39"/>
      <c r="U1484" s="39"/>
      <c r="V1484" s="39"/>
      <c r="AA1484">
        <f>IFERROR(MATCH(153,Quotes!$AK$9:$AK$258,0),0)</f>
        <v>0</v>
      </c>
    </row>
    <row r="1485" spans="1:27" ht="21" hidden="1" customHeight="1" x14ac:dyDescent="0.35">
      <c r="A1485" s="40" t="str">
        <f>IF($AA1484=0,"",IF(LEN(INDEX(Quotes!$V$9:$V$258,$AA1484)&amp;"")=0,"",INDEX(Quotes!$V$9:$V$258,$AA1484)))</f>
        <v/>
      </c>
      <c r="B1485" s="39"/>
      <c r="C1485" s="39"/>
      <c r="D1485" s="39"/>
      <c r="E1485" s="39"/>
      <c r="F1485" s="39"/>
      <c r="G1485" s="39"/>
      <c r="H1485" s="40" t="str">
        <f>IF($AA1484=0,"",IF(LEN(INDEX(Quotes!$W$9:$W$258,$AA1484)&amp;"")=0,"",INDEX(Quotes!$W$9:$W$258,$AA1484)))</f>
        <v/>
      </c>
      <c r="I1485" s="39"/>
      <c r="J1485" s="39"/>
      <c r="K1485" s="39"/>
      <c r="L1485" s="39"/>
      <c r="M1485" s="39"/>
      <c r="N1485" s="39"/>
      <c r="O1485" s="39"/>
      <c r="P1485" s="39"/>
      <c r="Q1485" s="39"/>
      <c r="R1485" s="77" t="str">
        <f>IF($AA1484=0,"",IF(LEN(INDEX(Quotes!$X$9:$X$258,$AA1484)&amp;"")=0,"",INDEX(Quotes!$X$9:$X$258,$AA1484)))</f>
        <v/>
      </c>
      <c r="S1485" s="39"/>
      <c r="T1485" s="39"/>
      <c r="U1485" s="39"/>
      <c r="V1485" s="39"/>
    </row>
    <row r="1486" spans="1:27" ht="21" hidden="1" customHeight="1" x14ac:dyDescent="0.35">
      <c r="A1486" s="83" t="str">
        <f>IF($AA1484=0,"","ORIGINAL EUR")</f>
        <v/>
      </c>
      <c r="B1486" s="39"/>
      <c r="C1486" s="39"/>
      <c r="D1486" s="39"/>
      <c r="E1486" s="39"/>
      <c r="F1486" s="39"/>
      <c r="G1486" s="39"/>
      <c r="I1486" s="83" t="str">
        <f>IF($AA1484=0,"","LATEST EUR")</f>
        <v/>
      </c>
      <c r="J1486" s="39"/>
      <c r="K1486" s="39"/>
      <c r="L1486" s="39"/>
      <c r="M1486" s="39"/>
      <c r="N1486" s="39"/>
      <c r="O1486" s="39"/>
      <c r="Q1486" s="83" t="str">
        <f>IF($AA1484=0,"","SAVED EUR")</f>
        <v/>
      </c>
      <c r="R1486" s="39"/>
      <c r="S1486" s="39"/>
      <c r="T1486" s="39"/>
      <c r="U1486" s="39"/>
      <c r="V1486" s="39"/>
    </row>
    <row r="1487" spans="1:27" ht="21" hidden="1" customHeight="1" x14ac:dyDescent="0.35">
      <c r="A1487" s="82" t="str">
        <f>IF($AA1484=0,"",IF(LEN(INDEX(Quotes!$AB$9:$AB$258,$AA1484)&amp;"")=0,"",INDEX(Quotes!$AB$9:$AB$258,$AA1484)))</f>
        <v/>
      </c>
      <c r="B1487" s="39"/>
      <c r="C1487" s="39"/>
      <c r="D1487" s="39"/>
      <c r="E1487" s="39"/>
      <c r="F1487" s="39"/>
      <c r="G1487" s="39"/>
      <c r="I1487" s="82" t="str">
        <f>IF($AA1484=0,"",IF(LEN(INDEX(Quotes!$AD$9:$AD$258,$AA1484)&amp;"")=0,"",INDEX(Quotes!$AD$9:$AD$258,$AA1484)))</f>
        <v/>
      </c>
      <c r="J1487" s="39"/>
      <c r="K1487" s="39"/>
      <c r="L1487" s="39"/>
      <c r="M1487" s="39"/>
      <c r="N1487" s="39"/>
      <c r="O1487" s="39"/>
      <c r="Q1487" s="82" t="str">
        <f>IF($AA1484=0,"",IF(LEN(INDEX(Quotes!$AF$9:$AF$258,$AA1484)&amp;"")=0,"",INDEX(Quotes!$AF$9:$AF$258,$AA1484)))</f>
        <v/>
      </c>
      <c r="R1487" s="39"/>
      <c r="S1487" s="39"/>
      <c r="T1487" s="39"/>
      <c r="U1487" s="39"/>
      <c r="V1487" s="39"/>
    </row>
    <row r="1488" spans="1:27" ht="21" hidden="1" customHeight="1" x14ac:dyDescent="0.35">
      <c r="A1488" s="48" t="str">
        <f>IF($AA1484=0,"","Reference: "&amp;IF(INDEX(Quotes!$M$9:$M$258,$AA1484)="",INDEX(Quotes!$S$9:$S$258,$AA1484),INDEX(Quotes!$M$9:$M$258,$AA1484)))</f>
        <v/>
      </c>
      <c r="B1488" s="39"/>
      <c r="C1488" s="39"/>
      <c r="D1488" s="39"/>
      <c r="E1488" s="39"/>
      <c r="F1488" s="39"/>
      <c r="G1488" s="39"/>
      <c r="H1488" s="39"/>
      <c r="I1488" s="39"/>
      <c r="J1488" s="39"/>
      <c r="K1488" s="39"/>
      <c r="L1488" s="39"/>
      <c r="M1488" s="39"/>
      <c r="N1488" s="39"/>
      <c r="O1488" s="39"/>
      <c r="P1488" s="39"/>
      <c r="Q1488" s="48" t="str">
        <f>IF($AA1484=0,"",INDEX(Quotes!$E$9:$E$258,$AA1484))</f>
        <v/>
      </c>
      <c r="R1488" s="39"/>
      <c r="S1488" s="39"/>
      <c r="T1488" s="39"/>
      <c r="U1488" s="39"/>
      <c r="V1488" s="39"/>
    </row>
    <row r="1489" spans="1:27" ht="21" hidden="1" customHeight="1" x14ac:dyDescent="0.35">
      <c r="A1489" s="81" t="str">
        <f>IF($AA1484=0,"",IF(INDEX(Quotes!$N$9:$N$258,$AA1484)="","No original link","Original quote"))</f>
        <v/>
      </c>
      <c r="B1489" s="39"/>
      <c r="C1489" s="39"/>
      <c r="D1489" s="39"/>
      <c r="E1489" s="39"/>
      <c r="F1489" s="39"/>
      <c r="G1489" s="39"/>
      <c r="I1489" s="81" t="str">
        <f>IF($AA1484=0,"",IF(INDEX(Quotes!$O$9:$O$258,$AA1484)="","No revised link","Revised quote"))</f>
        <v/>
      </c>
      <c r="J1489" s="39"/>
      <c r="K1489" s="39"/>
      <c r="L1489" s="39"/>
      <c r="M1489" s="39"/>
      <c r="N1489" s="39"/>
      <c r="O1489" s="39"/>
      <c r="Q1489" s="81" t="str">
        <f>IF($AA1484=0,"",HYPERLINK("#'Quotes'!A"&amp;($AA1484+8),"Open quote record"))</f>
        <v/>
      </c>
      <c r="R1489" s="39"/>
      <c r="S1489" s="39"/>
      <c r="T1489" s="39"/>
      <c r="U1489" s="39"/>
      <c r="V1489" s="39"/>
    </row>
    <row r="1490" spans="1:27" ht="21" hidden="1" customHeight="1" x14ac:dyDescent="0.35"/>
    <row r="1491" spans="1:27" hidden="1" x14ac:dyDescent="0.35"/>
    <row r="1492" spans="1:27" hidden="1" x14ac:dyDescent="0.35"/>
    <row r="1493" spans="1:27" ht="29" hidden="1" customHeight="1" x14ac:dyDescent="0.35">
      <c r="A1493" s="84" t="str">
        <f>IF($AA1493=0,"",IF(LEN(INDEX(Quotes!$U$9:$U$258,$AA1493)&amp;"")=0,"",INDEX(Quotes!$U$9:$U$258,$AA1493)))</f>
        <v/>
      </c>
      <c r="B1493" s="39"/>
      <c r="C1493" s="39"/>
      <c r="D1493" s="39"/>
      <c r="E1493" s="39"/>
      <c r="F1493" s="39"/>
      <c r="G1493" s="39"/>
      <c r="H1493" s="39"/>
      <c r="I1493" s="39"/>
      <c r="J1493" s="39"/>
      <c r="K1493" s="85" t="str">
        <f>IF($AA1493=0,"",IF(LEN(INDEX(Quotes!$Z$9:$Z$258,$AA1493)&amp;"")=0,"",INDEX(Quotes!$Z$9:$Z$258,$AA1493)))</f>
        <v/>
      </c>
      <c r="L1493" s="39"/>
      <c r="M1493" s="39"/>
      <c r="N1493" s="39"/>
      <c r="O1493" s="39"/>
      <c r="P1493" s="39"/>
      <c r="Q1493" s="39"/>
      <c r="R1493" s="39"/>
      <c r="S1493" s="39"/>
      <c r="T1493" s="39"/>
      <c r="U1493" s="39"/>
      <c r="V1493" s="39"/>
      <c r="AA1493">
        <f>IFERROR(MATCH(154,Quotes!$AK$9:$AK$258,0),0)</f>
        <v>0</v>
      </c>
    </row>
    <row r="1494" spans="1:27" ht="21" hidden="1" customHeight="1" x14ac:dyDescent="0.35">
      <c r="A1494" s="40" t="str">
        <f>IF($AA1493=0,"",IF(LEN(INDEX(Quotes!$V$9:$V$258,$AA1493)&amp;"")=0,"",INDEX(Quotes!$V$9:$V$258,$AA1493)))</f>
        <v/>
      </c>
      <c r="B1494" s="39"/>
      <c r="C1494" s="39"/>
      <c r="D1494" s="39"/>
      <c r="E1494" s="39"/>
      <c r="F1494" s="39"/>
      <c r="G1494" s="39"/>
      <c r="H1494" s="40" t="str">
        <f>IF($AA1493=0,"",IF(LEN(INDEX(Quotes!$W$9:$W$258,$AA1493)&amp;"")=0,"",INDEX(Quotes!$W$9:$W$258,$AA1493)))</f>
        <v/>
      </c>
      <c r="I1494" s="39"/>
      <c r="J1494" s="39"/>
      <c r="K1494" s="39"/>
      <c r="L1494" s="39"/>
      <c r="M1494" s="39"/>
      <c r="N1494" s="39"/>
      <c r="O1494" s="39"/>
      <c r="P1494" s="39"/>
      <c r="Q1494" s="39"/>
      <c r="R1494" s="77" t="str">
        <f>IF($AA1493=0,"",IF(LEN(INDEX(Quotes!$X$9:$X$258,$AA1493)&amp;"")=0,"",INDEX(Quotes!$X$9:$X$258,$AA1493)))</f>
        <v/>
      </c>
      <c r="S1494" s="39"/>
      <c r="T1494" s="39"/>
      <c r="U1494" s="39"/>
      <c r="V1494" s="39"/>
    </row>
    <row r="1495" spans="1:27" ht="21" hidden="1" customHeight="1" x14ac:dyDescent="0.35">
      <c r="A1495" s="83" t="str">
        <f>IF($AA1493=0,"","ORIGINAL EUR")</f>
        <v/>
      </c>
      <c r="B1495" s="39"/>
      <c r="C1495" s="39"/>
      <c r="D1495" s="39"/>
      <c r="E1495" s="39"/>
      <c r="F1495" s="39"/>
      <c r="G1495" s="39"/>
      <c r="I1495" s="83" t="str">
        <f>IF($AA1493=0,"","LATEST EUR")</f>
        <v/>
      </c>
      <c r="J1495" s="39"/>
      <c r="K1495" s="39"/>
      <c r="L1495" s="39"/>
      <c r="M1495" s="39"/>
      <c r="N1495" s="39"/>
      <c r="O1495" s="39"/>
      <c r="Q1495" s="83" t="str">
        <f>IF($AA1493=0,"","SAVED EUR")</f>
        <v/>
      </c>
      <c r="R1495" s="39"/>
      <c r="S1495" s="39"/>
      <c r="T1495" s="39"/>
      <c r="U1495" s="39"/>
      <c r="V1495" s="39"/>
    </row>
    <row r="1496" spans="1:27" ht="21" hidden="1" customHeight="1" x14ac:dyDescent="0.35">
      <c r="A1496" s="82" t="str">
        <f>IF($AA1493=0,"",IF(LEN(INDEX(Quotes!$AB$9:$AB$258,$AA1493)&amp;"")=0,"",INDEX(Quotes!$AB$9:$AB$258,$AA1493)))</f>
        <v/>
      </c>
      <c r="B1496" s="39"/>
      <c r="C1496" s="39"/>
      <c r="D1496" s="39"/>
      <c r="E1496" s="39"/>
      <c r="F1496" s="39"/>
      <c r="G1496" s="39"/>
      <c r="I1496" s="82" t="str">
        <f>IF($AA1493=0,"",IF(LEN(INDEX(Quotes!$AD$9:$AD$258,$AA1493)&amp;"")=0,"",INDEX(Quotes!$AD$9:$AD$258,$AA1493)))</f>
        <v/>
      </c>
      <c r="J1496" s="39"/>
      <c r="K1496" s="39"/>
      <c r="L1496" s="39"/>
      <c r="M1496" s="39"/>
      <c r="N1496" s="39"/>
      <c r="O1496" s="39"/>
      <c r="Q1496" s="82" t="str">
        <f>IF($AA1493=0,"",IF(LEN(INDEX(Quotes!$AF$9:$AF$258,$AA1493)&amp;"")=0,"",INDEX(Quotes!$AF$9:$AF$258,$AA1493)))</f>
        <v/>
      </c>
      <c r="R1496" s="39"/>
      <c r="S1496" s="39"/>
      <c r="T1496" s="39"/>
      <c r="U1496" s="39"/>
      <c r="V1496" s="39"/>
    </row>
    <row r="1497" spans="1:27" ht="21" hidden="1" customHeight="1" x14ac:dyDescent="0.35">
      <c r="A1497" s="48" t="str">
        <f>IF($AA1493=0,"","Reference: "&amp;IF(INDEX(Quotes!$M$9:$M$258,$AA1493)="",INDEX(Quotes!$S$9:$S$258,$AA1493),INDEX(Quotes!$M$9:$M$258,$AA1493)))</f>
        <v/>
      </c>
      <c r="B1497" s="39"/>
      <c r="C1497" s="39"/>
      <c r="D1497" s="39"/>
      <c r="E1497" s="39"/>
      <c r="F1497" s="39"/>
      <c r="G1497" s="39"/>
      <c r="H1497" s="39"/>
      <c r="I1497" s="39"/>
      <c r="J1497" s="39"/>
      <c r="K1497" s="39"/>
      <c r="L1497" s="39"/>
      <c r="M1497" s="39"/>
      <c r="N1497" s="39"/>
      <c r="O1497" s="39"/>
      <c r="P1497" s="39"/>
      <c r="Q1497" s="48" t="str">
        <f>IF($AA1493=0,"",INDEX(Quotes!$E$9:$E$258,$AA1493))</f>
        <v/>
      </c>
      <c r="R1497" s="39"/>
      <c r="S1497" s="39"/>
      <c r="T1497" s="39"/>
      <c r="U1497" s="39"/>
      <c r="V1497" s="39"/>
    </row>
    <row r="1498" spans="1:27" ht="21" hidden="1" customHeight="1" x14ac:dyDescent="0.35">
      <c r="A1498" s="81" t="str">
        <f>IF($AA1493=0,"",IF(INDEX(Quotes!$N$9:$N$258,$AA1493)="","No original link","Original quote"))</f>
        <v/>
      </c>
      <c r="B1498" s="39"/>
      <c r="C1498" s="39"/>
      <c r="D1498" s="39"/>
      <c r="E1498" s="39"/>
      <c r="F1498" s="39"/>
      <c r="G1498" s="39"/>
      <c r="I1498" s="81" t="str">
        <f>IF($AA1493=0,"",IF(INDEX(Quotes!$O$9:$O$258,$AA1493)="","No revised link","Revised quote"))</f>
        <v/>
      </c>
      <c r="J1498" s="39"/>
      <c r="K1498" s="39"/>
      <c r="L1498" s="39"/>
      <c r="M1498" s="39"/>
      <c r="N1498" s="39"/>
      <c r="O1498" s="39"/>
      <c r="Q1498" s="81" t="str">
        <f>IF($AA1493=0,"",HYPERLINK("#'Quotes'!A"&amp;($AA1493+8),"Open quote record"))</f>
        <v/>
      </c>
      <c r="R1498" s="39"/>
      <c r="S1498" s="39"/>
      <c r="T1498" s="39"/>
      <c r="U1498" s="39"/>
      <c r="V1498" s="39"/>
    </row>
    <row r="1499" spans="1:27" ht="21" hidden="1" customHeight="1" x14ac:dyDescent="0.35"/>
    <row r="1500" spans="1:27" hidden="1" x14ac:dyDescent="0.35"/>
    <row r="1501" spans="1:27" hidden="1" x14ac:dyDescent="0.35"/>
    <row r="1502" spans="1:27" ht="29" hidden="1" customHeight="1" x14ac:dyDescent="0.35">
      <c r="A1502" s="84" t="str">
        <f>IF($AA1502=0,"",IF(LEN(INDEX(Quotes!$U$9:$U$258,$AA1502)&amp;"")=0,"",INDEX(Quotes!$U$9:$U$258,$AA1502)))</f>
        <v/>
      </c>
      <c r="B1502" s="39"/>
      <c r="C1502" s="39"/>
      <c r="D1502" s="39"/>
      <c r="E1502" s="39"/>
      <c r="F1502" s="39"/>
      <c r="G1502" s="39"/>
      <c r="H1502" s="39"/>
      <c r="I1502" s="39"/>
      <c r="J1502" s="39"/>
      <c r="K1502" s="85" t="str">
        <f>IF($AA1502=0,"",IF(LEN(INDEX(Quotes!$Z$9:$Z$258,$AA1502)&amp;"")=0,"",INDEX(Quotes!$Z$9:$Z$258,$AA1502)))</f>
        <v/>
      </c>
      <c r="L1502" s="39"/>
      <c r="M1502" s="39"/>
      <c r="N1502" s="39"/>
      <c r="O1502" s="39"/>
      <c r="P1502" s="39"/>
      <c r="Q1502" s="39"/>
      <c r="R1502" s="39"/>
      <c r="S1502" s="39"/>
      <c r="T1502" s="39"/>
      <c r="U1502" s="39"/>
      <c r="V1502" s="39"/>
      <c r="AA1502">
        <f>IFERROR(MATCH(155,Quotes!$AK$9:$AK$258,0),0)</f>
        <v>0</v>
      </c>
    </row>
    <row r="1503" spans="1:27" ht="21" hidden="1" customHeight="1" x14ac:dyDescent="0.35">
      <c r="A1503" s="40" t="str">
        <f>IF($AA1502=0,"",IF(LEN(INDEX(Quotes!$V$9:$V$258,$AA1502)&amp;"")=0,"",INDEX(Quotes!$V$9:$V$258,$AA1502)))</f>
        <v/>
      </c>
      <c r="B1503" s="39"/>
      <c r="C1503" s="39"/>
      <c r="D1503" s="39"/>
      <c r="E1503" s="39"/>
      <c r="F1503" s="39"/>
      <c r="G1503" s="39"/>
      <c r="H1503" s="40" t="str">
        <f>IF($AA1502=0,"",IF(LEN(INDEX(Quotes!$W$9:$W$258,$AA1502)&amp;"")=0,"",INDEX(Quotes!$W$9:$W$258,$AA1502)))</f>
        <v/>
      </c>
      <c r="I1503" s="39"/>
      <c r="J1503" s="39"/>
      <c r="K1503" s="39"/>
      <c r="L1503" s="39"/>
      <c r="M1503" s="39"/>
      <c r="N1503" s="39"/>
      <c r="O1503" s="39"/>
      <c r="P1503" s="39"/>
      <c r="Q1503" s="39"/>
      <c r="R1503" s="77" t="str">
        <f>IF($AA1502=0,"",IF(LEN(INDEX(Quotes!$X$9:$X$258,$AA1502)&amp;"")=0,"",INDEX(Quotes!$X$9:$X$258,$AA1502)))</f>
        <v/>
      </c>
      <c r="S1503" s="39"/>
      <c r="T1503" s="39"/>
      <c r="U1503" s="39"/>
      <c r="V1503" s="39"/>
    </row>
    <row r="1504" spans="1:27" ht="21" hidden="1" customHeight="1" x14ac:dyDescent="0.35">
      <c r="A1504" s="83" t="str">
        <f>IF($AA1502=0,"","ORIGINAL EUR")</f>
        <v/>
      </c>
      <c r="B1504" s="39"/>
      <c r="C1504" s="39"/>
      <c r="D1504" s="39"/>
      <c r="E1504" s="39"/>
      <c r="F1504" s="39"/>
      <c r="G1504" s="39"/>
      <c r="I1504" s="83" t="str">
        <f>IF($AA1502=0,"","LATEST EUR")</f>
        <v/>
      </c>
      <c r="J1504" s="39"/>
      <c r="K1504" s="39"/>
      <c r="L1504" s="39"/>
      <c r="M1504" s="39"/>
      <c r="N1504" s="39"/>
      <c r="O1504" s="39"/>
      <c r="Q1504" s="83" t="str">
        <f>IF($AA1502=0,"","SAVED EUR")</f>
        <v/>
      </c>
      <c r="R1504" s="39"/>
      <c r="S1504" s="39"/>
      <c r="T1504" s="39"/>
      <c r="U1504" s="39"/>
      <c r="V1504" s="39"/>
    </row>
    <row r="1505" spans="1:27" ht="21" hidden="1" customHeight="1" x14ac:dyDescent="0.35">
      <c r="A1505" s="82" t="str">
        <f>IF($AA1502=0,"",IF(LEN(INDEX(Quotes!$AB$9:$AB$258,$AA1502)&amp;"")=0,"",INDEX(Quotes!$AB$9:$AB$258,$AA1502)))</f>
        <v/>
      </c>
      <c r="B1505" s="39"/>
      <c r="C1505" s="39"/>
      <c r="D1505" s="39"/>
      <c r="E1505" s="39"/>
      <c r="F1505" s="39"/>
      <c r="G1505" s="39"/>
      <c r="I1505" s="82" t="str">
        <f>IF($AA1502=0,"",IF(LEN(INDEX(Quotes!$AD$9:$AD$258,$AA1502)&amp;"")=0,"",INDEX(Quotes!$AD$9:$AD$258,$AA1502)))</f>
        <v/>
      </c>
      <c r="J1505" s="39"/>
      <c r="K1505" s="39"/>
      <c r="L1505" s="39"/>
      <c r="M1505" s="39"/>
      <c r="N1505" s="39"/>
      <c r="O1505" s="39"/>
      <c r="Q1505" s="82" t="str">
        <f>IF($AA1502=0,"",IF(LEN(INDEX(Quotes!$AF$9:$AF$258,$AA1502)&amp;"")=0,"",INDEX(Quotes!$AF$9:$AF$258,$AA1502)))</f>
        <v/>
      </c>
      <c r="R1505" s="39"/>
      <c r="S1505" s="39"/>
      <c r="T1505" s="39"/>
      <c r="U1505" s="39"/>
      <c r="V1505" s="39"/>
    </row>
    <row r="1506" spans="1:27" ht="21" hidden="1" customHeight="1" x14ac:dyDescent="0.35">
      <c r="A1506" s="48" t="str">
        <f>IF($AA1502=0,"","Reference: "&amp;IF(INDEX(Quotes!$M$9:$M$258,$AA1502)="",INDEX(Quotes!$S$9:$S$258,$AA1502),INDEX(Quotes!$M$9:$M$258,$AA1502)))</f>
        <v/>
      </c>
      <c r="B1506" s="39"/>
      <c r="C1506" s="39"/>
      <c r="D1506" s="39"/>
      <c r="E1506" s="39"/>
      <c r="F1506" s="39"/>
      <c r="G1506" s="39"/>
      <c r="H1506" s="39"/>
      <c r="I1506" s="39"/>
      <c r="J1506" s="39"/>
      <c r="K1506" s="39"/>
      <c r="L1506" s="39"/>
      <c r="M1506" s="39"/>
      <c r="N1506" s="39"/>
      <c r="O1506" s="39"/>
      <c r="P1506" s="39"/>
      <c r="Q1506" s="48" t="str">
        <f>IF($AA1502=0,"",INDEX(Quotes!$E$9:$E$258,$AA1502))</f>
        <v/>
      </c>
      <c r="R1506" s="39"/>
      <c r="S1506" s="39"/>
      <c r="T1506" s="39"/>
      <c r="U1506" s="39"/>
      <c r="V1506" s="39"/>
    </row>
    <row r="1507" spans="1:27" ht="21" hidden="1" customHeight="1" x14ac:dyDescent="0.35">
      <c r="A1507" s="81" t="str">
        <f>IF($AA1502=0,"",IF(INDEX(Quotes!$N$9:$N$258,$AA1502)="","No original link","Original quote"))</f>
        <v/>
      </c>
      <c r="B1507" s="39"/>
      <c r="C1507" s="39"/>
      <c r="D1507" s="39"/>
      <c r="E1507" s="39"/>
      <c r="F1507" s="39"/>
      <c r="G1507" s="39"/>
      <c r="I1507" s="81" t="str">
        <f>IF($AA1502=0,"",IF(INDEX(Quotes!$O$9:$O$258,$AA1502)="","No revised link","Revised quote"))</f>
        <v/>
      </c>
      <c r="J1507" s="39"/>
      <c r="K1507" s="39"/>
      <c r="L1507" s="39"/>
      <c r="M1507" s="39"/>
      <c r="N1507" s="39"/>
      <c r="O1507" s="39"/>
      <c r="Q1507" s="81" t="str">
        <f>IF($AA1502=0,"",HYPERLINK("#'Quotes'!A"&amp;($AA1502+8),"Open quote record"))</f>
        <v/>
      </c>
      <c r="R1507" s="39"/>
      <c r="S1507" s="39"/>
      <c r="T1507" s="39"/>
      <c r="U1507" s="39"/>
      <c r="V1507" s="39"/>
    </row>
    <row r="1508" spans="1:27" ht="21" hidden="1" customHeight="1" x14ac:dyDescent="0.35"/>
    <row r="1509" spans="1:27" hidden="1" x14ac:dyDescent="0.35"/>
    <row r="1510" spans="1:27" hidden="1" x14ac:dyDescent="0.35"/>
    <row r="1511" spans="1:27" ht="29" hidden="1" customHeight="1" x14ac:dyDescent="0.35">
      <c r="A1511" s="84" t="str">
        <f>IF($AA1511=0,"",IF(LEN(INDEX(Quotes!$U$9:$U$258,$AA1511)&amp;"")=0,"",INDEX(Quotes!$U$9:$U$258,$AA1511)))</f>
        <v/>
      </c>
      <c r="B1511" s="39"/>
      <c r="C1511" s="39"/>
      <c r="D1511" s="39"/>
      <c r="E1511" s="39"/>
      <c r="F1511" s="39"/>
      <c r="G1511" s="39"/>
      <c r="H1511" s="39"/>
      <c r="I1511" s="39"/>
      <c r="J1511" s="39"/>
      <c r="K1511" s="85" t="str">
        <f>IF($AA1511=0,"",IF(LEN(INDEX(Quotes!$Z$9:$Z$258,$AA1511)&amp;"")=0,"",INDEX(Quotes!$Z$9:$Z$258,$AA1511)))</f>
        <v/>
      </c>
      <c r="L1511" s="39"/>
      <c r="M1511" s="39"/>
      <c r="N1511" s="39"/>
      <c r="O1511" s="39"/>
      <c r="P1511" s="39"/>
      <c r="Q1511" s="39"/>
      <c r="R1511" s="39"/>
      <c r="S1511" s="39"/>
      <c r="T1511" s="39"/>
      <c r="U1511" s="39"/>
      <c r="V1511" s="39"/>
      <c r="AA1511">
        <f>IFERROR(MATCH(156,Quotes!$AK$9:$AK$258,0),0)</f>
        <v>0</v>
      </c>
    </row>
    <row r="1512" spans="1:27" ht="21" hidden="1" customHeight="1" x14ac:dyDescent="0.35">
      <c r="A1512" s="40" t="str">
        <f>IF($AA1511=0,"",IF(LEN(INDEX(Quotes!$V$9:$V$258,$AA1511)&amp;"")=0,"",INDEX(Quotes!$V$9:$V$258,$AA1511)))</f>
        <v/>
      </c>
      <c r="B1512" s="39"/>
      <c r="C1512" s="39"/>
      <c r="D1512" s="39"/>
      <c r="E1512" s="39"/>
      <c r="F1512" s="39"/>
      <c r="G1512" s="39"/>
      <c r="H1512" s="40" t="str">
        <f>IF($AA1511=0,"",IF(LEN(INDEX(Quotes!$W$9:$W$258,$AA1511)&amp;"")=0,"",INDEX(Quotes!$W$9:$W$258,$AA1511)))</f>
        <v/>
      </c>
      <c r="I1512" s="39"/>
      <c r="J1512" s="39"/>
      <c r="K1512" s="39"/>
      <c r="L1512" s="39"/>
      <c r="M1512" s="39"/>
      <c r="N1512" s="39"/>
      <c r="O1512" s="39"/>
      <c r="P1512" s="39"/>
      <c r="Q1512" s="39"/>
      <c r="R1512" s="77" t="str">
        <f>IF($AA1511=0,"",IF(LEN(INDEX(Quotes!$X$9:$X$258,$AA1511)&amp;"")=0,"",INDEX(Quotes!$X$9:$X$258,$AA1511)))</f>
        <v/>
      </c>
      <c r="S1512" s="39"/>
      <c r="T1512" s="39"/>
      <c r="U1512" s="39"/>
      <c r="V1512" s="39"/>
    </row>
    <row r="1513" spans="1:27" ht="21" hidden="1" customHeight="1" x14ac:dyDescent="0.35">
      <c r="A1513" s="83" t="str">
        <f>IF($AA1511=0,"","ORIGINAL EUR")</f>
        <v/>
      </c>
      <c r="B1513" s="39"/>
      <c r="C1513" s="39"/>
      <c r="D1513" s="39"/>
      <c r="E1513" s="39"/>
      <c r="F1513" s="39"/>
      <c r="G1513" s="39"/>
      <c r="I1513" s="83" t="str">
        <f>IF($AA1511=0,"","LATEST EUR")</f>
        <v/>
      </c>
      <c r="J1513" s="39"/>
      <c r="K1513" s="39"/>
      <c r="L1513" s="39"/>
      <c r="M1513" s="39"/>
      <c r="N1513" s="39"/>
      <c r="O1513" s="39"/>
      <c r="Q1513" s="83" t="str">
        <f>IF($AA1511=0,"","SAVED EUR")</f>
        <v/>
      </c>
      <c r="R1513" s="39"/>
      <c r="S1513" s="39"/>
      <c r="T1513" s="39"/>
      <c r="U1513" s="39"/>
      <c r="V1513" s="39"/>
    </row>
    <row r="1514" spans="1:27" ht="21" hidden="1" customHeight="1" x14ac:dyDescent="0.35">
      <c r="A1514" s="82" t="str">
        <f>IF($AA1511=0,"",IF(LEN(INDEX(Quotes!$AB$9:$AB$258,$AA1511)&amp;"")=0,"",INDEX(Quotes!$AB$9:$AB$258,$AA1511)))</f>
        <v/>
      </c>
      <c r="B1514" s="39"/>
      <c r="C1514" s="39"/>
      <c r="D1514" s="39"/>
      <c r="E1514" s="39"/>
      <c r="F1514" s="39"/>
      <c r="G1514" s="39"/>
      <c r="I1514" s="82" t="str">
        <f>IF($AA1511=0,"",IF(LEN(INDEX(Quotes!$AD$9:$AD$258,$AA1511)&amp;"")=0,"",INDEX(Quotes!$AD$9:$AD$258,$AA1511)))</f>
        <v/>
      </c>
      <c r="J1514" s="39"/>
      <c r="K1514" s="39"/>
      <c r="L1514" s="39"/>
      <c r="M1514" s="39"/>
      <c r="N1514" s="39"/>
      <c r="O1514" s="39"/>
      <c r="Q1514" s="82" t="str">
        <f>IF($AA1511=0,"",IF(LEN(INDEX(Quotes!$AF$9:$AF$258,$AA1511)&amp;"")=0,"",INDEX(Quotes!$AF$9:$AF$258,$AA1511)))</f>
        <v/>
      </c>
      <c r="R1514" s="39"/>
      <c r="S1514" s="39"/>
      <c r="T1514" s="39"/>
      <c r="U1514" s="39"/>
      <c r="V1514" s="39"/>
    </row>
    <row r="1515" spans="1:27" ht="21" hidden="1" customHeight="1" x14ac:dyDescent="0.35">
      <c r="A1515" s="48" t="str">
        <f>IF($AA1511=0,"","Reference: "&amp;IF(INDEX(Quotes!$M$9:$M$258,$AA1511)="",INDEX(Quotes!$S$9:$S$258,$AA1511),INDEX(Quotes!$M$9:$M$258,$AA1511)))</f>
        <v/>
      </c>
      <c r="B1515" s="39"/>
      <c r="C1515" s="39"/>
      <c r="D1515" s="39"/>
      <c r="E1515" s="39"/>
      <c r="F1515" s="39"/>
      <c r="G1515" s="39"/>
      <c r="H1515" s="39"/>
      <c r="I1515" s="39"/>
      <c r="J1515" s="39"/>
      <c r="K1515" s="39"/>
      <c r="L1515" s="39"/>
      <c r="M1515" s="39"/>
      <c r="N1515" s="39"/>
      <c r="O1515" s="39"/>
      <c r="P1515" s="39"/>
      <c r="Q1515" s="48" t="str">
        <f>IF($AA1511=0,"",INDEX(Quotes!$E$9:$E$258,$AA1511))</f>
        <v/>
      </c>
      <c r="R1515" s="39"/>
      <c r="S1515" s="39"/>
      <c r="T1515" s="39"/>
      <c r="U1515" s="39"/>
      <c r="V1515" s="39"/>
    </row>
    <row r="1516" spans="1:27" ht="21" hidden="1" customHeight="1" x14ac:dyDescent="0.35">
      <c r="A1516" s="81" t="str">
        <f>IF($AA1511=0,"",IF(INDEX(Quotes!$N$9:$N$258,$AA1511)="","No original link","Original quote"))</f>
        <v/>
      </c>
      <c r="B1516" s="39"/>
      <c r="C1516" s="39"/>
      <c r="D1516" s="39"/>
      <c r="E1516" s="39"/>
      <c r="F1516" s="39"/>
      <c r="G1516" s="39"/>
      <c r="I1516" s="81" t="str">
        <f>IF($AA1511=0,"",IF(INDEX(Quotes!$O$9:$O$258,$AA1511)="","No revised link","Revised quote"))</f>
        <v/>
      </c>
      <c r="J1516" s="39"/>
      <c r="K1516" s="39"/>
      <c r="L1516" s="39"/>
      <c r="M1516" s="39"/>
      <c r="N1516" s="39"/>
      <c r="O1516" s="39"/>
      <c r="Q1516" s="81" t="str">
        <f>IF($AA1511=0,"",HYPERLINK("#'Quotes'!A"&amp;($AA1511+8),"Open quote record"))</f>
        <v/>
      </c>
      <c r="R1516" s="39"/>
      <c r="S1516" s="39"/>
      <c r="T1516" s="39"/>
      <c r="U1516" s="39"/>
      <c r="V1516" s="39"/>
    </row>
    <row r="1517" spans="1:27" ht="21" hidden="1" customHeight="1" x14ac:dyDescent="0.35"/>
    <row r="1518" spans="1:27" hidden="1" x14ac:dyDescent="0.35"/>
    <row r="1519" spans="1:27" hidden="1" x14ac:dyDescent="0.35"/>
    <row r="1520" spans="1:27" hidden="1" x14ac:dyDescent="0.35"/>
    <row r="1521" spans="1:27" hidden="1" x14ac:dyDescent="0.35">
      <c r="A1521" s="67" t="s">
        <v>655</v>
      </c>
      <c r="B1521" s="39"/>
      <c r="C1521" s="39"/>
      <c r="D1521" s="39"/>
      <c r="E1521" s="39"/>
      <c r="F1521" s="39"/>
      <c r="G1521" s="39"/>
      <c r="H1521" s="39"/>
      <c r="I1521" s="39"/>
      <c r="J1521" s="39"/>
      <c r="K1521" s="39"/>
      <c r="L1521" s="39"/>
      <c r="M1521" s="39"/>
      <c r="N1521" s="39"/>
      <c r="O1521" s="39"/>
      <c r="P1521" s="39"/>
      <c r="Q1521" s="39"/>
      <c r="R1521" s="39"/>
      <c r="S1521" s="39"/>
      <c r="T1521" s="39"/>
      <c r="U1521" s="39"/>
      <c r="V1521" s="39"/>
    </row>
    <row r="1522" spans="1:27" ht="29" hidden="1" customHeight="1" x14ac:dyDescent="0.35">
      <c r="A1522" s="84" t="str">
        <f>IF($AA1522=0,"",IF(LEN(INDEX(Quotes!$U$9:$U$258,$AA1522)&amp;"")=0,"",INDEX(Quotes!$U$9:$U$258,$AA1522)))</f>
        <v/>
      </c>
      <c r="B1522" s="39"/>
      <c r="C1522" s="39"/>
      <c r="D1522" s="39"/>
      <c r="E1522" s="39"/>
      <c r="F1522" s="39"/>
      <c r="G1522" s="39"/>
      <c r="H1522" s="39"/>
      <c r="I1522" s="39"/>
      <c r="J1522" s="39"/>
      <c r="K1522" s="85" t="str">
        <f>IF($AA1522=0,"",IF(LEN(INDEX(Quotes!$Z$9:$Z$258,$AA1522)&amp;"")=0,"",INDEX(Quotes!$Z$9:$Z$258,$AA1522)))</f>
        <v/>
      </c>
      <c r="L1522" s="39"/>
      <c r="M1522" s="39"/>
      <c r="N1522" s="39"/>
      <c r="O1522" s="39"/>
      <c r="P1522" s="39"/>
      <c r="Q1522" s="39"/>
      <c r="R1522" s="39"/>
      <c r="S1522" s="39"/>
      <c r="T1522" s="39"/>
      <c r="U1522" s="39"/>
      <c r="V1522" s="39"/>
      <c r="AA1522">
        <f>IFERROR(MATCH(157,Quotes!$AK$9:$AK$258,0),0)</f>
        <v>0</v>
      </c>
    </row>
    <row r="1523" spans="1:27" ht="21" hidden="1" customHeight="1" x14ac:dyDescent="0.35">
      <c r="A1523" s="40" t="str">
        <f>IF($AA1522=0,"",IF(LEN(INDEX(Quotes!$V$9:$V$258,$AA1522)&amp;"")=0,"",INDEX(Quotes!$V$9:$V$258,$AA1522)))</f>
        <v/>
      </c>
      <c r="B1523" s="39"/>
      <c r="C1523" s="39"/>
      <c r="D1523" s="39"/>
      <c r="E1523" s="39"/>
      <c r="F1523" s="39"/>
      <c r="G1523" s="39"/>
      <c r="H1523" s="40" t="str">
        <f>IF($AA1522=0,"",IF(LEN(INDEX(Quotes!$W$9:$W$258,$AA1522)&amp;"")=0,"",INDEX(Quotes!$W$9:$W$258,$AA1522)))</f>
        <v/>
      </c>
      <c r="I1523" s="39"/>
      <c r="J1523" s="39"/>
      <c r="K1523" s="39"/>
      <c r="L1523" s="39"/>
      <c r="M1523" s="39"/>
      <c r="N1523" s="39"/>
      <c r="O1523" s="39"/>
      <c r="P1523" s="39"/>
      <c r="Q1523" s="39"/>
      <c r="R1523" s="77" t="str">
        <f>IF($AA1522=0,"",IF(LEN(INDEX(Quotes!$X$9:$X$258,$AA1522)&amp;"")=0,"",INDEX(Quotes!$X$9:$X$258,$AA1522)))</f>
        <v/>
      </c>
      <c r="S1523" s="39"/>
      <c r="T1523" s="39"/>
      <c r="U1523" s="39"/>
      <c r="V1523" s="39"/>
    </row>
    <row r="1524" spans="1:27" ht="21" hidden="1" customHeight="1" x14ac:dyDescent="0.35">
      <c r="A1524" s="83" t="str">
        <f>IF($AA1522=0,"","ORIGINAL EUR")</f>
        <v/>
      </c>
      <c r="B1524" s="39"/>
      <c r="C1524" s="39"/>
      <c r="D1524" s="39"/>
      <c r="E1524" s="39"/>
      <c r="F1524" s="39"/>
      <c r="G1524" s="39"/>
      <c r="I1524" s="83" t="str">
        <f>IF($AA1522=0,"","LATEST EUR")</f>
        <v/>
      </c>
      <c r="J1524" s="39"/>
      <c r="K1524" s="39"/>
      <c r="L1524" s="39"/>
      <c r="M1524" s="39"/>
      <c r="N1524" s="39"/>
      <c r="O1524" s="39"/>
      <c r="Q1524" s="83" t="str">
        <f>IF($AA1522=0,"","SAVED EUR")</f>
        <v/>
      </c>
      <c r="R1524" s="39"/>
      <c r="S1524" s="39"/>
      <c r="T1524" s="39"/>
      <c r="U1524" s="39"/>
      <c r="V1524" s="39"/>
    </row>
    <row r="1525" spans="1:27" ht="21" hidden="1" customHeight="1" x14ac:dyDescent="0.35">
      <c r="A1525" s="82" t="str">
        <f>IF($AA1522=0,"",IF(LEN(INDEX(Quotes!$AB$9:$AB$258,$AA1522)&amp;"")=0,"",INDEX(Quotes!$AB$9:$AB$258,$AA1522)))</f>
        <v/>
      </c>
      <c r="B1525" s="39"/>
      <c r="C1525" s="39"/>
      <c r="D1525" s="39"/>
      <c r="E1525" s="39"/>
      <c r="F1525" s="39"/>
      <c r="G1525" s="39"/>
      <c r="I1525" s="82" t="str">
        <f>IF($AA1522=0,"",IF(LEN(INDEX(Quotes!$AD$9:$AD$258,$AA1522)&amp;"")=0,"",INDEX(Quotes!$AD$9:$AD$258,$AA1522)))</f>
        <v/>
      </c>
      <c r="J1525" s="39"/>
      <c r="K1525" s="39"/>
      <c r="L1525" s="39"/>
      <c r="M1525" s="39"/>
      <c r="N1525" s="39"/>
      <c r="O1525" s="39"/>
      <c r="Q1525" s="82" t="str">
        <f>IF($AA1522=0,"",IF(LEN(INDEX(Quotes!$AF$9:$AF$258,$AA1522)&amp;"")=0,"",INDEX(Quotes!$AF$9:$AF$258,$AA1522)))</f>
        <v/>
      </c>
      <c r="R1525" s="39"/>
      <c r="S1525" s="39"/>
      <c r="T1525" s="39"/>
      <c r="U1525" s="39"/>
      <c r="V1525" s="39"/>
    </row>
    <row r="1526" spans="1:27" ht="21" hidden="1" customHeight="1" x14ac:dyDescent="0.35">
      <c r="A1526" s="48" t="str">
        <f>IF($AA1522=0,"","Reference: "&amp;IF(INDEX(Quotes!$M$9:$M$258,$AA1522)="",INDEX(Quotes!$S$9:$S$258,$AA1522),INDEX(Quotes!$M$9:$M$258,$AA1522)))</f>
        <v/>
      </c>
      <c r="B1526" s="39"/>
      <c r="C1526" s="39"/>
      <c r="D1526" s="39"/>
      <c r="E1526" s="39"/>
      <c r="F1526" s="39"/>
      <c r="G1526" s="39"/>
      <c r="H1526" s="39"/>
      <c r="I1526" s="39"/>
      <c r="J1526" s="39"/>
      <c r="K1526" s="39"/>
      <c r="L1526" s="39"/>
      <c r="M1526" s="39"/>
      <c r="N1526" s="39"/>
      <c r="O1526" s="39"/>
      <c r="P1526" s="39"/>
      <c r="Q1526" s="48" t="str">
        <f>IF($AA1522=0,"",INDEX(Quotes!$E$9:$E$258,$AA1522))</f>
        <v/>
      </c>
      <c r="R1526" s="39"/>
      <c r="S1526" s="39"/>
      <c r="T1526" s="39"/>
      <c r="U1526" s="39"/>
      <c r="V1526" s="39"/>
    </row>
    <row r="1527" spans="1:27" ht="21" hidden="1" customHeight="1" x14ac:dyDescent="0.35">
      <c r="A1527" s="81" t="str">
        <f>IF($AA1522=0,"",IF(INDEX(Quotes!$N$9:$N$258,$AA1522)="","No original link","Original quote"))</f>
        <v/>
      </c>
      <c r="B1527" s="39"/>
      <c r="C1527" s="39"/>
      <c r="D1527" s="39"/>
      <c r="E1527" s="39"/>
      <c r="F1527" s="39"/>
      <c r="G1527" s="39"/>
      <c r="I1527" s="81" t="str">
        <f>IF($AA1522=0,"",IF(INDEX(Quotes!$O$9:$O$258,$AA1522)="","No revised link","Revised quote"))</f>
        <v/>
      </c>
      <c r="J1527" s="39"/>
      <c r="K1527" s="39"/>
      <c r="L1527" s="39"/>
      <c r="M1527" s="39"/>
      <c r="N1527" s="39"/>
      <c r="O1527" s="39"/>
      <c r="Q1527" s="81" t="str">
        <f>IF($AA1522=0,"",HYPERLINK("#'Quotes'!A"&amp;($AA1522+8),"Open quote record"))</f>
        <v/>
      </c>
      <c r="R1527" s="39"/>
      <c r="S1527" s="39"/>
      <c r="T1527" s="39"/>
      <c r="U1527" s="39"/>
      <c r="V1527" s="39"/>
    </row>
    <row r="1528" spans="1:27" ht="21" hidden="1" customHeight="1" x14ac:dyDescent="0.35"/>
    <row r="1529" spans="1:27" hidden="1" x14ac:dyDescent="0.35"/>
    <row r="1530" spans="1:27" hidden="1" x14ac:dyDescent="0.35"/>
    <row r="1531" spans="1:27" ht="29" hidden="1" customHeight="1" x14ac:dyDescent="0.35">
      <c r="A1531" s="84" t="str">
        <f>IF($AA1531=0,"",IF(LEN(INDEX(Quotes!$U$9:$U$258,$AA1531)&amp;"")=0,"",INDEX(Quotes!$U$9:$U$258,$AA1531)))</f>
        <v/>
      </c>
      <c r="B1531" s="39"/>
      <c r="C1531" s="39"/>
      <c r="D1531" s="39"/>
      <c r="E1531" s="39"/>
      <c r="F1531" s="39"/>
      <c r="G1531" s="39"/>
      <c r="H1531" s="39"/>
      <c r="I1531" s="39"/>
      <c r="J1531" s="39"/>
      <c r="K1531" s="85" t="str">
        <f>IF($AA1531=0,"",IF(LEN(INDEX(Quotes!$Z$9:$Z$258,$AA1531)&amp;"")=0,"",INDEX(Quotes!$Z$9:$Z$258,$AA1531)))</f>
        <v/>
      </c>
      <c r="L1531" s="39"/>
      <c r="M1531" s="39"/>
      <c r="N1531" s="39"/>
      <c r="O1531" s="39"/>
      <c r="P1531" s="39"/>
      <c r="Q1531" s="39"/>
      <c r="R1531" s="39"/>
      <c r="S1531" s="39"/>
      <c r="T1531" s="39"/>
      <c r="U1531" s="39"/>
      <c r="V1531" s="39"/>
      <c r="AA1531">
        <f>IFERROR(MATCH(158,Quotes!$AK$9:$AK$258,0),0)</f>
        <v>0</v>
      </c>
    </row>
    <row r="1532" spans="1:27" ht="21" hidden="1" customHeight="1" x14ac:dyDescent="0.35">
      <c r="A1532" s="40" t="str">
        <f>IF($AA1531=0,"",IF(LEN(INDEX(Quotes!$V$9:$V$258,$AA1531)&amp;"")=0,"",INDEX(Quotes!$V$9:$V$258,$AA1531)))</f>
        <v/>
      </c>
      <c r="B1532" s="39"/>
      <c r="C1532" s="39"/>
      <c r="D1532" s="39"/>
      <c r="E1532" s="39"/>
      <c r="F1532" s="39"/>
      <c r="G1532" s="39"/>
      <c r="H1532" s="40" t="str">
        <f>IF($AA1531=0,"",IF(LEN(INDEX(Quotes!$W$9:$W$258,$AA1531)&amp;"")=0,"",INDEX(Quotes!$W$9:$W$258,$AA1531)))</f>
        <v/>
      </c>
      <c r="I1532" s="39"/>
      <c r="J1532" s="39"/>
      <c r="K1532" s="39"/>
      <c r="L1532" s="39"/>
      <c r="M1532" s="39"/>
      <c r="N1532" s="39"/>
      <c r="O1532" s="39"/>
      <c r="P1532" s="39"/>
      <c r="Q1532" s="39"/>
      <c r="R1532" s="77" t="str">
        <f>IF($AA1531=0,"",IF(LEN(INDEX(Quotes!$X$9:$X$258,$AA1531)&amp;"")=0,"",INDEX(Quotes!$X$9:$X$258,$AA1531)))</f>
        <v/>
      </c>
      <c r="S1532" s="39"/>
      <c r="T1532" s="39"/>
      <c r="U1532" s="39"/>
      <c r="V1532" s="39"/>
    </row>
    <row r="1533" spans="1:27" ht="21" hidden="1" customHeight="1" x14ac:dyDescent="0.35">
      <c r="A1533" s="83" t="str">
        <f>IF($AA1531=0,"","ORIGINAL EUR")</f>
        <v/>
      </c>
      <c r="B1533" s="39"/>
      <c r="C1533" s="39"/>
      <c r="D1533" s="39"/>
      <c r="E1533" s="39"/>
      <c r="F1533" s="39"/>
      <c r="G1533" s="39"/>
      <c r="I1533" s="83" t="str">
        <f>IF($AA1531=0,"","LATEST EUR")</f>
        <v/>
      </c>
      <c r="J1533" s="39"/>
      <c r="K1533" s="39"/>
      <c r="L1533" s="39"/>
      <c r="M1533" s="39"/>
      <c r="N1533" s="39"/>
      <c r="O1533" s="39"/>
      <c r="Q1533" s="83" t="str">
        <f>IF($AA1531=0,"","SAVED EUR")</f>
        <v/>
      </c>
      <c r="R1533" s="39"/>
      <c r="S1533" s="39"/>
      <c r="T1533" s="39"/>
      <c r="U1533" s="39"/>
      <c r="V1533" s="39"/>
    </row>
    <row r="1534" spans="1:27" ht="21" hidden="1" customHeight="1" x14ac:dyDescent="0.35">
      <c r="A1534" s="82" t="str">
        <f>IF($AA1531=0,"",IF(LEN(INDEX(Quotes!$AB$9:$AB$258,$AA1531)&amp;"")=0,"",INDEX(Quotes!$AB$9:$AB$258,$AA1531)))</f>
        <v/>
      </c>
      <c r="B1534" s="39"/>
      <c r="C1534" s="39"/>
      <c r="D1534" s="39"/>
      <c r="E1534" s="39"/>
      <c r="F1534" s="39"/>
      <c r="G1534" s="39"/>
      <c r="I1534" s="82" t="str">
        <f>IF($AA1531=0,"",IF(LEN(INDEX(Quotes!$AD$9:$AD$258,$AA1531)&amp;"")=0,"",INDEX(Quotes!$AD$9:$AD$258,$AA1531)))</f>
        <v/>
      </c>
      <c r="J1534" s="39"/>
      <c r="K1534" s="39"/>
      <c r="L1534" s="39"/>
      <c r="M1534" s="39"/>
      <c r="N1534" s="39"/>
      <c r="O1534" s="39"/>
      <c r="Q1534" s="82" t="str">
        <f>IF($AA1531=0,"",IF(LEN(INDEX(Quotes!$AF$9:$AF$258,$AA1531)&amp;"")=0,"",INDEX(Quotes!$AF$9:$AF$258,$AA1531)))</f>
        <v/>
      </c>
      <c r="R1534" s="39"/>
      <c r="S1534" s="39"/>
      <c r="T1534" s="39"/>
      <c r="U1534" s="39"/>
      <c r="V1534" s="39"/>
    </row>
    <row r="1535" spans="1:27" ht="21" hidden="1" customHeight="1" x14ac:dyDescent="0.35">
      <c r="A1535" s="48" t="str">
        <f>IF($AA1531=0,"","Reference: "&amp;IF(INDEX(Quotes!$M$9:$M$258,$AA1531)="",INDEX(Quotes!$S$9:$S$258,$AA1531),INDEX(Quotes!$M$9:$M$258,$AA1531)))</f>
        <v/>
      </c>
      <c r="B1535" s="39"/>
      <c r="C1535" s="39"/>
      <c r="D1535" s="39"/>
      <c r="E1535" s="39"/>
      <c r="F1535" s="39"/>
      <c r="G1535" s="39"/>
      <c r="H1535" s="39"/>
      <c r="I1535" s="39"/>
      <c r="J1535" s="39"/>
      <c r="K1535" s="39"/>
      <c r="L1535" s="39"/>
      <c r="M1535" s="39"/>
      <c r="N1535" s="39"/>
      <c r="O1535" s="39"/>
      <c r="P1535" s="39"/>
      <c r="Q1535" s="48" t="str">
        <f>IF($AA1531=0,"",INDEX(Quotes!$E$9:$E$258,$AA1531))</f>
        <v/>
      </c>
      <c r="R1535" s="39"/>
      <c r="S1535" s="39"/>
      <c r="T1535" s="39"/>
      <c r="U1535" s="39"/>
      <c r="V1535" s="39"/>
    </row>
    <row r="1536" spans="1:27" ht="21" hidden="1" customHeight="1" x14ac:dyDescent="0.35">
      <c r="A1536" s="81" t="str">
        <f>IF($AA1531=0,"",IF(INDEX(Quotes!$N$9:$N$258,$AA1531)="","No original link","Original quote"))</f>
        <v/>
      </c>
      <c r="B1536" s="39"/>
      <c r="C1536" s="39"/>
      <c r="D1536" s="39"/>
      <c r="E1536" s="39"/>
      <c r="F1536" s="39"/>
      <c r="G1536" s="39"/>
      <c r="I1536" s="81" t="str">
        <f>IF($AA1531=0,"",IF(INDEX(Quotes!$O$9:$O$258,$AA1531)="","No revised link","Revised quote"))</f>
        <v/>
      </c>
      <c r="J1536" s="39"/>
      <c r="K1536" s="39"/>
      <c r="L1536" s="39"/>
      <c r="M1536" s="39"/>
      <c r="N1536" s="39"/>
      <c r="O1536" s="39"/>
      <c r="Q1536" s="81" t="str">
        <f>IF($AA1531=0,"",HYPERLINK("#'Quotes'!A"&amp;($AA1531+8),"Open quote record"))</f>
        <v/>
      </c>
      <c r="R1536" s="39"/>
      <c r="S1536" s="39"/>
      <c r="T1536" s="39"/>
      <c r="U1536" s="39"/>
      <c r="V1536" s="39"/>
    </row>
    <row r="1537" spans="1:27" ht="21" hidden="1" customHeight="1" x14ac:dyDescent="0.35"/>
    <row r="1538" spans="1:27" hidden="1" x14ac:dyDescent="0.35"/>
    <row r="1539" spans="1:27" hidden="1" x14ac:dyDescent="0.35"/>
    <row r="1540" spans="1:27" ht="29" hidden="1" customHeight="1" x14ac:dyDescent="0.35">
      <c r="A1540" s="84" t="str">
        <f>IF($AA1540=0,"",IF(LEN(INDEX(Quotes!$U$9:$U$258,$AA1540)&amp;"")=0,"",INDEX(Quotes!$U$9:$U$258,$AA1540)))</f>
        <v/>
      </c>
      <c r="B1540" s="39"/>
      <c r="C1540" s="39"/>
      <c r="D1540" s="39"/>
      <c r="E1540" s="39"/>
      <c r="F1540" s="39"/>
      <c r="G1540" s="39"/>
      <c r="H1540" s="39"/>
      <c r="I1540" s="39"/>
      <c r="J1540" s="39"/>
      <c r="K1540" s="85" t="str">
        <f>IF($AA1540=0,"",IF(LEN(INDEX(Quotes!$Z$9:$Z$258,$AA1540)&amp;"")=0,"",INDEX(Quotes!$Z$9:$Z$258,$AA1540)))</f>
        <v/>
      </c>
      <c r="L1540" s="39"/>
      <c r="M1540" s="39"/>
      <c r="N1540" s="39"/>
      <c r="O1540" s="39"/>
      <c r="P1540" s="39"/>
      <c r="Q1540" s="39"/>
      <c r="R1540" s="39"/>
      <c r="S1540" s="39"/>
      <c r="T1540" s="39"/>
      <c r="U1540" s="39"/>
      <c r="V1540" s="39"/>
      <c r="AA1540">
        <f>IFERROR(MATCH(159,Quotes!$AK$9:$AK$258,0),0)</f>
        <v>0</v>
      </c>
    </row>
    <row r="1541" spans="1:27" ht="21" hidden="1" customHeight="1" x14ac:dyDescent="0.35">
      <c r="A1541" s="40" t="str">
        <f>IF($AA1540=0,"",IF(LEN(INDEX(Quotes!$V$9:$V$258,$AA1540)&amp;"")=0,"",INDEX(Quotes!$V$9:$V$258,$AA1540)))</f>
        <v/>
      </c>
      <c r="B1541" s="39"/>
      <c r="C1541" s="39"/>
      <c r="D1541" s="39"/>
      <c r="E1541" s="39"/>
      <c r="F1541" s="39"/>
      <c r="G1541" s="39"/>
      <c r="H1541" s="40" t="str">
        <f>IF($AA1540=0,"",IF(LEN(INDEX(Quotes!$W$9:$W$258,$AA1540)&amp;"")=0,"",INDEX(Quotes!$W$9:$W$258,$AA1540)))</f>
        <v/>
      </c>
      <c r="I1541" s="39"/>
      <c r="J1541" s="39"/>
      <c r="K1541" s="39"/>
      <c r="L1541" s="39"/>
      <c r="M1541" s="39"/>
      <c r="N1541" s="39"/>
      <c r="O1541" s="39"/>
      <c r="P1541" s="39"/>
      <c r="Q1541" s="39"/>
      <c r="R1541" s="77" t="str">
        <f>IF($AA1540=0,"",IF(LEN(INDEX(Quotes!$X$9:$X$258,$AA1540)&amp;"")=0,"",INDEX(Quotes!$X$9:$X$258,$AA1540)))</f>
        <v/>
      </c>
      <c r="S1541" s="39"/>
      <c r="T1541" s="39"/>
      <c r="U1541" s="39"/>
      <c r="V1541" s="39"/>
    </row>
    <row r="1542" spans="1:27" ht="21" hidden="1" customHeight="1" x14ac:dyDescent="0.35">
      <c r="A1542" s="83" t="str">
        <f>IF($AA1540=0,"","ORIGINAL EUR")</f>
        <v/>
      </c>
      <c r="B1542" s="39"/>
      <c r="C1542" s="39"/>
      <c r="D1542" s="39"/>
      <c r="E1542" s="39"/>
      <c r="F1542" s="39"/>
      <c r="G1542" s="39"/>
      <c r="I1542" s="83" t="str">
        <f>IF($AA1540=0,"","LATEST EUR")</f>
        <v/>
      </c>
      <c r="J1542" s="39"/>
      <c r="K1542" s="39"/>
      <c r="L1542" s="39"/>
      <c r="M1542" s="39"/>
      <c r="N1542" s="39"/>
      <c r="O1542" s="39"/>
      <c r="Q1542" s="83" t="str">
        <f>IF($AA1540=0,"","SAVED EUR")</f>
        <v/>
      </c>
      <c r="R1542" s="39"/>
      <c r="S1542" s="39"/>
      <c r="T1542" s="39"/>
      <c r="U1542" s="39"/>
      <c r="V1542" s="39"/>
    </row>
    <row r="1543" spans="1:27" ht="21" hidden="1" customHeight="1" x14ac:dyDescent="0.35">
      <c r="A1543" s="82" t="str">
        <f>IF($AA1540=0,"",IF(LEN(INDEX(Quotes!$AB$9:$AB$258,$AA1540)&amp;"")=0,"",INDEX(Quotes!$AB$9:$AB$258,$AA1540)))</f>
        <v/>
      </c>
      <c r="B1543" s="39"/>
      <c r="C1543" s="39"/>
      <c r="D1543" s="39"/>
      <c r="E1543" s="39"/>
      <c r="F1543" s="39"/>
      <c r="G1543" s="39"/>
      <c r="I1543" s="82" t="str">
        <f>IF($AA1540=0,"",IF(LEN(INDEX(Quotes!$AD$9:$AD$258,$AA1540)&amp;"")=0,"",INDEX(Quotes!$AD$9:$AD$258,$AA1540)))</f>
        <v/>
      </c>
      <c r="J1543" s="39"/>
      <c r="K1543" s="39"/>
      <c r="L1543" s="39"/>
      <c r="M1543" s="39"/>
      <c r="N1543" s="39"/>
      <c r="O1543" s="39"/>
      <c r="Q1543" s="82" t="str">
        <f>IF($AA1540=0,"",IF(LEN(INDEX(Quotes!$AF$9:$AF$258,$AA1540)&amp;"")=0,"",INDEX(Quotes!$AF$9:$AF$258,$AA1540)))</f>
        <v/>
      </c>
      <c r="R1543" s="39"/>
      <c r="S1543" s="39"/>
      <c r="T1543" s="39"/>
      <c r="U1543" s="39"/>
      <c r="V1543" s="39"/>
    </row>
    <row r="1544" spans="1:27" ht="21" hidden="1" customHeight="1" x14ac:dyDescent="0.35">
      <c r="A1544" s="48" t="str">
        <f>IF($AA1540=0,"","Reference: "&amp;IF(INDEX(Quotes!$M$9:$M$258,$AA1540)="",INDEX(Quotes!$S$9:$S$258,$AA1540),INDEX(Quotes!$M$9:$M$258,$AA1540)))</f>
        <v/>
      </c>
      <c r="B1544" s="39"/>
      <c r="C1544" s="39"/>
      <c r="D1544" s="39"/>
      <c r="E1544" s="39"/>
      <c r="F1544" s="39"/>
      <c r="G1544" s="39"/>
      <c r="H1544" s="39"/>
      <c r="I1544" s="39"/>
      <c r="J1544" s="39"/>
      <c r="K1544" s="39"/>
      <c r="L1544" s="39"/>
      <c r="M1544" s="39"/>
      <c r="N1544" s="39"/>
      <c r="O1544" s="39"/>
      <c r="P1544" s="39"/>
      <c r="Q1544" s="48" t="str">
        <f>IF($AA1540=0,"",INDEX(Quotes!$E$9:$E$258,$AA1540))</f>
        <v/>
      </c>
      <c r="R1544" s="39"/>
      <c r="S1544" s="39"/>
      <c r="T1544" s="39"/>
      <c r="U1544" s="39"/>
      <c r="V1544" s="39"/>
    </row>
    <row r="1545" spans="1:27" ht="21" hidden="1" customHeight="1" x14ac:dyDescent="0.35">
      <c r="A1545" s="81" t="str">
        <f>IF($AA1540=0,"",IF(INDEX(Quotes!$N$9:$N$258,$AA1540)="","No original link","Original quote"))</f>
        <v/>
      </c>
      <c r="B1545" s="39"/>
      <c r="C1545" s="39"/>
      <c r="D1545" s="39"/>
      <c r="E1545" s="39"/>
      <c r="F1545" s="39"/>
      <c r="G1545" s="39"/>
      <c r="I1545" s="81" t="str">
        <f>IF($AA1540=0,"",IF(INDEX(Quotes!$O$9:$O$258,$AA1540)="","No revised link","Revised quote"))</f>
        <v/>
      </c>
      <c r="J1545" s="39"/>
      <c r="K1545" s="39"/>
      <c r="L1545" s="39"/>
      <c r="M1545" s="39"/>
      <c r="N1545" s="39"/>
      <c r="O1545" s="39"/>
      <c r="Q1545" s="81" t="str">
        <f>IF($AA1540=0,"",HYPERLINK("#'Quotes'!A"&amp;($AA1540+8),"Open quote record"))</f>
        <v/>
      </c>
      <c r="R1545" s="39"/>
      <c r="S1545" s="39"/>
      <c r="T1545" s="39"/>
      <c r="U1545" s="39"/>
      <c r="V1545" s="39"/>
    </row>
    <row r="1546" spans="1:27" ht="21" hidden="1" customHeight="1" x14ac:dyDescent="0.35"/>
    <row r="1547" spans="1:27" hidden="1" x14ac:dyDescent="0.35"/>
    <row r="1548" spans="1:27" hidden="1" x14ac:dyDescent="0.35"/>
    <row r="1549" spans="1:27" ht="29" hidden="1" customHeight="1" x14ac:dyDescent="0.35">
      <c r="A1549" s="84" t="str">
        <f>IF($AA1549=0,"",IF(LEN(INDEX(Quotes!$U$9:$U$258,$AA1549)&amp;"")=0,"",INDEX(Quotes!$U$9:$U$258,$AA1549)))</f>
        <v/>
      </c>
      <c r="B1549" s="39"/>
      <c r="C1549" s="39"/>
      <c r="D1549" s="39"/>
      <c r="E1549" s="39"/>
      <c r="F1549" s="39"/>
      <c r="G1549" s="39"/>
      <c r="H1549" s="39"/>
      <c r="I1549" s="39"/>
      <c r="J1549" s="39"/>
      <c r="K1549" s="85" t="str">
        <f>IF($AA1549=0,"",IF(LEN(INDEX(Quotes!$Z$9:$Z$258,$AA1549)&amp;"")=0,"",INDEX(Quotes!$Z$9:$Z$258,$AA1549)))</f>
        <v/>
      </c>
      <c r="L1549" s="39"/>
      <c r="M1549" s="39"/>
      <c r="N1549" s="39"/>
      <c r="O1549" s="39"/>
      <c r="P1549" s="39"/>
      <c r="Q1549" s="39"/>
      <c r="R1549" s="39"/>
      <c r="S1549" s="39"/>
      <c r="T1549" s="39"/>
      <c r="U1549" s="39"/>
      <c r="V1549" s="39"/>
      <c r="AA1549">
        <f>IFERROR(MATCH(160,Quotes!$AK$9:$AK$258,0),0)</f>
        <v>0</v>
      </c>
    </row>
    <row r="1550" spans="1:27" ht="21" hidden="1" customHeight="1" x14ac:dyDescent="0.35">
      <c r="A1550" s="40" t="str">
        <f>IF($AA1549=0,"",IF(LEN(INDEX(Quotes!$V$9:$V$258,$AA1549)&amp;"")=0,"",INDEX(Quotes!$V$9:$V$258,$AA1549)))</f>
        <v/>
      </c>
      <c r="B1550" s="39"/>
      <c r="C1550" s="39"/>
      <c r="D1550" s="39"/>
      <c r="E1550" s="39"/>
      <c r="F1550" s="39"/>
      <c r="G1550" s="39"/>
      <c r="H1550" s="40" t="str">
        <f>IF($AA1549=0,"",IF(LEN(INDEX(Quotes!$W$9:$W$258,$AA1549)&amp;"")=0,"",INDEX(Quotes!$W$9:$W$258,$AA1549)))</f>
        <v/>
      </c>
      <c r="I1550" s="39"/>
      <c r="J1550" s="39"/>
      <c r="K1550" s="39"/>
      <c r="L1550" s="39"/>
      <c r="M1550" s="39"/>
      <c r="N1550" s="39"/>
      <c r="O1550" s="39"/>
      <c r="P1550" s="39"/>
      <c r="Q1550" s="39"/>
      <c r="R1550" s="77" t="str">
        <f>IF($AA1549=0,"",IF(LEN(INDEX(Quotes!$X$9:$X$258,$AA1549)&amp;"")=0,"",INDEX(Quotes!$X$9:$X$258,$AA1549)))</f>
        <v/>
      </c>
      <c r="S1550" s="39"/>
      <c r="T1550" s="39"/>
      <c r="U1550" s="39"/>
      <c r="V1550" s="39"/>
    </row>
    <row r="1551" spans="1:27" ht="21" hidden="1" customHeight="1" x14ac:dyDescent="0.35">
      <c r="A1551" s="83" t="str">
        <f>IF($AA1549=0,"","ORIGINAL EUR")</f>
        <v/>
      </c>
      <c r="B1551" s="39"/>
      <c r="C1551" s="39"/>
      <c r="D1551" s="39"/>
      <c r="E1551" s="39"/>
      <c r="F1551" s="39"/>
      <c r="G1551" s="39"/>
      <c r="I1551" s="83" t="str">
        <f>IF($AA1549=0,"","LATEST EUR")</f>
        <v/>
      </c>
      <c r="J1551" s="39"/>
      <c r="K1551" s="39"/>
      <c r="L1551" s="39"/>
      <c r="M1551" s="39"/>
      <c r="N1551" s="39"/>
      <c r="O1551" s="39"/>
      <c r="Q1551" s="83" t="str">
        <f>IF($AA1549=0,"","SAVED EUR")</f>
        <v/>
      </c>
      <c r="R1551" s="39"/>
      <c r="S1551" s="39"/>
      <c r="T1551" s="39"/>
      <c r="U1551" s="39"/>
      <c r="V1551" s="39"/>
    </row>
    <row r="1552" spans="1:27" ht="21" hidden="1" customHeight="1" x14ac:dyDescent="0.35">
      <c r="A1552" s="82" t="str">
        <f>IF($AA1549=0,"",IF(LEN(INDEX(Quotes!$AB$9:$AB$258,$AA1549)&amp;"")=0,"",INDEX(Quotes!$AB$9:$AB$258,$AA1549)))</f>
        <v/>
      </c>
      <c r="B1552" s="39"/>
      <c r="C1552" s="39"/>
      <c r="D1552" s="39"/>
      <c r="E1552" s="39"/>
      <c r="F1552" s="39"/>
      <c r="G1552" s="39"/>
      <c r="I1552" s="82" t="str">
        <f>IF($AA1549=0,"",IF(LEN(INDEX(Quotes!$AD$9:$AD$258,$AA1549)&amp;"")=0,"",INDEX(Quotes!$AD$9:$AD$258,$AA1549)))</f>
        <v/>
      </c>
      <c r="J1552" s="39"/>
      <c r="K1552" s="39"/>
      <c r="L1552" s="39"/>
      <c r="M1552" s="39"/>
      <c r="N1552" s="39"/>
      <c r="O1552" s="39"/>
      <c r="Q1552" s="82" t="str">
        <f>IF($AA1549=0,"",IF(LEN(INDEX(Quotes!$AF$9:$AF$258,$AA1549)&amp;"")=0,"",INDEX(Quotes!$AF$9:$AF$258,$AA1549)))</f>
        <v/>
      </c>
      <c r="R1552" s="39"/>
      <c r="S1552" s="39"/>
      <c r="T1552" s="39"/>
      <c r="U1552" s="39"/>
      <c r="V1552" s="39"/>
    </row>
    <row r="1553" spans="1:27" ht="21" hidden="1" customHeight="1" x14ac:dyDescent="0.35">
      <c r="A1553" s="48" t="str">
        <f>IF($AA1549=0,"","Reference: "&amp;IF(INDEX(Quotes!$M$9:$M$258,$AA1549)="",INDEX(Quotes!$S$9:$S$258,$AA1549),INDEX(Quotes!$M$9:$M$258,$AA1549)))</f>
        <v/>
      </c>
      <c r="B1553" s="39"/>
      <c r="C1553" s="39"/>
      <c r="D1553" s="39"/>
      <c r="E1553" s="39"/>
      <c r="F1553" s="39"/>
      <c r="G1553" s="39"/>
      <c r="H1553" s="39"/>
      <c r="I1553" s="39"/>
      <c r="J1553" s="39"/>
      <c r="K1553" s="39"/>
      <c r="L1553" s="39"/>
      <c r="M1553" s="39"/>
      <c r="N1553" s="39"/>
      <c r="O1553" s="39"/>
      <c r="P1553" s="39"/>
      <c r="Q1553" s="48" t="str">
        <f>IF($AA1549=0,"",INDEX(Quotes!$E$9:$E$258,$AA1549))</f>
        <v/>
      </c>
      <c r="R1553" s="39"/>
      <c r="S1553" s="39"/>
      <c r="T1553" s="39"/>
      <c r="U1553" s="39"/>
      <c r="V1553" s="39"/>
    </row>
    <row r="1554" spans="1:27" ht="21" hidden="1" customHeight="1" x14ac:dyDescent="0.35">
      <c r="A1554" s="81" t="str">
        <f>IF($AA1549=0,"",IF(INDEX(Quotes!$N$9:$N$258,$AA1549)="","No original link","Original quote"))</f>
        <v/>
      </c>
      <c r="B1554" s="39"/>
      <c r="C1554" s="39"/>
      <c r="D1554" s="39"/>
      <c r="E1554" s="39"/>
      <c r="F1554" s="39"/>
      <c r="G1554" s="39"/>
      <c r="I1554" s="81" t="str">
        <f>IF($AA1549=0,"",IF(INDEX(Quotes!$O$9:$O$258,$AA1549)="","No revised link","Revised quote"))</f>
        <v/>
      </c>
      <c r="J1554" s="39"/>
      <c r="K1554" s="39"/>
      <c r="L1554" s="39"/>
      <c r="M1554" s="39"/>
      <c r="N1554" s="39"/>
      <c r="O1554" s="39"/>
      <c r="Q1554" s="81" t="str">
        <f>IF($AA1549=0,"",HYPERLINK("#'Quotes'!A"&amp;($AA1549+8),"Open quote record"))</f>
        <v/>
      </c>
      <c r="R1554" s="39"/>
      <c r="S1554" s="39"/>
      <c r="T1554" s="39"/>
      <c r="U1554" s="39"/>
      <c r="V1554" s="39"/>
    </row>
    <row r="1555" spans="1:27" ht="21" hidden="1" customHeight="1" x14ac:dyDescent="0.35"/>
    <row r="1556" spans="1:27" hidden="1" x14ac:dyDescent="0.35"/>
    <row r="1557" spans="1:27" hidden="1" x14ac:dyDescent="0.35"/>
    <row r="1558" spans="1:27" hidden="1" x14ac:dyDescent="0.35"/>
    <row r="1559" spans="1:27" hidden="1" x14ac:dyDescent="0.35">
      <c r="A1559" s="67" t="s">
        <v>655</v>
      </c>
      <c r="B1559" s="39"/>
      <c r="C1559" s="39"/>
      <c r="D1559" s="39"/>
      <c r="E1559" s="39"/>
      <c r="F1559" s="39"/>
      <c r="G1559" s="39"/>
      <c r="H1559" s="39"/>
      <c r="I1559" s="39"/>
      <c r="J1559" s="39"/>
      <c r="K1559" s="39"/>
      <c r="L1559" s="39"/>
      <c r="M1559" s="39"/>
      <c r="N1559" s="39"/>
      <c r="O1559" s="39"/>
      <c r="P1559" s="39"/>
      <c r="Q1559" s="39"/>
      <c r="R1559" s="39"/>
      <c r="S1559" s="39"/>
      <c r="T1559" s="39"/>
      <c r="U1559" s="39"/>
      <c r="V1559" s="39"/>
    </row>
    <row r="1560" spans="1:27" ht="29" hidden="1" customHeight="1" x14ac:dyDescent="0.35">
      <c r="A1560" s="84" t="str">
        <f>IF($AA1560=0,"",IF(LEN(INDEX(Quotes!$U$9:$U$258,$AA1560)&amp;"")=0,"",INDEX(Quotes!$U$9:$U$258,$AA1560)))</f>
        <v/>
      </c>
      <c r="B1560" s="39"/>
      <c r="C1560" s="39"/>
      <c r="D1560" s="39"/>
      <c r="E1560" s="39"/>
      <c r="F1560" s="39"/>
      <c r="G1560" s="39"/>
      <c r="H1560" s="39"/>
      <c r="I1560" s="39"/>
      <c r="J1560" s="39"/>
      <c r="K1560" s="85" t="str">
        <f>IF($AA1560=0,"",IF(LEN(INDEX(Quotes!$Z$9:$Z$258,$AA1560)&amp;"")=0,"",INDEX(Quotes!$Z$9:$Z$258,$AA1560)))</f>
        <v/>
      </c>
      <c r="L1560" s="39"/>
      <c r="M1560" s="39"/>
      <c r="N1560" s="39"/>
      <c r="O1560" s="39"/>
      <c r="P1560" s="39"/>
      <c r="Q1560" s="39"/>
      <c r="R1560" s="39"/>
      <c r="S1560" s="39"/>
      <c r="T1560" s="39"/>
      <c r="U1560" s="39"/>
      <c r="V1560" s="39"/>
      <c r="AA1560">
        <f>IFERROR(MATCH(161,Quotes!$AK$9:$AK$258,0),0)</f>
        <v>0</v>
      </c>
    </row>
    <row r="1561" spans="1:27" ht="21" hidden="1" customHeight="1" x14ac:dyDescent="0.35">
      <c r="A1561" s="40" t="str">
        <f>IF($AA1560=0,"",IF(LEN(INDEX(Quotes!$V$9:$V$258,$AA1560)&amp;"")=0,"",INDEX(Quotes!$V$9:$V$258,$AA1560)))</f>
        <v/>
      </c>
      <c r="B1561" s="39"/>
      <c r="C1561" s="39"/>
      <c r="D1561" s="39"/>
      <c r="E1561" s="39"/>
      <c r="F1561" s="39"/>
      <c r="G1561" s="39"/>
      <c r="H1561" s="40" t="str">
        <f>IF($AA1560=0,"",IF(LEN(INDEX(Quotes!$W$9:$W$258,$AA1560)&amp;"")=0,"",INDEX(Quotes!$W$9:$W$258,$AA1560)))</f>
        <v/>
      </c>
      <c r="I1561" s="39"/>
      <c r="J1561" s="39"/>
      <c r="K1561" s="39"/>
      <c r="L1561" s="39"/>
      <c r="M1561" s="39"/>
      <c r="N1561" s="39"/>
      <c r="O1561" s="39"/>
      <c r="P1561" s="39"/>
      <c r="Q1561" s="39"/>
      <c r="R1561" s="77" t="str">
        <f>IF($AA1560=0,"",IF(LEN(INDEX(Quotes!$X$9:$X$258,$AA1560)&amp;"")=0,"",INDEX(Quotes!$X$9:$X$258,$AA1560)))</f>
        <v/>
      </c>
      <c r="S1561" s="39"/>
      <c r="T1561" s="39"/>
      <c r="U1561" s="39"/>
      <c r="V1561" s="39"/>
    </row>
    <row r="1562" spans="1:27" ht="21" hidden="1" customHeight="1" x14ac:dyDescent="0.35">
      <c r="A1562" s="83" t="str">
        <f>IF($AA1560=0,"","ORIGINAL EUR")</f>
        <v/>
      </c>
      <c r="B1562" s="39"/>
      <c r="C1562" s="39"/>
      <c r="D1562" s="39"/>
      <c r="E1562" s="39"/>
      <c r="F1562" s="39"/>
      <c r="G1562" s="39"/>
      <c r="I1562" s="83" t="str">
        <f>IF($AA1560=0,"","LATEST EUR")</f>
        <v/>
      </c>
      <c r="J1562" s="39"/>
      <c r="K1562" s="39"/>
      <c r="L1562" s="39"/>
      <c r="M1562" s="39"/>
      <c r="N1562" s="39"/>
      <c r="O1562" s="39"/>
      <c r="Q1562" s="83" t="str">
        <f>IF($AA1560=0,"","SAVED EUR")</f>
        <v/>
      </c>
      <c r="R1562" s="39"/>
      <c r="S1562" s="39"/>
      <c r="T1562" s="39"/>
      <c r="U1562" s="39"/>
      <c r="V1562" s="39"/>
    </row>
    <row r="1563" spans="1:27" ht="21" hidden="1" customHeight="1" x14ac:dyDescent="0.35">
      <c r="A1563" s="82" t="str">
        <f>IF($AA1560=0,"",IF(LEN(INDEX(Quotes!$AB$9:$AB$258,$AA1560)&amp;"")=0,"",INDEX(Quotes!$AB$9:$AB$258,$AA1560)))</f>
        <v/>
      </c>
      <c r="B1563" s="39"/>
      <c r="C1563" s="39"/>
      <c r="D1563" s="39"/>
      <c r="E1563" s="39"/>
      <c r="F1563" s="39"/>
      <c r="G1563" s="39"/>
      <c r="I1563" s="82" t="str">
        <f>IF($AA1560=0,"",IF(LEN(INDEX(Quotes!$AD$9:$AD$258,$AA1560)&amp;"")=0,"",INDEX(Quotes!$AD$9:$AD$258,$AA1560)))</f>
        <v/>
      </c>
      <c r="J1563" s="39"/>
      <c r="K1563" s="39"/>
      <c r="L1563" s="39"/>
      <c r="M1563" s="39"/>
      <c r="N1563" s="39"/>
      <c r="O1563" s="39"/>
      <c r="Q1563" s="82" t="str">
        <f>IF($AA1560=0,"",IF(LEN(INDEX(Quotes!$AF$9:$AF$258,$AA1560)&amp;"")=0,"",INDEX(Quotes!$AF$9:$AF$258,$AA1560)))</f>
        <v/>
      </c>
      <c r="R1563" s="39"/>
      <c r="S1563" s="39"/>
      <c r="T1563" s="39"/>
      <c r="U1563" s="39"/>
      <c r="V1563" s="39"/>
    </row>
    <row r="1564" spans="1:27" ht="21" hidden="1" customHeight="1" x14ac:dyDescent="0.35">
      <c r="A1564" s="48" t="str">
        <f>IF($AA1560=0,"","Reference: "&amp;IF(INDEX(Quotes!$M$9:$M$258,$AA1560)="",INDEX(Quotes!$S$9:$S$258,$AA1560),INDEX(Quotes!$M$9:$M$258,$AA1560)))</f>
        <v/>
      </c>
      <c r="B1564" s="39"/>
      <c r="C1564" s="39"/>
      <c r="D1564" s="39"/>
      <c r="E1564" s="39"/>
      <c r="F1564" s="39"/>
      <c r="G1564" s="39"/>
      <c r="H1564" s="39"/>
      <c r="I1564" s="39"/>
      <c r="J1564" s="39"/>
      <c r="K1564" s="39"/>
      <c r="L1564" s="39"/>
      <c r="M1564" s="39"/>
      <c r="N1564" s="39"/>
      <c r="O1564" s="39"/>
      <c r="P1564" s="39"/>
      <c r="Q1564" s="48" t="str">
        <f>IF($AA1560=0,"",INDEX(Quotes!$E$9:$E$258,$AA1560))</f>
        <v/>
      </c>
      <c r="R1564" s="39"/>
      <c r="S1564" s="39"/>
      <c r="T1564" s="39"/>
      <c r="U1564" s="39"/>
      <c r="V1564" s="39"/>
    </row>
    <row r="1565" spans="1:27" ht="21" hidden="1" customHeight="1" x14ac:dyDescent="0.35">
      <c r="A1565" s="81" t="str">
        <f>IF($AA1560=0,"",IF(INDEX(Quotes!$N$9:$N$258,$AA1560)="","No original link","Original quote"))</f>
        <v/>
      </c>
      <c r="B1565" s="39"/>
      <c r="C1565" s="39"/>
      <c r="D1565" s="39"/>
      <c r="E1565" s="39"/>
      <c r="F1565" s="39"/>
      <c r="G1565" s="39"/>
      <c r="I1565" s="81" t="str">
        <f>IF($AA1560=0,"",IF(INDEX(Quotes!$O$9:$O$258,$AA1560)="","No revised link","Revised quote"))</f>
        <v/>
      </c>
      <c r="J1565" s="39"/>
      <c r="K1565" s="39"/>
      <c r="L1565" s="39"/>
      <c r="M1565" s="39"/>
      <c r="N1565" s="39"/>
      <c r="O1565" s="39"/>
      <c r="Q1565" s="81" t="str">
        <f>IF($AA1560=0,"",HYPERLINK("#'Quotes'!A"&amp;($AA1560+8),"Open quote record"))</f>
        <v/>
      </c>
      <c r="R1565" s="39"/>
      <c r="S1565" s="39"/>
      <c r="T1565" s="39"/>
      <c r="U1565" s="39"/>
      <c r="V1565" s="39"/>
    </row>
    <row r="1566" spans="1:27" ht="21" hidden="1" customHeight="1" x14ac:dyDescent="0.35"/>
    <row r="1567" spans="1:27" hidden="1" x14ac:dyDescent="0.35"/>
    <row r="1568" spans="1:27" hidden="1" x14ac:dyDescent="0.35"/>
    <row r="1569" spans="1:27" ht="29" hidden="1" customHeight="1" x14ac:dyDescent="0.35">
      <c r="A1569" s="84" t="str">
        <f>IF($AA1569=0,"",IF(LEN(INDEX(Quotes!$U$9:$U$258,$AA1569)&amp;"")=0,"",INDEX(Quotes!$U$9:$U$258,$AA1569)))</f>
        <v/>
      </c>
      <c r="B1569" s="39"/>
      <c r="C1569" s="39"/>
      <c r="D1569" s="39"/>
      <c r="E1569" s="39"/>
      <c r="F1569" s="39"/>
      <c r="G1569" s="39"/>
      <c r="H1569" s="39"/>
      <c r="I1569" s="39"/>
      <c r="J1569" s="39"/>
      <c r="K1569" s="85" t="str">
        <f>IF($AA1569=0,"",IF(LEN(INDEX(Quotes!$Z$9:$Z$258,$AA1569)&amp;"")=0,"",INDEX(Quotes!$Z$9:$Z$258,$AA1569)))</f>
        <v/>
      </c>
      <c r="L1569" s="39"/>
      <c r="M1569" s="39"/>
      <c r="N1569" s="39"/>
      <c r="O1569" s="39"/>
      <c r="P1569" s="39"/>
      <c r="Q1569" s="39"/>
      <c r="R1569" s="39"/>
      <c r="S1569" s="39"/>
      <c r="T1569" s="39"/>
      <c r="U1569" s="39"/>
      <c r="V1569" s="39"/>
      <c r="AA1569">
        <f>IFERROR(MATCH(162,Quotes!$AK$9:$AK$258,0),0)</f>
        <v>0</v>
      </c>
    </row>
    <row r="1570" spans="1:27" ht="21" hidden="1" customHeight="1" x14ac:dyDescent="0.35">
      <c r="A1570" s="40" t="str">
        <f>IF($AA1569=0,"",IF(LEN(INDEX(Quotes!$V$9:$V$258,$AA1569)&amp;"")=0,"",INDEX(Quotes!$V$9:$V$258,$AA1569)))</f>
        <v/>
      </c>
      <c r="B1570" s="39"/>
      <c r="C1570" s="39"/>
      <c r="D1570" s="39"/>
      <c r="E1570" s="39"/>
      <c r="F1570" s="39"/>
      <c r="G1570" s="39"/>
      <c r="H1570" s="40" t="str">
        <f>IF($AA1569=0,"",IF(LEN(INDEX(Quotes!$W$9:$W$258,$AA1569)&amp;"")=0,"",INDEX(Quotes!$W$9:$W$258,$AA1569)))</f>
        <v/>
      </c>
      <c r="I1570" s="39"/>
      <c r="J1570" s="39"/>
      <c r="K1570" s="39"/>
      <c r="L1570" s="39"/>
      <c r="M1570" s="39"/>
      <c r="N1570" s="39"/>
      <c r="O1570" s="39"/>
      <c r="P1570" s="39"/>
      <c r="Q1570" s="39"/>
      <c r="R1570" s="77" t="str">
        <f>IF($AA1569=0,"",IF(LEN(INDEX(Quotes!$X$9:$X$258,$AA1569)&amp;"")=0,"",INDEX(Quotes!$X$9:$X$258,$AA1569)))</f>
        <v/>
      </c>
      <c r="S1570" s="39"/>
      <c r="T1570" s="39"/>
      <c r="U1570" s="39"/>
      <c r="V1570" s="39"/>
    </row>
    <row r="1571" spans="1:27" ht="21" hidden="1" customHeight="1" x14ac:dyDescent="0.35">
      <c r="A1571" s="83" t="str">
        <f>IF($AA1569=0,"","ORIGINAL EUR")</f>
        <v/>
      </c>
      <c r="B1571" s="39"/>
      <c r="C1571" s="39"/>
      <c r="D1571" s="39"/>
      <c r="E1571" s="39"/>
      <c r="F1571" s="39"/>
      <c r="G1571" s="39"/>
      <c r="I1571" s="83" t="str">
        <f>IF($AA1569=0,"","LATEST EUR")</f>
        <v/>
      </c>
      <c r="J1571" s="39"/>
      <c r="K1571" s="39"/>
      <c r="L1571" s="39"/>
      <c r="M1571" s="39"/>
      <c r="N1571" s="39"/>
      <c r="O1571" s="39"/>
      <c r="Q1571" s="83" t="str">
        <f>IF($AA1569=0,"","SAVED EUR")</f>
        <v/>
      </c>
      <c r="R1571" s="39"/>
      <c r="S1571" s="39"/>
      <c r="T1571" s="39"/>
      <c r="U1571" s="39"/>
      <c r="V1571" s="39"/>
    </row>
    <row r="1572" spans="1:27" ht="21" hidden="1" customHeight="1" x14ac:dyDescent="0.35">
      <c r="A1572" s="82" t="str">
        <f>IF($AA1569=0,"",IF(LEN(INDEX(Quotes!$AB$9:$AB$258,$AA1569)&amp;"")=0,"",INDEX(Quotes!$AB$9:$AB$258,$AA1569)))</f>
        <v/>
      </c>
      <c r="B1572" s="39"/>
      <c r="C1572" s="39"/>
      <c r="D1572" s="39"/>
      <c r="E1572" s="39"/>
      <c r="F1572" s="39"/>
      <c r="G1572" s="39"/>
      <c r="I1572" s="82" t="str">
        <f>IF($AA1569=0,"",IF(LEN(INDEX(Quotes!$AD$9:$AD$258,$AA1569)&amp;"")=0,"",INDEX(Quotes!$AD$9:$AD$258,$AA1569)))</f>
        <v/>
      </c>
      <c r="J1572" s="39"/>
      <c r="K1572" s="39"/>
      <c r="L1572" s="39"/>
      <c r="M1572" s="39"/>
      <c r="N1572" s="39"/>
      <c r="O1572" s="39"/>
      <c r="Q1572" s="82" t="str">
        <f>IF($AA1569=0,"",IF(LEN(INDEX(Quotes!$AF$9:$AF$258,$AA1569)&amp;"")=0,"",INDEX(Quotes!$AF$9:$AF$258,$AA1569)))</f>
        <v/>
      </c>
      <c r="R1572" s="39"/>
      <c r="S1572" s="39"/>
      <c r="T1572" s="39"/>
      <c r="U1572" s="39"/>
      <c r="V1572" s="39"/>
    </row>
    <row r="1573" spans="1:27" ht="21" hidden="1" customHeight="1" x14ac:dyDescent="0.35">
      <c r="A1573" s="48" t="str">
        <f>IF($AA1569=0,"","Reference: "&amp;IF(INDEX(Quotes!$M$9:$M$258,$AA1569)="",INDEX(Quotes!$S$9:$S$258,$AA1569),INDEX(Quotes!$M$9:$M$258,$AA1569)))</f>
        <v/>
      </c>
      <c r="B1573" s="39"/>
      <c r="C1573" s="39"/>
      <c r="D1573" s="39"/>
      <c r="E1573" s="39"/>
      <c r="F1573" s="39"/>
      <c r="G1573" s="39"/>
      <c r="H1573" s="39"/>
      <c r="I1573" s="39"/>
      <c r="J1573" s="39"/>
      <c r="K1573" s="39"/>
      <c r="L1573" s="39"/>
      <c r="M1573" s="39"/>
      <c r="N1573" s="39"/>
      <c r="O1573" s="39"/>
      <c r="P1573" s="39"/>
      <c r="Q1573" s="48" t="str">
        <f>IF($AA1569=0,"",INDEX(Quotes!$E$9:$E$258,$AA1569))</f>
        <v/>
      </c>
      <c r="R1573" s="39"/>
      <c r="S1573" s="39"/>
      <c r="T1573" s="39"/>
      <c r="U1573" s="39"/>
      <c r="V1573" s="39"/>
    </row>
    <row r="1574" spans="1:27" ht="21" hidden="1" customHeight="1" x14ac:dyDescent="0.35">
      <c r="A1574" s="81" t="str">
        <f>IF($AA1569=0,"",IF(INDEX(Quotes!$N$9:$N$258,$AA1569)="","No original link","Original quote"))</f>
        <v/>
      </c>
      <c r="B1574" s="39"/>
      <c r="C1574" s="39"/>
      <c r="D1574" s="39"/>
      <c r="E1574" s="39"/>
      <c r="F1574" s="39"/>
      <c r="G1574" s="39"/>
      <c r="I1574" s="81" t="str">
        <f>IF($AA1569=0,"",IF(INDEX(Quotes!$O$9:$O$258,$AA1569)="","No revised link","Revised quote"))</f>
        <v/>
      </c>
      <c r="J1574" s="39"/>
      <c r="K1574" s="39"/>
      <c r="L1574" s="39"/>
      <c r="M1574" s="39"/>
      <c r="N1574" s="39"/>
      <c r="O1574" s="39"/>
      <c r="Q1574" s="81" t="str">
        <f>IF($AA1569=0,"",HYPERLINK("#'Quotes'!A"&amp;($AA1569+8),"Open quote record"))</f>
        <v/>
      </c>
      <c r="R1574" s="39"/>
      <c r="S1574" s="39"/>
      <c r="T1574" s="39"/>
      <c r="U1574" s="39"/>
      <c r="V1574" s="39"/>
    </row>
    <row r="1575" spans="1:27" ht="21" hidden="1" customHeight="1" x14ac:dyDescent="0.35"/>
    <row r="1576" spans="1:27" hidden="1" x14ac:dyDescent="0.35"/>
    <row r="1577" spans="1:27" hidden="1" x14ac:dyDescent="0.35"/>
    <row r="1578" spans="1:27" ht="29" hidden="1" customHeight="1" x14ac:dyDescent="0.35">
      <c r="A1578" s="84" t="str">
        <f>IF($AA1578=0,"",IF(LEN(INDEX(Quotes!$U$9:$U$258,$AA1578)&amp;"")=0,"",INDEX(Quotes!$U$9:$U$258,$AA1578)))</f>
        <v/>
      </c>
      <c r="B1578" s="39"/>
      <c r="C1578" s="39"/>
      <c r="D1578" s="39"/>
      <c r="E1578" s="39"/>
      <c r="F1578" s="39"/>
      <c r="G1578" s="39"/>
      <c r="H1578" s="39"/>
      <c r="I1578" s="39"/>
      <c r="J1578" s="39"/>
      <c r="K1578" s="85" t="str">
        <f>IF($AA1578=0,"",IF(LEN(INDEX(Quotes!$Z$9:$Z$258,$AA1578)&amp;"")=0,"",INDEX(Quotes!$Z$9:$Z$258,$AA1578)))</f>
        <v/>
      </c>
      <c r="L1578" s="39"/>
      <c r="M1578" s="39"/>
      <c r="N1578" s="39"/>
      <c r="O1578" s="39"/>
      <c r="P1578" s="39"/>
      <c r="Q1578" s="39"/>
      <c r="R1578" s="39"/>
      <c r="S1578" s="39"/>
      <c r="T1578" s="39"/>
      <c r="U1578" s="39"/>
      <c r="V1578" s="39"/>
      <c r="AA1578">
        <f>IFERROR(MATCH(163,Quotes!$AK$9:$AK$258,0),0)</f>
        <v>0</v>
      </c>
    </row>
    <row r="1579" spans="1:27" ht="21" hidden="1" customHeight="1" x14ac:dyDescent="0.35">
      <c r="A1579" s="40" t="str">
        <f>IF($AA1578=0,"",IF(LEN(INDEX(Quotes!$V$9:$V$258,$AA1578)&amp;"")=0,"",INDEX(Quotes!$V$9:$V$258,$AA1578)))</f>
        <v/>
      </c>
      <c r="B1579" s="39"/>
      <c r="C1579" s="39"/>
      <c r="D1579" s="39"/>
      <c r="E1579" s="39"/>
      <c r="F1579" s="39"/>
      <c r="G1579" s="39"/>
      <c r="H1579" s="40" t="str">
        <f>IF($AA1578=0,"",IF(LEN(INDEX(Quotes!$W$9:$W$258,$AA1578)&amp;"")=0,"",INDEX(Quotes!$W$9:$W$258,$AA1578)))</f>
        <v/>
      </c>
      <c r="I1579" s="39"/>
      <c r="J1579" s="39"/>
      <c r="K1579" s="39"/>
      <c r="L1579" s="39"/>
      <c r="M1579" s="39"/>
      <c r="N1579" s="39"/>
      <c r="O1579" s="39"/>
      <c r="P1579" s="39"/>
      <c r="Q1579" s="39"/>
      <c r="R1579" s="77" t="str">
        <f>IF($AA1578=0,"",IF(LEN(INDEX(Quotes!$X$9:$X$258,$AA1578)&amp;"")=0,"",INDEX(Quotes!$X$9:$X$258,$AA1578)))</f>
        <v/>
      </c>
      <c r="S1579" s="39"/>
      <c r="T1579" s="39"/>
      <c r="U1579" s="39"/>
      <c r="V1579" s="39"/>
    </row>
    <row r="1580" spans="1:27" ht="21" hidden="1" customHeight="1" x14ac:dyDescent="0.35">
      <c r="A1580" s="83" t="str">
        <f>IF($AA1578=0,"","ORIGINAL EUR")</f>
        <v/>
      </c>
      <c r="B1580" s="39"/>
      <c r="C1580" s="39"/>
      <c r="D1580" s="39"/>
      <c r="E1580" s="39"/>
      <c r="F1580" s="39"/>
      <c r="G1580" s="39"/>
      <c r="I1580" s="83" t="str">
        <f>IF($AA1578=0,"","LATEST EUR")</f>
        <v/>
      </c>
      <c r="J1580" s="39"/>
      <c r="K1580" s="39"/>
      <c r="L1580" s="39"/>
      <c r="M1580" s="39"/>
      <c r="N1580" s="39"/>
      <c r="O1580" s="39"/>
      <c r="Q1580" s="83" t="str">
        <f>IF($AA1578=0,"","SAVED EUR")</f>
        <v/>
      </c>
      <c r="R1580" s="39"/>
      <c r="S1580" s="39"/>
      <c r="T1580" s="39"/>
      <c r="U1580" s="39"/>
      <c r="V1580" s="39"/>
    </row>
    <row r="1581" spans="1:27" ht="21" hidden="1" customHeight="1" x14ac:dyDescent="0.35">
      <c r="A1581" s="82" t="str">
        <f>IF($AA1578=0,"",IF(LEN(INDEX(Quotes!$AB$9:$AB$258,$AA1578)&amp;"")=0,"",INDEX(Quotes!$AB$9:$AB$258,$AA1578)))</f>
        <v/>
      </c>
      <c r="B1581" s="39"/>
      <c r="C1581" s="39"/>
      <c r="D1581" s="39"/>
      <c r="E1581" s="39"/>
      <c r="F1581" s="39"/>
      <c r="G1581" s="39"/>
      <c r="I1581" s="82" t="str">
        <f>IF($AA1578=0,"",IF(LEN(INDEX(Quotes!$AD$9:$AD$258,$AA1578)&amp;"")=0,"",INDEX(Quotes!$AD$9:$AD$258,$AA1578)))</f>
        <v/>
      </c>
      <c r="J1581" s="39"/>
      <c r="K1581" s="39"/>
      <c r="L1581" s="39"/>
      <c r="M1581" s="39"/>
      <c r="N1581" s="39"/>
      <c r="O1581" s="39"/>
      <c r="Q1581" s="82" t="str">
        <f>IF($AA1578=0,"",IF(LEN(INDEX(Quotes!$AF$9:$AF$258,$AA1578)&amp;"")=0,"",INDEX(Quotes!$AF$9:$AF$258,$AA1578)))</f>
        <v/>
      </c>
      <c r="R1581" s="39"/>
      <c r="S1581" s="39"/>
      <c r="T1581" s="39"/>
      <c r="U1581" s="39"/>
      <c r="V1581" s="39"/>
    </row>
    <row r="1582" spans="1:27" ht="21" hidden="1" customHeight="1" x14ac:dyDescent="0.35">
      <c r="A1582" s="48" t="str">
        <f>IF($AA1578=0,"","Reference: "&amp;IF(INDEX(Quotes!$M$9:$M$258,$AA1578)="",INDEX(Quotes!$S$9:$S$258,$AA1578),INDEX(Quotes!$M$9:$M$258,$AA1578)))</f>
        <v/>
      </c>
      <c r="B1582" s="39"/>
      <c r="C1582" s="39"/>
      <c r="D1582" s="39"/>
      <c r="E1582" s="39"/>
      <c r="F1582" s="39"/>
      <c r="G1582" s="39"/>
      <c r="H1582" s="39"/>
      <c r="I1582" s="39"/>
      <c r="J1582" s="39"/>
      <c r="K1582" s="39"/>
      <c r="L1582" s="39"/>
      <c r="M1582" s="39"/>
      <c r="N1582" s="39"/>
      <c r="O1582" s="39"/>
      <c r="P1582" s="39"/>
      <c r="Q1582" s="48" t="str">
        <f>IF($AA1578=0,"",INDEX(Quotes!$E$9:$E$258,$AA1578))</f>
        <v/>
      </c>
      <c r="R1582" s="39"/>
      <c r="S1582" s="39"/>
      <c r="T1582" s="39"/>
      <c r="U1582" s="39"/>
      <c r="V1582" s="39"/>
    </row>
    <row r="1583" spans="1:27" ht="21" hidden="1" customHeight="1" x14ac:dyDescent="0.35">
      <c r="A1583" s="81" t="str">
        <f>IF($AA1578=0,"",IF(INDEX(Quotes!$N$9:$N$258,$AA1578)="","No original link","Original quote"))</f>
        <v/>
      </c>
      <c r="B1583" s="39"/>
      <c r="C1583" s="39"/>
      <c r="D1583" s="39"/>
      <c r="E1583" s="39"/>
      <c r="F1583" s="39"/>
      <c r="G1583" s="39"/>
      <c r="I1583" s="81" t="str">
        <f>IF($AA1578=0,"",IF(INDEX(Quotes!$O$9:$O$258,$AA1578)="","No revised link","Revised quote"))</f>
        <v/>
      </c>
      <c r="J1583" s="39"/>
      <c r="K1583" s="39"/>
      <c r="L1583" s="39"/>
      <c r="M1583" s="39"/>
      <c r="N1583" s="39"/>
      <c r="O1583" s="39"/>
      <c r="Q1583" s="81" t="str">
        <f>IF($AA1578=0,"",HYPERLINK("#'Quotes'!A"&amp;($AA1578+8),"Open quote record"))</f>
        <v/>
      </c>
      <c r="R1583" s="39"/>
      <c r="S1583" s="39"/>
      <c r="T1583" s="39"/>
      <c r="U1583" s="39"/>
      <c r="V1583" s="39"/>
    </row>
    <row r="1584" spans="1:27" ht="21" hidden="1" customHeight="1" x14ac:dyDescent="0.35"/>
    <row r="1585" spans="1:27" hidden="1" x14ac:dyDescent="0.35"/>
    <row r="1586" spans="1:27" hidden="1" x14ac:dyDescent="0.35"/>
    <row r="1587" spans="1:27" ht="29" hidden="1" customHeight="1" x14ac:dyDescent="0.35">
      <c r="A1587" s="84" t="str">
        <f>IF($AA1587=0,"",IF(LEN(INDEX(Quotes!$U$9:$U$258,$AA1587)&amp;"")=0,"",INDEX(Quotes!$U$9:$U$258,$AA1587)))</f>
        <v/>
      </c>
      <c r="B1587" s="39"/>
      <c r="C1587" s="39"/>
      <c r="D1587" s="39"/>
      <c r="E1587" s="39"/>
      <c r="F1587" s="39"/>
      <c r="G1587" s="39"/>
      <c r="H1587" s="39"/>
      <c r="I1587" s="39"/>
      <c r="J1587" s="39"/>
      <c r="K1587" s="85" t="str">
        <f>IF($AA1587=0,"",IF(LEN(INDEX(Quotes!$Z$9:$Z$258,$AA1587)&amp;"")=0,"",INDEX(Quotes!$Z$9:$Z$258,$AA1587)))</f>
        <v/>
      </c>
      <c r="L1587" s="39"/>
      <c r="M1587" s="39"/>
      <c r="N1587" s="39"/>
      <c r="O1587" s="39"/>
      <c r="P1587" s="39"/>
      <c r="Q1587" s="39"/>
      <c r="R1587" s="39"/>
      <c r="S1587" s="39"/>
      <c r="T1587" s="39"/>
      <c r="U1587" s="39"/>
      <c r="V1587" s="39"/>
      <c r="AA1587">
        <f>IFERROR(MATCH(164,Quotes!$AK$9:$AK$258,0),0)</f>
        <v>0</v>
      </c>
    </row>
    <row r="1588" spans="1:27" ht="21" hidden="1" customHeight="1" x14ac:dyDescent="0.35">
      <c r="A1588" s="40" t="str">
        <f>IF($AA1587=0,"",IF(LEN(INDEX(Quotes!$V$9:$V$258,$AA1587)&amp;"")=0,"",INDEX(Quotes!$V$9:$V$258,$AA1587)))</f>
        <v/>
      </c>
      <c r="B1588" s="39"/>
      <c r="C1588" s="39"/>
      <c r="D1588" s="39"/>
      <c r="E1588" s="39"/>
      <c r="F1588" s="39"/>
      <c r="G1588" s="39"/>
      <c r="H1588" s="40" t="str">
        <f>IF($AA1587=0,"",IF(LEN(INDEX(Quotes!$W$9:$W$258,$AA1587)&amp;"")=0,"",INDEX(Quotes!$W$9:$W$258,$AA1587)))</f>
        <v/>
      </c>
      <c r="I1588" s="39"/>
      <c r="J1588" s="39"/>
      <c r="K1588" s="39"/>
      <c r="L1588" s="39"/>
      <c r="M1588" s="39"/>
      <c r="N1588" s="39"/>
      <c r="O1588" s="39"/>
      <c r="P1588" s="39"/>
      <c r="Q1588" s="39"/>
      <c r="R1588" s="77" t="str">
        <f>IF($AA1587=0,"",IF(LEN(INDEX(Quotes!$X$9:$X$258,$AA1587)&amp;"")=0,"",INDEX(Quotes!$X$9:$X$258,$AA1587)))</f>
        <v/>
      </c>
      <c r="S1588" s="39"/>
      <c r="T1588" s="39"/>
      <c r="U1588" s="39"/>
      <c r="V1588" s="39"/>
    </row>
    <row r="1589" spans="1:27" ht="21" hidden="1" customHeight="1" x14ac:dyDescent="0.35">
      <c r="A1589" s="83" t="str">
        <f>IF($AA1587=0,"","ORIGINAL EUR")</f>
        <v/>
      </c>
      <c r="B1589" s="39"/>
      <c r="C1589" s="39"/>
      <c r="D1589" s="39"/>
      <c r="E1589" s="39"/>
      <c r="F1589" s="39"/>
      <c r="G1589" s="39"/>
      <c r="I1589" s="83" t="str">
        <f>IF($AA1587=0,"","LATEST EUR")</f>
        <v/>
      </c>
      <c r="J1589" s="39"/>
      <c r="K1589" s="39"/>
      <c r="L1589" s="39"/>
      <c r="M1589" s="39"/>
      <c r="N1589" s="39"/>
      <c r="O1589" s="39"/>
      <c r="Q1589" s="83" t="str">
        <f>IF($AA1587=0,"","SAVED EUR")</f>
        <v/>
      </c>
      <c r="R1589" s="39"/>
      <c r="S1589" s="39"/>
      <c r="T1589" s="39"/>
      <c r="U1589" s="39"/>
      <c r="V1589" s="39"/>
    </row>
    <row r="1590" spans="1:27" ht="21" hidden="1" customHeight="1" x14ac:dyDescent="0.35">
      <c r="A1590" s="82" t="str">
        <f>IF($AA1587=0,"",IF(LEN(INDEX(Quotes!$AB$9:$AB$258,$AA1587)&amp;"")=0,"",INDEX(Quotes!$AB$9:$AB$258,$AA1587)))</f>
        <v/>
      </c>
      <c r="B1590" s="39"/>
      <c r="C1590" s="39"/>
      <c r="D1590" s="39"/>
      <c r="E1590" s="39"/>
      <c r="F1590" s="39"/>
      <c r="G1590" s="39"/>
      <c r="I1590" s="82" t="str">
        <f>IF($AA1587=0,"",IF(LEN(INDEX(Quotes!$AD$9:$AD$258,$AA1587)&amp;"")=0,"",INDEX(Quotes!$AD$9:$AD$258,$AA1587)))</f>
        <v/>
      </c>
      <c r="J1590" s="39"/>
      <c r="K1590" s="39"/>
      <c r="L1590" s="39"/>
      <c r="M1590" s="39"/>
      <c r="N1590" s="39"/>
      <c r="O1590" s="39"/>
      <c r="Q1590" s="82" t="str">
        <f>IF($AA1587=0,"",IF(LEN(INDEX(Quotes!$AF$9:$AF$258,$AA1587)&amp;"")=0,"",INDEX(Quotes!$AF$9:$AF$258,$AA1587)))</f>
        <v/>
      </c>
      <c r="R1590" s="39"/>
      <c r="S1590" s="39"/>
      <c r="T1590" s="39"/>
      <c r="U1590" s="39"/>
      <c r="V1590" s="39"/>
    </row>
    <row r="1591" spans="1:27" ht="21" hidden="1" customHeight="1" x14ac:dyDescent="0.35">
      <c r="A1591" s="48" t="str">
        <f>IF($AA1587=0,"","Reference: "&amp;IF(INDEX(Quotes!$M$9:$M$258,$AA1587)="",INDEX(Quotes!$S$9:$S$258,$AA1587),INDEX(Quotes!$M$9:$M$258,$AA1587)))</f>
        <v/>
      </c>
      <c r="B1591" s="39"/>
      <c r="C1591" s="39"/>
      <c r="D1591" s="39"/>
      <c r="E1591" s="39"/>
      <c r="F1591" s="39"/>
      <c r="G1591" s="39"/>
      <c r="H1591" s="39"/>
      <c r="I1591" s="39"/>
      <c r="J1591" s="39"/>
      <c r="K1591" s="39"/>
      <c r="L1591" s="39"/>
      <c r="M1591" s="39"/>
      <c r="N1591" s="39"/>
      <c r="O1591" s="39"/>
      <c r="P1591" s="39"/>
      <c r="Q1591" s="48" t="str">
        <f>IF($AA1587=0,"",INDEX(Quotes!$E$9:$E$258,$AA1587))</f>
        <v/>
      </c>
      <c r="R1591" s="39"/>
      <c r="S1591" s="39"/>
      <c r="T1591" s="39"/>
      <c r="U1591" s="39"/>
      <c r="V1591" s="39"/>
    </row>
    <row r="1592" spans="1:27" ht="21" hidden="1" customHeight="1" x14ac:dyDescent="0.35">
      <c r="A1592" s="81" t="str">
        <f>IF($AA1587=0,"",IF(INDEX(Quotes!$N$9:$N$258,$AA1587)="","No original link","Original quote"))</f>
        <v/>
      </c>
      <c r="B1592" s="39"/>
      <c r="C1592" s="39"/>
      <c r="D1592" s="39"/>
      <c r="E1592" s="39"/>
      <c r="F1592" s="39"/>
      <c r="G1592" s="39"/>
      <c r="I1592" s="81" t="str">
        <f>IF($AA1587=0,"",IF(INDEX(Quotes!$O$9:$O$258,$AA1587)="","No revised link","Revised quote"))</f>
        <v/>
      </c>
      <c r="J1592" s="39"/>
      <c r="K1592" s="39"/>
      <c r="L1592" s="39"/>
      <c r="M1592" s="39"/>
      <c r="N1592" s="39"/>
      <c r="O1592" s="39"/>
      <c r="Q1592" s="81" t="str">
        <f>IF($AA1587=0,"",HYPERLINK("#'Quotes'!A"&amp;($AA1587+8),"Open quote record"))</f>
        <v/>
      </c>
      <c r="R1592" s="39"/>
      <c r="S1592" s="39"/>
      <c r="T1592" s="39"/>
      <c r="U1592" s="39"/>
      <c r="V1592" s="39"/>
    </row>
    <row r="1593" spans="1:27" ht="21" hidden="1" customHeight="1" x14ac:dyDescent="0.35"/>
    <row r="1594" spans="1:27" hidden="1" x14ac:dyDescent="0.35"/>
    <row r="1595" spans="1:27" hidden="1" x14ac:dyDescent="0.35"/>
    <row r="1596" spans="1:27" hidden="1" x14ac:dyDescent="0.35"/>
    <row r="1597" spans="1:27" hidden="1" x14ac:dyDescent="0.35">
      <c r="A1597" s="67" t="s">
        <v>655</v>
      </c>
      <c r="B1597" s="39"/>
      <c r="C1597" s="39"/>
      <c r="D1597" s="39"/>
      <c r="E1597" s="39"/>
      <c r="F1597" s="39"/>
      <c r="G1597" s="39"/>
      <c r="H1597" s="39"/>
      <c r="I1597" s="39"/>
      <c r="J1597" s="39"/>
      <c r="K1597" s="39"/>
      <c r="L1597" s="39"/>
      <c r="M1597" s="39"/>
      <c r="N1597" s="39"/>
      <c r="O1597" s="39"/>
      <c r="P1597" s="39"/>
      <c r="Q1597" s="39"/>
      <c r="R1597" s="39"/>
      <c r="S1597" s="39"/>
      <c r="T1597" s="39"/>
      <c r="U1597" s="39"/>
      <c r="V1597" s="39"/>
    </row>
    <row r="1598" spans="1:27" ht="29" hidden="1" customHeight="1" x14ac:dyDescent="0.35">
      <c r="A1598" s="84" t="str">
        <f>IF($AA1598=0,"",IF(LEN(INDEX(Quotes!$U$9:$U$258,$AA1598)&amp;"")=0,"",INDEX(Quotes!$U$9:$U$258,$AA1598)))</f>
        <v/>
      </c>
      <c r="B1598" s="39"/>
      <c r="C1598" s="39"/>
      <c r="D1598" s="39"/>
      <c r="E1598" s="39"/>
      <c r="F1598" s="39"/>
      <c r="G1598" s="39"/>
      <c r="H1598" s="39"/>
      <c r="I1598" s="39"/>
      <c r="J1598" s="39"/>
      <c r="K1598" s="85" t="str">
        <f>IF($AA1598=0,"",IF(LEN(INDEX(Quotes!$Z$9:$Z$258,$AA1598)&amp;"")=0,"",INDEX(Quotes!$Z$9:$Z$258,$AA1598)))</f>
        <v/>
      </c>
      <c r="L1598" s="39"/>
      <c r="M1598" s="39"/>
      <c r="N1598" s="39"/>
      <c r="O1598" s="39"/>
      <c r="P1598" s="39"/>
      <c r="Q1598" s="39"/>
      <c r="R1598" s="39"/>
      <c r="S1598" s="39"/>
      <c r="T1598" s="39"/>
      <c r="U1598" s="39"/>
      <c r="V1598" s="39"/>
      <c r="AA1598">
        <f>IFERROR(MATCH(165,Quotes!$AK$9:$AK$258,0),0)</f>
        <v>0</v>
      </c>
    </row>
    <row r="1599" spans="1:27" ht="21" hidden="1" customHeight="1" x14ac:dyDescent="0.35">
      <c r="A1599" s="40" t="str">
        <f>IF($AA1598=0,"",IF(LEN(INDEX(Quotes!$V$9:$V$258,$AA1598)&amp;"")=0,"",INDEX(Quotes!$V$9:$V$258,$AA1598)))</f>
        <v/>
      </c>
      <c r="B1599" s="39"/>
      <c r="C1599" s="39"/>
      <c r="D1599" s="39"/>
      <c r="E1599" s="39"/>
      <c r="F1599" s="39"/>
      <c r="G1599" s="39"/>
      <c r="H1599" s="40" t="str">
        <f>IF($AA1598=0,"",IF(LEN(INDEX(Quotes!$W$9:$W$258,$AA1598)&amp;"")=0,"",INDEX(Quotes!$W$9:$W$258,$AA1598)))</f>
        <v/>
      </c>
      <c r="I1599" s="39"/>
      <c r="J1599" s="39"/>
      <c r="K1599" s="39"/>
      <c r="L1599" s="39"/>
      <c r="M1599" s="39"/>
      <c r="N1599" s="39"/>
      <c r="O1599" s="39"/>
      <c r="P1599" s="39"/>
      <c r="Q1599" s="39"/>
      <c r="R1599" s="77" t="str">
        <f>IF($AA1598=0,"",IF(LEN(INDEX(Quotes!$X$9:$X$258,$AA1598)&amp;"")=0,"",INDEX(Quotes!$X$9:$X$258,$AA1598)))</f>
        <v/>
      </c>
      <c r="S1599" s="39"/>
      <c r="T1599" s="39"/>
      <c r="U1599" s="39"/>
      <c r="V1599" s="39"/>
    </row>
    <row r="1600" spans="1:27" ht="21" hidden="1" customHeight="1" x14ac:dyDescent="0.35">
      <c r="A1600" s="83" t="str">
        <f>IF($AA1598=0,"","ORIGINAL EUR")</f>
        <v/>
      </c>
      <c r="B1600" s="39"/>
      <c r="C1600" s="39"/>
      <c r="D1600" s="39"/>
      <c r="E1600" s="39"/>
      <c r="F1600" s="39"/>
      <c r="G1600" s="39"/>
      <c r="I1600" s="83" t="str">
        <f>IF($AA1598=0,"","LATEST EUR")</f>
        <v/>
      </c>
      <c r="J1600" s="39"/>
      <c r="K1600" s="39"/>
      <c r="L1600" s="39"/>
      <c r="M1600" s="39"/>
      <c r="N1600" s="39"/>
      <c r="O1600" s="39"/>
      <c r="Q1600" s="83" t="str">
        <f>IF($AA1598=0,"","SAVED EUR")</f>
        <v/>
      </c>
      <c r="R1600" s="39"/>
      <c r="S1600" s="39"/>
      <c r="T1600" s="39"/>
      <c r="U1600" s="39"/>
      <c r="V1600" s="39"/>
    </row>
    <row r="1601" spans="1:27" ht="21" hidden="1" customHeight="1" x14ac:dyDescent="0.35">
      <c r="A1601" s="82" t="str">
        <f>IF($AA1598=0,"",IF(LEN(INDEX(Quotes!$AB$9:$AB$258,$AA1598)&amp;"")=0,"",INDEX(Quotes!$AB$9:$AB$258,$AA1598)))</f>
        <v/>
      </c>
      <c r="B1601" s="39"/>
      <c r="C1601" s="39"/>
      <c r="D1601" s="39"/>
      <c r="E1601" s="39"/>
      <c r="F1601" s="39"/>
      <c r="G1601" s="39"/>
      <c r="I1601" s="82" t="str">
        <f>IF($AA1598=0,"",IF(LEN(INDEX(Quotes!$AD$9:$AD$258,$AA1598)&amp;"")=0,"",INDEX(Quotes!$AD$9:$AD$258,$AA1598)))</f>
        <v/>
      </c>
      <c r="J1601" s="39"/>
      <c r="K1601" s="39"/>
      <c r="L1601" s="39"/>
      <c r="M1601" s="39"/>
      <c r="N1601" s="39"/>
      <c r="O1601" s="39"/>
      <c r="Q1601" s="82" t="str">
        <f>IF($AA1598=0,"",IF(LEN(INDEX(Quotes!$AF$9:$AF$258,$AA1598)&amp;"")=0,"",INDEX(Quotes!$AF$9:$AF$258,$AA1598)))</f>
        <v/>
      </c>
      <c r="R1601" s="39"/>
      <c r="S1601" s="39"/>
      <c r="T1601" s="39"/>
      <c r="U1601" s="39"/>
      <c r="V1601" s="39"/>
    </row>
    <row r="1602" spans="1:27" ht="21" hidden="1" customHeight="1" x14ac:dyDescent="0.35">
      <c r="A1602" s="48" t="str">
        <f>IF($AA1598=0,"","Reference: "&amp;IF(INDEX(Quotes!$M$9:$M$258,$AA1598)="",INDEX(Quotes!$S$9:$S$258,$AA1598),INDEX(Quotes!$M$9:$M$258,$AA1598)))</f>
        <v/>
      </c>
      <c r="B1602" s="39"/>
      <c r="C1602" s="39"/>
      <c r="D1602" s="39"/>
      <c r="E1602" s="39"/>
      <c r="F1602" s="39"/>
      <c r="G1602" s="39"/>
      <c r="H1602" s="39"/>
      <c r="I1602" s="39"/>
      <c r="J1602" s="39"/>
      <c r="K1602" s="39"/>
      <c r="L1602" s="39"/>
      <c r="M1602" s="39"/>
      <c r="N1602" s="39"/>
      <c r="O1602" s="39"/>
      <c r="P1602" s="39"/>
      <c r="Q1602" s="48" t="str">
        <f>IF($AA1598=0,"",INDEX(Quotes!$E$9:$E$258,$AA1598))</f>
        <v/>
      </c>
      <c r="R1602" s="39"/>
      <c r="S1602" s="39"/>
      <c r="T1602" s="39"/>
      <c r="U1602" s="39"/>
      <c r="V1602" s="39"/>
    </row>
    <row r="1603" spans="1:27" ht="21" hidden="1" customHeight="1" x14ac:dyDescent="0.35">
      <c r="A1603" s="81" t="str">
        <f>IF($AA1598=0,"",IF(INDEX(Quotes!$N$9:$N$258,$AA1598)="","No original link","Original quote"))</f>
        <v/>
      </c>
      <c r="B1603" s="39"/>
      <c r="C1603" s="39"/>
      <c r="D1603" s="39"/>
      <c r="E1603" s="39"/>
      <c r="F1603" s="39"/>
      <c r="G1603" s="39"/>
      <c r="I1603" s="81" t="str">
        <f>IF($AA1598=0,"",IF(INDEX(Quotes!$O$9:$O$258,$AA1598)="","No revised link","Revised quote"))</f>
        <v/>
      </c>
      <c r="J1603" s="39"/>
      <c r="K1603" s="39"/>
      <c r="L1603" s="39"/>
      <c r="M1603" s="39"/>
      <c r="N1603" s="39"/>
      <c r="O1603" s="39"/>
      <c r="Q1603" s="81" t="str">
        <f>IF($AA1598=0,"",HYPERLINK("#'Quotes'!A"&amp;($AA1598+8),"Open quote record"))</f>
        <v/>
      </c>
      <c r="R1603" s="39"/>
      <c r="S1603" s="39"/>
      <c r="T1603" s="39"/>
      <c r="U1603" s="39"/>
      <c r="V1603" s="39"/>
    </row>
    <row r="1604" spans="1:27" ht="21" hidden="1" customHeight="1" x14ac:dyDescent="0.35"/>
    <row r="1605" spans="1:27" hidden="1" x14ac:dyDescent="0.35"/>
    <row r="1606" spans="1:27" hidden="1" x14ac:dyDescent="0.35"/>
    <row r="1607" spans="1:27" ht="29" hidden="1" customHeight="1" x14ac:dyDescent="0.35">
      <c r="A1607" s="84" t="str">
        <f>IF($AA1607=0,"",IF(LEN(INDEX(Quotes!$U$9:$U$258,$AA1607)&amp;"")=0,"",INDEX(Quotes!$U$9:$U$258,$AA1607)))</f>
        <v/>
      </c>
      <c r="B1607" s="39"/>
      <c r="C1607" s="39"/>
      <c r="D1607" s="39"/>
      <c r="E1607" s="39"/>
      <c r="F1607" s="39"/>
      <c r="G1607" s="39"/>
      <c r="H1607" s="39"/>
      <c r="I1607" s="39"/>
      <c r="J1607" s="39"/>
      <c r="K1607" s="85" t="str">
        <f>IF($AA1607=0,"",IF(LEN(INDEX(Quotes!$Z$9:$Z$258,$AA1607)&amp;"")=0,"",INDEX(Quotes!$Z$9:$Z$258,$AA1607)))</f>
        <v/>
      </c>
      <c r="L1607" s="39"/>
      <c r="M1607" s="39"/>
      <c r="N1607" s="39"/>
      <c r="O1607" s="39"/>
      <c r="P1607" s="39"/>
      <c r="Q1607" s="39"/>
      <c r="R1607" s="39"/>
      <c r="S1607" s="39"/>
      <c r="T1607" s="39"/>
      <c r="U1607" s="39"/>
      <c r="V1607" s="39"/>
      <c r="AA1607">
        <f>IFERROR(MATCH(166,Quotes!$AK$9:$AK$258,0),0)</f>
        <v>0</v>
      </c>
    </row>
    <row r="1608" spans="1:27" ht="21" hidden="1" customHeight="1" x14ac:dyDescent="0.35">
      <c r="A1608" s="40" t="str">
        <f>IF($AA1607=0,"",IF(LEN(INDEX(Quotes!$V$9:$V$258,$AA1607)&amp;"")=0,"",INDEX(Quotes!$V$9:$V$258,$AA1607)))</f>
        <v/>
      </c>
      <c r="B1608" s="39"/>
      <c r="C1608" s="39"/>
      <c r="D1608" s="39"/>
      <c r="E1608" s="39"/>
      <c r="F1608" s="39"/>
      <c r="G1608" s="39"/>
      <c r="H1608" s="40" t="str">
        <f>IF($AA1607=0,"",IF(LEN(INDEX(Quotes!$W$9:$W$258,$AA1607)&amp;"")=0,"",INDEX(Quotes!$W$9:$W$258,$AA1607)))</f>
        <v/>
      </c>
      <c r="I1608" s="39"/>
      <c r="J1608" s="39"/>
      <c r="K1608" s="39"/>
      <c r="L1608" s="39"/>
      <c r="M1608" s="39"/>
      <c r="N1608" s="39"/>
      <c r="O1608" s="39"/>
      <c r="P1608" s="39"/>
      <c r="Q1608" s="39"/>
      <c r="R1608" s="77" t="str">
        <f>IF($AA1607=0,"",IF(LEN(INDEX(Quotes!$X$9:$X$258,$AA1607)&amp;"")=0,"",INDEX(Quotes!$X$9:$X$258,$AA1607)))</f>
        <v/>
      </c>
      <c r="S1608" s="39"/>
      <c r="T1608" s="39"/>
      <c r="U1608" s="39"/>
      <c r="V1608" s="39"/>
    </row>
    <row r="1609" spans="1:27" ht="21" hidden="1" customHeight="1" x14ac:dyDescent="0.35">
      <c r="A1609" s="83" t="str">
        <f>IF($AA1607=0,"","ORIGINAL EUR")</f>
        <v/>
      </c>
      <c r="B1609" s="39"/>
      <c r="C1609" s="39"/>
      <c r="D1609" s="39"/>
      <c r="E1609" s="39"/>
      <c r="F1609" s="39"/>
      <c r="G1609" s="39"/>
      <c r="I1609" s="83" t="str">
        <f>IF($AA1607=0,"","LATEST EUR")</f>
        <v/>
      </c>
      <c r="J1609" s="39"/>
      <c r="K1609" s="39"/>
      <c r="L1609" s="39"/>
      <c r="M1609" s="39"/>
      <c r="N1609" s="39"/>
      <c r="O1609" s="39"/>
      <c r="Q1609" s="83" t="str">
        <f>IF($AA1607=0,"","SAVED EUR")</f>
        <v/>
      </c>
      <c r="R1609" s="39"/>
      <c r="S1609" s="39"/>
      <c r="T1609" s="39"/>
      <c r="U1609" s="39"/>
      <c r="V1609" s="39"/>
    </row>
    <row r="1610" spans="1:27" ht="21" hidden="1" customHeight="1" x14ac:dyDescent="0.35">
      <c r="A1610" s="82" t="str">
        <f>IF($AA1607=0,"",IF(LEN(INDEX(Quotes!$AB$9:$AB$258,$AA1607)&amp;"")=0,"",INDEX(Quotes!$AB$9:$AB$258,$AA1607)))</f>
        <v/>
      </c>
      <c r="B1610" s="39"/>
      <c r="C1610" s="39"/>
      <c r="D1610" s="39"/>
      <c r="E1610" s="39"/>
      <c r="F1610" s="39"/>
      <c r="G1610" s="39"/>
      <c r="I1610" s="82" t="str">
        <f>IF($AA1607=0,"",IF(LEN(INDEX(Quotes!$AD$9:$AD$258,$AA1607)&amp;"")=0,"",INDEX(Quotes!$AD$9:$AD$258,$AA1607)))</f>
        <v/>
      </c>
      <c r="J1610" s="39"/>
      <c r="K1610" s="39"/>
      <c r="L1610" s="39"/>
      <c r="M1610" s="39"/>
      <c r="N1610" s="39"/>
      <c r="O1610" s="39"/>
      <c r="Q1610" s="82" t="str">
        <f>IF($AA1607=0,"",IF(LEN(INDEX(Quotes!$AF$9:$AF$258,$AA1607)&amp;"")=0,"",INDEX(Quotes!$AF$9:$AF$258,$AA1607)))</f>
        <v/>
      </c>
      <c r="R1610" s="39"/>
      <c r="S1610" s="39"/>
      <c r="T1610" s="39"/>
      <c r="U1610" s="39"/>
      <c r="V1610" s="39"/>
    </row>
    <row r="1611" spans="1:27" ht="21" hidden="1" customHeight="1" x14ac:dyDescent="0.35">
      <c r="A1611" s="48" t="str">
        <f>IF($AA1607=0,"","Reference: "&amp;IF(INDEX(Quotes!$M$9:$M$258,$AA1607)="",INDEX(Quotes!$S$9:$S$258,$AA1607),INDEX(Quotes!$M$9:$M$258,$AA1607)))</f>
        <v/>
      </c>
      <c r="B1611" s="39"/>
      <c r="C1611" s="39"/>
      <c r="D1611" s="39"/>
      <c r="E1611" s="39"/>
      <c r="F1611" s="39"/>
      <c r="G1611" s="39"/>
      <c r="H1611" s="39"/>
      <c r="I1611" s="39"/>
      <c r="J1611" s="39"/>
      <c r="K1611" s="39"/>
      <c r="L1611" s="39"/>
      <c r="M1611" s="39"/>
      <c r="N1611" s="39"/>
      <c r="O1611" s="39"/>
      <c r="P1611" s="39"/>
      <c r="Q1611" s="48" t="str">
        <f>IF($AA1607=0,"",INDEX(Quotes!$E$9:$E$258,$AA1607))</f>
        <v/>
      </c>
      <c r="R1611" s="39"/>
      <c r="S1611" s="39"/>
      <c r="T1611" s="39"/>
      <c r="U1611" s="39"/>
      <c r="V1611" s="39"/>
    </row>
    <row r="1612" spans="1:27" ht="21" hidden="1" customHeight="1" x14ac:dyDescent="0.35">
      <c r="A1612" s="81" t="str">
        <f>IF($AA1607=0,"",IF(INDEX(Quotes!$N$9:$N$258,$AA1607)="","No original link","Original quote"))</f>
        <v/>
      </c>
      <c r="B1612" s="39"/>
      <c r="C1612" s="39"/>
      <c r="D1612" s="39"/>
      <c r="E1612" s="39"/>
      <c r="F1612" s="39"/>
      <c r="G1612" s="39"/>
      <c r="I1612" s="81" t="str">
        <f>IF($AA1607=0,"",IF(INDEX(Quotes!$O$9:$O$258,$AA1607)="","No revised link","Revised quote"))</f>
        <v/>
      </c>
      <c r="J1612" s="39"/>
      <c r="K1612" s="39"/>
      <c r="L1612" s="39"/>
      <c r="M1612" s="39"/>
      <c r="N1612" s="39"/>
      <c r="O1612" s="39"/>
      <c r="Q1612" s="81" t="str">
        <f>IF($AA1607=0,"",HYPERLINK("#'Quotes'!A"&amp;($AA1607+8),"Open quote record"))</f>
        <v/>
      </c>
      <c r="R1612" s="39"/>
      <c r="S1612" s="39"/>
      <c r="T1612" s="39"/>
      <c r="U1612" s="39"/>
      <c r="V1612" s="39"/>
    </row>
    <row r="1613" spans="1:27" ht="21" hidden="1" customHeight="1" x14ac:dyDescent="0.35"/>
    <row r="1614" spans="1:27" hidden="1" x14ac:dyDescent="0.35"/>
    <row r="1615" spans="1:27" hidden="1" x14ac:dyDescent="0.35"/>
    <row r="1616" spans="1:27" ht="29" hidden="1" customHeight="1" x14ac:dyDescent="0.35">
      <c r="A1616" s="84" t="str">
        <f>IF($AA1616=0,"",IF(LEN(INDEX(Quotes!$U$9:$U$258,$AA1616)&amp;"")=0,"",INDEX(Quotes!$U$9:$U$258,$AA1616)))</f>
        <v/>
      </c>
      <c r="B1616" s="39"/>
      <c r="C1616" s="39"/>
      <c r="D1616" s="39"/>
      <c r="E1616" s="39"/>
      <c r="F1616" s="39"/>
      <c r="G1616" s="39"/>
      <c r="H1616" s="39"/>
      <c r="I1616" s="39"/>
      <c r="J1616" s="39"/>
      <c r="K1616" s="85" t="str">
        <f>IF($AA1616=0,"",IF(LEN(INDEX(Quotes!$Z$9:$Z$258,$AA1616)&amp;"")=0,"",INDEX(Quotes!$Z$9:$Z$258,$AA1616)))</f>
        <v/>
      </c>
      <c r="L1616" s="39"/>
      <c r="M1616" s="39"/>
      <c r="N1616" s="39"/>
      <c r="O1616" s="39"/>
      <c r="P1616" s="39"/>
      <c r="Q1616" s="39"/>
      <c r="R1616" s="39"/>
      <c r="S1616" s="39"/>
      <c r="T1616" s="39"/>
      <c r="U1616" s="39"/>
      <c r="V1616" s="39"/>
      <c r="AA1616">
        <f>IFERROR(MATCH(167,Quotes!$AK$9:$AK$258,0),0)</f>
        <v>0</v>
      </c>
    </row>
    <row r="1617" spans="1:27" ht="21" hidden="1" customHeight="1" x14ac:dyDescent="0.35">
      <c r="A1617" s="40" t="str">
        <f>IF($AA1616=0,"",IF(LEN(INDEX(Quotes!$V$9:$V$258,$AA1616)&amp;"")=0,"",INDEX(Quotes!$V$9:$V$258,$AA1616)))</f>
        <v/>
      </c>
      <c r="B1617" s="39"/>
      <c r="C1617" s="39"/>
      <c r="D1617" s="39"/>
      <c r="E1617" s="39"/>
      <c r="F1617" s="39"/>
      <c r="G1617" s="39"/>
      <c r="H1617" s="40" t="str">
        <f>IF($AA1616=0,"",IF(LEN(INDEX(Quotes!$W$9:$W$258,$AA1616)&amp;"")=0,"",INDEX(Quotes!$W$9:$W$258,$AA1616)))</f>
        <v/>
      </c>
      <c r="I1617" s="39"/>
      <c r="J1617" s="39"/>
      <c r="K1617" s="39"/>
      <c r="L1617" s="39"/>
      <c r="M1617" s="39"/>
      <c r="N1617" s="39"/>
      <c r="O1617" s="39"/>
      <c r="P1617" s="39"/>
      <c r="Q1617" s="39"/>
      <c r="R1617" s="77" t="str">
        <f>IF($AA1616=0,"",IF(LEN(INDEX(Quotes!$X$9:$X$258,$AA1616)&amp;"")=0,"",INDEX(Quotes!$X$9:$X$258,$AA1616)))</f>
        <v/>
      </c>
      <c r="S1617" s="39"/>
      <c r="T1617" s="39"/>
      <c r="U1617" s="39"/>
      <c r="V1617" s="39"/>
    </row>
    <row r="1618" spans="1:27" ht="21" hidden="1" customHeight="1" x14ac:dyDescent="0.35">
      <c r="A1618" s="83" t="str">
        <f>IF($AA1616=0,"","ORIGINAL EUR")</f>
        <v/>
      </c>
      <c r="B1618" s="39"/>
      <c r="C1618" s="39"/>
      <c r="D1618" s="39"/>
      <c r="E1618" s="39"/>
      <c r="F1618" s="39"/>
      <c r="G1618" s="39"/>
      <c r="I1618" s="83" t="str">
        <f>IF($AA1616=0,"","LATEST EUR")</f>
        <v/>
      </c>
      <c r="J1618" s="39"/>
      <c r="K1618" s="39"/>
      <c r="L1618" s="39"/>
      <c r="M1618" s="39"/>
      <c r="N1618" s="39"/>
      <c r="O1618" s="39"/>
      <c r="Q1618" s="83" t="str">
        <f>IF($AA1616=0,"","SAVED EUR")</f>
        <v/>
      </c>
      <c r="R1618" s="39"/>
      <c r="S1618" s="39"/>
      <c r="T1618" s="39"/>
      <c r="U1618" s="39"/>
      <c r="V1618" s="39"/>
    </row>
    <row r="1619" spans="1:27" ht="21" hidden="1" customHeight="1" x14ac:dyDescent="0.35">
      <c r="A1619" s="82" t="str">
        <f>IF($AA1616=0,"",IF(LEN(INDEX(Quotes!$AB$9:$AB$258,$AA1616)&amp;"")=0,"",INDEX(Quotes!$AB$9:$AB$258,$AA1616)))</f>
        <v/>
      </c>
      <c r="B1619" s="39"/>
      <c r="C1619" s="39"/>
      <c r="D1619" s="39"/>
      <c r="E1619" s="39"/>
      <c r="F1619" s="39"/>
      <c r="G1619" s="39"/>
      <c r="I1619" s="82" t="str">
        <f>IF($AA1616=0,"",IF(LEN(INDEX(Quotes!$AD$9:$AD$258,$AA1616)&amp;"")=0,"",INDEX(Quotes!$AD$9:$AD$258,$AA1616)))</f>
        <v/>
      </c>
      <c r="J1619" s="39"/>
      <c r="K1619" s="39"/>
      <c r="L1619" s="39"/>
      <c r="M1619" s="39"/>
      <c r="N1619" s="39"/>
      <c r="O1619" s="39"/>
      <c r="Q1619" s="82" t="str">
        <f>IF($AA1616=0,"",IF(LEN(INDEX(Quotes!$AF$9:$AF$258,$AA1616)&amp;"")=0,"",INDEX(Quotes!$AF$9:$AF$258,$AA1616)))</f>
        <v/>
      </c>
      <c r="R1619" s="39"/>
      <c r="S1619" s="39"/>
      <c r="T1619" s="39"/>
      <c r="U1619" s="39"/>
      <c r="V1619" s="39"/>
    </row>
    <row r="1620" spans="1:27" ht="21" hidden="1" customHeight="1" x14ac:dyDescent="0.35">
      <c r="A1620" s="48" t="str">
        <f>IF($AA1616=0,"","Reference: "&amp;IF(INDEX(Quotes!$M$9:$M$258,$AA1616)="",INDEX(Quotes!$S$9:$S$258,$AA1616),INDEX(Quotes!$M$9:$M$258,$AA1616)))</f>
        <v/>
      </c>
      <c r="B1620" s="39"/>
      <c r="C1620" s="39"/>
      <c r="D1620" s="39"/>
      <c r="E1620" s="39"/>
      <c r="F1620" s="39"/>
      <c r="G1620" s="39"/>
      <c r="H1620" s="39"/>
      <c r="I1620" s="39"/>
      <c r="J1620" s="39"/>
      <c r="K1620" s="39"/>
      <c r="L1620" s="39"/>
      <c r="M1620" s="39"/>
      <c r="N1620" s="39"/>
      <c r="O1620" s="39"/>
      <c r="P1620" s="39"/>
      <c r="Q1620" s="48" t="str">
        <f>IF($AA1616=0,"",INDEX(Quotes!$E$9:$E$258,$AA1616))</f>
        <v/>
      </c>
      <c r="R1620" s="39"/>
      <c r="S1620" s="39"/>
      <c r="T1620" s="39"/>
      <c r="U1620" s="39"/>
      <c r="V1620" s="39"/>
    </row>
    <row r="1621" spans="1:27" ht="21" hidden="1" customHeight="1" x14ac:dyDescent="0.35">
      <c r="A1621" s="81" t="str">
        <f>IF($AA1616=0,"",IF(INDEX(Quotes!$N$9:$N$258,$AA1616)="","No original link","Original quote"))</f>
        <v/>
      </c>
      <c r="B1621" s="39"/>
      <c r="C1621" s="39"/>
      <c r="D1621" s="39"/>
      <c r="E1621" s="39"/>
      <c r="F1621" s="39"/>
      <c r="G1621" s="39"/>
      <c r="I1621" s="81" t="str">
        <f>IF($AA1616=0,"",IF(INDEX(Quotes!$O$9:$O$258,$AA1616)="","No revised link","Revised quote"))</f>
        <v/>
      </c>
      <c r="J1621" s="39"/>
      <c r="K1621" s="39"/>
      <c r="L1621" s="39"/>
      <c r="M1621" s="39"/>
      <c r="N1621" s="39"/>
      <c r="O1621" s="39"/>
      <c r="Q1621" s="81" t="str">
        <f>IF($AA1616=0,"",HYPERLINK("#'Quotes'!A"&amp;($AA1616+8),"Open quote record"))</f>
        <v/>
      </c>
      <c r="R1621" s="39"/>
      <c r="S1621" s="39"/>
      <c r="T1621" s="39"/>
      <c r="U1621" s="39"/>
      <c r="V1621" s="39"/>
    </row>
    <row r="1622" spans="1:27" ht="21" hidden="1" customHeight="1" x14ac:dyDescent="0.35"/>
    <row r="1623" spans="1:27" hidden="1" x14ac:dyDescent="0.35"/>
    <row r="1624" spans="1:27" hidden="1" x14ac:dyDescent="0.35"/>
    <row r="1625" spans="1:27" ht="29" hidden="1" customHeight="1" x14ac:dyDescent="0.35">
      <c r="A1625" s="84" t="str">
        <f>IF($AA1625=0,"",IF(LEN(INDEX(Quotes!$U$9:$U$258,$AA1625)&amp;"")=0,"",INDEX(Quotes!$U$9:$U$258,$AA1625)))</f>
        <v/>
      </c>
      <c r="B1625" s="39"/>
      <c r="C1625" s="39"/>
      <c r="D1625" s="39"/>
      <c r="E1625" s="39"/>
      <c r="F1625" s="39"/>
      <c r="G1625" s="39"/>
      <c r="H1625" s="39"/>
      <c r="I1625" s="39"/>
      <c r="J1625" s="39"/>
      <c r="K1625" s="85" t="str">
        <f>IF($AA1625=0,"",IF(LEN(INDEX(Quotes!$Z$9:$Z$258,$AA1625)&amp;"")=0,"",INDEX(Quotes!$Z$9:$Z$258,$AA1625)))</f>
        <v/>
      </c>
      <c r="L1625" s="39"/>
      <c r="M1625" s="39"/>
      <c r="N1625" s="39"/>
      <c r="O1625" s="39"/>
      <c r="P1625" s="39"/>
      <c r="Q1625" s="39"/>
      <c r="R1625" s="39"/>
      <c r="S1625" s="39"/>
      <c r="T1625" s="39"/>
      <c r="U1625" s="39"/>
      <c r="V1625" s="39"/>
      <c r="AA1625">
        <f>IFERROR(MATCH(168,Quotes!$AK$9:$AK$258,0),0)</f>
        <v>0</v>
      </c>
    </row>
    <row r="1626" spans="1:27" ht="21" hidden="1" customHeight="1" x14ac:dyDescent="0.35">
      <c r="A1626" s="40" t="str">
        <f>IF($AA1625=0,"",IF(LEN(INDEX(Quotes!$V$9:$V$258,$AA1625)&amp;"")=0,"",INDEX(Quotes!$V$9:$V$258,$AA1625)))</f>
        <v/>
      </c>
      <c r="B1626" s="39"/>
      <c r="C1626" s="39"/>
      <c r="D1626" s="39"/>
      <c r="E1626" s="39"/>
      <c r="F1626" s="39"/>
      <c r="G1626" s="39"/>
      <c r="H1626" s="40" t="str">
        <f>IF($AA1625=0,"",IF(LEN(INDEX(Quotes!$W$9:$W$258,$AA1625)&amp;"")=0,"",INDEX(Quotes!$W$9:$W$258,$AA1625)))</f>
        <v/>
      </c>
      <c r="I1626" s="39"/>
      <c r="J1626" s="39"/>
      <c r="K1626" s="39"/>
      <c r="L1626" s="39"/>
      <c r="M1626" s="39"/>
      <c r="N1626" s="39"/>
      <c r="O1626" s="39"/>
      <c r="P1626" s="39"/>
      <c r="Q1626" s="39"/>
      <c r="R1626" s="77" t="str">
        <f>IF($AA1625=0,"",IF(LEN(INDEX(Quotes!$X$9:$X$258,$AA1625)&amp;"")=0,"",INDEX(Quotes!$X$9:$X$258,$AA1625)))</f>
        <v/>
      </c>
      <c r="S1626" s="39"/>
      <c r="T1626" s="39"/>
      <c r="U1626" s="39"/>
      <c r="V1626" s="39"/>
    </row>
    <row r="1627" spans="1:27" ht="21" hidden="1" customHeight="1" x14ac:dyDescent="0.35">
      <c r="A1627" s="83" t="str">
        <f>IF($AA1625=0,"","ORIGINAL EUR")</f>
        <v/>
      </c>
      <c r="B1627" s="39"/>
      <c r="C1627" s="39"/>
      <c r="D1627" s="39"/>
      <c r="E1627" s="39"/>
      <c r="F1627" s="39"/>
      <c r="G1627" s="39"/>
      <c r="I1627" s="83" t="str">
        <f>IF($AA1625=0,"","LATEST EUR")</f>
        <v/>
      </c>
      <c r="J1627" s="39"/>
      <c r="K1627" s="39"/>
      <c r="L1627" s="39"/>
      <c r="M1627" s="39"/>
      <c r="N1627" s="39"/>
      <c r="O1627" s="39"/>
      <c r="Q1627" s="83" t="str">
        <f>IF($AA1625=0,"","SAVED EUR")</f>
        <v/>
      </c>
      <c r="R1627" s="39"/>
      <c r="S1627" s="39"/>
      <c r="T1627" s="39"/>
      <c r="U1627" s="39"/>
      <c r="V1627" s="39"/>
    </row>
    <row r="1628" spans="1:27" ht="21" hidden="1" customHeight="1" x14ac:dyDescent="0.35">
      <c r="A1628" s="82" t="str">
        <f>IF($AA1625=0,"",IF(LEN(INDEX(Quotes!$AB$9:$AB$258,$AA1625)&amp;"")=0,"",INDEX(Quotes!$AB$9:$AB$258,$AA1625)))</f>
        <v/>
      </c>
      <c r="B1628" s="39"/>
      <c r="C1628" s="39"/>
      <c r="D1628" s="39"/>
      <c r="E1628" s="39"/>
      <c r="F1628" s="39"/>
      <c r="G1628" s="39"/>
      <c r="I1628" s="82" t="str">
        <f>IF($AA1625=0,"",IF(LEN(INDEX(Quotes!$AD$9:$AD$258,$AA1625)&amp;"")=0,"",INDEX(Quotes!$AD$9:$AD$258,$AA1625)))</f>
        <v/>
      </c>
      <c r="J1628" s="39"/>
      <c r="K1628" s="39"/>
      <c r="L1628" s="39"/>
      <c r="M1628" s="39"/>
      <c r="N1628" s="39"/>
      <c r="O1628" s="39"/>
      <c r="Q1628" s="82" t="str">
        <f>IF($AA1625=0,"",IF(LEN(INDEX(Quotes!$AF$9:$AF$258,$AA1625)&amp;"")=0,"",INDEX(Quotes!$AF$9:$AF$258,$AA1625)))</f>
        <v/>
      </c>
      <c r="R1628" s="39"/>
      <c r="S1628" s="39"/>
      <c r="T1628" s="39"/>
      <c r="U1628" s="39"/>
      <c r="V1628" s="39"/>
    </row>
    <row r="1629" spans="1:27" ht="21" hidden="1" customHeight="1" x14ac:dyDescent="0.35">
      <c r="A1629" s="48" t="str">
        <f>IF($AA1625=0,"","Reference: "&amp;IF(INDEX(Quotes!$M$9:$M$258,$AA1625)="",INDEX(Quotes!$S$9:$S$258,$AA1625),INDEX(Quotes!$M$9:$M$258,$AA1625)))</f>
        <v/>
      </c>
      <c r="B1629" s="39"/>
      <c r="C1629" s="39"/>
      <c r="D1629" s="39"/>
      <c r="E1629" s="39"/>
      <c r="F1629" s="39"/>
      <c r="G1629" s="39"/>
      <c r="H1629" s="39"/>
      <c r="I1629" s="39"/>
      <c r="J1629" s="39"/>
      <c r="K1629" s="39"/>
      <c r="L1629" s="39"/>
      <c r="M1629" s="39"/>
      <c r="N1629" s="39"/>
      <c r="O1629" s="39"/>
      <c r="P1629" s="39"/>
      <c r="Q1629" s="48" t="str">
        <f>IF($AA1625=0,"",INDEX(Quotes!$E$9:$E$258,$AA1625))</f>
        <v/>
      </c>
      <c r="R1629" s="39"/>
      <c r="S1629" s="39"/>
      <c r="T1629" s="39"/>
      <c r="U1629" s="39"/>
      <c r="V1629" s="39"/>
    </row>
    <row r="1630" spans="1:27" ht="21" hidden="1" customHeight="1" x14ac:dyDescent="0.35">
      <c r="A1630" s="81" t="str">
        <f>IF($AA1625=0,"",IF(INDEX(Quotes!$N$9:$N$258,$AA1625)="","No original link","Original quote"))</f>
        <v/>
      </c>
      <c r="B1630" s="39"/>
      <c r="C1630" s="39"/>
      <c r="D1630" s="39"/>
      <c r="E1630" s="39"/>
      <c r="F1630" s="39"/>
      <c r="G1630" s="39"/>
      <c r="I1630" s="81" t="str">
        <f>IF($AA1625=0,"",IF(INDEX(Quotes!$O$9:$O$258,$AA1625)="","No revised link","Revised quote"))</f>
        <v/>
      </c>
      <c r="J1630" s="39"/>
      <c r="K1630" s="39"/>
      <c r="L1630" s="39"/>
      <c r="M1630" s="39"/>
      <c r="N1630" s="39"/>
      <c r="O1630" s="39"/>
      <c r="Q1630" s="81" t="str">
        <f>IF($AA1625=0,"",HYPERLINK("#'Quotes'!A"&amp;($AA1625+8),"Open quote record"))</f>
        <v/>
      </c>
      <c r="R1630" s="39"/>
      <c r="S1630" s="39"/>
      <c r="T1630" s="39"/>
      <c r="U1630" s="39"/>
      <c r="V1630" s="39"/>
    </row>
    <row r="1631" spans="1:27" ht="21" hidden="1" customHeight="1" x14ac:dyDescent="0.35"/>
    <row r="1632" spans="1:27" hidden="1" x14ac:dyDescent="0.35"/>
    <row r="1633" spans="1:27" hidden="1" x14ac:dyDescent="0.35"/>
    <row r="1634" spans="1:27" hidden="1" x14ac:dyDescent="0.35"/>
    <row r="1635" spans="1:27" hidden="1" x14ac:dyDescent="0.35">
      <c r="A1635" s="67" t="s">
        <v>655</v>
      </c>
      <c r="B1635" s="39"/>
      <c r="C1635" s="39"/>
      <c r="D1635" s="39"/>
      <c r="E1635" s="39"/>
      <c r="F1635" s="39"/>
      <c r="G1635" s="39"/>
      <c r="H1635" s="39"/>
      <c r="I1635" s="39"/>
      <c r="J1635" s="39"/>
      <c r="K1635" s="39"/>
      <c r="L1635" s="39"/>
      <c r="M1635" s="39"/>
      <c r="N1635" s="39"/>
      <c r="O1635" s="39"/>
      <c r="P1635" s="39"/>
      <c r="Q1635" s="39"/>
      <c r="R1635" s="39"/>
      <c r="S1635" s="39"/>
      <c r="T1635" s="39"/>
      <c r="U1635" s="39"/>
      <c r="V1635" s="39"/>
    </row>
    <row r="1636" spans="1:27" ht="29" hidden="1" customHeight="1" x14ac:dyDescent="0.35">
      <c r="A1636" s="84" t="str">
        <f>IF($AA1636=0,"",IF(LEN(INDEX(Quotes!$U$9:$U$258,$AA1636)&amp;"")=0,"",INDEX(Quotes!$U$9:$U$258,$AA1636)))</f>
        <v/>
      </c>
      <c r="B1636" s="39"/>
      <c r="C1636" s="39"/>
      <c r="D1636" s="39"/>
      <c r="E1636" s="39"/>
      <c r="F1636" s="39"/>
      <c r="G1636" s="39"/>
      <c r="H1636" s="39"/>
      <c r="I1636" s="39"/>
      <c r="J1636" s="39"/>
      <c r="K1636" s="85" t="str">
        <f>IF($AA1636=0,"",IF(LEN(INDEX(Quotes!$Z$9:$Z$258,$AA1636)&amp;"")=0,"",INDEX(Quotes!$Z$9:$Z$258,$AA1636)))</f>
        <v/>
      </c>
      <c r="L1636" s="39"/>
      <c r="M1636" s="39"/>
      <c r="N1636" s="39"/>
      <c r="O1636" s="39"/>
      <c r="P1636" s="39"/>
      <c r="Q1636" s="39"/>
      <c r="R1636" s="39"/>
      <c r="S1636" s="39"/>
      <c r="T1636" s="39"/>
      <c r="U1636" s="39"/>
      <c r="V1636" s="39"/>
      <c r="AA1636">
        <f>IFERROR(MATCH(169,Quotes!$AK$9:$AK$258,0),0)</f>
        <v>0</v>
      </c>
    </row>
    <row r="1637" spans="1:27" ht="21" hidden="1" customHeight="1" x14ac:dyDescent="0.35">
      <c r="A1637" s="40" t="str">
        <f>IF($AA1636=0,"",IF(LEN(INDEX(Quotes!$V$9:$V$258,$AA1636)&amp;"")=0,"",INDEX(Quotes!$V$9:$V$258,$AA1636)))</f>
        <v/>
      </c>
      <c r="B1637" s="39"/>
      <c r="C1637" s="39"/>
      <c r="D1637" s="39"/>
      <c r="E1637" s="39"/>
      <c r="F1637" s="39"/>
      <c r="G1637" s="39"/>
      <c r="H1637" s="40" t="str">
        <f>IF($AA1636=0,"",IF(LEN(INDEX(Quotes!$W$9:$W$258,$AA1636)&amp;"")=0,"",INDEX(Quotes!$W$9:$W$258,$AA1636)))</f>
        <v/>
      </c>
      <c r="I1637" s="39"/>
      <c r="J1637" s="39"/>
      <c r="K1637" s="39"/>
      <c r="L1637" s="39"/>
      <c r="M1637" s="39"/>
      <c r="N1637" s="39"/>
      <c r="O1637" s="39"/>
      <c r="P1637" s="39"/>
      <c r="Q1637" s="39"/>
      <c r="R1637" s="77" t="str">
        <f>IF($AA1636=0,"",IF(LEN(INDEX(Quotes!$X$9:$X$258,$AA1636)&amp;"")=0,"",INDEX(Quotes!$X$9:$X$258,$AA1636)))</f>
        <v/>
      </c>
      <c r="S1637" s="39"/>
      <c r="T1637" s="39"/>
      <c r="U1637" s="39"/>
      <c r="V1637" s="39"/>
    </row>
    <row r="1638" spans="1:27" ht="21" hidden="1" customHeight="1" x14ac:dyDescent="0.35">
      <c r="A1638" s="83" t="str">
        <f>IF($AA1636=0,"","ORIGINAL EUR")</f>
        <v/>
      </c>
      <c r="B1638" s="39"/>
      <c r="C1638" s="39"/>
      <c r="D1638" s="39"/>
      <c r="E1638" s="39"/>
      <c r="F1638" s="39"/>
      <c r="G1638" s="39"/>
      <c r="I1638" s="83" t="str">
        <f>IF($AA1636=0,"","LATEST EUR")</f>
        <v/>
      </c>
      <c r="J1638" s="39"/>
      <c r="K1638" s="39"/>
      <c r="L1638" s="39"/>
      <c r="M1638" s="39"/>
      <c r="N1638" s="39"/>
      <c r="O1638" s="39"/>
      <c r="Q1638" s="83" t="str">
        <f>IF($AA1636=0,"","SAVED EUR")</f>
        <v/>
      </c>
      <c r="R1638" s="39"/>
      <c r="S1638" s="39"/>
      <c r="T1638" s="39"/>
      <c r="U1638" s="39"/>
      <c r="V1638" s="39"/>
    </row>
    <row r="1639" spans="1:27" ht="21" hidden="1" customHeight="1" x14ac:dyDescent="0.35">
      <c r="A1639" s="82" t="str">
        <f>IF($AA1636=0,"",IF(LEN(INDEX(Quotes!$AB$9:$AB$258,$AA1636)&amp;"")=0,"",INDEX(Quotes!$AB$9:$AB$258,$AA1636)))</f>
        <v/>
      </c>
      <c r="B1639" s="39"/>
      <c r="C1639" s="39"/>
      <c r="D1639" s="39"/>
      <c r="E1639" s="39"/>
      <c r="F1639" s="39"/>
      <c r="G1639" s="39"/>
      <c r="I1639" s="82" t="str">
        <f>IF($AA1636=0,"",IF(LEN(INDEX(Quotes!$AD$9:$AD$258,$AA1636)&amp;"")=0,"",INDEX(Quotes!$AD$9:$AD$258,$AA1636)))</f>
        <v/>
      </c>
      <c r="J1639" s="39"/>
      <c r="K1639" s="39"/>
      <c r="L1639" s="39"/>
      <c r="M1639" s="39"/>
      <c r="N1639" s="39"/>
      <c r="O1639" s="39"/>
      <c r="Q1639" s="82" t="str">
        <f>IF($AA1636=0,"",IF(LEN(INDEX(Quotes!$AF$9:$AF$258,$AA1636)&amp;"")=0,"",INDEX(Quotes!$AF$9:$AF$258,$AA1636)))</f>
        <v/>
      </c>
      <c r="R1639" s="39"/>
      <c r="S1639" s="39"/>
      <c r="T1639" s="39"/>
      <c r="U1639" s="39"/>
      <c r="V1639" s="39"/>
    </row>
    <row r="1640" spans="1:27" ht="21" hidden="1" customHeight="1" x14ac:dyDescent="0.35">
      <c r="A1640" s="48" t="str">
        <f>IF($AA1636=0,"","Reference: "&amp;IF(INDEX(Quotes!$M$9:$M$258,$AA1636)="",INDEX(Quotes!$S$9:$S$258,$AA1636),INDEX(Quotes!$M$9:$M$258,$AA1636)))</f>
        <v/>
      </c>
      <c r="B1640" s="39"/>
      <c r="C1640" s="39"/>
      <c r="D1640" s="39"/>
      <c r="E1640" s="39"/>
      <c r="F1640" s="39"/>
      <c r="G1640" s="39"/>
      <c r="H1640" s="39"/>
      <c r="I1640" s="39"/>
      <c r="J1640" s="39"/>
      <c r="K1640" s="39"/>
      <c r="L1640" s="39"/>
      <c r="M1640" s="39"/>
      <c r="N1640" s="39"/>
      <c r="O1640" s="39"/>
      <c r="P1640" s="39"/>
      <c r="Q1640" s="48" t="str">
        <f>IF($AA1636=0,"",INDEX(Quotes!$E$9:$E$258,$AA1636))</f>
        <v/>
      </c>
      <c r="R1640" s="39"/>
      <c r="S1640" s="39"/>
      <c r="T1640" s="39"/>
      <c r="U1640" s="39"/>
      <c r="V1640" s="39"/>
    </row>
    <row r="1641" spans="1:27" ht="21" hidden="1" customHeight="1" x14ac:dyDescent="0.35">
      <c r="A1641" s="81" t="str">
        <f>IF($AA1636=0,"",IF(INDEX(Quotes!$N$9:$N$258,$AA1636)="","No original link","Original quote"))</f>
        <v/>
      </c>
      <c r="B1641" s="39"/>
      <c r="C1641" s="39"/>
      <c r="D1641" s="39"/>
      <c r="E1641" s="39"/>
      <c r="F1641" s="39"/>
      <c r="G1641" s="39"/>
      <c r="I1641" s="81" t="str">
        <f>IF($AA1636=0,"",IF(INDEX(Quotes!$O$9:$O$258,$AA1636)="","No revised link","Revised quote"))</f>
        <v/>
      </c>
      <c r="J1641" s="39"/>
      <c r="K1641" s="39"/>
      <c r="L1641" s="39"/>
      <c r="M1641" s="39"/>
      <c r="N1641" s="39"/>
      <c r="O1641" s="39"/>
      <c r="Q1641" s="81" t="str">
        <f>IF($AA1636=0,"",HYPERLINK("#'Quotes'!A"&amp;($AA1636+8),"Open quote record"))</f>
        <v/>
      </c>
      <c r="R1641" s="39"/>
      <c r="S1641" s="39"/>
      <c r="T1641" s="39"/>
      <c r="U1641" s="39"/>
      <c r="V1641" s="39"/>
    </row>
    <row r="1642" spans="1:27" ht="21" hidden="1" customHeight="1" x14ac:dyDescent="0.35"/>
    <row r="1643" spans="1:27" hidden="1" x14ac:dyDescent="0.35"/>
    <row r="1644" spans="1:27" hidden="1" x14ac:dyDescent="0.35"/>
    <row r="1645" spans="1:27" ht="29" hidden="1" customHeight="1" x14ac:dyDescent="0.35">
      <c r="A1645" s="84" t="str">
        <f>IF($AA1645=0,"",IF(LEN(INDEX(Quotes!$U$9:$U$258,$AA1645)&amp;"")=0,"",INDEX(Quotes!$U$9:$U$258,$AA1645)))</f>
        <v/>
      </c>
      <c r="B1645" s="39"/>
      <c r="C1645" s="39"/>
      <c r="D1645" s="39"/>
      <c r="E1645" s="39"/>
      <c r="F1645" s="39"/>
      <c r="G1645" s="39"/>
      <c r="H1645" s="39"/>
      <c r="I1645" s="39"/>
      <c r="J1645" s="39"/>
      <c r="K1645" s="85" t="str">
        <f>IF($AA1645=0,"",IF(LEN(INDEX(Quotes!$Z$9:$Z$258,$AA1645)&amp;"")=0,"",INDEX(Quotes!$Z$9:$Z$258,$AA1645)))</f>
        <v/>
      </c>
      <c r="L1645" s="39"/>
      <c r="M1645" s="39"/>
      <c r="N1645" s="39"/>
      <c r="O1645" s="39"/>
      <c r="P1645" s="39"/>
      <c r="Q1645" s="39"/>
      <c r="R1645" s="39"/>
      <c r="S1645" s="39"/>
      <c r="T1645" s="39"/>
      <c r="U1645" s="39"/>
      <c r="V1645" s="39"/>
      <c r="AA1645">
        <f>IFERROR(MATCH(170,Quotes!$AK$9:$AK$258,0),0)</f>
        <v>0</v>
      </c>
    </row>
    <row r="1646" spans="1:27" ht="21" hidden="1" customHeight="1" x14ac:dyDescent="0.35">
      <c r="A1646" s="40" t="str">
        <f>IF($AA1645=0,"",IF(LEN(INDEX(Quotes!$V$9:$V$258,$AA1645)&amp;"")=0,"",INDEX(Quotes!$V$9:$V$258,$AA1645)))</f>
        <v/>
      </c>
      <c r="B1646" s="39"/>
      <c r="C1646" s="39"/>
      <c r="D1646" s="39"/>
      <c r="E1646" s="39"/>
      <c r="F1646" s="39"/>
      <c r="G1646" s="39"/>
      <c r="H1646" s="40" t="str">
        <f>IF($AA1645=0,"",IF(LEN(INDEX(Quotes!$W$9:$W$258,$AA1645)&amp;"")=0,"",INDEX(Quotes!$W$9:$W$258,$AA1645)))</f>
        <v/>
      </c>
      <c r="I1646" s="39"/>
      <c r="J1646" s="39"/>
      <c r="K1646" s="39"/>
      <c r="L1646" s="39"/>
      <c r="M1646" s="39"/>
      <c r="N1646" s="39"/>
      <c r="O1646" s="39"/>
      <c r="P1646" s="39"/>
      <c r="Q1646" s="39"/>
      <c r="R1646" s="77" t="str">
        <f>IF($AA1645=0,"",IF(LEN(INDEX(Quotes!$X$9:$X$258,$AA1645)&amp;"")=0,"",INDEX(Quotes!$X$9:$X$258,$AA1645)))</f>
        <v/>
      </c>
      <c r="S1646" s="39"/>
      <c r="T1646" s="39"/>
      <c r="U1646" s="39"/>
      <c r="V1646" s="39"/>
    </row>
    <row r="1647" spans="1:27" ht="21" hidden="1" customHeight="1" x14ac:dyDescent="0.35">
      <c r="A1647" s="83" t="str">
        <f>IF($AA1645=0,"","ORIGINAL EUR")</f>
        <v/>
      </c>
      <c r="B1647" s="39"/>
      <c r="C1647" s="39"/>
      <c r="D1647" s="39"/>
      <c r="E1647" s="39"/>
      <c r="F1647" s="39"/>
      <c r="G1647" s="39"/>
      <c r="I1647" s="83" t="str">
        <f>IF($AA1645=0,"","LATEST EUR")</f>
        <v/>
      </c>
      <c r="J1647" s="39"/>
      <c r="K1647" s="39"/>
      <c r="L1647" s="39"/>
      <c r="M1647" s="39"/>
      <c r="N1647" s="39"/>
      <c r="O1647" s="39"/>
      <c r="Q1647" s="83" t="str">
        <f>IF($AA1645=0,"","SAVED EUR")</f>
        <v/>
      </c>
      <c r="R1647" s="39"/>
      <c r="S1647" s="39"/>
      <c r="T1647" s="39"/>
      <c r="U1647" s="39"/>
      <c r="V1647" s="39"/>
    </row>
    <row r="1648" spans="1:27" ht="21" hidden="1" customHeight="1" x14ac:dyDescent="0.35">
      <c r="A1648" s="82" t="str">
        <f>IF($AA1645=0,"",IF(LEN(INDEX(Quotes!$AB$9:$AB$258,$AA1645)&amp;"")=0,"",INDEX(Quotes!$AB$9:$AB$258,$AA1645)))</f>
        <v/>
      </c>
      <c r="B1648" s="39"/>
      <c r="C1648" s="39"/>
      <c r="D1648" s="39"/>
      <c r="E1648" s="39"/>
      <c r="F1648" s="39"/>
      <c r="G1648" s="39"/>
      <c r="I1648" s="82" t="str">
        <f>IF($AA1645=0,"",IF(LEN(INDEX(Quotes!$AD$9:$AD$258,$AA1645)&amp;"")=0,"",INDEX(Quotes!$AD$9:$AD$258,$AA1645)))</f>
        <v/>
      </c>
      <c r="J1648" s="39"/>
      <c r="K1648" s="39"/>
      <c r="L1648" s="39"/>
      <c r="M1648" s="39"/>
      <c r="N1648" s="39"/>
      <c r="O1648" s="39"/>
      <c r="Q1648" s="82" t="str">
        <f>IF($AA1645=0,"",IF(LEN(INDEX(Quotes!$AF$9:$AF$258,$AA1645)&amp;"")=0,"",INDEX(Quotes!$AF$9:$AF$258,$AA1645)))</f>
        <v/>
      </c>
      <c r="R1648" s="39"/>
      <c r="S1648" s="39"/>
      <c r="T1648" s="39"/>
      <c r="U1648" s="39"/>
      <c r="V1648" s="39"/>
    </row>
    <row r="1649" spans="1:27" ht="21" hidden="1" customHeight="1" x14ac:dyDescent="0.35">
      <c r="A1649" s="48" t="str">
        <f>IF($AA1645=0,"","Reference: "&amp;IF(INDEX(Quotes!$M$9:$M$258,$AA1645)="",INDEX(Quotes!$S$9:$S$258,$AA1645),INDEX(Quotes!$M$9:$M$258,$AA1645)))</f>
        <v/>
      </c>
      <c r="B1649" s="39"/>
      <c r="C1649" s="39"/>
      <c r="D1649" s="39"/>
      <c r="E1649" s="39"/>
      <c r="F1649" s="39"/>
      <c r="G1649" s="39"/>
      <c r="H1649" s="39"/>
      <c r="I1649" s="39"/>
      <c r="J1649" s="39"/>
      <c r="K1649" s="39"/>
      <c r="L1649" s="39"/>
      <c r="M1649" s="39"/>
      <c r="N1649" s="39"/>
      <c r="O1649" s="39"/>
      <c r="P1649" s="39"/>
      <c r="Q1649" s="48" t="str">
        <f>IF($AA1645=0,"",INDEX(Quotes!$E$9:$E$258,$AA1645))</f>
        <v/>
      </c>
      <c r="R1649" s="39"/>
      <c r="S1649" s="39"/>
      <c r="T1649" s="39"/>
      <c r="U1649" s="39"/>
      <c r="V1649" s="39"/>
    </row>
    <row r="1650" spans="1:27" ht="21" hidden="1" customHeight="1" x14ac:dyDescent="0.35">
      <c r="A1650" s="81" t="str">
        <f>IF($AA1645=0,"",IF(INDEX(Quotes!$N$9:$N$258,$AA1645)="","No original link","Original quote"))</f>
        <v/>
      </c>
      <c r="B1650" s="39"/>
      <c r="C1650" s="39"/>
      <c r="D1650" s="39"/>
      <c r="E1650" s="39"/>
      <c r="F1650" s="39"/>
      <c r="G1650" s="39"/>
      <c r="I1650" s="81" t="str">
        <f>IF($AA1645=0,"",IF(INDEX(Quotes!$O$9:$O$258,$AA1645)="","No revised link","Revised quote"))</f>
        <v/>
      </c>
      <c r="J1650" s="39"/>
      <c r="K1650" s="39"/>
      <c r="L1650" s="39"/>
      <c r="M1650" s="39"/>
      <c r="N1650" s="39"/>
      <c r="O1650" s="39"/>
      <c r="Q1650" s="81" t="str">
        <f>IF($AA1645=0,"",HYPERLINK("#'Quotes'!A"&amp;($AA1645+8),"Open quote record"))</f>
        <v/>
      </c>
      <c r="R1650" s="39"/>
      <c r="S1650" s="39"/>
      <c r="T1650" s="39"/>
      <c r="U1650" s="39"/>
      <c r="V1650" s="39"/>
    </row>
    <row r="1651" spans="1:27" ht="21" hidden="1" customHeight="1" x14ac:dyDescent="0.35"/>
    <row r="1652" spans="1:27" hidden="1" x14ac:dyDescent="0.35"/>
    <row r="1653" spans="1:27" hidden="1" x14ac:dyDescent="0.35"/>
    <row r="1654" spans="1:27" ht="29" hidden="1" customHeight="1" x14ac:dyDescent="0.35">
      <c r="A1654" s="84" t="str">
        <f>IF($AA1654=0,"",IF(LEN(INDEX(Quotes!$U$9:$U$258,$AA1654)&amp;"")=0,"",INDEX(Quotes!$U$9:$U$258,$AA1654)))</f>
        <v/>
      </c>
      <c r="B1654" s="39"/>
      <c r="C1654" s="39"/>
      <c r="D1654" s="39"/>
      <c r="E1654" s="39"/>
      <c r="F1654" s="39"/>
      <c r="G1654" s="39"/>
      <c r="H1654" s="39"/>
      <c r="I1654" s="39"/>
      <c r="J1654" s="39"/>
      <c r="K1654" s="85" t="str">
        <f>IF($AA1654=0,"",IF(LEN(INDEX(Quotes!$Z$9:$Z$258,$AA1654)&amp;"")=0,"",INDEX(Quotes!$Z$9:$Z$258,$AA1654)))</f>
        <v/>
      </c>
      <c r="L1654" s="39"/>
      <c r="M1654" s="39"/>
      <c r="N1654" s="39"/>
      <c r="O1654" s="39"/>
      <c r="P1654" s="39"/>
      <c r="Q1654" s="39"/>
      <c r="R1654" s="39"/>
      <c r="S1654" s="39"/>
      <c r="T1654" s="39"/>
      <c r="U1654" s="39"/>
      <c r="V1654" s="39"/>
      <c r="AA1654">
        <f>IFERROR(MATCH(171,Quotes!$AK$9:$AK$258,0),0)</f>
        <v>0</v>
      </c>
    </row>
    <row r="1655" spans="1:27" ht="21" hidden="1" customHeight="1" x14ac:dyDescent="0.35">
      <c r="A1655" s="40" t="str">
        <f>IF($AA1654=0,"",IF(LEN(INDEX(Quotes!$V$9:$V$258,$AA1654)&amp;"")=0,"",INDEX(Quotes!$V$9:$V$258,$AA1654)))</f>
        <v/>
      </c>
      <c r="B1655" s="39"/>
      <c r="C1655" s="39"/>
      <c r="D1655" s="39"/>
      <c r="E1655" s="39"/>
      <c r="F1655" s="39"/>
      <c r="G1655" s="39"/>
      <c r="H1655" s="40" t="str">
        <f>IF($AA1654=0,"",IF(LEN(INDEX(Quotes!$W$9:$W$258,$AA1654)&amp;"")=0,"",INDEX(Quotes!$W$9:$W$258,$AA1654)))</f>
        <v/>
      </c>
      <c r="I1655" s="39"/>
      <c r="J1655" s="39"/>
      <c r="K1655" s="39"/>
      <c r="L1655" s="39"/>
      <c r="M1655" s="39"/>
      <c r="N1655" s="39"/>
      <c r="O1655" s="39"/>
      <c r="P1655" s="39"/>
      <c r="Q1655" s="39"/>
      <c r="R1655" s="77" t="str">
        <f>IF($AA1654=0,"",IF(LEN(INDEX(Quotes!$X$9:$X$258,$AA1654)&amp;"")=0,"",INDEX(Quotes!$X$9:$X$258,$AA1654)))</f>
        <v/>
      </c>
      <c r="S1655" s="39"/>
      <c r="T1655" s="39"/>
      <c r="U1655" s="39"/>
      <c r="V1655" s="39"/>
    </row>
    <row r="1656" spans="1:27" ht="21" hidden="1" customHeight="1" x14ac:dyDescent="0.35">
      <c r="A1656" s="83" t="str">
        <f>IF($AA1654=0,"","ORIGINAL EUR")</f>
        <v/>
      </c>
      <c r="B1656" s="39"/>
      <c r="C1656" s="39"/>
      <c r="D1656" s="39"/>
      <c r="E1656" s="39"/>
      <c r="F1656" s="39"/>
      <c r="G1656" s="39"/>
      <c r="I1656" s="83" t="str">
        <f>IF($AA1654=0,"","LATEST EUR")</f>
        <v/>
      </c>
      <c r="J1656" s="39"/>
      <c r="K1656" s="39"/>
      <c r="L1656" s="39"/>
      <c r="M1656" s="39"/>
      <c r="N1656" s="39"/>
      <c r="O1656" s="39"/>
      <c r="Q1656" s="83" t="str">
        <f>IF($AA1654=0,"","SAVED EUR")</f>
        <v/>
      </c>
      <c r="R1656" s="39"/>
      <c r="S1656" s="39"/>
      <c r="T1656" s="39"/>
      <c r="U1656" s="39"/>
      <c r="V1656" s="39"/>
    </row>
    <row r="1657" spans="1:27" ht="21" hidden="1" customHeight="1" x14ac:dyDescent="0.35">
      <c r="A1657" s="82" t="str">
        <f>IF($AA1654=0,"",IF(LEN(INDEX(Quotes!$AB$9:$AB$258,$AA1654)&amp;"")=0,"",INDEX(Quotes!$AB$9:$AB$258,$AA1654)))</f>
        <v/>
      </c>
      <c r="B1657" s="39"/>
      <c r="C1657" s="39"/>
      <c r="D1657" s="39"/>
      <c r="E1657" s="39"/>
      <c r="F1657" s="39"/>
      <c r="G1657" s="39"/>
      <c r="I1657" s="82" t="str">
        <f>IF($AA1654=0,"",IF(LEN(INDEX(Quotes!$AD$9:$AD$258,$AA1654)&amp;"")=0,"",INDEX(Quotes!$AD$9:$AD$258,$AA1654)))</f>
        <v/>
      </c>
      <c r="J1657" s="39"/>
      <c r="K1657" s="39"/>
      <c r="L1657" s="39"/>
      <c r="M1657" s="39"/>
      <c r="N1657" s="39"/>
      <c r="O1657" s="39"/>
      <c r="Q1657" s="82" t="str">
        <f>IF($AA1654=0,"",IF(LEN(INDEX(Quotes!$AF$9:$AF$258,$AA1654)&amp;"")=0,"",INDEX(Quotes!$AF$9:$AF$258,$AA1654)))</f>
        <v/>
      </c>
      <c r="R1657" s="39"/>
      <c r="S1657" s="39"/>
      <c r="T1657" s="39"/>
      <c r="U1657" s="39"/>
      <c r="V1657" s="39"/>
    </row>
    <row r="1658" spans="1:27" ht="21" hidden="1" customHeight="1" x14ac:dyDescent="0.35">
      <c r="A1658" s="48" t="str">
        <f>IF($AA1654=0,"","Reference: "&amp;IF(INDEX(Quotes!$M$9:$M$258,$AA1654)="",INDEX(Quotes!$S$9:$S$258,$AA1654),INDEX(Quotes!$M$9:$M$258,$AA1654)))</f>
        <v/>
      </c>
      <c r="B1658" s="39"/>
      <c r="C1658" s="39"/>
      <c r="D1658" s="39"/>
      <c r="E1658" s="39"/>
      <c r="F1658" s="39"/>
      <c r="G1658" s="39"/>
      <c r="H1658" s="39"/>
      <c r="I1658" s="39"/>
      <c r="J1658" s="39"/>
      <c r="K1658" s="39"/>
      <c r="L1658" s="39"/>
      <c r="M1658" s="39"/>
      <c r="N1658" s="39"/>
      <c r="O1658" s="39"/>
      <c r="P1658" s="39"/>
      <c r="Q1658" s="48" t="str">
        <f>IF($AA1654=0,"",INDEX(Quotes!$E$9:$E$258,$AA1654))</f>
        <v/>
      </c>
      <c r="R1658" s="39"/>
      <c r="S1658" s="39"/>
      <c r="T1658" s="39"/>
      <c r="U1658" s="39"/>
      <c r="V1658" s="39"/>
    </row>
    <row r="1659" spans="1:27" ht="21" hidden="1" customHeight="1" x14ac:dyDescent="0.35">
      <c r="A1659" s="81" t="str">
        <f>IF($AA1654=0,"",IF(INDEX(Quotes!$N$9:$N$258,$AA1654)="","No original link","Original quote"))</f>
        <v/>
      </c>
      <c r="B1659" s="39"/>
      <c r="C1659" s="39"/>
      <c r="D1659" s="39"/>
      <c r="E1659" s="39"/>
      <c r="F1659" s="39"/>
      <c r="G1659" s="39"/>
      <c r="I1659" s="81" t="str">
        <f>IF($AA1654=0,"",IF(INDEX(Quotes!$O$9:$O$258,$AA1654)="","No revised link","Revised quote"))</f>
        <v/>
      </c>
      <c r="J1659" s="39"/>
      <c r="K1659" s="39"/>
      <c r="L1659" s="39"/>
      <c r="M1659" s="39"/>
      <c r="N1659" s="39"/>
      <c r="O1659" s="39"/>
      <c r="Q1659" s="81" t="str">
        <f>IF($AA1654=0,"",HYPERLINK("#'Quotes'!A"&amp;($AA1654+8),"Open quote record"))</f>
        <v/>
      </c>
      <c r="R1659" s="39"/>
      <c r="S1659" s="39"/>
      <c r="T1659" s="39"/>
      <c r="U1659" s="39"/>
      <c r="V1659" s="39"/>
    </row>
    <row r="1660" spans="1:27" ht="21" hidden="1" customHeight="1" x14ac:dyDescent="0.35"/>
    <row r="1661" spans="1:27" hidden="1" x14ac:dyDescent="0.35"/>
    <row r="1662" spans="1:27" hidden="1" x14ac:dyDescent="0.35"/>
    <row r="1663" spans="1:27" ht="29" hidden="1" customHeight="1" x14ac:dyDescent="0.35">
      <c r="A1663" s="84" t="str">
        <f>IF($AA1663=0,"",IF(LEN(INDEX(Quotes!$U$9:$U$258,$AA1663)&amp;"")=0,"",INDEX(Quotes!$U$9:$U$258,$AA1663)))</f>
        <v/>
      </c>
      <c r="B1663" s="39"/>
      <c r="C1663" s="39"/>
      <c r="D1663" s="39"/>
      <c r="E1663" s="39"/>
      <c r="F1663" s="39"/>
      <c r="G1663" s="39"/>
      <c r="H1663" s="39"/>
      <c r="I1663" s="39"/>
      <c r="J1663" s="39"/>
      <c r="K1663" s="85" t="str">
        <f>IF($AA1663=0,"",IF(LEN(INDEX(Quotes!$Z$9:$Z$258,$AA1663)&amp;"")=0,"",INDEX(Quotes!$Z$9:$Z$258,$AA1663)))</f>
        <v/>
      </c>
      <c r="L1663" s="39"/>
      <c r="M1663" s="39"/>
      <c r="N1663" s="39"/>
      <c r="O1663" s="39"/>
      <c r="P1663" s="39"/>
      <c r="Q1663" s="39"/>
      <c r="R1663" s="39"/>
      <c r="S1663" s="39"/>
      <c r="T1663" s="39"/>
      <c r="U1663" s="39"/>
      <c r="V1663" s="39"/>
      <c r="AA1663">
        <f>IFERROR(MATCH(172,Quotes!$AK$9:$AK$258,0),0)</f>
        <v>0</v>
      </c>
    </row>
    <row r="1664" spans="1:27" ht="21" hidden="1" customHeight="1" x14ac:dyDescent="0.35">
      <c r="A1664" s="40" t="str">
        <f>IF($AA1663=0,"",IF(LEN(INDEX(Quotes!$V$9:$V$258,$AA1663)&amp;"")=0,"",INDEX(Quotes!$V$9:$V$258,$AA1663)))</f>
        <v/>
      </c>
      <c r="B1664" s="39"/>
      <c r="C1664" s="39"/>
      <c r="D1664" s="39"/>
      <c r="E1664" s="39"/>
      <c r="F1664" s="39"/>
      <c r="G1664" s="39"/>
      <c r="H1664" s="40" t="str">
        <f>IF($AA1663=0,"",IF(LEN(INDEX(Quotes!$W$9:$W$258,$AA1663)&amp;"")=0,"",INDEX(Quotes!$W$9:$W$258,$AA1663)))</f>
        <v/>
      </c>
      <c r="I1664" s="39"/>
      <c r="J1664" s="39"/>
      <c r="K1664" s="39"/>
      <c r="L1664" s="39"/>
      <c r="M1664" s="39"/>
      <c r="N1664" s="39"/>
      <c r="O1664" s="39"/>
      <c r="P1664" s="39"/>
      <c r="Q1664" s="39"/>
      <c r="R1664" s="77" t="str">
        <f>IF($AA1663=0,"",IF(LEN(INDEX(Quotes!$X$9:$X$258,$AA1663)&amp;"")=0,"",INDEX(Quotes!$X$9:$X$258,$AA1663)))</f>
        <v/>
      </c>
      <c r="S1664" s="39"/>
      <c r="T1664" s="39"/>
      <c r="U1664" s="39"/>
      <c r="V1664" s="39"/>
    </row>
    <row r="1665" spans="1:27" ht="21" hidden="1" customHeight="1" x14ac:dyDescent="0.35">
      <c r="A1665" s="83" t="str">
        <f>IF($AA1663=0,"","ORIGINAL EUR")</f>
        <v/>
      </c>
      <c r="B1665" s="39"/>
      <c r="C1665" s="39"/>
      <c r="D1665" s="39"/>
      <c r="E1665" s="39"/>
      <c r="F1665" s="39"/>
      <c r="G1665" s="39"/>
      <c r="I1665" s="83" t="str">
        <f>IF($AA1663=0,"","LATEST EUR")</f>
        <v/>
      </c>
      <c r="J1665" s="39"/>
      <c r="K1665" s="39"/>
      <c r="L1665" s="39"/>
      <c r="M1665" s="39"/>
      <c r="N1665" s="39"/>
      <c r="O1665" s="39"/>
      <c r="Q1665" s="83" t="str">
        <f>IF($AA1663=0,"","SAVED EUR")</f>
        <v/>
      </c>
      <c r="R1665" s="39"/>
      <c r="S1665" s="39"/>
      <c r="T1665" s="39"/>
      <c r="U1665" s="39"/>
      <c r="V1665" s="39"/>
    </row>
    <row r="1666" spans="1:27" ht="21" hidden="1" customHeight="1" x14ac:dyDescent="0.35">
      <c r="A1666" s="82" t="str">
        <f>IF($AA1663=0,"",IF(LEN(INDEX(Quotes!$AB$9:$AB$258,$AA1663)&amp;"")=0,"",INDEX(Quotes!$AB$9:$AB$258,$AA1663)))</f>
        <v/>
      </c>
      <c r="B1666" s="39"/>
      <c r="C1666" s="39"/>
      <c r="D1666" s="39"/>
      <c r="E1666" s="39"/>
      <c r="F1666" s="39"/>
      <c r="G1666" s="39"/>
      <c r="I1666" s="82" t="str">
        <f>IF($AA1663=0,"",IF(LEN(INDEX(Quotes!$AD$9:$AD$258,$AA1663)&amp;"")=0,"",INDEX(Quotes!$AD$9:$AD$258,$AA1663)))</f>
        <v/>
      </c>
      <c r="J1666" s="39"/>
      <c r="K1666" s="39"/>
      <c r="L1666" s="39"/>
      <c r="M1666" s="39"/>
      <c r="N1666" s="39"/>
      <c r="O1666" s="39"/>
      <c r="Q1666" s="82" t="str">
        <f>IF($AA1663=0,"",IF(LEN(INDEX(Quotes!$AF$9:$AF$258,$AA1663)&amp;"")=0,"",INDEX(Quotes!$AF$9:$AF$258,$AA1663)))</f>
        <v/>
      </c>
      <c r="R1666" s="39"/>
      <c r="S1666" s="39"/>
      <c r="T1666" s="39"/>
      <c r="U1666" s="39"/>
      <c r="V1666" s="39"/>
    </row>
    <row r="1667" spans="1:27" ht="21" hidden="1" customHeight="1" x14ac:dyDescent="0.35">
      <c r="A1667" s="48" t="str">
        <f>IF($AA1663=0,"","Reference: "&amp;IF(INDEX(Quotes!$M$9:$M$258,$AA1663)="",INDEX(Quotes!$S$9:$S$258,$AA1663),INDEX(Quotes!$M$9:$M$258,$AA1663)))</f>
        <v/>
      </c>
      <c r="B1667" s="39"/>
      <c r="C1667" s="39"/>
      <c r="D1667" s="39"/>
      <c r="E1667" s="39"/>
      <c r="F1667" s="39"/>
      <c r="G1667" s="39"/>
      <c r="H1667" s="39"/>
      <c r="I1667" s="39"/>
      <c r="J1667" s="39"/>
      <c r="K1667" s="39"/>
      <c r="L1667" s="39"/>
      <c r="M1667" s="39"/>
      <c r="N1667" s="39"/>
      <c r="O1667" s="39"/>
      <c r="P1667" s="39"/>
      <c r="Q1667" s="48" t="str">
        <f>IF($AA1663=0,"",INDEX(Quotes!$E$9:$E$258,$AA1663))</f>
        <v/>
      </c>
      <c r="R1667" s="39"/>
      <c r="S1667" s="39"/>
      <c r="T1667" s="39"/>
      <c r="U1667" s="39"/>
      <c r="V1667" s="39"/>
    </row>
    <row r="1668" spans="1:27" ht="21" hidden="1" customHeight="1" x14ac:dyDescent="0.35">
      <c r="A1668" s="81" t="str">
        <f>IF($AA1663=0,"",IF(INDEX(Quotes!$N$9:$N$258,$AA1663)="","No original link","Original quote"))</f>
        <v/>
      </c>
      <c r="B1668" s="39"/>
      <c r="C1668" s="39"/>
      <c r="D1668" s="39"/>
      <c r="E1668" s="39"/>
      <c r="F1668" s="39"/>
      <c r="G1668" s="39"/>
      <c r="I1668" s="81" t="str">
        <f>IF($AA1663=0,"",IF(INDEX(Quotes!$O$9:$O$258,$AA1663)="","No revised link","Revised quote"))</f>
        <v/>
      </c>
      <c r="J1668" s="39"/>
      <c r="K1668" s="39"/>
      <c r="L1668" s="39"/>
      <c r="M1668" s="39"/>
      <c r="N1668" s="39"/>
      <c r="O1668" s="39"/>
      <c r="Q1668" s="81" t="str">
        <f>IF($AA1663=0,"",HYPERLINK("#'Quotes'!A"&amp;($AA1663+8),"Open quote record"))</f>
        <v/>
      </c>
      <c r="R1668" s="39"/>
      <c r="S1668" s="39"/>
      <c r="T1668" s="39"/>
      <c r="U1668" s="39"/>
      <c r="V1668" s="39"/>
    </row>
    <row r="1669" spans="1:27" ht="21" hidden="1" customHeight="1" x14ac:dyDescent="0.35"/>
    <row r="1670" spans="1:27" hidden="1" x14ac:dyDescent="0.35"/>
    <row r="1671" spans="1:27" hidden="1" x14ac:dyDescent="0.35"/>
    <row r="1672" spans="1:27" hidden="1" x14ac:dyDescent="0.35"/>
    <row r="1673" spans="1:27" hidden="1" x14ac:dyDescent="0.35">
      <c r="A1673" s="67" t="s">
        <v>655</v>
      </c>
      <c r="B1673" s="39"/>
      <c r="C1673" s="39"/>
      <c r="D1673" s="39"/>
      <c r="E1673" s="39"/>
      <c r="F1673" s="39"/>
      <c r="G1673" s="39"/>
      <c r="H1673" s="39"/>
      <c r="I1673" s="39"/>
      <c r="J1673" s="39"/>
      <c r="K1673" s="39"/>
      <c r="L1673" s="39"/>
      <c r="M1673" s="39"/>
      <c r="N1673" s="39"/>
      <c r="O1673" s="39"/>
      <c r="P1673" s="39"/>
      <c r="Q1673" s="39"/>
      <c r="R1673" s="39"/>
      <c r="S1673" s="39"/>
      <c r="T1673" s="39"/>
      <c r="U1673" s="39"/>
      <c r="V1673" s="39"/>
    </row>
    <row r="1674" spans="1:27" ht="29" hidden="1" customHeight="1" x14ac:dyDescent="0.35">
      <c r="A1674" s="84" t="str">
        <f>IF($AA1674=0,"",IF(LEN(INDEX(Quotes!$U$9:$U$258,$AA1674)&amp;"")=0,"",INDEX(Quotes!$U$9:$U$258,$AA1674)))</f>
        <v/>
      </c>
      <c r="B1674" s="39"/>
      <c r="C1674" s="39"/>
      <c r="D1674" s="39"/>
      <c r="E1674" s="39"/>
      <c r="F1674" s="39"/>
      <c r="G1674" s="39"/>
      <c r="H1674" s="39"/>
      <c r="I1674" s="39"/>
      <c r="J1674" s="39"/>
      <c r="K1674" s="85" t="str">
        <f>IF($AA1674=0,"",IF(LEN(INDEX(Quotes!$Z$9:$Z$258,$AA1674)&amp;"")=0,"",INDEX(Quotes!$Z$9:$Z$258,$AA1674)))</f>
        <v/>
      </c>
      <c r="L1674" s="39"/>
      <c r="M1674" s="39"/>
      <c r="N1674" s="39"/>
      <c r="O1674" s="39"/>
      <c r="P1674" s="39"/>
      <c r="Q1674" s="39"/>
      <c r="R1674" s="39"/>
      <c r="S1674" s="39"/>
      <c r="T1674" s="39"/>
      <c r="U1674" s="39"/>
      <c r="V1674" s="39"/>
      <c r="AA1674">
        <f>IFERROR(MATCH(173,Quotes!$AK$9:$AK$258,0),0)</f>
        <v>0</v>
      </c>
    </row>
    <row r="1675" spans="1:27" ht="21" hidden="1" customHeight="1" x14ac:dyDescent="0.35">
      <c r="A1675" s="40" t="str">
        <f>IF($AA1674=0,"",IF(LEN(INDEX(Quotes!$V$9:$V$258,$AA1674)&amp;"")=0,"",INDEX(Quotes!$V$9:$V$258,$AA1674)))</f>
        <v/>
      </c>
      <c r="B1675" s="39"/>
      <c r="C1675" s="39"/>
      <c r="D1675" s="39"/>
      <c r="E1675" s="39"/>
      <c r="F1675" s="39"/>
      <c r="G1675" s="39"/>
      <c r="H1675" s="40" t="str">
        <f>IF($AA1674=0,"",IF(LEN(INDEX(Quotes!$W$9:$W$258,$AA1674)&amp;"")=0,"",INDEX(Quotes!$W$9:$W$258,$AA1674)))</f>
        <v/>
      </c>
      <c r="I1675" s="39"/>
      <c r="J1675" s="39"/>
      <c r="K1675" s="39"/>
      <c r="L1675" s="39"/>
      <c r="M1675" s="39"/>
      <c r="N1675" s="39"/>
      <c r="O1675" s="39"/>
      <c r="P1675" s="39"/>
      <c r="Q1675" s="39"/>
      <c r="R1675" s="77" t="str">
        <f>IF($AA1674=0,"",IF(LEN(INDEX(Quotes!$X$9:$X$258,$AA1674)&amp;"")=0,"",INDEX(Quotes!$X$9:$X$258,$AA1674)))</f>
        <v/>
      </c>
      <c r="S1675" s="39"/>
      <c r="T1675" s="39"/>
      <c r="U1675" s="39"/>
      <c r="V1675" s="39"/>
    </row>
    <row r="1676" spans="1:27" ht="21" hidden="1" customHeight="1" x14ac:dyDescent="0.35">
      <c r="A1676" s="83" t="str">
        <f>IF($AA1674=0,"","ORIGINAL EUR")</f>
        <v/>
      </c>
      <c r="B1676" s="39"/>
      <c r="C1676" s="39"/>
      <c r="D1676" s="39"/>
      <c r="E1676" s="39"/>
      <c r="F1676" s="39"/>
      <c r="G1676" s="39"/>
      <c r="I1676" s="83" t="str">
        <f>IF($AA1674=0,"","LATEST EUR")</f>
        <v/>
      </c>
      <c r="J1676" s="39"/>
      <c r="K1676" s="39"/>
      <c r="L1676" s="39"/>
      <c r="M1676" s="39"/>
      <c r="N1676" s="39"/>
      <c r="O1676" s="39"/>
      <c r="Q1676" s="83" t="str">
        <f>IF($AA1674=0,"","SAVED EUR")</f>
        <v/>
      </c>
      <c r="R1676" s="39"/>
      <c r="S1676" s="39"/>
      <c r="T1676" s="39"/>
      <c r="U1676" s="39"/>
      <c r="V1676" s="39"/>
    </row>
    <row r="1677" spans="1:27" ht="21" hidden="1" customHeight="1" x14ac:dyDescent="0.35">
      <c r="A1677" s="82" t="str">
        <f>IF($AA1674=0,"",IF(LEN(INDEX(Quotes!$AB$9:$AB$258,$AA1674)&amp;"")=0,"",INDEX(Quotes!$AB$9:$AB$258,$AA1674)))</f>
        <v/>
      </c>
      <c r="B1677" s="39"/>
      <c r="C1677" s="39"/>
      <c r="D1677" s="39"/>
      <c r="E1677" s="39"/>
      <c r="F1677" s="39"/>
      <c r="G1677" s="39"/>
      <c r="I1677" s="82" t="str">
        <f>IF($AA1674=0,"",IF(LEN(INDEX(Quotes!$AD$9:$AD$258,$AA1674)&amp;"")=0,"",INDEX(Quotes!$AD$9:$AD$258,$AA1674)))</f>
        <v/>
      </c>
      <c r="J1677" s="39"/>
      <c r="K1677" s="39"/>
      <c r="L1677" s="39"/>
      <c r="M1677" s="39"/>
      <c r="N1677" s="39"/>
      <c r="O1677" s="39"/>
      <c r="Q1677" s="82" t="str">
        <f>IF($AA1674=0,"",IF(LEN(INDEX(Quotes!$AF$9:$AF$258,$AA1674)&amp;"")=0,"",INDEX(Quotes!$AF$9:$AF$258,$AA1674)))</f>
        <v/>
      </c>
      <c r="R1677" s="39"/>
      <c r="S1677" s="39"/>
      <c r="T1677" s="39"/>
      <c r="U1677" s="39"/>
      <c r="V1677" s="39"/>
    </row>
    <row r="1678" spans="1:27" ht="21" hidden="1" customHeight="1" x14ac:dyDescent="0.35">
      <c r="A1678" s="48" t="str">
        <f>IF($AA1674=0,"","Reference: "&amp;IF(INDEX(Quotes!$M$9:$M$258,$AA1674)="",INDEX(Quotes!$S$9:$S$258,$AA1674),INDEX(Quotes!$M$9:$M$258,$AA1674)))</f>
        <v/>
      </c>
      <c r="B1678" s="39"/>
      <c r="C1678" s="39"/>
      <c r="D1678" s="39"/>
      <c r="E1678" s="39"/>
      <c r="F1678" s="39"/>
      <c r="G1678" s="39"/>
      <c r="H1678" s="39"/>
      <c r="I1678" s="39"/>
      <c r="J1678" s="39"/>
      <c r="K1678" s="39"/>
      <c r="L1678" s="39"/>
      <c r="M1678" s="39"/>
      <c r="N1678" s="39"/>
      <c r="O1678" s="39"/>
      <c r="P1678" s="39"/>
      <c r="Q1678" s="48" t="str">
        <f>IF($AA1674=0,"",INDEX(Quotes!$E$9:$E$258,$AA1674))</f>
        <v/>
      </c>
      <c r="R1678" s="39"/>
      <c r="S1678" s="39"/>
      <c r="T1678" s="39"/>
      <c r="U1678" s="39"/>
      <c r="V1678" s="39"/>
    </row>
    <row r="1679" spans="1:27" ht="21" hidden="1" customHeight="1" x14ac:dyDescent="0.35">
      <c r="A1679" s="81" t="str">
        <f>IF($AA1674=0,"",IF(INDEX(Quotes!$N$9:$N$258,$AA1674)="","No original link","Original quote"))</f>
        <v/>
      </c>
      <c r="B1679" s="39"/>
      <c r="C1679" s="39"/>
      <c r="D1679" s="39"/>
      <c r="E1679" s="39"/>
      <c r="F1679" s="39"/>
      <c r="G1679" s="39"/>
      <c r="I1679" s="81" t="str">
        <f>IF($AA1674=0,"",IF(INDEX(Quotes!$O$9:$O$258,$AA1674)="","No revised link","Revised quote"))</f>
        <v/>
      </c>
      <c r="J1679" s="39"/>
      <c r="K1679" s="39"/>
      <c r="L1679" s="39"/>
      <c r="M1679" s="39"/>
      <c r="N1679" s="39"/>
      <c r="O1679" s="39"/>
      <c r="Q1679" s="81" t="str">
        <f>IF($AA1674=0,"",HYPERLINK("#'Quotes'!A"&amp;($AA1674+8),"Open quote record"))</f>
        <v/>
      </c>
      <c r="R1679" s="39"/>
      <c r="S1679" s="39"/>
      <c r="T1679" s="39"/>
      <c r="U1679" s="39"/>
      <c r="V1679" s="39"/>
    </row>
    <row r="1680" spans="1:27" ht="21" hidden="1" customHeight="1" x14ac:dyDescent="0.35"/>
    <row r="1681" spans="1:27" hidden="1" x14ac:dyDescent="0.35"/>
    <row r="1682" spans="1:27" hidden="1" x14ac:dyDescent="0.35"/>
    <row r="1683" spans="1:27" ht="29" hidden="1" customHeight="1" x14ac:dyDescent="0.35">
      <c r="A1683" s="84" t="str">
        <f>IF($AA1683=0,"",IF(LEN(INDEX(Quotes!$U$9:$U$258,$AA1683)&amp;"")=0,"",INDEX(Quotes!$U$9:$U$258,$AA1683)))</f>
        <v/>
      </c>
      <c r="B1683" s="39"/>
      <c r="C1683" s="39"/>
      <c r="D1683" s="39"/>
      <c r="E1683" s="39"/>
      <c r="F1683" s="39"/>
      <c r="G1683" s="39"/>
      <c r="H1683" s="39"/>
      <c r="I1683" s="39"/>
      <c r="J1683" s="39"/>
      <c r="K1683" s="85" t="str">
        <f>IF($AA1683=0,"",IF(LEN(INDEX(Quotes!$Z$9:$Z$258,$AA1683)&amp;"")=0,"",INDEX(Quotes!$Z$9:$Z$258,$AA1683)))</f>
        <v/>
      </c>
      <c r="L1683" s="39"/>
      <c r="M1683" s="39"/>
      <c r="N1683" s="39"/>
      <c r="O1683" s="39"/>
      <c r="P1683" s="39"/>
      <c r="Q1683" s="39"/>
      <c r="R1683" s="39"/>
      <c r="S1683" s="39"/>
      <c r="T1683" s="39"/>
      <c r="U1683" s="39"/>
      <c r="V1683" s="39"/>
      <c r="AA1683">
        <f>IFERROR(MATCH(174,Quotes!$AK$9:$AK$258,0),0)</f>
        <v>0</v>
      </c>
    </row>
    <row r="1684" spans="1:27" ht="21" hidden="1" customHeight="1" x14ac:dyDescent="0.35">
      <c r="A1684" s="40" t="str">
        <f>IF($AA1683=0,"",IF(LEN(INDEX(Quotes!$V$9:$V$258,$AA1683)&amp;"")=0,"",INDEX(Quotes!$V$9:$V$258,$AA1683)))</f>
        <v/>
      </c>
      <c r="B1684" s="39"/>
      <c r="C1684" s="39"/>
      <c r="D1684" s="39"/>
      <c r="E1684" s="39"/>
      <c r="F1684" s="39"/>
      <c r="G1684" s="39"/>
      <c r="H1684" s="40" t="str">
        <f>IF($AA1683=0,"",IF(LEN(INDEX(Quotes!$W$9:$W$258,$AA1683)&amp;"")=0,"",INDEX(Quotes!$W$9:$W$258,$AA1683)))</f>
        <v/>
      </c>
      <c r="I1684" s="39"/>
      <c r="J1684" s="39"/>
      <c r="K1684" s="39"/>
      <c r="L1684" s="39"/>
      <c r="M1684" s="39"/>
      <c r="N1684" s="39"/>
      <c r="O1684" s="39"/>
      <c r="P1684" s="39"/>
      <c r="Q1684" s="39"/>
      <c r="R1684" s="77" t="str">
        <f>IF($AA1683=0,"",IF(LEN(INDEX(Quotes!$X$9:$X$258,$AA1683)&amp;"")=0,"",INDEX(Quotes!$X$9:$X$258,$AA1683)))</f>
        <v/>
      </c>
      <c r="S1684" s="39"/>
      <c r="T1684" s="39"/>
      <c r="U1684" s="39"/>
      <c r="V1684" s="39"/>
    </row>
    <row r="1685" spans="1:27" ht="21" hidden="1" customHeight="1" x14ac:dyDescent="0.35">
      <c r="A1685" s="83" t="str">
        <f>IF($AA1683=0,"","ORIGINAL EUR")</f>
        <v/>
      </c>
      <c r="B1685" s="39"/>
      <c r="C1685" s="39"/>
      <c r="D1685" s="39"/>
      <c r="E1685" s="39"/>
      <c r="F1685" s="39"/>
      <c r="G1685" s="39"/>
      <c r="I1685" s="83" t="str">
        <f>IF($AA1683=0,"","LATEST EUR")</f>
        <v/>
      </c>
      <c r="J1685" s="39"/>
      <c r="K1685" s="39"/>
      <c r="L1685" s="39"/>
      <c r="M1685" s="39"/>
      <c r="N1685" s="39"/>
      <c r="O1685" s="39"/>
      <c r="Q1685" s="83" t="str">
        <f>IF($AA1683=0,"","SAVED EUR")</f>
        <v/>
      </c>
      <c r="R1685" s="39"/>
      <c r="S1685" s="39"/>
      <c r="T1685" s="39"/>
      <c r="U1685" s="39"/>
      <c r="V1685" s="39"/>
    </row>
    <row r="1686" spans="1:27" ht="21" hidden="1" customHeight="1" x14ac:dyDescent="0.35">
      <c r="A1686" s="82" t="str">
        <f>IF($AA1683=0,"",IF(LEN(INDEX(Quotes!$AB$9:$AB$258,$AA1683)&amp;"")=0,"",INDEX(Quotes!$AB$9:$AB$258,$AA1683)))</f>
        <v/>
      </c>
      <c r="B1686" s="39"/>
      <c r="C1686" s="39"/>
      <c r="D1686" s="39"/>
      <c r="E1686" s="39"/>
      <c r="F1686" s="39"/>
      <c r="G1686" s="39"/>
      <c r="I1686" s="82" t="str">
        <f>IF($AA1683=0,"",IF(LEN(INDEX(Quotes!$AD$9:$AD$258,$AA1683)&amp;"")=0,"",INDEX(Quotes!$AD$9:$AD$258,$AA1683)))</f>
        <v/>
      </c>
      <c r="J1686" s="39"/>
      <c r="K1686" s="39"/>
      <c r="L1686" s="39"/>
      <c r="M1686" s="39"/>
      <c r="N1686" s="39"/>
      <c r="O1686" s="39"/>
      <c r="Q1686" s="82" t="str">
        <f>IF($AA1683=0,"",IF(LEN(INDEX(Quotes!$AF$9:$AF$258,$AA1683)&amp;"")=0,"",INDEX(Quotes!$AF$9:$AF$258,$AA1683)))</f>
        <v/>
      </c>
      <c r="R1686" s="39"/>
      <c r="S1686" s="39"/>
      <c r="T1686" s="39"/>
      <c r="U1686" s="39"/>
      <c r="V1686" s="39"/>
    </row>
    <row r="1687" spans="1:27" ht="21" hidden="1" customHeight="1" x14ac:dyDescent="0.35">
      <c r="A1687" s="48" t="str">
        <f>IF($AA1683=0,"","Reference: "&amp;IF(INDEX(Quotes!$M$9:$M$258,$AA1683)="",INDEX(Quotes!$S$9:$S$258,$AA1683),INDEX(Quotes!$M$9:$M$258,$AA1683)))</f>
        <v/>
      </c>
      <c r="B1687" s="39"/>
      <c r="C1687" s="39"/>
      <c r="D1687" s="39"/>
      <c r="E1687" s="39"/>
      <c r="F1687" s="39"/>
      <c r="G1687" s="39"/>
      <c r="H1687" s="39"/>
      <c r="I1687" s="39"/>
      <c r="J1687" s="39"/>
      <c r="K1687" s="39"/>
      <c r="L1687" s="39"/>
      <c r="M1687" s="39"/>
      <c r="N1687" s="39"/>
      <c r="O1687" s="39"/>
      <c r="P1687" s="39"/>
      <c r="Q1687" s="48" t="str">
        <f>IF($AA1683=0,"",INDEX(Quotes!$E$9:$E$258,$AA1683))</f>
        <v/>
      </c>
      <c r="R1687" s="39"/>
      <c r="S1687" s="39"/>
      <c r="T1687" s="39"/>
      <c r="U1687" s="39"/>
      <c r="V1687" s="39"/>
    </row>
    <row r="1688" spans="1:27" ht="21" hidden="1" customHeight="1" x14ac:dyDescent="0.35">
      <c r="A1688" s="81" t="str">
        <f>IF($AA1683=0,"",IF(INDEX(Quotes!$N$9:$N$258,$AA1683)="","No original link","Original quote"))</f>
        <v/>
      </c>
      <c r="B1688" s="39"/>
      <c r="C1688" s="39"/>
      <c r="D1688" s="39"/>
      <c r="E1688" s="39"/>
      <c r="F1688" s="39"/>
      <c r="G1688" s="39"/>
      <c r="I1688" s="81" t="str">
        <f>IF($AA1683=0,"",IF(INDEX(Quotes!$O$9:$O$258,$AA1683)="","No revised link","Revised quote"))</f>
        <v/>
      </c>
      <c r="J1688" s="39"/>
      <c r="K1688" s="39"/>
      <c r="L1688" s="39"/>
      <c r="M1688" s="39"/>
      <c r="N1688" s="39"/>
      <c r="O1688" s="39"/>
      <c r="Q1688" s="81" t="str">
        <f>IF($AA1683=0,"",HYPERLINK("#'Quotes'!A"&amp;($AA1683+8),"Open quote record"))</f>
        <v/>
      </c>
      <c r="R1688" s="39"/>
      <c r="S1688" s="39"/>
      <c r="T1688" s="39"/>
      <c r="U1688" s="39"/>
      <c r="V1688" s="39"/>
    </row>
    <row r="1689" spans="1:27" ht="21" hidden="1" customHeight="1" x14ac:dyDescent="0.35"/>
    <row r="1690" spans="1:27" hidden="1" x14ac:dyDescent="0.35"/>
    <row r="1691" spans="1:27" hidden="1" x14ac:dyDescent="0.35"/>
    <row r="1692" spans="1:27" ht="29" hidden="1" customHeight="1" x14ac:dyDescent="0.35">
      <c r="A1692" s="84" t="str">
        <f>IF($AA1692=0,"",IF(LEN(INDEX(Quotes!$U$9:$U$258,$AA1692)&amp;"")=0,"",INDEX(Quotes!$U$9:$U$258,$AA1692)))</f>
        <v/>
      </c>
      <c r="B1692" s="39"/>
      <c r="C1692" s="39"/>
      <c r="D1692" s="39"/>
      <c r="E1692" s="39"/>
      <c r="F1692" s="39"/>
      <c r="G1692" s="39"/>
      <c r="H1692" s="39"/>
      <c r="I1692" s="39"/>
      <c r="J1692" s="39"/>
      <c r="K1692" s="85" t="str">
        <f>IF($AA1692=0,"",IF(LEN(INDEX(Quotes!$Z$9:$Z$258,$AA1692)&amp;"")=0,"",INDEX(Quotes!$Z$9:$Z$258,$AA1692)))</f>
        <v/>
      </c>
      <c r="L1692" s="39"/>
      <c r="M1692" s="39"/>
      <c r="N1692" s="39"/>
      <c r="O1692" s="39"/>
      <c r="P1692" s="39"/>
      <c r="Q1692" s="39"/>
      <c r="R1692" s="39"/>
      <c r="S1692" s="39"/>
      <c r="T1692" s="39"/>
      <c r="U1692" s="39"/>
      <c r="V1692" s="39"/>
      <c r="AA1692">
        <f>IFERROR(MATCH(175,Quotes!$AK$9:$AK$258,0),0)</f>
        <v>0</v>
      </c>
    </row>
    <row r="1693" spans="1:27" ht="21" hidden="1" customHeight="1" x14ac:dyDescent="0.35">
      <c r="A1693" s="40" t="str">
        <f>IF($AA1692=0,"",IF(LEN(INDEX(Quotes!$V$9:$V$258,$AA1692)&amp;"")=0,"",INDEX(Quotes!$V$9:$V$258,$AA1692)))</f>
        <v/>
      </c>
      <c r="B1693" s="39"/>
      <c r="C1693" s="39"/>
      <c r="D1693" s="39"/>
      <c r="E1693" s="39"/>
      <c r="F1693" s="39"/>
      <c r="G1693" s="39"/>
      <c r="H1693" s="40" t="str">
        <f>IF($AA1692=0,"",IF(LEN(INDEX(Quotes!$W$9:$W$258,$AA1692)&amp;"")=0,"",INDEX(Quotes!$W$9:$W$258,$AA1692)))</f>
        <v/>
      </c>
      <c r="I1693" s="39"/>
      <c r="J1693" s="39"/>
      <c r="K1693" s="39"/>
      <c r="L1693" s="39"/>
      <c r="M1693" s="39"/>
      <c r="N1693" s="39"/>
      <c r="O1693" s="39"/>
      <c r="P1693" s="39"/>
      <c r="Q1693" s="39"/>
      <c r="R1693" s="77" t="str">
        <f>IF($AA1692=0,"",IF(LEN(INDEX(Quotes!$X$9:$X$258,$AA1692)&amp;"")=0,"",INDEX(Quotes!$X$9:$X$258,$AA1692)))</f>
        <v/>
      </c>
      <c r="S1693" s="39"/>
      <c r="T1693" s="39"/>
      <c r="U1693" s="39"/>
      <c r="V1693" s="39"/>
    </row>
    <row r="1694" spans="1:27" ht="21" hidden="1" customHeight="1" x14ac:dyDescent="0.35">
      <c r="A1694" s="83" t="str">
        <f>IF($AA1692=0,"","ORIGINAL EUR")</f>
        <v/>
      </c>
      <c r="B1694" s="39"/>
      <c r="C1694" s="39"/>
      <c r="D1694" s="39"/>
      <c r="E1694" s="39"/>
      <c r="F1694" s="39"/>
      <c r="G1694" s="39"/>
      <c r="I1694" s="83" t="str">
        <f>IF($AA1692=0,"","LATEST EUR")</f>
        <v/>
      </c>
      <c r="J1694" s="39"/>
      <c r="K1694" s="39"/>
      <c r="L1694" s="39"/>
      <c r="M1694" s="39"/>
      <c r="N1694" s="39"/>
      <c r="O1694" s="39"/>
      <c r="Q1694" s="83" t="str">
        <f>IF($AA1692=0,"","SAVED EUR")</f>
        <v/>
      </c>
      <c r="R1694" s="39"/>
      <c r="S1694" s="39"/>
      <c r="T1694" s="39"/>
      <c r="U1694" s="39"/>
      <c r="V1694" s="39"/>
    </row>
    <row r="1695" spans="1:27" ht="21" hidden="1" customHeight="1" x14ac:dyDescent="0.35">
      <c r="A1695" s="82" t="str">
        <f>IF($AA1692=0,"",IF(LEN(INDEX(Quotes!$AB$9:$AB$258,$AA1692)&amp;"")=0,"",INDEX(Quotes!$AB$9:$AB$258,$AA1692)))</f>
        <v/>
      </c>
      <c r="B1695" s="39"/>
      <c r="C1695" s="39"/>
      <c r="D1695" s="39"/>
      <c r="E1695" s="39"/>
      <c r="F1695" s="39"/>
      <c r="G1695" s="39"/>
      <c r="I1695" s="82" t="str">
        <f>IF($AA1692=0,"",IF(LEN(INDEX(Quotes!$AD$9:$AD$258,$AA1692)&amp;"")=0,"",INDEX(Quotes!$AD$9:$AD$258,$AA1692)))</f>
        <v/>
      </c>
      <c r="J1695" s="39"/>
      <c r="K1695" s="39"/>
      <c r="L1695" s="39"/>
      <c r="M1695" s="39"/>
      <c r="N1695" s="39"/>
      <c r="O1695" s="39"/>
      <c r="Q1695" s="82" t="str">
        <f>IF($AA1692=0,"",IF(LEN(INDEX(Quotes!$AF$9:$AF$258,$AA1692)&amp;"")=0,"",INDEX(Quotes!$AF$9:$AF$258,$AA1692)))</f>
        <v/>
      </c>
      <c r="R1695" s="39"/>
      <c r="S1695" s="39"/>
      <c r="T1695" s="39"/>
      <c r="U1695" s="39"/>
      <c r="V1695" s="39"/>
    </row>
    <row r="1696" spans="1:27" ht="21" hidden="1" customHeight="1" x14ac:dyDescent="0.35">
      <c r="A1696" s="48" t="str">
        <f>IF($AA1692=0,"","Reference: "&amp;IF(INDEX(Quotes!$M$9:$M$258,$AA1692)="",INDEX(Quotes!$S$9:$S$258,$AA1692),INDEX(Quotes!$M$9:$M$258,$AA1692)))</f>
        <v/>
      </c>
      <c r="B1696" s="39"/>
      <c r="C1696" s="39"/>
      <c r="D1696" s="39"/>
      <c r="E1696" s="39"/>
      <c r="F1696" s="39"/>
      <c r="G1696" s="39"/>
      <c r="H1696" s="39"/>
      <c r="I1696" s="39"/>
      <c r="J1696" s="39"/>
      <c r="K1696" s="39"/>
      <c r="L1696" s="39"/>
      <c r="M1696" s="39"/>
      <c r="N1696" s="39"/>
      <c r="O1696" s="39"/>
      <c r="P1696" s="39"/>
      <c r="Q1696" s="48" t="str">
        <f>IF($AA1692=0,"",INDEX(Quotes!$E$9:$E$258,$AA1692))</f>
        <v/>
      </c>
      <c r="R1696" s="39"/>
      <c r="S1696" s="39"/>
      <c r="T1696" s="39"/>
      <c r="U1696" s="39"/>
      <c r="V1696" s="39"/>
    </row>
    <row r="1697" spans="1:27" ht="21" hidden="1" customHeight="1" x14ac:dyDescent="0.35">
      <c r="A1697" s="81" t="str">
        <f>IF($AA1692=0,"",IF(INDEX(Quotes!$N$9:$N$258,$AA1692)="","No original link","Original quote"))</f>
        <v/>
      </c>
      <c r="B1697" s="39"/>
      <c r="C1697" s="39"/>
      <c r="D1697" s="39"/>
      <c r="E1697" s="39"/>
      <c r="F1697" s="39"/>
      <c r="G1697" s="39"/>
      <c r="I1697" s="81" t="str">
        <f>IF($AA1692=0,"",IF(INDEX(Quotes!$O$9:$O$258,$AA1692)="","No revised link","Revised quote"))</f>
        <v/>
      </c>
      <c r="J1697" s="39"/>
      <c r="K1697" s="39"/>
      <c r="L1697" s="39"/>
      <c r="M1697" s="39"/>
      <c r="N1697" s="39"/>
      <c r="O1697" s="39"/>
      <c r="Q1697" s="81" t="str">
        <f>IF($AA1692=0,"",HYPERLINK("#'Quotes'!A"&amp;($AA1692+8),"Open quote record"))</f>
        <v/>
      </c>
      <c r="R1697" s="39"/>
      <c r="S1697" s="39"/>
      <c r="T1697" s="39"/>
      <c r="U1697" s="39"/>
      <c r="V1697" s="39"/>
    </row>
    <row r="1698" spans="1:27" ht="21" hidden="1" customHeight="1" x14ac:dyDescent="0.35"/>
    <row r="1699" spans="1:27" hidden="1" x14ac:dyDescent="0.35"/>
    <row r="1700" spans="1:27" hidden="1" x14ac:dyDescent="0.35"/>
    <row r="1701" spans="1:27" ht="29" hidden="1" customHeight="1" x14ac:dyDescent="0.35">
      <c r="A1701" s="84" t="str">
        <f>IF($AA1701=0,"",IF(LEN(INDEX(Quotes!$U$9:$U$258,$AA1701)&amp;"")=0,"",INDEX(Quotes!$U$9:$U$258,$AA1701)))</f>
        <v/>
      </c>
      <c r="B1701" s="39"/>
      <c r="C1701" s="39"/>
      <c r="D1701" s="39"/>
      <c r="E1701" s="39"/>
      <c r="F1701" s="39"/>
      <c r="G1701" s="39"/>
      <c r="H1701" s="39"/>
      <c r="I1701" s="39"/>
      <c r="J1701" s="39"/>
      <c r="K1701" s="85" t="str">
        <f>IF($AA1701=0,"",IF(LEN(INDEX(Quotes!$Z$9:$Z$258,$AA1701)&amp;"")=0,"",INDEX(Quotes!$Z$9:$Z$258,$AA1701)))</f>
        <v/>
      </c>
      <c r="L1701" s="39"/>
      <c r="M1701" s="39"/>
      <c r="N1701" s="39"/>
      <c r="O1701" s="39"/>
      <c r="P1701" s="39"/>
      <c r="Q1701" s="39"/>
      <c r="R1701" s="39"/>
      <c r="S1701" s="39"/>
      <c r="T1701" s="39"/>
      <c r="U1701" s="39"/>
      <c r="V1701" s="39"/>
      <c r="AA1701">
        <f>IFERROR(MATCH(176,Quotes!$AK$9:$AK$258,0),0)</f>
        <v>0</v>
      </c>
    </row>
    <row r="1702" spans="1:27" ht="21" hidden="1" customHeight="1" x14ac:dyDescent="0.35">
      <c r="A1702" s="40" t="str">
        <f>IF($AA1701=0,"",IF(LEN(INDEX(Quotes!$V$9:$V$258,$AA1701)&amp;"")=0,"",INDEX(Quotes!$V$9:$V$258,$AA1701)))</f>
        <v/>
      </c>
      <c r="B1702" s="39"/>
      <c r="C1702" s="39"/>
      <c r="D1702" s="39"/>
      <c r="E1702" s="39"/>
      <c r="F1702" s="39"/>
      <c r="G1702" s="39"/>
      <c r="H1702" s="40" t="str">
        <f>IF($AA1701=0,"",IF(LEN(INDEX(Quotes!$W$9:$W$258,$AA1701)&amp;"")=0,"",INDEX(Quotes!$W$9:$W$258,$AA1701)))</f>
        <v/>
      </c>
      <c r="I1702" s="39"/>
      <c r="J1702" s="39"/>
      <c r="K1702" s="39"/>
      <c r="L1702" s="39"/>
      <c r="M1702" s="39"/>
      <c r="N1702" s="39"/>
      <c r="O1702" s="39"/>
      <c r="P1702" s="39"/>
      <c r="Q1702" s="39"/>
      <c r="R1702" s="77" t="str">
        <f>IF($AA1701=0,"",IF(LEN(INDEX(Quotes!$X$9:$X$258,$AA1701)&amp;"")=0,"",INDEX(Quotes!$X$9:$X$258,$AA1701)))</f>
        <v/>
      </c>
      <c r="S1702" s="39"/>
      <c r="T1702" s="39"/>
      <c r="U1702" s="39"/>
      <c r="V1702" s="39"/>
    </row>
    <row r="1703" spans="1:27" ht="21" hidden="1" customHeight="1" x14ac:dyDescent="0.35">
      <c r="A1703" s="83" t="str">
        <f>IF($AA1701=0,"","ORIGINAL EUR")</f>
        <v/>
      </c>
      <c r="B1703" s="39"/>
      <c r="C1703" s="39"/>
      <c r="D1703" s="39"/>
      <c r="E1703" s="39"/>
      <c r="F1703" s="39"/>
      <c r="G1703" s="39"/>
      <c r="I1703" s="83" t="str">
        <f>IF($AA1701=0,"","LATEST EUR")</f>
        <v/>
      </c>
      <c r="J1703" s="39"/>
      <c r="K1703" s="39"/>
      <c r="L1703" s="39"/>
      <c r="M1703" s="39"/>
      <c r="N1703" s="39"/>
      <c r="O1703" s="39"/>
      <c r="Q1703" s="83" t="str">
        <f>IF($AA1701=0,"","SAVED EUR")</f>
        <v/>
      </c>
      <c r="R1703" s="39"/>
      <c r="S1703" s="39"/>
      <c r="T1703" s="39"/>
      <c r="U1703" s="39"/>
      <c r="V1703" s="39"/>
    </row>
    <row r="1704" spans="1:27" ht="21" hidden="1" customHeight="1" x14ac:dyDescent="0.35">
      <c r="A1704" s="82" t="str">
        <f>IF($AA1701=0,"",IF(LEN(INDEX(Quotes!$AB$9:$AB$258,$AA1701)&amp;"")=0,"",INDEX(Quotes!$AB$9:$AB$258,$AA1701)))</f>
        <v/>
      </c>
      <c r="B1704" s="39"/>
      <c r="C1704" s="39"/>
      <c r="D1704" s="39"/>
      <c r="E1704" s="39"/>
      <c r="F1704" s="39"/>
      <c r="G1704" s="39"/>
      <c r="I1704" s="82" t="str">
        <f>IF($AA1701=0,"",IF(LEN(INDEX(Quotes!$AD$9:$AD$258,$AA1701)&amp;"")=0,"",INDEX(Quotes!$AD$9:$AD$258,$AA1701)))</f>
        <v/>
      </c>
      <c r="J1704" s="39"/>
      <c r="K1704" s="39"/>
      <c r="L1704" s="39"/>
      <c r="M1704" s="39"/>
      <c r="N1704" s="39"/>
      <c r="O1704" s="39"/>
      <c r="Q1704" s="82" t="str">
        <f>IF($AA1701=0,"",IF(LEN(INDEX(Quotes!$AF$9:$AF$258,$AA1701)&amp;"")=0,"",INDEX(Quotes!$AF$9:$AF$258,$AA1701)))</f>
        <v/>
      </c>
      <c r="R1704" s="39"/>
      <c r="S1704" s="39"/>
      <c r="T1704" s="39"/>
      <c r="U1704" s="39"/>
      <c r="V1704" s="39"/>
    </row>
    <row r="1705" spans="1:27" ht="21" hidden="1" customHeight="1" x14ac:dyDescent="0.35">
      <c r="A1705" s="48" t="str">
        <f>IF($AA1701=0,"","Reference: "&amp;IF(INDEX(Quotes!$M$9:$M$258,$AA1701)="",INDEX(Quotes!$S$9:$S$258,$AA1701),INDEX(Quotes!$M$9:$M$258,$AA1701)))</f>
        <v/>
      </c>
      <c r="B1705" s="39"/>
      <c r="C1705" s="39"/>
      <c r="D1705" s="39"/>
      <c r="E1705" s="39"/>
      <c r="F1705" s="39"/>
      <c r="G1705" s="39"/>
      <c r="H1705" s="39"/>
      <c r="I1705" s="39"/>
      <c r="J1705" s="39"/>
      <c r="K1705" s="39"/>
      <c r="L1705" s="39"/>
      <c r="M1705" s="39"/>
      <c r="N1705" s="39"/>
      <c r="O1705" s="39"/>
      <c r="P1705" s="39"/>
      <c r="Q1705" s="48" t="str">
        <f>IF($AA1701=0,"",INDEX(Quotes!$E$9:$E$258,$AA1701))</f>
        <v/>
      </c>
      <c r="R1705" s="39"/>
      <c r="S1705" s="39"/>
      <c r="T1705" s="39"/>
      <c r="U1705" s="39"/>
      <c r="V1705" s="39"/>
    </row>
    <row r="1706" spans="1:27" ht="21" hidden="1" customHeight="1" x14ac:dyDescent="0.35">
      <c r="A1706" s="81" t="str">
        <f>IF($AA1701=0,"",IF(INDEX(Quotes!$N$9:$N$258,$AA1701)="","No original link","Original quote"))</f>
        <v/>
      </c>
      <c r="B1706" s="39"/>
      <c r="C1706" s="39"/>
      <c r="D1706" s="39"/>
      <c r="E1706" s="39"/>
      <c r="F1706" s="39"/>
      <c r="G1706" s="39"/>
      <c r="I1706" s="81" t="str">
        <f>IF($AA1701=0,"",IF(INDEX(Quotes!$O$9:$O$258,$AA1701)="","No revised link","Revised quote"))</f>
        <v/>
      </c>
      <c r="J1706" s="39"/>
      <c r="K1706" s="39"/>
      <c r="L1706" s="39"/>
      <c r="M1706" s="39"/>
      <c r="N1706" s="39"/>
      <c r="O1706" s="39"/>
      <c r="Q1706" s="81" t="str">
        <f>IF($AA1701=0,"",HYPERLINK("#'Quotes'!A"&amp;($AA1701+8),"Open quote record"))</f>
        <v/>
      </c>
      <c r="R1706" s="39"/>
      <c r="S1706" s="39"/>
      <c r="T1706" s="39"/>
      <c r="U1706" s="39"/>
      <c r="V1706" s="39"/>
    </row>
    <row r="1707" spans="1:27" ht="21" hidden="1" customHeight="1" x14ac:dyDescent="0.35"/>
    <row r="1708" spans="1:27" hidden="1" x14ac:dyDescent="0.35"/>
    <row r="1709" spans="1:27" hidden="1" x14ac:dyDescent="0.35"/>
    <row r="1710" spans="1:27" hidden="1" x14ac:dyDescent="0.35"/>
    <row r="1711" spans="1:27" hidden="1" x14ac:dyDescent="0.35">
      <c r="A1711" s="67" t="s">
        <v>655</v>
      </c>
      <c r="B1711" s="39"/>
      <c r="C1711" s="39"/>
      <c r="D1711" s="39"/>
      <c r="E1711" s="39"/>
      <c r="F1711" s="39"/>
      <c r="G1711" s="39"/>
      <c r="H1711" s="39"/>
      <c r="I1711" s="39"/>
      <c r="J1711" s="39"/>
      <c r="K1711" s="39"/>
      <c r="L1711" s="39"/>
      <c r="M1711" s="39"/>
      <c r="N1711" s="39"/>
      <c r="O1711" s="39"/>
      <c r="P1711" s="39"/>
      <c r="Q1711" s="39"/>
      <c r="R1711" s="39"/>
      <c r="S1711" s="39"/>
      <c r="T1711" s="39"/>
      <c r="U1711" s="39"/>
      <c r="V1711" s="39"/>
    </row>
    <row r="1712" spans="1:27" ht="29" hidden="1" customHeight="1" x14ac:dyDescent="0.35">
      <c r="A1712" s="84" t="str">
        <f>IF($AA1712=0,"",IF(LEN(INDEX(Quotes!$U$9:$U$258,$AA1712)&amp;"")=0,"",INDEX(Quotes!$U$9:$U$258,$AA1712)))</f>
        <v/>
      </c>
      <c r="B1712" s="39"/>
      <c r="C1712" s="39"/>
      <c r="D1712" s="39"/>
      <c r="E1712" s="39"/>
      <c r="F1712" s="39"/>
      <c r="G1712" s="39"/>
      <c r="H1712" s="39"/>
      <c r="I1712" s="39"/>
      <c r="J1712" s="39"/>
      <c r="K1712" s="85" t="str">
        <f>IF($AA1712=0,"",IF(LEN(INDEX(Quotes!$Z$9:$Z$258,$AA1712)&amp;"")=0,"",INDEX(Quotes!$Z$9:$Z$258,$AA1712)))</f>
        <v/>
      </c>
      <c r="L1712" s="39"/>
      <c r="M1712" s="39"/>
      <c r="N1712" s="39"/>
      <c r="O1712" s="39"/>
      <c r="P1712" s="39"/>
      <c r="Q1712" s="39"/>
      <c r="R1712" s="39"/>
      <c r="S1712" s="39"/>
      <c r="T1712" s="39"/>
      <c r="U1712" s="39"/>
      <c r="V1712" s="39"/>
      <c r="AA1712">
        <f>IFERROR(MATCH(177,Quotes!$AK$9:$AK$258,0),0)</f>
        <v>0</v>
      </c>
    </row>
    <row r="1713" spans="1:27" ht="21" hidden="1" customHeight="1" x14ac:dyDescent="0.35">
      <c r="A1713" s="40" t="str">
        <f>IF($AA1712=0,"",IF(LEN(INDEX(Quotes!$V$9:$V$258,$AA1712)&amp;"")=0,"",INDEX(Quotes!$V$9:$V$258,$AA1712)))</f>
        <v/>
      </c>
      <c r="B1713" s="39"/>
      <c r="C1713" s="39"/>
      <c r="D1713" s="39"/>
      <c r="E1713" s="39"/>
      <c r="F1713" s="39"/>
      <c r="G1713" s="39"/>
      <c r="H1713" s="40" t="str">
        <f>IF($AA1712=0,"",IF(LEN(INDEX(Quotes!$W$9:$W$258,$AA1712)&amp;"")=0,"",INDEX(Quotes!$W$9:$W$258,$AA1712)))</f>
        <v/>
      </c>
      <c r="I1713" s="39"/>
      <c r="J1713" s="39"/>
      <c r="K1713" s="39"/>
      <c r="L1713" s="39"/>
      <c r="M1713" s="39"/>
      <c r="N1713" s="39"/>
      <c r="O1713" s="39"/>
      <c r="P1713" s="39"/>
      <c r="Q1713" s="39"/>
      <c r="R1713" s="77" t="str">
        <f>IF($AA1712=0,"",IF(LEN(INDEX(Quotes!$X$9:$X$258,$AA1712)&amp;"")=0,"",INDEX(Quotes!$X$9:$X$258,$AA1712)))</f>
        <v/>
      </c>
      <c r="S1713" s="39"/>
      <c r="T1713" s="39"/>
      <c r="U1713" s="39"/>
      <c r="V1713" s="39"/>
    </row>
    <row r="1714" spans="1:27" ht="21" hidden="1" customHeight="1" x14ac:dyDescent="0.35">
      <c r="A1714" s="83" t="str">
        <f>IF($AA1712=0,"","ORIGINAL EUR")</f>
        <v/>
      </c>
      <c r="B1714" s="39"/>
      <c r="C1714" s="39"/>
      <c r="D1714" s="39"/>
      <c r="E1714" s="39"/>
      <c r="F1714" s="39"/>
      <c r="G1714" s="39"/>
      <c r="I1714" s="83" t="str">
        <f>IF($AA1712=0,"","LATEST EUR")</f>
        <v/>
      </c>
      <c r="J1714" s="39"/>
      <c r="K1714" s="39"/>
      <c r="L1714" s="39"/>
      <c r="M1714" s="39"/>
      <c r="N1714" s="39"/>
      <c r="O1714" s="39"/>
      <c r="Q1714" s="83" t="str">
        <f>IF($AA1712=0,"","SAVED EUR")</f>
        <v/>
      </c>
      <c r="R1714" s="39"/>
      <c r="S1714" s="39"/>
      <c r="T1714" s="39"/>
      <c r="U1714" s="39"/>
      <c r="V1714" s="39"/>
    </row>
    <row r="1715" spans="1:27" ht="21" hidden="1" customHeight="1" x14ac:dyDescent="0.35">
      <c r="A1715" s="82" t="str">
        <f>IF($AA1712=0,"",IF(LEN(INDEX(Quotes!$AB$9:$AB$258,$AA1712)&amp;"")=0,"",INDEX(Quotes!$AB$9:$AB$258,$AA1712)))</f>
        <v/>
      </c>
      <c r="B1715" s="39"/>
      <c r="C1715" s="39"/>
      <c r="D1715" s="39"/>
      <c r="E1715" s="39"/>
      <c r="F1715" s="39"/>
      <c r="G1715" s="39"/>
      <c r="I1715" s="82" t="str">
        <f>IF($AA1712=0,"",IF(LEN(INDEX(Quotes!$AD$9:$AD$258,$AA1712)&amp;"")=0,"",INDEX(Quotes!$AD$9:$AD$258,$AA1712)))</f>
        <v/>
      </c>
      <c r="J1715" s="39"/>
      <c r="K1715" s="39"/>
      <c r="L1715" s="39"/>
      <c r="M1715" s="39"/>
      <c r="N1715" s="39"/>
      <c r="O1715" s="39"/>
      <c r="Q1715" s="82" t="str">
        <f>IF($AA1712=0,"",IF(LEN(INDEX(Quotes!$AF$9:$AF$258,$AA1712)&amp;"")=0,"",INDEX(Quotes!$AF$9:$AF$258,$AA1712)))</f>
        <v/>
      </c>
      <c r="R1715" s="39"/>
      <c r="S1715" s="39"/>
      <c r="T1715" s="39"/>
      <c r="U1715" s="39"/>
      <c r="V1715" s="39"/>
    </row>
    <row r="1716" spans="1:27" ht="21" hidden="1" customHeight="1" x14ac:dyDescent="0.35">
      <c r="A1716" s="48" t="str">
        <f>IF($AA1712=0,"","Reference: "&amp;IF(INDEX(Quotes!$M$9:$M$258,$AA1712)="",INDEX(Quotes!$S$9:$S$258,$AA1712),INDEX(Quotes!$M$9:$M$258,$AA1712)))</f>
        <v/>
      </c>
      <c r="B1716" s="39"/>
      <c r="C1716" s="39"/>
      <c r="D1716" s="39"/>
      <c r="E1716" s="39"/>
      <c r="F1716" s="39"/>
      <c r="G1716" s="39"/>
      <c r="H1716" s="39"/>
      <c r="I1716" s="39"/>
      <c r="J1716" s="39"/>
      <c r="K1716" s="39"/>
      <c r="L1716" s="39"/>
      <c r="M1716" s="39"/>
      <c r="N1716" s="39"/>
      <c r="O1716" s="39"/>
      <c r="P1716" s="39"/>
      <c r="Q1716" s="48" t="str">
        <f>IF($AA1712=0,"",INDEX(Quotes!$E$9:$E$258,$AA1712))</f>
        <v/>
      </c>
      <c r="R1716" s="39"/>
      <c r="S1716" s="39"/>
      <c r="T1716" s="39"/>
      <c r="U1716" s="39"/>
      <c r="V1716" s="39"/>
    </row>
    <row r="1717" spans="1:27" ht="21" hidden="1" customHeight="1" x14ac:dyDescent="0.35">
      <c r="A1717" s="81" t="str">
        <f>IF($AA1712=0,"",IF(INDEX(Quotes!$N$9:$N$258,$AA1712)="","No original link","Original quote"))</f>
        <v/>
      </c>
      <c r="B1717" s="39"/>
      <c r="C1717" s="39"/>
      <c r="D1717" s="39"/>
      <c r="E1717" s="39"/>
      <c r="F1717" s="39"/>
      <c r="G1717" s="39"/>
      <c r="I1717" s="81" t="str">
        <f>IF($AA1712=0,"",IF(INDEX(Quotes!$O$9:$O$258,$AA1712)="","No revised link","Revised quote"))</f>
        <v/>
      </c>
      <c r="J1717" s="39"/>
      <c r="K1717" s="39"/>
      <c r="L1717" s="39"/>
      <c r="M1717" s="39"/>
      <c r="N1717" s="39"/>
      <c r="O1717" s="39"/>
      <c r="Q1717" s="81" t="str">
        <f>IF($AA1712=0,"",HYPERLINK("#'Quotes'!A"&amp;($AA1712+8),"Open quote record"))</f>
        <v/>
      </c>
      <c r="R1717" s="39"/>
      <c r="S1717" s="39"/>
      <c r="T1717" s="39"/>
      <c r="U1717" s="39"/>
      <c r="V1717" s="39"/>
    </row>
    <row r="1718" spans="1:27" ht="21" hidden="1" customHeight="1" x14ac:dyDescent="0.35"/>
    <row r="1719" spans="1:27" hidden="1" x14ac:dyDescent="0.35"/>
    <row r="1720" spans="1:27" hidden="1" x14ac:dyDescent="0.35"/>
    <row r="1721" spans="1:27" ht="29" hidden="1" customHeight="1" x14ac:dyDescent="0.35">
      <c r="A1721" s="84" t="str">
        <f>IF($AA1721=0,"",IF(LEN(INDEX(Quotes!$U$9:$U$258,$AA1721)&amp;"")=0,"",INDEX(Quotes!$U$9:$U$258,$AA1721)))</f>
        <v/>
      </c>
      <c r="B1721" s="39"/>
      <c r="C1721" s="39"/>
      <c r="D1721" s="39"/>
      <c r="E1721" s="39"/>
      <c r="F1721" s="39"/>
      <c r="G1721" s="39"/>
      <c r="H1721" s="39"/>
      <c r="I1721" s="39"/>
      <c r="J1721" s="39"/>
      <c r="K1721" s="85" t="str">
        <f>IF($AA1721=0,"",IF(LEN(INDEX(Quotes!$Z$9:$Z$258,$AA1721)&amp;"")=0,"",INDEX(Quotes!$Z$9:$Z$258,$AA1721)))</f>
        <v/>
      </c>
      <c r="L1721" s="39"/>
      <c r="M1721" s="39"/>
      <c r="N1721" s="39"/>
      <c r="O1721" s="39"/>
      <c r="P1721" s="39"/>
      <c r="Q1721" s="39"/>
      <c r="R1721" s="39"/>
      <c r="S1721" s="39"/>
      <c r="T1721" s="39"/>
      <c r="U1721" s="39"/>
      <c r="V1721" s="39"/>
      <c r="AA1721">
        <f>IFERROR(MATCH(178,Quotes!$AK$9:$AK$258,0),0)</f>
        <v>0</v>
      </c>
    </row>
    <row r="1722" spans="1:27" ht="21" hidden="1" customHeight="1" x14ac:dyDescent="0.35">
      <c r="A1722" s="40" t="str">
        <f>IF($AA1721=0,"",IF(LEN(INDEX(Quotes!$V$9:$V$258,$AA1721)&amp;"")=0,"",INDEX(Quotes!$V$9:$V$258,$AA1721)))</f>
        <v/>
      </c>
      <c r="B1722" s="39"/>
      <c r="C1722" s="39"/>
      <c r="D1722" s="39"/>
      <c r="E1722" s="39"/>
      <c r="F1722" s="39"/>
      <c r="G1722" s="39"/>
      <c r="H1722" s="40" t="str">
        <f>IF($AA1721=0,"",IF(LEN(INDEX(Quotes!$W$9:$W$258,$AA1721)&amp;"")=0,"",INDEX(Quotes!$W$9:$W$258,$AA1721)))</f>
        <v/>
      </c>
      <c r="I1722" s="39"/>
      <c r="J1722" s="39"/>
      <c r="K1722" s="39"/>
      <c r="L1722" s="39"/>
      <c r="M1722" s="39"/>
      <c r="N1722" s="39"/>
      <c r="O1722" s="39"/>
      <c r="P1722" s="39"/>
      <c r="Q1722" s="39"/>
      <c r="R1722" s="77" t="str">
        <f>IF($AA1721=0,"",IF(LEN(INDEX(Quotes!$X$9:$X$258,$AA1721)&amp;"")=0,"",INDEX(Quotes!$X$9:$X$258,$AA1721)))</f>
        <v/>
      </c>
      <c r="S1722" s="39"/>
      <c r="T1722" s="39"/>
      <c r="U1722" s="39"/>
      <c r="V1722" s="39"/>
    </row>
    <row r="1723" spans="1:27" ht="21" hidden="1" customHeight="1" x14ac:dyDescent="0.35">
      <c r="A1723" s="83" t="str">
        <f>IF($AA1721=0,"","ORIGINAL EUR")</f>
        <v/>
      </c>
      <c r="B1723" s="39"/>
      <c r="C1723" s="39"/>
      <c r="D1723" s="39"/>
      <c r="E1723" s="39"/>
      <c r="F1723" s="39"/>
      <c r="G1723" s="39"/>
      <c r="I1723" s="83" t="str">
        <f>IF($AA1721=0,"","LATEST EUR")</f>
        <v/>
      </c>
      <c r="J1723" s="39"/>
      <c r="K1723" s="39"/>
      <c r="L1723" s="39"/>
      <c r="M1723" s="39"/>
      <c r="N1723" s="39"/>
      <c r="O1723" s="39"/>
      <c r="Q1723" s="83" t="str">
        <f>IF($AA1721=0,"","SAVED EUR")</f>
        <v/>
      </c>
      <c r="R1723" s="39"/>
      <c r="S1723" s="39"/>
      <c r="T1723" s="39"/>
      <c r="U1723" s="39"/>
      <c r="V1723" s="39"/>
    </row>
    <row r="1724" spans="1:27" ht="21" hidden="1" customHeight="1" x14ac:dyDescent="0.35">
      <c r="A1724" s="82" t="str">
        <f>IF($AA1721=0,"",IF(LEN(INDEX(Quotes!$AB$9:$AB$258,$AA1721)&amp;"")=0,"",INDEX(Quotes!$AB$9:$AB$258,$AA1721)))</f>
        <v/>
      </c>
      <c r="B1724" s="39"/>
      <c r="C1724" s="39"/>
      <c r="D1724" s="39"/>
      <c r="E1724" s="39"/>
      <c r="F1724" s="39"/>
      <c r="G1724" s="39"/>
      <c r="I1724" s="82" t="str">
        <f>IF($AA1721=0,"",IF(LEN(INDEX(Quotes!$AD$9:$AD$258,$AA1721)&amp;"")=0,"",INDEX(Quotes!$AD$9:$AD$258,$AA1721)))</f>
        <v/>
      </c>
      <c r="J1724" s="39"/>
      <c r="K1724" s="39"/>
      <c r="L1724" s="39"/>
      <c r="M1724" s="39"/>
      <c r="N1724" s="39"/>
      <c r="O1724" s="39"/>
      <c r="Q1724" s="82" t="str">
        <f>IF($AA1721=0,"",IF(LEN(INDEX(Quotes!$AF$9:$AF$258,$AA1721)&amp;"")=0,"",INDEX(Quotes!$AF$9:$AF$258,$AA1721)))</f>
        <v/>
      </c>
      <c r="R1724" s="39"/>
      <c r="S1724" s="39"/>
      <c r="T1724" s="39"/>
      <c r="U1724" s="39"/>
      <c r="V1724" s="39"/>
    </row>
    <row r="1725" spans="1:27" ht="21" hidden="1" customHeight="1" x14ac:dyDescent="0.35">
      <c r="A1725" s="48" t="str">
        <f>IF($AA1721=0,"","Reference: "&amp;IF(INDEX(Quotes!$M$9:$M$258,$AA1721)="",INDEX(Quotes!$S$9:$S$258,$AA1721),INDEX(Quotes!$M$9:$M$258,$AA1721)))</f>
        <v/>
      </c>
      <c r="B1725" s="39"/>
      <c r="C1725" s="39"/>
      <c r="D1725" s="39"/>
      <c r="E1725" s="39"/>
      <c r="F1725" s="39"/>
      <c r="G1725" s="39"/>
      <c r="H1725" s="39"/>
      <c r="I1725" s="39"/>
      <c r="J1725" s="39"/>
      <c r="K1725" s="39"/>
      <c r="L1725" s="39"/>
      <c r="M1725" s="39"/>
      <c r="N1725" s="39"/>
      <c r="O1725" s="39"/>
      <c r="P1725" s="39"/>
      <c r="Q1725" s="48" t="str">
        <f>IF($AA1721=0,"",INDEX(Quotes!$E$9:$E$258,$AA1721))</f>
        <v/>
      </c>
      <c r="R1725" s="39"/>
      <c r="S1725" s="39"/>
      <c r="T1725" s="39"/>
      <c r="U1725" s="39"/>
      <c r="V1725" s="39"/>
    </row>
    <row r="1726" spans="1:27" ht="21" hidden="1" customHeight="1" x14ac:dyDescent="0.35">
      <c r="A1726" s="81" t="str">
        <f>IF($AA1721=0,"",IF(INDEX(Quotes!$N$9:$N$258,$AA1721)="","No original link","Original quote"))</f>
        <v/>
      </c>
      <c r="B1726" s="39"/>
      <c r="C1726" s="39"/>
      <c r="D1726" s="39"/>
      <c r="E1726" s="39"/>
      <c r="F1726" s="39"/>
      <c r="G1726" s="39"/>
      <c r="I1726" s="81" t="str">
        <f>IF($AA1721=0,"",IF(INDEX(Quotes!$O$9:$O$258,$AA1721)="","No revised link","Revised quote"))</f>
        <v/>
      </c>
      <c r="J1726" s="39"/>
      <c r="K1726" s="39"/>
      <c r="L1726" s="39"/>
      <c r="M1726" s="39"/>
      <c r="N1726" s="39"/>
      <c r="O1726" s="39"/>
      <c r="Q1726" s="81" t="str">
        <f>IF($AA1721=0,"",HYPERLINK("#'Quotes'!A"&amp;($AA1721+8),"Open quote record"))</f>
        <v/>
      </c>
      <c r="R1726" s="39"/>
      <c r="S1726" s="39"/>
      <c r="T1726" s="39"/>
      <c r="U1726" s="39"/>
      <c r="V1726" s="39"/>
    </row>
    <row r="1727" spans="1:27" ht="21" hidden="1" customHeight="1" x14ac:dyDescent="0.35"/>
    <row r="1728" spans="1:27" hidden="1" x14ac:dyDescent="0.35"/>
    <row r="1729" spans="1:27" hidden="1" x14ac:dyDescent="0.35"/>
    <row r="1730" spans="1:27" ht="29" hidden="1" customHeight="1" x14ac:dyDescent="0.35">
      <c r="A1730" s="84" t="str">
        <f>IF($AA1730=0,"",IF(LEN(INDEX(Quotes!$U$9:$U$258,$AA1730)&amp;"")=0,"",INDEX(Quotes!$U$9:$U$258,$AA1730)))</f>
        <v/>
      </c>
      <c r="B1730" s="39"/>
      <c r="C1730" s="39"/>
      <c r="D1730" s="39"/>
      <c r="E1730" s="39"/>
      <c r="F1730" s="39"/>
      <c r="G1730" s="39"/>
      <c r="H1730" s="39"/>
      <c r="I1730" s="39"/>
      <c r="J1730" s="39"/>
      <c r="K1730" s="85" t="str">
        <f>IF($AA1730=0,"",IF(LEN(INDEX(Quotes!$Z$9:$Z$258,$AA1730)&amp;"")=0,"",INDEX(Quotes!$Z$9:$Z$258,$AA1730)))</f>
        <v/>
      </c>
      <c r="L1730" s="39"/>
      <c r="M1730" s="39"/>
      <c r="N1730" s="39"/>
      <c r="O1730" s="39"/>
      <c r="P1730" s="39"/>
      <c r="Q1730" s="39"/>
      <c r="R1730" s="39"/>
      <c r="S1730" s="39"/>
      <c r="T1730" s="39"/>
      <c r="U1730" s="39"/>
      <c r="V1730" s="39"/>
      <c r="AA1730">
        <f>IFERROR(MATCH(179,Quotes!$AK$9:$AK$258,0),0)</f>
        <v>0</v>
      </c>
    </row>
    <row r="1731" spans="1:27" ht="21" hidden="1" customHeight="1" x14ac:dyDescent="0.35">
      <c r="A1731" s="40" t="str">
        <f>IF($AA1730=0,"",IF(LEN(INDEX(Quotes!$V$9:$V$258,$AA1730)&amp;"")=0,"",INDEX(Quotes!$V$9:$V$258,$AA1730)))</f>
        <v/>
      </c>
      <c r="B1731" s="39"/>
      <c r="C1731" s="39"/>
      <c r="D1731" s="39"/>
      <c r="E1731" s="39"/>
      <c r="F1731" s="39"/>
      <c r="G1731" s="39"/>
      <c r="H1731" s="40" t="str">
        <f>IF($AA1730=0,"",IF(LEN(INDEX(Quotes!$W$9:$W$258,$AA1730)&amp;"")=0,"",INDEX(Quotes!$W$9:$W$258,$AA1730)))</f>
        <v/>
      </c>
      <c r="I1731" s="39"/>
      <c r="J1731" s="39"/>
      <c r="K1731" s="39"/>
      <c r="L1731" s="39"/>
      <c r="M1731" s="39"/>
      <c r="N1731" s="39"/>
      <c r="O1731" s="39"/>
      <c r="P1731" s="39"/>
      <c r="Q1731" s="39"/>
      <c r="R1731" s="77" t="str">
        <f>IF($AA1730=0,"",IF(LEN(INDEX(Quotes!$X$9:$X$258,$AA1730)&amp;"")=0,"",INDEX(Quotes!$X$9:$X$258,$AA1730)))</f>
        <v/>
      </c>
      <c r="S1731" s="39"/>
      <c r="T1731" s="39"/>
      <c r="U1731" s="39"/>
      <c r="V1731" s="39"/>
    </row>
    <row r="1732" spans="1:27" ht="21" hidden="1" customHeight="1" x14ac:dyDescent="0.35">
      <c r="A1732" s="83" t="str">
        <f>IF($AA1730=0,"","ORIGINAL EUR")</f>
        <v/>
      </c>
      <c r="B1732" s="39"/>
      <c r="C1732" s="39"/>
      <c r="D1732" s="39"/>
      <c r="E1732" s="39"/>
      <c r="F1732" s="39"/>
      <c r="G1732" s="39"/>
      <c r="I1732" s="83" t="str">
        <f>IF($AA1730=0,"","LATEST EUR")</f>
        <v/>
      </c>
      <c r="J1732" s="39"/>
      <c r="K1732" s="39"/>
      <c r="L1732" s="39"/>
      <c r="M1732" s="39"/>
      <c r="N1732" s="39"/>
      <c r="O1732" s="39"/>
      <c r="Q1732" s="83" t="str">
        <f>IF($AA1730=0,"","SAVED EUR")</f>
        <v/>
      </c>
      <c r="R1732" s="39"/>
      <c r="S1732" s="39"/>
      <c r="T1732" s="39"/>
      <c r="U1732" s="39"/>
      <c r="V1732" s="39"/>
    </row>
    <row r="1733" spans="1:27" ht="21" hidden="1" customHeight="1" x14ac:dyDescent="0.35">
      <c r="A1733" s="82" t="str">
        <f>IF($AA1730=0,"",IF(LEN(INDEX(Quotes!$AB$9:$AB$258,$AA1730)&amp;"")=0,"",INDEX(Quotes!$AB$9:$AB$258,$AA1730)))</f>
        <v/>
      </c>
      <c r="B1733" s="39"/>
      <c r="C1733" s="39"/>
      <c r="D1733" s="39"/>
      <c r="E1733" s="39"/>
      <c r="F1733" s="39"/>
      <c r="G1733" s="39"/>
      <c r="I1733" s="82" t="str">
        <f>IF($AA1730=0,"",IF(LEN(INDEX(Quotes!$AD$9:$AD$258,$AA1730)&amp;"")=0,"",INDEX(Quotes!$AD$9:$AD$258,$AA1730)))</f>
        <v/>
      </c>
      <c r="J1733" s="39"/>
      <c r="K1733" s="39"/>
      <c r="L1733" s="39"/>
      <c r="M1733" s="39"/>
      <c r="N1733" s="39"/>
      <c r="O1733" s="39"/>
      <c r="Q1733" s="82" t="str">
        <f>IF($AA1730=0,"",IF(LEN(INDEX(Quotes!$AF$9:$AF$258,$AA1730)&amp;"")=0,"",INDEX(Quotes!$AF$9:$AF$258,$AA1730)))</f>
        <v/>
      </c>
      <c r="R1733" s="39"/>
      <c r="S1733" s="39"/>
      <c r="T1733" s="39"/>
      <c r="U1733" s="39"/>
      <c r="V1733" s="39"/>
    </row>
    <row r="1734" spans="1:27" ht="21" hidden="1" customHeight="1" x14ac:dyDescent="0.35">
      <c r="A1734" s="48" t="str">
        <f>IF($AA1730=0,"","Reference: "&amp;IF(INDEX(Quotes!$M$9:$M$258,$AA1730)="",INDEX(Quotes!$S$9:$S$258,$AA1730),INDEX(Quotes!$M$9:$M$258,$AA1730)))</f>
        <v/>
      </c>
      <c r="B1734" s="39"/>
      <c r="C1734" s="39"/>
      <c r="D1734" s="39"/>
      <c r="E1734" s="39"/>
      <c r="F1734" s="39"/>
      <c r="G1734" s="39"/>
      <c r="H1734" s="39"/>
      <c r="I1734" s="39"/>
      <c r="J1734" s="39"/>
      <c r="K1734" s="39"/>
      <c r="L1734" s="39"/>
      <c r="M1734" s="39"/>
      <c r="N1734" s="39"/>
      <c r="O1734" s="39"/>
      <c r="P1734" s="39"/>
      <c r="Q1734" s="48" t="str">
        <f>IF($AA1730=0,"",INDEX(Quotes!$E$9:$E$258,$AA1730))</f>
        <v/>
      </c>
      <c r="R1734" s="39"/>
      <c r="S1734" s="39"/>
      <c r="T1734" s="39"/>
      <c r="U1734" s="39"/>
      <c r="V1734" s="39"/>
    </row>
    <row r="1735" spans="1:27" ht="21" hidden="1" customHeight="1" x14ac:dyDescent="0.35">
      <c r="A1735" s="81" t="str">
        <f>IF($AA1730=0,"",IF(INDEX(Quotes!$N$9:$N$258,$AA1730)="","No original link","Original quote"))</f>
        <v/>
      </c>
      <c r="B1735" s="39"/>
      <c r="C1735" s="39"/>
      <c r="D1735" s="39"/>
      <c r="E1735" s="39"/>
      <c r="F1735" s="39"/>
      <c r="G1735" s="39"/>
      <c r="I1735" s="81" t="str">
        <f>IF($AA1730=0,"",IF(INDEX(Quotes!$O$9:$O$258,$AA1730)="","No revised link","Revised quote"))</f>
        <v/>
      </c>
      <c r="J1735" s="39"/>
      <c r="K1735" s="39"/>
      <c r="L1735" s="39"/>
      <c r="M1735" s="39"/>
      <c r="N1735" s="39"/>
      <c r="O1735" s="39"/>
      <c r="Q1735" s="81" t="str">
        <f>IF($AA1730=0,"",HYPERLINK("#'Quotes'!A"&amp;($AA1730+8),"Open quote record"))</f>
        <v/>
      </c>
      <c r="R1735" s="39"/>
      <c r="S1735" s="39"/>
      <c r="T1735" s="39"/>
      <c r="U1735" s="39"/>
      <c r="V1735" s="39"/>
    </row>
    <row r="1736" spans="1:27" ht="21" hidden="1" customHeight="1" x14ac:dyDescent="0.35"/>
    <row r="1737" spans="1:27" hidden="1" x14ac:dyDescent="0.35"/>
    <row r="1738" spans="1:27" hidden="1" x14ac:dyDescent="0.35"/>
    <row r="1739" spans="1:27" ht="29" hidden="1" customHeight="1" x14ac:dyDescent="0.35">
      <c r="A1739" s="84" t="str">
        <f>IF($AA1739=0,"",IF(LEN(INDEX(Quotes!$U$9:$U$258,$AA1739)&amp;"")=0,"",INDEX(Quotes!$U$9:$U$258,$AA1739)))</f>
        <v/>
      </c>
      <c r="B1739" s="39"/>
      <c r="C1739" s="39"/>
      <c r="D1739" s="39"/>
      <c r="E1739" s="39"/>
      <c r="F1739" s="39"/>
      <c r="G1739" s="39"/>
      <c r="H1739" s="39"/>
      <c r="I1739" s="39"/>
      <c r="J1739" s="39"/>
      <c r="K1739" s="85" t="str">
        <f>IF($AA1739=0,"",IF(LEN(INDEX(Quotes!$Z$9:$Z$258,$AA1739)&amp;"")=0,"",INDEX(Quotes!$Z$9:$Z$258,$AA1739)))</f>
        <v/>
      </c>
      <c r="L1739" s="39"/>
      <c r="M1739" s="39"/>
      <c r="N1739" s="39"/>
      <c r="O1739" s="39"/>
      <c r="P1739" s="39"/>
      <c r="Q1739" s="39"/>
      <c r="R1739" s="39"/>
      <c r="S1739" s="39"/>
      <c r="T1739" s="39"/>
      <c r="U1739" s="39"/>
      <c r="V1739" s="39"/>
      <c r="AA1739">
        <f>IFERROR(MATCH(180,Quotes!$AK$9:$AK$258,0),0)</f>
        <v>0</v>
      </c>
    </row>
    <row r="1740" spans="1:27" ht="21" hidden="1" customHeight="1" x14ac:dyDescent="0.35">
      <c r="A1740" s="40" t="str">
        <f>IF($AA1739=0,"",IF(LEN(INDEX(Quotes!$V$9:$V$258,$AA1739)&amp;"")=0,"",INDEX(Quotes!$V$9:$V$258,$AA1739)))</f>
        <v/>
      </c>
      <c r="B1740" s="39"/>
      <c r="C1740" s="39"/>
      <c r="D1740" s="39"/>
      <c r="E1740" s="39"/>
      <c r="F1740" s="39"/>
      <c r="G1740" s="39"/>
      <c r="H1740" s="40" t="str">
        <f>IF($AA1739=0,"",IF(LEN(INDEX(Quotes!$W$9:$W$258,$AA1739)&amp;"")=0,"",INDEX(Quotes!$W$9:$W$258,$AA1739)))</f>
        <v/>
      </c>
      <c r="I1740" s="39"/>
      <c r="J1740" s="39"/>
      <c r="K1740" s="39"/>
      <c r="L1740" s="39"/>
      <c r="M1740" s="39"/>
      <c r="N1740" s="39"/>
      <c r="O1740" s="39"/>
      <c r="P1740" s="39"/>
      <c r="Q1740" s="39"/>
      <c r="R1740" s="77" t="str">
        <f>IF($AA1739=0,"",IF(LEN(INDEX(Quotes!$X$9:$X$258,$AA1739)&amp;"")=0,"",INDEX(Quotes!$X$9:$X$258,$AA1739)))</f>
        <v/>
      </c>
      <c r="S1740" s="39"/>
      <c r="T1740" s="39"/>
      <c r="U1740" s="39"/>
      <c r="V1740" s="39"/>
    </row>
    <row r="1741" spans="1:27" ht="21" hidden="1" customHeight="1" x14ac:dyDescent="0.35">
      <c r="A1741" s="83" t="str">
        <f>IF($AA1739=0,"","ORIGINAL EUR")</f>
        <v/>
      </c>
      <c r="B1741" s="39"/>
      <c r="C1741" s="39"/>
      <c r="D1741" s="39"/>
      <c r="E1741" s="39"/>
      <c r="F1741" s="39"/>
      <c r="G1741" s="39"/>
      <c r="I1741" s="83" t="str">
        <f>IF($AA1739=0,"","LATEST EUR")</f>
        <v/>
      </c>
      <c r="J1741" s="39"/>
      <c r="K1741" s="39"/>
      <c r="L1741" s="39"/>
      <c r="M1741" s="39"/>
      <c r="N1741" s="39"/>
      <c r="O1741" s="39"/>
      <c r="Q1741" s="83" t="str">
        <f>IF($AA1739=0,"","SAVED EUR")</f>
        <v/>
      </c>
      <c r="R1741" s="39"/>
      <c r="S1741" s="39"/>
      <c r="T1741" s="39"/>
      <c r="U1741" s="39"/>
      <c r="V1741" s="39"/>
    </row>
    <row r="1742" spans="1:27" ht="21" hidden="1" customHeight="1" x14ac:dyDescent="0.35">
      <c r="A1742" s="82" t="str">
        <f>IF($AA1739=0,"",IF(LEN(INDEX(Quotes!$AB$9:$AB$258,$AA1739)&amp;"")=0,"",INDEX(Quotes!$AB$9:$AB$258,$AA1739)))</f>
        <v/>
      </c>
      <c r="B1742" s="39"/>
      <c r="C1742" s="39"/>
      <c r="D1742" s="39"/>
      <c r="E1742" s="39"/>
      <c r="F1742" s="39"/>
      <c r="G1742" s="39"/>
      <c r="I1742" s="82" t="str">
        <f>IF($AA1739=0,"",IF(LEN(INDEX(Quotes!$AD$9:$AD$258,$AA1739)&amp;"")=0,"",INDEX(Quotes!$AD$9:$AD$258,$AA1739)))</f>
        <v/>
      </c>
      <c r="J1742" s="39"/>
      <c r="K1742" s="39"/>
      <c r="L1742" s="39"/>
      <c r="M1742" s="39"/>
      <c r="N1742" s="39"/>
      <c r="O1742" s="39"/>
      <c r="Q1742" s="82" t="str">
        <f>IF($AA1739=0,"",IF(LEN(INDEX(Quotes!$AF$9:$AF$258,$AA1739)&amp;"")=0,"",INDEX(Quotes!$AF$9:$AF$258,$AA1739)))</f>
        <v/>
      </c>
      <c r="R1742" s="39"/>
      <c r="S1742" s="39"/>
      <c r="T1742" s="39"/>
      <c r="U1742" s="39"/>
      <c r="V1742" s="39"/>
    </row>
    <row r="1743" spans="1:27" ht="21" hidden="1" customHeight="1" x14ac:dyDescent="0.35">
      <c r="A1743" s="48" t="str">
        <f>IF($AA1739=0,"","Reference: "&amp;IF(INDEX(Quotes!$M$9:$M$258,$AA1739)="",INDEX(Quotes!$S$9:$S$258,$AA1739),INDEX(Quotes!$M$9:$M$258,$AA1739)))</f>
        <v/>
      </c>
      <c r="B1743" s="39"/>
      <c r="C1743" s="39"/>
      <c r="D1743" s="39"/>
      <c r="E1743" s="39"/>
      <c r="F1743" s="39"/>
      <c r="G1743" s="39"/>
      <c r="H1743" s="39"/>
      <c r="I1743" s="39"/>
      <c r="J1743" s="39"/>
      <c r="K1743" s="39"/>
      <c r="L1743" s="39"/>
      <c r="M1743" s="39"/>
      <c r="N1743" s="39"/>
      <c r="O1743" s="39"/>
      <c r="P1743" s="39"/>
      <c r="Q1743" s="48" t="str">
        <f>IF($AA1739=0,"",INDEX(Quotes!$E$9:$E$258,$AA1739))</f>
        <v/>
      </c>
      <c r="R1743" s="39"/>
      <c r="S1743" s="39"/>
      <c r="T1743" s="39"/>
      <c r="U1743" s="39"/>
      <c r="V1743" s="39"/>
    </row>
    <row r="1744" spans="1:27" ht="21" hidden="1" customHeight="1" x14ac:dyDescent="0.35">
      <c r="A1744" s="81" t="str">
        <f>IF($AA1739=0,"",IF(INDEX(Quotes!$N$9:$N$258,$AA1739)="","No original link","Original quote"))</f>
        <v/>
      </c>
      <c r="B1744" s="39"/>
      <c r="C1744" s="39"/>
      <c r="D1744" s="39"/>
      <c r="E1744" s="39"/>
      <c r="F1744" s="39"/>
      <c r="G1744" s="39"/>
      <c r="I1744" s="81" t="str">
        <f>IF($AA1739=0,"",IF(INDEX(Quotes!$O$9:$O$258,$AA1739)="","No revised link","Revised quote"))</f>
        <v/>
      </c>
      <c r="J1744" s="39"/>
      <c r="K1744" s="39"/>
      <c r="L1744" s="39"/>
      <c r="M1744" s="39"/>
      <c r="N1744" s="39"/>
      <c r="O1744" s="39"/>
      <c r="Q1744" s="81" t="str">
        <f>IF($AA1739=0,"",HYPERLINK("#'Quotes'!A"&amp;($AA1739+8),"Open quote record"))</f>
        <v/>
      </c>
      <c r="R1744" s="39"/>
      <c r="S1744" s="39"/>
      <c r="T1744" s="39"/>
      <c r="U1744" s="39"/>
      <c r="V1744" s="39"/>
    </row>
    <row r="1745" spans="1:27" ht="21" hidden="1" customHeight="1" x14ac:dyDescent="0.35"/>
    <row r="1746" spans="1:27" hidden="1" x14ac:dyDescent="0.35"/>
    <row r="1747" spans="1:27" hidden="1" x14ac:dyDescent="0.35"/>
    <row r="1748" spans="1:27" hidden="1" x14ac:dyDescent="0.35"/>
    <row r="1749" spans="1:27" hidden="1" x14ac:dyDescent="0.35">
      <c r="A1749" s="67" t="s">
        <v>655</v>
      </c>
      <c r="B1749" s="39"/>
      <c r="C1749" s="39"/>
      <c r="D1749" s="39"/>
      <c r="E1749" s="39"/>
      <c r="F1749" s="39"/>
      <c r="G1749" s="39"/>
      <c r="H1749" s="39"/>
      <c r="I1749" s="39"/>
      <c r="J1749" s="39"/>
      <c r="K1749" s="39"/>
      <c r="L1749" s="39"/>
      <c r="M1749" s="39"/>
      <c r="N1749" s="39"/>
      <c r="O1749" s="39"/>
      <c r="P1749" s="39"/>
      <c r="Q1749" s="39"/>
      <c r="R1749" s="39"/>
      <c r="S1749" s="39"/>
      <c r="T1749" s="39"/>
      <c r="U1749" s="39"/>
      <c r="V1749" s="39"/>
    </row>
    <row r="1750" spans="1:27" ht="29" hidden="1" customHeight="1" x14ac:dyDescent="0.35">
      <c r="A1750" s="84" t="str">
        <f>IF($AA1750=0,"",IF(LEN(INDEX(Quotes!$U$9:$U$258,$AA1750)&amp;"")=0,"",INDEX(Quotes!$U$9:$U$258,$AA1750)))</f>
        <v/>
      </c>
      <c r="B1750" s="39"/>
      <c r="C1750" s="39"/>
      <c r="D1750" s="39"/>
      <c r="E1750" s="39"/>
      <c r="F1750" s="39"/>
      <c r="G1750" s="39"/>
      <c r="H1750" s="39"/>
      <c r="I1750" s="39"/>
      <c r="J1750" s="39"/>
      <c r="K1750" s="85" t="str">
        <f>IF($AA1750=0,"",IF(LEN(INDEX(Quotes!$Z$9:$Z$258,$AA1750)&amp;"")=0,"",INDEX(Quotes!$Z$9:$Z$258,$AA1750)))</f>
        <v/>
      </c>
      <c r="L1750" s="39"/>
      <c r="M1750" s="39"/>
      <c r="N1750" s="39"/>
      <c r="O1750" s="39"/>
      <c r="P1750" s="39"/>
      <c r="Q1750" s="39"/>
      <c r="R1750" s="39"/>
      <c r="S1750" s="39"/>
      <c r="T1750" s="39"/>
      <c r="U1750" s="39"/>
      <c r="V1750" s="39"/>
      <c r="AA1750">
        <f>IFERROR(MATCH(181,Quotes!$AK$9:$AK$258,0),0)</f>
        <v>0</v>
      </c>
    </row>
    <row r="1751" spans="1:27" ht="21" hidden="1" customHeight="1" x14ac:dyDescent="0.35">
      <c r="A1751" s="40" t="str">
        <f>IF($AA1750=0,"",IF(LEN(INDEX(Quotes!$V$9:$V$258,$AA1750)&amp;"")=0,"",INDEX(Quotes!$V$9:$V$258,$AA1750)))</f>
        <v/>
      </c>
      <c r="B1751" s="39"/>
      <c r="C1751" s="39"/>
      <c r="D1751" s="39"/>
      <c r="E1751" s="39"/>
      <c r="F1751" s="39"/>
      <c r="G1751" s="39"/>
      <c r="H1751" s="40" t="str">
        <f>IF($AA1750=0,"",IF(LEN(INDEX(Quotes!$W$9:$W$258,$AA1750)&amp;"")=0,"",INDEX(Quotes!$W$9:$W$258,$AA1750)))</f>
        <v/>
      </c>
      <c r="I1751" s="39"/>
      <c r="J1751" s="39"/>
      <c r="K1751" s="39"/>
      <c r="L1751" s="39"/>
      <c r="M1751" s="39"/>
      <c r="N1751" s="39"/>
      <c r="O1751" s="39"/>
      <c r="P1751" s="39"/>
      <c r="Q1751" s="39"/>
      <c r="R1751" s="77" t="str">
        <f>IF($AA1750=0,"",IF(LEN(INDEX(Quotes!$X$9:$X$258,$AA1750)&amp;"")=0,"",INDEX(Quotes!$X$9:$X$258,$AA1750)))</f>
        <v/>
      </c>
      <c r="S1751" s="39"/>
      <c r="T1751" s="39"/>
      <c r="U1751" s="39"/>
      <c r="V1751" s="39"/>
    </row>
    <row r="1752" spans="1:27" ht="21" hidden="1" customHeight="1" x14ac:dyDescent="0.35">
      <c r="A1752" s="83" t="str">
        <f>IF($AA1750=0,"","ORIGINAL EUR")</f>
        <v/>
      </c>
      <c r="B1752" s="39"/>
      <c r="C1752" s="39"/>
      <c r="D1752" s="39"/>
      <c r="E1752" s="39"/>
      <c r="F1752" s="39"/>
      <c r="G1752" s="39"/>
      <c r="I1752" s="83" t="str">
        <f>IF($AA1750=0,"","LATEST EUR")</f>
        <v/>
      </c>
      <c r="J1752" s="39"/>
      <c r="K1752" s="39"/>
      <c r="L1752" s="39"/>
      <c r="M1752" s="39"/>
      <c r="N1752" s="39"/>
      <c r="O1752" s="39"/>
      <c r="Q1752" s="83" t="str">
        <f>IF($AA1750=0,"","SAVED EUR")</f>
        <v/>
      </c>
      <c r="R1752" s="39"/>
      <c r="S1752" s="39"/>
      <c r="T1752" s="39"/>
      <c r="U1752" s="39"/>
      <c r="V1752" s="39"/>
    </row>
    <row r="1753" spans="1:27" ht="21" hidden="1" customHeight="1" x14ac:dyDescent="0.35">
      <c r="A1753" s="82" t="str">
        <f>IF($AA1750=0,"",IF(LEN(INDEX(Quotes!$AB$9:$AB$258,$AA1750)&amp;"")=0,"",INDEX(Quotes!$AB$9:$AB$258,$AA1750)))</f>
        <v/>
      </c>
      <c r="B1753" s="39"/>
      <c r="C1753" s="39"/>
      <c r="D1753" s="39"/>
      <c r="E1753" s="39"/>
      <c r="F1753" s="39"/>
      <c r="G1753" s="39"/>
      <c r="I1753" s="82" t="str">
        <f>IF($AA1750=0,"",IF(LEN(INDEX(Quotes!$AD$9:$AD$258,$AA1750)&amp;"")=0,"",INDEX(Quotes!$AD$9:$AD$258,$AA1750)))</f>
        <v/>
      </c>
      <c r="J1753" s="39"/>
      <c r="K1753" s="39"/>
      <c r="L1753" s="39"/>
      <c r="M1753" s="39"/>
      <c r="N1753" s="39"/>
      <c r="O1753" s="39"/>
      <c r="Q1753" s="82" t="str">
        <f>IF($AA1750=0,"",IF(LEN(INDEX(Quotes!$AF$9:$AF$258,$AA1750)&amp;"")=0,"",INDEX(Quotes!$AF$9:$AF$258,$AA1750)))</f>
        <v/>
      </c>
      <c r="R1753" s="39"/>
      <c r="S1753" s="39"/>
      <c r="T1753" s="39"/>
      <c r="U1753" s="39"/>
      <c r="V1753" s="39"/>
    </row>
    <row r="1754" spans="1:27" ht="21" hidden="1" customHeight="1" x14ac:dyDescent="0.35">
      <c r="A1754" s="48" t="str">
        <f>IF($AA1750=0,"","Reference: "&amp;IF(INDEX(Quotes!$M$9:$M$258,$AA1750)="",INDEX(Quotes!$S$9:$S$258,$AA1750),INDEX(Quotes!$M$9:$M$258,$AA1750)))</f>
        <v/>
      </c>
      <c r="B1754" s="39"/>
      <c r="C1754" s="39"/>
      <c r="D1754" s="39"/>
      <c r="E1754" s="39"/>
      <c r="F1754" s="39"/>
      <c r="G1754" s="39"/>
      <c r="H1754" s="39"/>
      <c r="I1754" s="39"/>
      <c r="J1754" s="39"/>
      <c r="K1754" s="39"/>
      <c r="L1754" s="39"/>
      <c r="M1754" s="39"/>
      <c r="N1754" s="39"/>
      <c r="O1754" s="39"/>
      <c r="P1754" s="39"/>
      <c r="Q1754" s="48" t="str">
        <f>IF($AA1750=0,"",INDEX(Quotes!$E$9:$E$258,$AA1750))</f>
        <v/>
      </c>
      <c r="R1754" s="39"/>
      <c r="S1754" s="39"/>
      <c r="T1754" s="39"/>
      <c r="U1754" s="39"/>
      <c r="V1754" s="39"/>
    </row>
    <row r="1755" spans="1:27" ht="21" hidden="1" customHeight="1" x14ac:dyDescent="0.35">
      <c r="A1755" s="81" t="str">
        <f>IF($AA1750=0,"",IF(INDEX(Quotes!$N$9:$N$258,$AA1750)="","No original link","Original quote"))</f>
        <v/>
      </c>
      <c r="B1755" s="39"/>
      <c r="C1755" s="39"/>
      <c r="D1755" s="39"/>
      <c r="E1755" s="39"/>
      <c r="F1755" s="39"/>
      <c r="G1755" s="39"/>
      <c r="I1755" s="81" t="str">
        <f>IF($AA1750=0,"",IF(INDEX(Quotes!$O$9:$O$258,$AA1750)="","No revised link","Revised quote"))</f>
        <v/>
      </c>
      <c r="J1755" s="39"/>
      <c r="K1755" s="39"/>
      <c r="L1755" s="39"/>
      <c r="M1755" s="39"/>
      <c r="N1755" s="39"/>
      <c r="O1755" s="39"/>
      <c r="Q1755" s="81" t="str">
        <f>IF($AA1750=0,"",HYPERLINK("#'Quotes'!A"&amp;($AA1750+8),"Open quote record"))</f>
        <v/>
      </c>
      <c r="R1755" s="39"/>
      <c r="S1755" s="39"/>
      <c r="T1755" s="39"/>
      <c r="U1755" s="39"/>
      <c r="V1755" s="39"/>
    </row>
    <row r="1756" spans="1:27" ht="21" hidden="1" customHeight="1" x14ac:dyDescent="0.35"/>
    <row r="1757" spans="1:27" hidden="1" x14ac:dyDescent="0.35"/>
    <row r="1758" spans="1:27" hidden="1" x14ac:dyDescent="0.35"/>
    <row r="1759" spans="1:27" ht="29" hidden="1" customHeight="1" x14ac:dyDescent="0.35">
      <c r="A1759" s="84" t="str">
        <f>IF($AA1759=0,"",IF(LEN(INDEX(Quotes!$U$9:$U$258,$AA1759)&amp;"")=0,"",INDEX(Quotes!$U$9:$U$258,$AA1759)))</f>
        <v/>
      </c>
      <c r="B1759" s="39"/>
      <c r="C1759" s="39"/>
      <c r="D1759" s="39"/>
      <c r="E1759" s="39"/>
      <c r="F1759" s="39"/>
      <c r="G1759" s="39"/>
      <c r="H1759" s="39"/>
      <c r="I1759" s="39"/>
      <c r="J1759" s="39"/>
      <c r="K1759" s="85" t="str">
        <f>IF($AA1759=0,"",IF(LEN(INDEX(Quotes!$Z$9:$Z$258,$AA1759)&amp;"")=0,"",INDEX(Quotes!$Z$9:$Z$258,$AA1759)))</f>
        <v/>
      </c>
      <c r="L1759" s="39"/>
      <c r="M1759" s="39"/>
      <c r="N1759" s="39"/>
      <c r="O1759" s="39"/>
      <c r="P1759" s="39"/>
      <c r="Q1759" s="39"/>
      <c r="R1759" s="39"/>
      <c r="S1759" s="39"/>
      <c r="T1759" s="39"/>
      <c r="U1759" s="39"/>
      <c r="V1759" s="39"/>
      <c r="AA1759">
        <f>IFERROR(MATCH(182,Quotes!$AK$9:$AK$258,0),0)</f>
        <v>0</v>
      </c>
    </row>
    <row r="1760" spans="1:27" ht="21" hidden="1" customHeight="1" x14ac:dyDescent="0.35">
      <c r="A1760" s="40" t="str">
        <f>IF($AA1759=0,"",IF(LEN(INDEX(Quotes!$V$9:$V$258,$AA1759)&amp;"")=0,"",INDEX(Quotes!$V$9:$V$258,$AA1759)))</f>
        <v/>
      </c>
      <c r="B1760" s="39"/>
      <c r="C1760" s="39"/>
      <c r="D1760" s="39"/>
      <c r="E1760" s="39"/>
      <c r="F1760" s="39"/>
      <c r="G1760" s="39"/>
      <c r="H1760" s="40" t="str">
        <f>IF($AA1759=0,"",IF(LEN(INDEX(Quotes!$W$9:$W$258,$AA1759)&amp;"")=0,"",INDEX(Quotes!$W$9:$W$258,$AA1759)))</f>
        <v/>
      </c>
      <c r="I1760" s="39"/>
      <c r="J1760" s="39"/>
      <c r="K1760" s="39"/>
      <c r="L1760" s="39"/>
      <c r="M1760" s="39"/>
      <c r="N1760" s="39"/>
      <c r="O1760" s="39"/>
      <c r="P1760" s="39"/>
      <c r="Q1760" s="39"/>
      <c r="R1760" s="77" t="str">
        <f>IF($AA1759=0,"",IF(LEN(INDEX(Quotes!$X$9:$X$258,$AA1759)&amp;"")=0,"",INDEX(Quotes!$X$9:$X$258,$AA1759)))</f>
        <v/>
      </c>
      <c r="S1760" s="39"/>
      <c r="T1760" s="39"/>
      <c r="U1760" s="39"/>
      <c r="V1760" s="39"/>
    </row>
    <row r="1761" spans="1:27" ht="21" hidden="1" customHeight="1" x14ac:dyDescent="0.35">
      <c r="A1761" s="83" t="str">
        <f>IF($AA1759=0,"","ORIGINAL EUR")</f>
        <v/>
      </c>
      <c r="B1761" s="39"/>
      <c r="C1761" s="39"/>
      <c r="D1761" s="39"/>
      <c r="E1761" s="39"/>
      <c r="F1761" s="39"/>
      <c r="G1761" s="39"/>
      <c r="I1761" s="83" t="str">
        <f>IF($AA1759=0,"","LATEST EUR")</f>
        <v/>
      </c>
      <c r="J1761" s="39"/>
      <c r="K1761" s="39"/>
      <c r="L1761" s="39"/>
      <c r="M1761" s="39"/>
      <c r="N1761" s="39"/>
      <c r="O1761" s="39"/>
      <c r="Q1761" s="83" t="str">
        <f>IF($AA1759=0,"","SAVED EUR")</f>
        <v/>
      </c>
      <c r="R1761" s="39"/>
      <c r="S1761" s="39"/>
      <c r="T1761" s="39"/>
      <c r="U1761" s="39"/>
      <c r="V1761" s="39"/>
    </row>
    <row r="1762" spans="1:27" ht="21" hidden="1" customHeight="1" x14ac:dyDescent="0.35">
      <c r="A1762" s="82" t="str">
        <f>IF($AA1759=0,"",IF(LEN(INDEX(Quotes!$AB$9:$AB$258,$AA1759)&amp;"")=0,"",INDEX(Quotes!$AB$9:$AB$258,$AA1759)))</f>
        <v/>
      </c>
      <c r="B1762" s="39"/>
      <c r="C1762" s="39"/>
      <c r="D1762" s="39"/>
      <c r="E1762" s="39"/>
      <c r="F1762" s="39"/>
      <c r="G1762" s="39"/>
      <c r="I1762" s="82" t="str">
        <f>IF($AA1759=0,"",IF(LEN(INDEX(Quotes!$AD$9:$AD$258,$AA1759)&amp;"")=0,"",INDEX(Quotes!$AD$9:$AD$258,$AA1759)))</f>
        <v/>
      </c>
      <c r="J1762" s="39"/>
      <c r="K1762" s="39"/>
      <c r="L1762" s="39"/>
      <c r="M1762" s="39"/>
      <c r="N1762" s="39"/>
      <c r="O1762" s="39"/>
      <c r="Q1762" s="82" t="str">
        <f>IF($AA1759=0,"",IF(LEN(INDEX(Quotes!$AF$9:$AF$258,$AA1759)&amp;"")=0,"",INDEX(Quotes!$AF$9:$AF$258,$AA1759)))</f>
        <v/>
      </c>
      <c r="R1762" s="39"/>
      <c r="S1762" s="39"/>
      <c r="T1762" s="39"/>
      <c r="U1762" s="39"/>
      <c r="V1762" s="39"/>
    </row>
    <row r="1763" spans="1:27" ht="21" hidden="1" customHeight="1" x14ac:dyDescent="0.35">
      <c r="A1763" s="48" t="str">
        <f>IF($AA1759=0,"","Reference: "&amp;IF(INDEX(Quotes!$M$9:$M$258,$AA1759)="",INDEX(Quotes!$S$9:$S$258,$AA1759),INDEX(Quotes!$M$9:$M$258,$AA1759)))</f>
        <v/>
      </c>
      <c r="B1763" s="39"/>
      <c r="C1763" s="39"/>
      <c r="D1763" s="39"/>
      <c r="E1763" s="39"/>
      <c r="F1763" s="39"/>
      <c r="G1763" s="39"/>
      <c r="H1763" s="39"/>
      <c r="I1763" s="39"/>
      <c r="J1763" s="39"/>
      <c r="K1763" s="39"/>
      <c r="L1763" s="39"/>
      <c r="M1763" s="39"/>
      <c r="N1763" s="39"/>
      <c r="O1763" s="39"/>
      <c r="P1763" s="39"/>
      <c r="Q1763" s="48" t="str">
        <f>IF($AA1759=0,"",INDEX(Quotes!$E$9:$E$258,$AA1759))</f>
        <v/>
      </c>
      <c r="R1763" s="39"/>
      <c r="S1763" s="39"/>
      <c r="T1763" s="39"/>
      <c r="U1763" s="39"/>
      <c r="V1763" s="39"/>
    </row>
    <row r="1764" spans="1:27" ht="21" hidden="1" customHeight="1" x14ac:dyDescent="0.35">
      <c r="A1764" s="81" t="str">
        <f>IF($AA1759=0,"",IF(INDEX(Quotes!$N$9:$N$258,$AA1759)="","No original link","Original quote"))</f>
        <v/>
      </c>
      <c r="B1764" s="39"/>
      <c r="C1764" s="39"/>
      <c r="D1764" s="39"/>
      <c r="E1764" s="39"/>
      <c r="F1764" s="39"/>
      <c r="G1764" s="39"/>
      <c r="I1764" s="81" t="str">
        <f>IF($AA1759=0,"",IF(INDEX(Quotes!$O$9:$O$258,$AA1759)="","No revised link","Revised quote"))</f>
        <v/>
      </c>
      <c r="J1764" s="39"/>
      <c r="K1764" s="39"/>
      <c r="L1764" s="39"/>
      <c r="M1764" s="39"/>
      <c r="N1764" s="39"/>
      <c r="O1764" s="39"/>
      <c r="Q1764" s="81" t="str">
        <f>IF($AA1759=0,"",HYPERLINK("#'Quotes'!A"&amp;($AA1759+8),"Open quote record"))</f>
        <v/>
      </c>
      <c r="R1764" s="39"/>
      <c r="S1764" s="39"/>
      <c r="T1764" s="39"/>
      <c r="U1764" s="39"/>
      <c r="V1764" s="39"/>
    </row>
    <row r="1765" spans="1:27" ht="21" hidden="1" customHeight="1" x14ac:dyDescent="0.35"/>
    <row r="1766" spans="1:27" hidden="1" x14ac:dyDescent="0.35"/>
    <row r="1767" spans="1:27" hidden="1" x14ac:dyDescent="0.35"/>
    <row r="1768" spans="1:27" ht="29" hidden="1" customHeight="1" x14ac:dyDescent="0.35">
      <c r="A1768" s="84" t="str">
        <f>IF($AA1768=0,"",IF(LEN(INDEX(Quotes!$U$9:$U$258,$AA1768)&amp;"")=0,"",INDEX(Quotes!$U$9:$U$258,$AA1768)))</f>
        <v/>
      </c>
      <c r="B1768" s="39"/>
      <c r="C1768" s="39"/>
      <c r="D1768" s="39"/>
      <c r="E1768" s="39"/>
      <c r="F1768" s="39"/>
      <c r="G1768" s="39"/>
      <c r="H1768" s="39"/>
      <c r="I1768" s="39"/>
      <c r="J1768" s="39"/>
      <c r="K1768" s="85" t="str">
        <f>IF($AA1768=0,"",IF(LEN(INDEX(Quotes!$Z$9:$Z$258,$AA1768)&amp;"")=0,"",INDEX(Quotes!$Z$9:$Z$258,$AA1768)))</f>
        <v/>
      </c>
      <c r="L1768" s="39"/>
      <c r="M1768" s="39"/>
      <c r="N1768" s="39"/>
      <c r="O1768" s="39"/>
      <c r="P1768" s="39"/>
      <c r="Q1768" s="39"/>
      <c r="R1768" s="39"/>
      <c r="S1768" s="39"/>
      <c r="T1768" s="39"/>
      <c r="U1768" s="39"/>
      <c r="V1768" s="39"/>
      <c r="AA1768">
        <f>IFERROR(MATCH(183,Quotes!$AK$9:$AK$258,0),0)</f>
        <v>0</v>
      </c>
    </row>
    <row r="1769" spans="1:27" ht="21" hidden="1" customHeight="1" x14ac:dyDescent="0.35">
      <c r="A1769" s="40" t="str">
        <f>IF($AA1768=0,"",IF(LEN(INDEX(Quotes!$V$9:$V$258,$AA1768)&amp;"")=0,"",INDEX(Quotes!$V$9:$V$258,$AA1768)))</f>
        <v/>
      </c>
      <c r="B1769" s="39"/>
      <c r="C1769" s="39"/>
      <c r="D1769" s="39"/>
      <c r="E1769" s="39"/>
      <c r="F1769" s="39"/>
      <c r="G1769" s="39"/>
      <c r="H1769" s="40" t="str">
        <f>IF($AA1768=0,"",IF(LEN(INDEX(Quotes!$W$9:$W$258,$AA1768)&amp;"")=0,"",INDEX(Quotes!$W$9:$W$258,$AA1768)))</f>
        <v/>
      </c>
      <c r="I1769" s="39"/>
      <c r="J1769" s="39"/>
      <c r="K1769" s="39"/>
      <c r="L1769" s="39"/>
      <c r="M1769" s="39"/>
      <c r="N1769" s="39"/>
      <c r="O1769" s="39"/>
      <c r="P1769" s="39"/>
      <c r="Q1769" s="39"/>
      <c r="R1769" s="77" t="str">
        <f>IF($AA1768=0,"",IF(LEN(INDEX(Quotes!$X$9:$X$258,$AA1768)&amp;"")=0,"",INDEX(Quotes!$X$9:$X$258,$AA1768)))</f>
        <v/>
      </c>
      <c r="S1769" s="39"/>
      <c r="T1769" s="39"/>
      <c r="U1769" s="39"/>
      <c r="V1769" s="39"/>
    </row>
    <row r="1770" spans="1:27" ht="21" hidden="1" customHeight="1" x14ac:dyDescent="0.35">
      <c r="A1770" s="83" t="str">
        <f>IF($AA1768=0,"","ORIGINAL EUR")</f>
        <v/>
      </c>
      <c r="B1770" s="39"/>
      <c r="C1770" s="39"/>
      <c r="D1770" s="39"/>
      <c r="E1770" s="39"/>
      <c r="F1770" s="39"/>
      <c r="G1770" s="39"/>
      <c r="I1770" s="83" t="str">
        <f>IF($AA1768=0,"","LATEST EUR")</f>
        <v/>
      </c>
      <c r="J1770" s="39"/>
      <c r="K1770" s="39"/>
      <c r="L1770" s="39"/>
      <c r="M1770" s="39"/>
      <c r="N1770" s="39"/>
      <c r="O1770" s="39"/>
      <c r="Q1770" s="83" t="str">
        <f>IF($AA1768=0,"","SAVED EUR")</f>
        <v/>
      </c>
      <c r="R1770" s="39"/>
      <c r="S1770" s="39"/>
      <c r="T1770" s="39"/>
      <c r="U1770" s="39"/>
      <c r="V1770" s="39"/>
    </row>
    <row r="1771" spans="1:27" ht="21" hidden="1" customHeight="1" x14ac:dyDescent="0.35">
      <c r="A1771" s="82" t="str">
        <f>IF($AA1768=0,"",IF(LEN(INDEX(Quotes!$AB$9:$AB$258,$AA1768)&amp;"")=0,"",INDEX(Quotes!$AB$9:$AB$258,$AA1768)))</f>
        <v/>
      </c>
      <c r="B1771" s="39"/>
      <c r="C1771" s="39"/>
      <c r="D1771" s="39"/>
      <c r="E1771" s="39"/>
      <c r="F1771" s="39"/>
      <c r="G1771" s="39"/>
      <c r="I1771" s="82" t="str">
        <f>IF($AA1768=0,"",IF(LEN(INDEX(Quotes!$AD$9:$AD$258,$AA1768)&amp;"")=0,"",INDEX(Quotes!$AD$9:$AD$258,$AA1768)))</f>
        <v/>
      </c>
      <c r="J1771" s="39"/>
      <c r="K1771" s="39"/>
      <c r="L1771" s="39"/>
      <c r="M1771" s="39"/>
      <c r="N1771" s="39"/>
      <c r="O1771" s="39"/>
      <c r="Q1771" s="82" t="str">
        <f>IF($AA1768=0,"",IF(LEN(INDEX(Quotes!$AF$9:$AF$258,$AA1768)&amp;"")=0,"",INDEX(Quotes!$AF$9:$AF$258,$AA1768)))</f>
        <v/>
      </c>
      <c r="R1771" s="39"/>
      <c r="S1771" s="39"/>
      <c r="T1771" s="39"/>
      <c r="U1771" s="39"/>
      <c r="V1771" s="39"/>
    </row>
    <row r="1772" spans="1:27" ht="21" hidden="1" customHeight="1" x14ac:dyDescent="0.35">
      <c r="A1772" s="48" t="str">
        <f>IF($AA1768=0,"","Reference: "&amp;IF(INDEX(Quotes!$M$9:$M$258,$AA1768)="",INDEX(Quotes!$S$9:$S$258,$AA1768),INDEX(Quotes!$M$9:$M$258,$AA1768)))</f>
        <v/>
      </c>
      <c r="B1772" s="39"/>
      <c r="C1772" s="39"/>
      <c r="D1772" s="39"/>
      <c r="E1772" s="39"/>
      <c r="F1772" s="39"/>
      <c r="G1772" s="39"/>
      <c r="H1772" s="39"/>
      <c r="I1772" s="39"/>
      <c r="J1772" s="39"/>
      <c r="K1772" s="39"/>
      <c r="L1772" s="39"/>
      <c r="M1772" s="39"/>
      <c r="N1772" s="39"/>
      <c r="O1772" s="39"/>
      <c r="P1772" s="39"/>
      <c r="Q1772" s="48" t="str">
        <f>IF($AA1768=0,"",INDEX(Quotes!$E$9:$E$258,$AA1768))</f>
        <v/>
      </c>
      <c r="R1772" s="39"/>
      <c r="S1772" s="39"/>
      <c r="T1772" s="39"/>
      <c r="U1772" s="39"/>
      <c r="V1772" s="39"/>
    </row>
    <row r="1773" spans="1:27" ht="21" hidden="1" customHeight="1" x14ac:dyDescent="0.35">
      <c r="A1773" s="81" t="str">
        <f>IF($AA1768=0,"",IF(INDEX(Quotes!$N$9:$N$258,$AA1768)="","No original link","Original quote"))</f>
        <v/>
      </c>
      <c r="B1773" s="39"/>
      <c r="C1773" s="39"/>
      <c r="D1773" s="39"/>
      <c r="E1773" s="39"/>
      <c r="F1773" s="39"/>
      <c r="G1773" s="39"/>
      <c r="I1773" s="81" t="str">
        <f>IF($AA1768=0,"",IF(INDEX(Quotes!$O$9:$O$258,$AA1768)="","No revised link","Revised quote"))</f>
        <v/>
      </c>
      <c r="J1773" s="39"/>
      <c r="K1773" s="39"/>
      <c r="L1773" s="39"/>
      <c r="M1773" s="39"/>
      <c r="N1773" s="39"/>
      <c r="O1773" s="39"/>
      <c r="Q1773" s="81" t="str">
        <f>IF($AA1768=0,"",HYPERLINK("#'Quotes'!A"&amp;($AA1768+8),"Open quote record"))</f>
        <v/>
      </c>
      <c r="R1773" s="39"/>
      <c r="S1773" s="39"/>
      <c r="T1773" s="39"/>
      <c r="U1773" s="39"/>
      <c r="V1773" s="39"/>
    </row>
    <row r="1774" spans="1:27" ht="21" hidden="1" customHeight="1" x14ac:dyDescent="0.35"/>
    <row r="1775" spans="1:27" hidden="1" x14ac:dyDescent="0.35"/>
    <row r="1776" spans="1:27" hidden="1" x14ac:dyDescent="0.35"/>
    <row r="1777" spans="1:27" ht="29" hidden="1" customHeight="1" x14ac:dyDescent="0.35">
      <c r="A1777" s="84" t="str">
        <f>IF($AA1777=0,"",IF(LEN(INDEX(Quotes!$U$9:$U$258,$AA1777)&amp;"")=0,"",INDEX(Quotes!$U$9:$U$258,$AA1777)))</f>
        <v/>
      </c>
      <c r="B1777" s="39"/>
      <c r="C1777" s="39"/>
      <c r="D1777" s="39"/>
      <c r="E1777" s="39"/>
      <c r="F1777" s="39"/>
      <c r="G1777" s="39"/>
      <c r="H1777" s="39"/>
      <c r="I1777" s="39"/>
      <c r="J1777" s="39"/>
      <c r="K1777" s="85" t="str">
        <f>IF($AA1777=0,"",IF(LEN(INDEX(Quotes!$Z$9:$Z$258,$AA1777)&amp;"")=0,"",INDEX(Quotes!$Z$9:$Z$258,$AA1777)))</f>
        <v/>
      </c>
      <c r="L1777" s="39"/>
      <c r="M1777" s="39"/>
      <c r="N1777" s="39"/>
      <c r="O1777" s="39"/>
      <c r="P1777" s="39"/>
      <c r="Q1777" s="39"/>
      <c r="R1777" s="39"/>
      <c r="S1777" s="39"/>
      <c r="T1777" s="39"/>
      <c r="U1777" s="39"/>
      <c r="V1777" s="39"/>
      <c r="AA1777">
        <f>IFERROR(MATCH(184,Quotes!$AK$9:$AK$258,0),0)</f>
        <v>0</v>
      </c>
    </row>
    <row r="1778" spans="1:27" ht="21" hidden="1" customHeight="1" x14ac:dyDescent="0.35">
      <c r="A1778" s="40" t="str">
        <f>IF($AA1777=0,"",IF(LEN(INDEX(Quotes!$V$9:$V$258,$AA1777)&amp;"")=0,"",INDEX(Quotes!$V$9:$V$258,$AA1777)))</f>
        <v/>
      </c>
      <c r="B1778" s="39"/>
      <c r="C1778" s="39"/>
      <c r="D1778" s="39"/>
      <c r="E1778" s="39"/>
      <c r="F1778" s="39"/>
      <c r="G1778" s="39"/>
      <c r="H1778" s="40" t="str">
        <f>IF($AA1777=0,"",IF(LEN(INDEX(Quotes!$W$9:$W$258,$AA1777)&amp;"")=0,"",INDEX(Quotes!$W$9:$W$258,$AA1777)))</f>
        <v/>
      </c>
      <c r="I1778" s="39"/>
      <c r="J1778" s="39"/>
      <c r="K1778" s="39"/>
      <c r="L1778" s="39"/>
      <c r="M1778" s="39"/>
      <c r="N1778" s="39"/>
      <c r="O1778" s="39"/>
      <c r="P1778" s="39"/>
      <c r="Q1778" s="39"/>
      <c r="R1778" s="77" t="str">
        <f>IF($AA1777=0,"",IF(LEN(INDEX(Quotes!$X$9:$X$258,$AA1777)&amp;"")=0,"",INDEX(Quotes!$X$9:$X$258,$AA1777)))</f>
        <v/>
      </c>
      <c r="S1778" s="39"/>
      <c r="T1778" s="39"/>
      <c r="U1778" s="39"/>
      <c r="V1778" s="39"/>
    </row>
    <row r="1779" spans="1:27" ht="21" hidden="1" customHeight="1" x14ac:dyDescent="0.35">
      <c r="A1779" s="83" t="str">
        <f>IF($AA1777=0,"","ORIGINAL EUR")</f>
        <v/>
      </c>
      <c r="B1779" s="39"/>
      <c r="C1779" s="39"/>
      <c r="D1779" s="39"/>
      <c r="E1779" s="39"/>
      <c r="F1779" s="39"/>
      <c r="G1779" s="39"/>
      <c r="I1779" s="83" t="str">
        <f>IF($AA1777=0,"","LATEST EUR")</f>
        <v/>
      </c>
      <c r="J1779" s="39"/>
      <c r="K1779" s="39"/>
      <c r="L1779" s="39"/>
      <c r="M1779" s="39"/>
      <c r="N1779" s="39"/>
      <c r="O1779" s="39"/>
      <c r="Q1779" s="83" t="str">
        <f>IF($AA1777=0,"","SAVED EUR")</f>
        <v/>
      </c>
      <c r="R1779" s="39"/>
      <c r="S1779" s="39"/>
      <c r="T1779" s="39"/>
      <c r="U1779" s="39"/>
      <c r="V1779" s="39"/>
    </row>
    <row r="1780" spans="1:27" ht="21" hidden="1" customHeight="1" x14ac:dyDescent="0.35">
      <c r="A1780" s="82" t="str">
        <f>IF($AA1777=0,"",IF(LEN(INDEX(Quotes!$AB$9:$AB$258,$AA1777)&amp;"")=0,"",INDEX(Quotes!$AB$9:$AB$258,$AA1777)))</f>
        <v/>
      </c>
      <c r="B1780" s="39"/>
      <c r="C1780" s="39"/>
      <c r="D1780" s="39"/>
      <c r="E1780" s="39"/>
      <c r="F1780" s="39"/>
      <c r="G1780" s="39"/>
      <c r="I1780" s="82" t="str">
        <f>IF($AA1777=0,"",IF(LEN(INDEX(Quotes!$AD$9:$AD$258,$AA1777)&amp;"")=0,"",INDEX(Quotes!$AD$9:$AD$258,$AA1777)))</f>
        <v/>
      </c>
      <c r="J1780" s="39"/>
      <c r="K1780" s="39"/>
      <c r="L1780" s="39"/>
      <c r="M1780" s="39"/>
      <c r="N1780" s="39"/>
      <c r="O1780" s="39"/>
      <c r="Q1780" s="82" t="str">
        <f>IF($AA1777=0,"",IF(LEN(INDEX(Quotes!$AF$9:$AF$258,$AA1777)&amp;"")=0,"",INDEX(Quotes!$AF$9:$AF$258,$AA1777)))</f>
        <v/>
      </c>
      <c r="R1780" s="39"/>
      <c r="S1780" s="39"/>
      <c r="T1780" s="39"/>
      <c r="U1780" s="39"/>
      <c r="V1780" s="39"/>
    </row>
    <row r="1781" spans="1:27" ht="21" hidden="1" customHeight="1" x14ac:dyDescent="0.35">
      <c r="A1781" s="48" t="str">
        <f>IF($AA1777=0,"","Reference: "&amp;IF(INDEX(Quotes!$M$9:$M$258,$AA1777)="",INDEX(Quotes!$S$9:$S$258,$AA1777),INDEX(Quotes!$M$9:$M$258,$AA1777)))</f>
        <v/>
      </c>
      <c r="B1781" s="39"/>
      <c r="C1781" s="39"/>
      <c r="D1781" s="39"/>
      <c r="E1781" s="39"/>
      <c r="F1781" s="39"/>
      <c r="G1781" s="39"/>
      <c r="H1781" s="39"/>
      <c r="I1781" s="39"/>
      <c r="J1781" s="39"/>
      <c r="K1781" s="39"/>
      <c r="L1781" s="39"/>
      <c r="M1781" s="39"/>
      <c r="N1781" s="39"/>
      <c r="O1781" s="39"/>
      <c r="P1781" s="39"/>
      <c r="Q1781" s="48" t="str">
        <f>IF($AA1777=0,"",INDEX(Quotes!$E$9:$E$258,$AA1777))</f>
        <v/>
      </c>
      <c r="R1781" s="39"/>
      <c r="S1781" s="39"/>
      <c r="T1781" s="39"/>
      <c r="U1781" s="39"/>
      <c r="V1781" s="39"/>
    </row>
    <row r="1782" spans="1:27" ht="21" hidden="1" customHeight="1" x14ac:dyDescent="0.35">
      <c r="A1782" s="81" t="str">
        <f>IF($AA1777=0,"",IF(INDEX(Quotes!$N$9:$N$258,$AA1777)="","No original link","Original quote"))</f>
        <v/>
      </c>
      <c r="B1782" s="39"/>
      <c r="C1782" s="39"/>
      <c r="D1782" s="39"/>
      <c r="E1782" s="39"/>
      <c r="F1782" s="39"/>
      <c r="G1782" s="39"/>
      <c r="I1782" s="81" t="str">
        <f>IF($AA1777=0,"",IF(INDEX(Quotes!$O$9:$O$258,$AA1777)="","No revised link","Revised quote"))</f>
        <v/>
      </c>
      <c r="J1782" s="39"/>
      <c r="K1782" s="39"/>
      <c r="L1782" s="39"/>
      <c r="M1782" s="39"/>
      <c r="N1782" s="39"/>
      <c r="O1782" s="39"/>
      <c r="Q1782" s="81" t="str">
        <f>IF($AA1777=0,"",HYPERLINK("#'Quotes'!A"&amp;($AA1777+8),"Open quote record"))</f>
        <v/>
      </c>
      <c r="R1782" s="39"/>
      <c r="S1782" s="39"/>
      <c r="T1782" s="39"/>
      <c r="U1782" s="39"/>
      <c r="V1782" s="39"/>
    </row>
    <row r="1783" spans="1:27" ht="21" hidden="1" customHeight="1" x14ac:dyDescent="0.35"/>
    <row r="1784" spans="1:27" hidden="1" x14ac:dyDescent="0.35"/>
    <row r="1785" spans="1:27" hidden="1" x14ac:dyDescent="0.35"/>
    <row r="1786" spans="1:27" hidden="1" x14ac:dyDescent="0.35"/>
    <row r="1787" spans="1:27" hidden="1" x14ac:dyDescent="0.35">
      <c r="A1787" s="67" t="s">
        <v>655</v>
      </c>
      <c r="B1787" s="39"/>
      <c r="C1787" s="39"/>
      <c r="D1787" s="39"/>
      <c r="E1787" s="39"/>
      <c r="F1787" s="39"/>
      <c r="G1787" s="39"/>
      <c r="H1787" s="39"/>
      <c r="I1787" s="39"/>
      <c r="J1787" s="39"/>
      <c r="K1787" s="39"/>
      <c r="L1787" s="39"/>
      <c r="M1787" s="39"/>
      <c r="N1787" s="39"/>
      <c r="O1787" s="39"/>
      <c r="P1787" s="39"/>
      <c r="Q1787" s="39"/>
      <c r="R1787" s="39"/>
      <c r="S1787" s="39"/>
      <c r="T1787" s="39"/>
      <c r="U1787" s="39"/>
      <c r="V1787" s="39"/>
    </row>
    <row r="1788" spans="1:27" ht="29" hidden="1" customHeight="1" x14ac:dyDescent="0.35">
      <c r="A1788" s="84" t="str">
        <f>IF($AA1788=0,"",IF(LEN(INDEX(Quotes!$U$9:$U$258,$AA1788)&amp;"")=0,"",INDEX(Quotes!$U$9:$U$258,$AA1788)))</f>
        <v/>
      </c>
      <c r="B1788" s="39"/>
      <c r="C1788" s="39"/>
      <c r="D1788" s="39"/>
      <c r="E1788" s="39"/>
      <c r="F1788" s="39"/>
      <c r="G1788" s="39"/>
      <c r="H1788" s="39"/>
      <c r="I1788" s="39"/>
      <c r="J1788" s="39"/>
      <c r="K1788" s="85" t="str">
        <f>IF($AA1788=0,"",IF(LEN(INDEX(Quotes!$Z$9:$Z$258,$AA1788)&amp;"")=0,"",INDEX(Quotes!$Z$9:$Z$258,$AA1788)))</f>
        <v/>
      </c>
      <c r="L1788" s="39"/>
      <c r="M1788" s="39"/>
      <c r="N1788" s="39"/>
      <c r="O1788" s="39"/>
      <c r="P1788" s="39"/>
      <c r="Q1788" s="39"/>
      <c r="R1788" s="39"/>
      <c r="S1788" s="39"/>
      <c r="T1788" s="39"/>
      <c r="U1788" s="39"/>
      <c r="V1788" s="39"/>
      <c r="AA1788">
        <f>IFERROR(MATCH(185,Quotes!$AK$9:$AK$258,0),0)</f>
        <v>0</v>
      </c>
    </row>
    <row r="1789" spans="1:27" ht="21" hidden="1" customHeight="1" x14ac:dyDescent="0.35">
      <c r="A1789" s="40" t="str">
        <f>IF($AA1788=0,"",IF(LEN(INDEX(Quotes!$V$9:$V$258,$AA1788)&amp;"")=0,"",INDEX(Quotes!$V$9:$V$258,$AA1788)))</f>
        <v/>
      </c>
      <c r="B1789" s="39"/>
      <c r="C1789" s="39"/>
      <c r="D1789" s="39"/>
      <c r="E1789" s="39"/>
      <c r="F1789" s="39"/>
      <c r="G1789" s="39"/>
      <c r="H1789" s="40" t="str">
        <f>IF($AA1788=0,"",IF(LEN(INDEX(Quotes!$W$9:$W$258,$AA1788)&amp;"")=0,"",INDEX(Quotes!$W$9:$W$258,$AA1788)))</f>
        <v/>
      </c>
      <c r="I1789" s="39"/>
      <c r="J1789" s="39"/>
      <c r="K1789" s="39"/>
      <c r="L1789" s="39"/>
      <c r="M1789" s="39"/>
      <c r="N1789" s="39"/>
      <c r="O1789" s="39"/>
      <c r="P1789" s="39"/>
      <c r="Q1789" s="39"/>
      <c r="R1789" s="77" t="str">
        <f>IF($AA1788=0,"",IF(LEN(INDEX(Quotes!$X$9:$X$258,$AA1788)&amp;"")=0,"",INDEX(Quotes!$X$9:$X$258,$AA1788)))</f>
        <v/>
      </c>
      <c r="S1789" s="39"/>
      <c r="T1789" s="39"/>
      <c r="U1789" s="39"/>
      <c r="V1789" s="39"/>
    </row>
    <row r="1790" spans="1:27" ht="21" hidden="1" customHeight="1" x14ac:dyDescent="0.35">
      <c r="A1790" s="83" t="str">
        <f>IF($AA1788=0,"","ORIGINAL EUR")</f>
        <v/>
      </c>
      <c r="B1790" s="39"/>
      <c r="C1790" s="39"/>
      <c r="D1790" s="39"/>
      <c r="E1790" s="39"/>
      <c r="F1790" s="39"/>
      <c r="G1790" s="39"/>
      <c r="I1790" s="83" t="str">
        <f>IF($AA1788=0,"","LATEST EUR")</f>
        <v/>
      </c>
      <c r="J1790" s="39"/>
      <c r="K1790" s="39"/>
      <c r="L1790" s="39"/>
      <c r="M1790" s="39"/>
      <c r="N1790" s="39"/>
      <c r="O1790" s="39"/>
      <c r="Q1790" s="83" t="str">
        <f>IF($AA1788=0,"","SAVED EUR")</f>
        <v/>
      </c>
      <c r="R1790" s="39"/>
      <c r="S1790" s="39"/>
      <c r="T1790" s="39"/>
      <c r="U1790" s="39"/>
      <c r="V1790" s="39"/>
    </row>
    <row r="1791" spans="1:27" ht="21" hidden="1" customHeight="1" x14ac:dyDescent="0.35">
      <c r="A1791" s="82" t="str">
        <f>IF($AA1788=0,"",IF(LEN(INDEX(Quotes!$AB$9:$AB$258,$AA1788)&amp;"")=0,"",INDEX(Quotes!$AB$9:$AB$258,$AA1788)))</f>
        <v/>
      </c>
      <c r="B1791" s="39"/>
      <c r="C1791" s="39"/>
      <c r="D1791" s="39"/>
      <c r="E1791" s="39"/>
      <c r="F1791" s="39"/>
      <c r="G1791" s="39"/>
      <c r="I1791" s="82" t="str">
        <f>IF($AA1788=0,"",IF(LEN(INDEX(Quotes!$AD$9:$AD$258,$AA1788)&amp;"")=0,"",INDEX(Quotes!$AD$9:$AD$258,$AA1788)))</f>
        <v/>
      </c>
      <c r="J1791" s="39"/>
      <c r="K1791" s="39"/>
      <c r="L1791" s="39"/>
      <c r="M1791" s="39"/>
      <c r="N1791" s="39"/>
      <c r="O1791" s="39"/>
      <c r="Q1791" s="82" t="str">
        <f>IF($AA1788=0,"",IF(LEN(INDEX(Quotes!$AF$9:$AF$258,$AA1788)&amp;"")=0,"",INDEX(Quotes!$AF$9:$AF$258,$AA1788)))</f>
        <v/>
      </c>
      <c r="R1791" s="39"/>
      <c r="S1791" s="39"/>
      <c r="T1791" s="39"/>
      <c r="U1791" s="39"/>
      <c r="V1791" s="39"/>
    </row>
    <row r="1792" spans="1:27" ht="21" hidden="1" customHeight="1" x14ac:dyDescent="0.35">
      <c r="A1792" s="48" t="str">
        <f>IF($AA1788=0,"","Reference: "&amp;IF(INDEX(Quotes!$M$9:$M$258,$AA1788)="",INDEX(Quotes!$S$9:$S$258,$AA1788),INDEX(Quotes!$M$9:$M$258,$AA1788)))</f>
        <v/>
      </c>
      <c r="B1792" s="39"/>
      <c r="C1792" s="39"/>
      <c r="D1792" s="39"/>
      <c r="E1792" s="39"/>
      <c r="F1792" s="39"/>
      <c r="G1792" s="39"/>
      <c r="H1792" s="39"/>
      <c r="I1792" s="39"/>
      <c r="J1792" s="39"/>
      <c r="K1792" s="39"/>
      <c r="L1792" s="39"/>
      <c r="M1792" s="39"/>
      <c r="N1792" s="39"/>
      <c r="O1792" s="39"/>
      <c r="P1792" s="39"/>
      <c r="Q1792" s="48" t="str">
        <f>IF($AA1788=0,"",INDEX(Quotes!$E$9:$E$258,$AA1788))</f>
        <v/>
      </c>
      <c r="R1792" s="39"/>
      <c r="S1792" s="39"/>
      <c r="T1792" s="39"/>
      <c r="U1792" s="39"/>
      <c r="V1792" s="39"/>
    </row>
    <row r="1793" spans="1:27" ht="21" hidden="1" customHeight="1" x14ac:dyDescent="0.35">
      <c r="A1793" s="81" t="str">
        <f>IF($AA1788=0,"",IF(INDEX(Quotes!$N$9:$N$258,$AA1788)="","No original link","Original quote"))</f>
        <v/>
      </c>
      <c r="B1793" s="39"/>
      <c r="C1793" s="39"/>
      <c r="D1793" s="39"/>
      <c r="E1793" s="39"/>
      <c r="F1793" s="39"/>
      <c r="G1793" s="39"/>
      <c r="I1793" s="81" t="str">
        <f>IF($AA1788=0,"",IF(INDEX(Quotes!$O$9:$O$258,$AA1788)="","No revised link","Revised quote"))</f>
        <v/>
      </c>
      <c r="J1793" s="39"/>
      <c r="K1793" s="39"/>
      <c r="L1793" s="39"/>
      <c r="M1793" s="39"/>
      <c r="N1793" s="39"/>
      <c r="O1793" s="39"/>
      <c r="Q1793" s="81" t="str">
        <f>IF($AA1788=0,"",HYPERLINK("#'Quotes'!A"&amp;($AA1788+8),"Open quote record"))</f>
        <v/>
      </c>
      <c r="R1793" s="39"/>
      <c r="S1793" s="39"/>
      <c r="T1793" s="39"/>
      <c r="U1793" s="39"/>
      <c r="V1793" s="39"/>
    </row>
    <row r="1794" spans="1:27" ht="21" hidden="1" customHeight="1" x14ac:dyDescent="0.35"/>
    <row r="1795" spans="1:27" hidden="1" x14ac:dyDescent="0.35"/>
    <row r="1796" spans="1:27" hidden="1" x14ac:dyDescent="0.35"/>
    <row r="1797" spans="1:27" ht="29" hidden="1" customHeight="1" x14ac:dyDescent="0.35">
      <c r="A1797" s="84" t="str">
        <f>IF($AA1797=0,"",IF(LEN(INDEX(Quotes!$U$9:$U$258,$AA1797)&amp;"")=0,"",INDEX(Quotes!$U$9:$U$258,$AA1797)))</f>
        <v/>
      </c>
      <c r="B1797" s="39"/>
      <c r="C1797" s="39"/>
      <c r="D1797" s="39"/>
      <c r="E1797" s="39"/>
      <c r="F1797" s="39"/>
      <c r="G1797" s="39"/>
      <c r="H1797" s="39"/>
      <c r="I1797" s="39"/>
      <c r="J1797" s="39"/>
      <c r="K1797" s="85" t="str">
        <f>IF($AA1797=0,"",IF(LEN(INDEX(Quotes!$Z$9:$Z$258,$AA1797)&amp;"")=0,"",INDEX(Quotes!$Z$9:$Z$258,$AA1797)))</f>
        <v/>
      </c>
      <c r="L1797" s="39"/>
      <c r="M1797" s="39"/>
      <c r="N1797" s="39"/>
      <c r="O1797" s="39"/>
      <c r="P1797" s="39"/>
      <c r="Q1797" s="39"/>
      <c r="R1797" s="39"/>
      <c r="S1797" s="39"/>
      <c r="T1797" s="39"/>
      <c r="U1797" s="39"/>
      <c r="V1797" s="39"/>
      <c r="AA1797">
        <f>IFERROR(MATCH(186,Quotes!$AK$9:$AK$258,0),0)</f>
        <v>0</v>
      </c>
    </row>
    <row r="1798" spans="1:27" ht="21" hidden="1" customHeight="1" x14ac:dyDescent="0.35">
      <c r="A1798" s="40" t="str">
        <f>IF($AA1797=0,"",IF(LEN(INDEX(Quotes!$V$9:$V$258,$AA1797)&amp;"")=0,"",INDEX(Quotes!$V$9:$V$258,$AA1797)))</f>
        <v/>
      </c>
      <c r="B1798" s="39"/>
      <c r="C1798" s="39"/>
      <c r="D1798" s="39"/>
      <c r="E1798" s="39"/>
      <c r="F1798" s="39"/>
      <c r="G1798" s="39"/>
      <c r="H1798" s="40" t="str">
        <f>IF($AA1797=0,"",IF(LEN(INDEX(Quotes!$W$9:$W$258,$AA1797)&amp;"")=0,"",INDEX(Quotes!$W$9:$W$258,$AA1797)))</f>
        <v/>
      </c>
      <c r="I1798" s="39"/>
      <c r="J1798" s="39"/>
      <c r="K1798" s="39"/>
      <c r="L1798" s="39"/>
      <c r="M1798" s="39"/>
      <c r="N1798" s="39"/>
      <c r="O1798" s="39"/>
      <c r="P1798" s="39"/>
      <c r="Q1798" s="39"/>
      <c r="R1798" s="77" t="str">
        <f>IF($AA1797=0,"",IF(LEN(INDEX(Quotes!$X$9:$X$258,$AA1797)&amp;"")=0,"",INDEX(Quotes!$X$9:$X$258,$AA1797)))</f>
        <v/>
      </c>
      <c r="S1798" s="39"/>
      <c r="T1798" s="39"/>
      <c r="U1798" s="39"/>
      <c r="V1798" s="39"/>
    </row>
    <row r="1799" spans="1:27" ht="21" hidden="1" customHeight="1" x14ac:dyDescent="0.35">
      <c r="A1799" s="83" t="str">
        <f>IF($AA1797=0,"","ORIGINAL EUR")</f>
        <v/>
      </c>
      <c r="B1799" s="39"/>
      <c r="C1799" s="39"/>
      <c r="D1799" s="39"/>
      <c r="E1799" s="39"/>
      <c r="F1799" s="39"/>
      <c r="G1799" s="39"/>
      <c r="I1799" s="83" t="str">
        <f>IF($AA1797=0,"","LATEST EUR")</f>
        <v/>
      </c>
      <c r="J1799" s="39"/>
      <c r="K1799" s="39"/>
      <c r="L1799" s="39"/>
      <c r="M1799" s="39"/>
      <c r="N1799" s="39"/>
      <c r="O1799" s="39"/>
      <c r="Q1799" s="83" t="str">
        <f>IF($AA1797=0,"","SAVED EUR")</f>
        <v/>
      </c>
      <c r="R1799" s="39"/>
      <c r="S1799" s="39"/>
      <c r="T1799" s="39"/>
      <c r="U1799" s="39"/>
      <c r="V1799" s="39"/>
    </row>
    <row r="1800" spans="1:27" ht="21" hidden="1" customHeight="1" x14ac:dyDescent="0.35">
      <c r="A1800" s="82" t="str">
        <f>IF($AA1797=0,"",IF(LEN(INDEX(Quotes!$AB$9:$AB$258,$AA1797)&amp;"")=0,"",INDEX(Quotes!$AB$9:$AB$258,$AA1797)))</f>
        <v/>
      </c>
      <c r="B1800" s="39"/>
      <c r="C1800" s="39"/>
      <c r="D1800" s="39"/>
      <c r="E1800" s="39"/>
      <c r="F1800" s="39"/>
      <c r="G1800" s="39"/>
      <c r="I1800" s="82" t="str">
        <f>IF($AA1797=0,"",IF(LEN(INDEX(Quotes!$AD$9:$AD$258,$AA1797)&amp;"")=0,"",INDEX(Quotes!$AD$9:$AD$258,$AA1797)))</f>
        <v/>
      </c>
      <c r="J1800" s="39"/>
      <c r="K1800" s="39"/>
      <c r="L1800" s="39"/>
      <c r="M1800" s="39"/>
      <c r="N1800" s="39"/>
      <c r="O1800" s="39"/>
      <c r="Q1800" s="82" t="str">
        <f>IF($AA1797=0,"",IF(LEN(INDEX(Quotes!$AF$9:$AF$258,$AA1797)&amp;"")=0,"",INDEX(Quotes!$AF$9:$AF$258,$AA1797)))</f>
        <v/>
      </c>
      <c r="R1800" s="39"/>
      <c r="S1800" s="39"/>
      <c r="T1800" s="39"/>
      <c r="U1800" s="39"/>
      <c r="V1800" s="39"/>
    </row>
    <row r="1801" spans="1:27" ht="21" hidden="1" customHeight="1" x14ac:dyDescent="0.35">
      <c r="A1801" s="48" t="str">
        <f>IF($AA1797=0,"","Reference: "&amp;IF(INDEX(Quotes!$M$9:$M$258,$AA1797)="",INDEX(Quotes!$S$9:$S$258,$AA1797),INDEX(Quotes!$M$9:$M$258,$AA1797)))</f>
        <v/>
      </c>
      <c r="B1801" s="39"/>
      <c r="C1801" s="39"/>
      <c r="D1801" s="39"/>
      <c r="E1801" s="39"/>
      <c r="F1801" s="39"/>
      <c r="G1801" s="39"/>
      <c r="H1801" s="39"/>
      <c r="I1801" s="39"/>
      <c r="J1801" s="39"/>
      <c r="K1801" s="39"/>
      <c r="L1801" s="39"/>
      <c r="M1801" s="39"/>
      <c r="N1801" s="39"/>
      <c r="O1801" s="39"/>
      <c r="P1801" s="39"/>
      <c r="Q1801" s="48" t="str">
        <f>IF($AA1797=0,"",INDEX(Quotes!$E$9:$E$258,$AA1797))</f>
        <v/>
      </c>
      <c r="R1801" s="39"/>
      <c r="S1801" s="39"/>
      <c r="T1801" s="39"/>
      <c r="U1801" s="39"/>
      <c r="V1801" s="39"/>
    </row>
    <row r="1802" spans="1:27" ht="21" hidden="1" customHeight="1" x14ac:dyDescent="0.35">
      <c r="A1802" s="81" t="str">
        <f>IF($AA1797=0,"",IF(INDEX(Quotes!$N$9:$N$258,$AA1797)="","No original link","Original quote"))</f>
        <v/>
      </c>
      <c r="B1802" s="39"/>
      <c r="C1802" s="39"/>
      <c r="D1802" s="39"/>
      <c r="E1802" s="39"/>
      <c r="F1802" s="39"/>
      <c r="G1802" s="39"/>
      <c r="I1802" s="81" t="str">
        <f>IF($AA1797=0,"",IF(INDEX(Quotes!$O$9:$O$258,$AA1797)="","No revised link","Revised quote"))</f>
        <v/>
      </c>
      <c r="J1802" s="39"/>
      <c r="K1802" s="39"/>
      <c r="L1802" s="39"/>
      <c r="M1802" s="39"/>
      <c r="N1802" s="39"/>
      <c r="O1802" s="39"/>
      <c r="Q1802" s="81" t="str">
        <f>IF($AA1797=0,"",HYPERLINK("#'Quotes'!A"&amp;($AA1797+8),"Open quote record"))</f>
        <v/>
      </c>
      <c r="R1802" s="39"/>
      <c r="S1802" s="39"/>
      <c r="T1802" s="39"/>
      <c r="U1802" s="39"/>
      <c r="V1802" s="39"/>
    </row>
    <row r="1803" spans="1:27" ht="21" hidden="1" customHeight="1" x14ac:dyDescent="0.35"/>
    <row r="1804" spans="1:27" hidden="1" x14ac:dyDescent="0.35"/>
    <row r="1805" spans="1:27" hidden="1" x14ac:dyDescent="0.35"/>
    <row r="1806" spans="1:27" ht="29" hidden="1" customHeight="1" x14ac:dyDescent="0.35">
      <c r="A1806" s="84" t="str">
        <f>IF($AA1806=0,"",IF(LEN(INDEX(Quotes!$U$9:$U$258,$AA1806)&amp;"")=0,"",INDEX(Quotes!$U$9:$U$258,$AA1806)))</f>
        <v/>
      </c>
      <c r="B1806" s="39"/>
      <c r="C1806" s="39"/>
      <c r="D1806" s="39"/>
      <c r="E1806" s="39"/>
      <c r="F1806" s="39"/>
      <c r="G1806" s="39"/>
      <c r="H1806" s="39"/>
      <c r="I1806" s="39"/>
      <c r="J1806" s="39"/>
      <c r="K1806" s="85" t="str">
        <f>IF($AA1806=0,"",IF(LEN(INDEX(Quotes!$Z$9:$Z$258,$AA1806)&amp;"")=0,"",INDEX(Quotes!$Z$9:$Z$258,$AA1806)))</f>
        <v/>
      </c>
      <c r="L1806" s="39"/>
      <c r="M1806" s="39"/>
      <c r="N1806" s="39"/>
      <c r="O1806" s="39"/>
      <c r="P1806" s="39"/>
      <c r="Q1806" s="39"/>
      <c r="R1806" s="39"/>
      <c r="S1806" s="39"/>
      <c r="T1806" s="39"/>
      <c r="U1806" s="39"/>
      <c r="V1806" s="39"/>
      <c r="AA1806">
        <f>IFERROR(MATCH(187,Quotes!$AK$9:$AK$258,0),0)</f>
        <v>0</v>
      </c>
    </row>
    <row r="1807" spans="1:27" ht="21" hidden="1" customHeight="1" x14ac:dyDescent="0.35">
      <c r="A1807" s="40" t="str">
        <f>IF($AA1806=0,"",IF(LEN(INDEX(Quotes!$V$9:$V$258,$AA1806)&amp;"")=0,"",INDEX(Quotes!$V$9:$V$258,$AA1806)))</f>
        <v/>
      </c>
      <c r="B1807" s="39"/>
      <c r="C1807" s="39"/>
      <c r="D1807" s="39"/>
      <c r="E1807" s="39"/>
      <c r="F1807" s="39"/>
      <c r="G1807" s="39"/>
      <c r="H1807" s="40" t="str">
        <f>IF($AA1806=0,"",IF(LEN(INDEX(Quotes!$W$9:$W$258,$AA1806)&amp;"")=0,"",INDEX(Quotes!$W$9:$W$258,$AA1806)))</f>
        <v/>
      </c>
      <c r="I1807" s="39"/>
      <c r="J1807" s="39"/>
      <c r="K1807" s="39"/>
      <c r="L1807" s="39"/>
      <c r="M1807" s="39"/>
      <c r="N1807" s="39"/>
      <c r="O1807" s="39"/>
      <c r="P1807" s="39"/>
      <c r="Q1807" s="39"/>
      <c r="R1807" s="77" t="str">
        <f>IF($AA1806=0,"",IF(LEN(INDEX(Quotes!$X$9:$X$258,$AA1806)&amp;"")=0,"",INDEX(Quotes!$X$9:$X$258,$AA1806)))</f>
        <v/>
      </c>
      <c r="S1807" s="39"/>
      <c r="T1807" s="39"/>
      <c r="U1807" s="39"/>
      <c r="V1807" s="39"/>
    </row>
    <row r="1808" spans="1:27" ht="21" hidden="1" customHeight="1" x14ac:dyDescent="0.35">
      <c r="A1808" s="83" t="str">
        <f>IF($AA1806=0,"","ORIGINAL EUR")</f>
        <v/>
      </c>
      <c r="B1808" s="39"/>
      <c r="C1808" s="39"/>
      <c r="D1808" s="39"/>
      <c r="E1808" s="39"/>
      <c r="F1808" s="39"/>
      <c r="G1808" s="39"/>
      <c r="I1808" s="83" t="str">
        <f>IF($AA1806=0,"","LATEST EUR")</f>
        <v/>
      </c>
      <c r="J1808" s="39"/>
      <c r="K1808" s="39"/>
      <c r="L1808" s="39"/>
      <c r="M1808" s="39"/>
      <c r="N1808" s="39"/>
      <c r="O1808" s="39"/>
      <c r="Q1808" s="83" t="str">
        <f>IF($AA1806=0,"","SAVED EUR")</f>
        <v/>
      </c>
      <c r="R1808" s="39"/>
      <c r="S1808" s="39"/>
      <c r="T1808" s="39"/>
      <c r="U1808" s="39"/>
      <c r="V1808" s="39"/>
    </row>
    <row r="1809" spans="1:27" ht="21" hidden="1" customHeight="1" x14ac:dyDescent="0.35">
      <c r="A1809" s="82" t="str">
        <f>IF($AA1806=0,"",IF(LEN(INDEX(Quotes!$AB$9:$AB$258,$AA1806)&amp;"")=0,"",INDEX(Quotes!$AB$9:$AB$258,$AA1806)))</f>
        <v/>
      </c>
      <c r="B1809" s="39"/>
      <c r="C1809" s="39"/>
      <c r="D1809" s="39"/>
      <c r="E1809" s="39"/>
      <c r="F1809" s="39"/>
      <c r="G1809" s="39"/>
      <c r="I1809" s="82" t="str">
        <f>IF($AA1806=0,"",IF(LEN(INDEX(Quotes!$AD$9:$AD$258,$AA1806)&amp;"")=0,"",INDEX(Quotes!$AD$9:$AD$258,$AA1806)))</f>
        <v/>
      </c>
      <c r="J1809" s="39"/>
      <c r="K1809" s="39"/>
      <c r="L1809" s="39"/>
      <c r="M1809" s="39"/>
      <c r="N1809" s="39"/>
      <c r="O1809" s="39"/>
      <c r="Q1809" s="82" t="str">
        <f>IF($AA1806=0,"",IF(LEN(INDEX(Quotes!$AF$9:$AF$258,$AA1806)&amp;"")=0,"",INDEX(Quotes!$AF$9:$AF$258,$AA1806)))</f>
        <v/>
      </c>
      <c r="R1809" s="39"/>
      <c r="S1809" s="39"/>
      <c r="T1809" s="39"/>
      <c r="U1809" s="39"/>
      <c r="V1809" s="39"/>
    </row>
    <row r="1810" spans="1:27" ht="21" hidden="1" customHeight="1" x14ac:dyDescent="0.35">
      <c r="A1810" s="48" t="str">
        <f>IF($AA1806=0,"","Reference: "&amp;IF(INDEX(Quotes!$M$9:$M$258,$AA1806)="",INDEX(Quotes!$S$9:$S$258,$AA1806),INDEX(Quotes!$M$9:$M$258,$AA1806)))</f>
        <v/>
      </c>
      <c r="B1810" s="39"/>
      <c r="C1810" s="39"/>
      <c r="D1810" s="39"/>
      <c r="E1810" s="39"/>
      <c r="F1810" s="39"/>
      <c r="G1810" s="39"/>
      <c r="H1810" s="39"/>
      <c r="I1810" s="39"/>
      <c r="J1810" s="39"/>
      <c r="K1810" s="39"/>
      <c r="L1810" s="39"/>
      <c r="M1810" s="39"/>
      <c r="N1810" s="39"/>
      <c r="O1810" s="39"/>
      <c r="P1810" s="39"/>
      <c r="Q1810" s="48" t="str">
        <f>IF($AA1806=0,"",INDEX(Quotes!$E$9:$E$258,$AA1806))</f>
        <v/>
      </c>
      <c r="R1810" s="39"/>
      <c r="S1810" s="39"/>
      <c r="T1810" s="39"/>
      <c r="U1810" s="39"/>
      <c r="V1810" s="39"/>
    </row>
    <row r="1811" spans="1:27" ht="21" hidden="1" customHeight="1" x14ac:dyDescent="0.35">
      <c r="A1811" s="81" t="str">
        <f>IF($AA1806=0,"",IF(INDEX(Quotes!$N$9:$N$258,$AA1806)="","No original link","Original quote"))</f>
        <v/>
      </c>
      <c r="B1811" s="39"/>
      <c r="C1811" s="39"/>
      <c r="D1811" s="39"/>
      <c r="E1811" s="39"/>
      <c r="F1811" s="39"/>
      <c r="G1811" s="39"/>
      <c r="I1811" s="81" t="str">
        <f>IF($AA1806=0,"",IF(INDEX(Quotes!$O$9:$O$258,$AA1806)="","No revised link","Revised quote"))</f>
        <v/>
      </c>
      <c r="J1811" s="39"/>
      <c r="K1811" s="39"/>
      <c r="L1811" s="39"/>
      <c r="M1811" s="39"/>
      <c r="N1811" s="39"/>
      <c r="O1811" s="39"/>
      <c r="Q1811" s="81" t="str">
        <f>IF($AA1806=0,"",HYPERLINK("#'Quotes'!A"&amp;($AA1806+8),"Open quote record"))</f>
        <v/>
      </c>
      <c r="R1811" s="39"/>
      <c r="S1811" s="39"/>
      <c r="T1811" s="39"/>
      <c r="U1811" s="39"/>
      <c r="V1811" s="39"/>
    </row>
    <row r="1812" spans="1:27" ht="21" hidden="1" customHeight="1" x14ac:dyDescent="0.35"/>
    <row r="1813" spans="1:27" hidden="1" x14ac:dyDescent="0.35"/>
    <row r="1814" spans="1:27" hidden="1" x14ac:dyDescent="0.35"/>
    <row r="1815" spans="1:27" ht="29" hidden="1" customHeight="1" x14ac:dyDescent="0.35">
      <c r="A1815" s="84" t="str">
        <f>IF($AA1815=0,"",IF(LEN(INDEX(Quotes!$U$9:$U$258,$AA1815)&amp;"")=0,"",INDEX(Quotes!$U$9:$U$258,$AA1815)))</f>
        <v/>
      </c>
      <c r="B1815" s="39"/>
      <c r="C1815" s="39"/>
      <c r="D1815" s="39"/>
      <c r="E1815" s="39"/>
      <c r="F1815" s="39"/>
      <c r="G1815" s="39"/>
      <c r="H1815" s="39"/>
      <c r="I1815" s="39"/>
      <c r="J1815" s="39"/>
      <c r="K1815" s="85" t="str">
        <f>IF($AA1815=0,"",IF(LEN(INDEX(Quotes!$Z$9:$Z$258,$AA1815)&amp;"")=0,"",INDEX(Quotes!$Z$9:$Z$258,$AA1815)))</f>
        <v/>
      </c>
      <c r="L1815" s="39"/>
      <c r="M1815" s="39"/>
      <c r="N1815" s="39"/>
      <c r="O1815" s="39"/>
      <c r="P1815" s="39"/>
      <c r="Q1815" s="39"/>
      <c r="R1815" s="39"/>
      <c r="S1815" s="39"/>
      <c r="T1815" s="39"/>
      <c r="U1815" s="39"/>
      <c r="V1815" s="39"/>
      <c r="AA1815">
        <f>IFERROR(MATCH(188,Quotes!$AK$9:$AK$258,0),0)</f>
        <v>0</v>
      </c>
    </row>
    <row r="1816" spans="1:27" ht="21" hidden="1" customHeight="1" x14ac:dyDescent="0.35">
      <c r="A1816" s="40" t="str">
        <f>IF($AA1815=0,"",IF(LEN(INDEX(Quotes!$V$9:$V$258,$AA1815)&amp;"")=0,"",INDEX(Quotes!$V$9:$V$258,$AA1815)))</f>
        <v/>
      </c>
      <c r="B1816" s="39"/>
      <c r="C1816" s="39"/>
      <c r="D1816" s="39"/>
      <c r="E1816" s="39"/>
      <c r="F1816" s="39"/>
      <c r="G1816" s="39"/>
      <c r="H1816" s="40" t="str">
        <f>IF($AA1815=0,"",IF(LEN(INDEX(Quotes!$W$9:$W$258,$AA1815)&amp;"")=0,"",INDEX(Quotes!$W$9:$W$258,$AA1815)))</f>
        <v/>
      </c>
      <c r="I1816" s="39"/>
      <c r="J1816" s="39"/>
      <c r="K1816" s="39"/>
      <c r="L1816" s="39"/>
      <c r="M1816" s="39"/>
      <c r="N1816" s="39"/>
      <c r="O1816" s="39"/>
      <c r="P1816" s="39"/>
      <c r="Q1816" s="39"/>
      <c r="R1816" s="77" t="str">
        <f>IF($AA1815=0,"",IF(LEN(INDEX(Quotes!$X$9:$X$258,$AA1815)&amp;"")=0,"",INDEX(Quotes!$X$9:$X$258,$AA1815)))</f>
        <v/>
      </c>
      <c r="S1816" s="39"/>
      <c r="T1816" s="39"/>
      <c r="U1816" s="39"/>
      <c r="V1816" s="39"/>
    </row>
    <row r="1817" spans="1:27" ht="21" hidden="1" customHeight="1" x14ac:dyDescent="0.35">
      <c r="A1817" s="83" t="str">
        <f>IF($AA1815=0,"","ORIGINAL EUR")</f>
        <v/>
      </c>
      <c r="B1817" s="39"/>
      <c r="C1817" s="39"/>
      <c r="D1817" s="39"/>
      <c r="E1817" s="39"/>
      <c r="F1817" s="39"/>
      <c r="G1817" s="39"/>
      <c r="I1817" s="83" t="str">
        <f>IF($AA1815=0,"","LATEST EUR")</f>
        <v/>
      </c>
      <c r="J1817" s="39"/>
      <c r="K1817" s="39"/>
      <c r="L1817" s="39"/>
      <c r="M1817" s="39"/>
      <c r="N1817" s="39"/>
      <c r="O1817" s="39"/>
      <c r="Q1817" s="83" t="str">
        <f>IF($AA1815=0,"","SAVED EUR")</f>
        <v/>
      </c>
      <c r="R1817" s="39"/>
      <c r="S1817" s="39"/>
      <c r="T1817" s="39"/>
      <c r="U1817" s="39"/>
      <c r="V1817" s="39"/>
    </row>
    <row r="1818" spans="1:27" ht="21" hidden="1" customHeight="1" x14ac:dyDescent="0.35">
      <c r="A1818" s="82" t="str">
        <f>IF($AA1815=0,"",IF(LEN(INDEX(Quotes!$AB$9:$AB$258,$AA1815)&amp;"")=0,"",INDEX(Quotes!$AB$9:$AB$258,$AA1815)))</f>
        <v/>
      </c>
      <c r="B1818" s="39"/>
      <c r="C1818" s="39"/>
      <c r="D1818" s="39"/>
      <c r="E1818" s="39"/>
      <c r="F1818" s="39"/>
      <c r="G1818" s="39"/>
      <c r="I1818" s="82" t="str">
        <f>IF($AA1815=0,"",IF(LEN(INDEX(Quotes!$AD$9:$AD$258,$AA1815)&amp;"")=0,"",INDEX(Quotes!$AD$9:$AD$258,$AA1815)))</f>
        <v/>
      </c>
      <c r="J1818" s="39"/>
      <c r="K1818" s="39"/>
      <c r="L1818" s="39"/>
      <c r="M1818" s="39"/>
      <c r="N1818" s="39"/>
      <c r="O1818" s="39"/>
      <c r="Q1818" s="82" t="str">
        <f>IF($AA1815=0,"",IF(LEN(INDEX(Quotes!$AF$9:$AF$258,$AA1815)&amp;"")=0,"",INDEX(Quotes!$AF$9:$AF$258,$AA1815)))</f>
        <v/>
      </c>
      <c r="R1818" s="39"/>
      <c r="S1818" s="39"/>
      <c r="T1818" s="39"/>
      <c r="U1818" s="39"/>
      <c r="V1818" s="39"/>
    </row>
    <row r="1819" spans="1:27" ht="21" hidden="1" customHeight="1" x14ac:dyDescent="0.35">
      <c r="A1819" s="48" t="str">
        <f>IF($AA1815=0,"","Reference: "&amp;IF(INDEX(Quotes!$M$9:$M$258,$AA1815)="",INDEX(Quotes!$S$9:$S$258,$AA1815),INDEX(Quotes!$M$9:$M$258,$AA1815)))</f>
        <v/>
      </c>
      <c r="B1819" s="39"/>
      <c r="C1819" s="39"/>
      <c r="D1819" s="39"/>
      <c r="E1819" s="39"/>
      <c r="F1819" s="39"/>
      <c r="G1819" s="39"/>
      <c r="H1819" s="39"/>
      <c r="I1819" s="39"/>
      <c r="J1819" s="39"/>
      <c r="K1819" s="39"/>
      <c r="L1819" s="39"/>
      <c r="M1819" s="39"/>
      <c r="N1819" s="39"/>
      <c r="O1819" s="39"/>
      <c r="P1819" s="39"/>
      <c r="Q1819" s="48" t="str">
        <f>IF($AA1815=0,"",INDEX(Quotes!$E$9:$E$258,$AA1815))</f>
        <v/>
      </c>
      <c r="R1819" s="39"/>
      <c r="S1819" s="39"/>
      <c r="T1819" s="39"/>
      <c r="U1819" s="39"/>
      <c r="V1819" s="39"/>
    </row>
    <row r="1820" spans="1:27" ht="21" hidden="1" customHeight="1" x14ac:dyDescent="0.35">
      <c r="A1820" s="81" t="str">
        <f>IF($AA1815=0,"",IF(INDEX(Quotes!$N$9:$N$258,$AA1815)="","No original link","Original quote"))</f>
        <v/>
      </c>
      <c r="B1820" s="39"/>
      <c r="C1820" s="39"/>
      <c r="D1820" s="39"/>
      <c r="E1820" s="39"/>
      <c r="F1820" s="39"/>
      <c r="G1820" s="39"/>
      <c r="I1820" s="81" t="str">
        <f>IF($AA1815=0,"",IF(INDEX(Quotes!$O$9:$O$258,$AA1815)="","No revised link","Revised quote"))</f>
        <v/>
      </c>
      <c r="J1820" s="39"/>
      <c r="K1820" s="39"/>
      <c r="L1820" s="39"/>
      <c r="M1820" s="39"/>
      <c r="N1820" s="39"/>
      <c r="O1820" s="39"/>
      <c r="Q1820" s="81" t="str">
        <f>IF($AA1815=0,"",HYPERLINK("#'Quotes'!A"&amp;($AA1815+8),"Open quote record"))</f>
        <v/>
      </c>
      <c r="R1820" s="39"/>
      <c r="S1820" s="39"/>
      <c r="T1820" s="39"/>
      <c r="U1820" s="39"/>
      <c r="V1820" s="39"/>
    </row>
    <row r="1821" spans="1:27" ht="21" hidden="1" customHeight="1" x14ac:dyDescent="0.35"/>
    <row r="1822" spans="1:27" hidden="1" x14ac:dyDescent="0.35"/>
    <row r="1823" spans="1:27" hidden="1" x14ac:dyDescent="0.35"/>
    <row r="1824" spans="1:27" hidden="1" x14ac:dyDescent="0.35"/>
    <row r="1825" spans="1:27" hidden="1" x14ac:dyDescent="0.35">
      <c r="A1825" s="67" t="s">
        <v>655</v>
      </c>
      <c r="B1825" s="39"/>
      <c r="C1825" s="39"/>
      <c r="D1825" s="39"/>
      <c r="E1825" s="39"/>
      <c r="F1825" s="39"/>
      <c r="G1825" s="39"/>
      <c r="H1825" s="39"/>
      <c r="I1825" s="39"/>
      <c r="J1825" s="39"/>
      <c r="K1825" s="39"/>
      <c r="L1825" s="39"/>
      <c r="M1825" s="39"/>
      <c r="N1825" s="39"/>
      <c r="O1825" s="39"/>
      <c r="P1825" s="39"/>
      <c r="Q1825" s="39"/>
      <c r="R1825" s="39"/>
      <c r="S1825" s="39"/>
      <c r="T1825" s="39"/>
      <c r="U1825" s="39"/>
      <c r="V1825" s="39"/>
    </row>
    <row r="1826" spans="1:27" ht="29" hidden="1" customHeight="1" x14ac:dyDescent="0.35">
      <c r="A1826" s="84" t="str">
        <f>IF($AA1826=0,"",IF(LEN(INDEX(Quotes!$U$9:$U$258,$AA1826)&amp;"")=0,"",INDEX(Quotes!$U$9:$U$258,$AA1826)))</f>
        <v/>
      </c>
      <c r="B1826" s="39"/>
      <c r="C1826" s="39"/>
      <c r="D1826" s="39"/>
      <c r="E1826" s="39"/>
      <c r="F1826" s="39"/>
      <c r="G1826" s="39"/>
      <c r="H1826" s="39"/>
      <c r="I1826" s="39"/>
      <c r="J1826" s="39"/>
      <c r="K1826" s="85" t="str">
        <f>IF($AA1826=0,"",IF(LEN(INDEX(Quotes!$Z$9:$Z$258,$AA1826)&amp;"")=0,"",INDEX(Quotes!$Z$9:$Z$258,$AA1826)))</f>
        <v/>
      </c>
      <c r="L1826" s="39"/>
      <c r="M1826" s="39"/>
      <c r="N1826" s="39"/>
      <c r="O1826" s="39"/>
      <c r="P1826" s="39"/>
      <c r="Q1826" s="39"/>
      <c r="R1826" s="39"/>
      <c r="S1826" s="39"/>
      <c r="T1826" s="39"/>
      <c r="U1826" s="39"/>
      <c r="V1826" s="39"/>
      <c r="AA1826">
        <f>IFERROR(MATCH(189,Quotes!$AK$9:$AK$258,0),0)</f>
        <v>0</v>
      </c>
    </row>
    <row r="1827" spans="1:27" ht="21" hidden="1" customHeight="1" x14ac:dyDescent="0.35">
      <c r="A1827" s="40" t="str">
        <f>IF($AA1826=0,"",IF(LEN(INDEX(Quotes!$V$9:$V$258,$AA1826)&amp;"")=0,"",INDEX(Quotes!$V$9:$V$258,$AA1826)))</f>
        <v/>
      </c>
      <c r="B1827" s="39"/>
      <c r="C1827" s="39"/>
      <c r="D1827" s="39"/>
      <c r="E1827" s="39"/>
      <c r="F1827" s="39"/>
      <c r="G1827" s="39"/>
      <c r="H1827" s="40" t="str">
        <f>IF($AA1826=0,"",IF(LEN(INDEX(Quotes!$W$9:$W$258,$AA1826)&amp;"")=0,"",INDEX(Quotes!$W$9:$W$258,$AA1826)))</f>
        <v/>
      </c>
      <c r="I1827" s="39"/>
      <c r="J1827" s="39"/>
      <c r="K1827" s="39"/>
      <c r="L1827" s="39"/>
      <c r="M1827" s="39"/>
      <c r="N1827" s="39"/>
      <c r="O1827" s="39"/>
      <c r="P1827" s="39"/>
      <c r="Q1827" s="39"/>
      <c r="R1827" s="77" t="str">
        <f>IF($AA1826=0,"",IF(LEN(INDEX(Quotes!$X$9:$X$258,$AA1826)&amp;"")=0,"",INDEX(Quotes!$X$9:$X$258,$AA1826)))</f>
        <v/>
      </c>
      <c r="S1827" s="39"/>
      <c r="T1827" s="39"/>
      <c r="U1827" s="39"/>
      <c r="V1827" s="39"/>
    </row>
    <row r="1828" spans="1:27" ht="21" hidden="1" customHeight="1" x14ac:dyDescent="0.35">
      <c r="A1828" s="83" t="str">
        <f>IF($AA1826=0,"","ORIGINAL EUR")</f>
        <v/>
      </c>
      <c r="B1828" s="39"/>
      <c r="C1828" s="39"/>
      <c r="D1828" s="39"/>
      <c r="E1828" s="39"/>
      <c r="F1828" s="39"/>
      <c r="G1828" s="39"/>
      <c r="I1828" s="83" t="str">
        <f>IF($AA1826=0,"","LATEST EUR")</f>
        <v/>
      </c>
      <c r="J1828" s="39"/>
      <c r="K1828" s="39"/>
      <c r="L1828" s="39"/>
      <c r="M1828" s="39"/>
      <c r="N1828" s="39"/>
      <c r="O1828" s="39"/>
      <c r="Q1828" s="83" t="str">
        <f>IF($AA1826=0,"","SAVED EUR")</f>
        <v/>
      </c>
      <c r="R1828" s="39"/>
      <c r="S1828" s="39"/>
      <c r="T1828" s="39"/>
      <c r="U1828" s="39"/>
      <c r="V1828" s="39"/>
    </row>
    <row r="1829" spans="1:27" ht="21" hidden="1" customHeight="1" x14ac:dyDescent="0.35">
      <c r="A1829" s="82" t="str">
        <f>IF($AA1826=0,"",IF(LEN(INDEX(Quotes!$AB$9:$AB$258,$AA1826)&amp;"")=0,"",INDEX(Quotes!$AB$9:$AB$258,$AA1826)))</f>
        <v/>
      </c>
      <c r="B1829" s="39"/>
      <c r="C1829" s="39"/>
      <c r="D1829" s="39"/>
      <c r="E1829" s="39"/>
      <c r="F1829" s="39"/>
      <c r="G1829" s="39"/>
      <c r="I1829" s="82" t="str">
        <f>IF($AA1826=0,"",IF(LEN(INDEX(Quotes!$AD$9:$AD$258,$AA1826)&amp;"")=0,"",INDEX(Quotes!$AD$9:$AD$258,$AA1826)))</f>
        <v/>
      </c>
      <c r="J1829" s="39"/>
      <c r="K1829" s="39"/>
      <c r="L1829" s="39"/>
      <c r="M1829" s="39"/>
      <c r="N1829" s="39"/>
      <c r="O1829" s="39"/>
      <c r="Q1829" s="82" t="str">
        <f>IF($AA1826=0,"",IF(LEN(INDEX(Quotes!$AF$9:$AF$258,$AA1826)&amp;"")=0,"",INDEX(Quotes!$AF$9:$AF$258,$AA1826)))</f>
        <v/>
      </c>
      <c r="R1829" s="39"/>
      <c r="S1829" s="39"/>
      <c r="T1829" s="39"/>
      <c r="U1829" s="39"/>
      <c r="V1829" s="39"/>
    </row>
    <row r="1830" spans="1:27" ht="21" hidden="1" customHeight="1" x14ac:dyDescent="0.35">
      <c r="A1830" s="48" t="str">
        <f>IF($AA1826=0,"","Reference: "&amp;IF(INDEX(Quotes!$M$9:$M$258,$AA1826)="",INDEX(Quotes!$S$9:$S$258,$AA1826),INDEX(Quotes!$M$9:$M$258,$AA1826)))</f>
        <v/>
      </c>
      <c r="B1830" s="39"/>
      <c r="C1830" s="39"/>
      <c r="D1830" s="39"/>
      <c r="E1830" s="39"/>
      <c r="F1830" s="39"/>
      <c r="G1830" s="39"/>
      <c r="H1830" s="39"/>
      <c r="I1830" s="39"/>
      <c r="J1830" s="39"/>
      <c r="K1830" s="39"/>
      <c r="L1830" s="39"/>
      <c r="M1830" s="39"/>
      <c r="N1830" s="39"/>
      <c r="O1830" s="39"/>
      <c r="P1830" s="39"/>
      <c r="Q1830" s="48" t="str">
        <f>IF($AA1826=0,"",INDEX(Quotes!$E$9:$E$258,$AA1826))</f>
        <v/>
      </c>
      <c r="R1830" s="39"/>
      <c r="S1830" s="39"/>
      <c r="T1830" s="39"/>
      <c r="U1830" s="39"/>
      <c r="V1830" s="39"/>
    </row>
    <row r="1831" spans="1:27" ht="21" hidden="1" customHeight="1" x14ac:dyDescent="0.35">
      <c r="A1831" s="81" t="str">
        <f>IF($AA1826=0,"",IF(INDEX(Quotes!$N$9:$N$258,$AA1826)="","No original link","Original quote"))</f>
        <v/>
      </c>
      <c r="B1831" s="39"/>
      <c r="C1831" s="39"/>
      <c r="D1831" s="39"/>
      <c r="E1831" s="39"/>
      <c r="F1831" s="39"/>
      <c r="G1831" s="39"/>
      <c r="I1831" s="81" t="str">
        <f>IF($AA1826=0,"",IF(INDEX(Quotes!$O$9:$O$258,$AA1826)="","No revised link","Revised quote"))</f>
        <v/>
      </c>
      <c r="J1831" s="39"/>
      <c r="K1831" s="39"/>
      <c r="L1831" s="39"/>
      <c r="M1831" s="39"/>
      <c r="N1831" s="39"/>
      <c r="O1831" s="39"/>
      <c r="Q1831" s="81" t="str">
        <f>IF($AA1826=0,"",HYPERLINK("#'Quotes'!A"&amp;($AA1826+8),"Open quote record"))</f>
        <v/>
      </c>
      <c r="R1831" s="39"/>
      <c r="S1831" s="39"/>
      <c r="T1831" s="39"/>
      <c r="U1831" s="39"/>
      <c r="V1831" s="39"/>
    </row>
    <row r="1832" spans="1:27" ht="21" hidden="1" customHeight="1" x14ac:dyDescent="0.35"/>
    <row r="1833" spans="1:27" hidden="1" x14ac:dyDescent="0.35"/>
    <row r="1834" spans="1:27" hidden="1" x14ac:dyDescent="0.35"/>
    <row r="1835" spans="1:27" ht="29" hidden="1" customHeight="1" x14ac:dyDescent="0.35">
      <c r="A1835" s="84" t="str">
        <f>IF($AA1835=0,"",IF(LEN(INDEX(Quotes!$U$9:$U$258,$AA1835)&amp;"")=0,"",INDEX(Quotes!$U$9:$U$258,$AA1835)))</f>
        <v/>
      </c>
      <c r="B1835" s="39"/>
      <c r="C1835" s="39"/>
      <c r="D1835" s="39"/>
      <c r="E1835" s="39"/>
      <c r="F1835" s="39"/>
      <c r="G1835" s="39"/>
      <c r="H1835" s="39"/>
      <c r="I1835" s="39"/>
      <c r="J1835" s="39"/>
      <c r="K1835" s="85" t="str">
        <f>IF($AA1835=0,"",IF(LEN(INDEX(Quotes!$Z$9:$Z$258,$AA1835)&amp;"")=0,"",INDEX(Quotes!$Z$9:$Z$258,$AA1835)))</f>
        <v/>
      </c>
      <c r="L1835" s="39"/>
      <c r="M1835" s="39"/>
      <c r="N1835" s="39"/>
      <c r="O1835" s="39"/>
      <c r="P1835" s="39"/>
      <c r="Q1835" s="39"/>
      <c r="R1835" s="39"/>
      <c r="S1835" s="39"/>
      <c r="T1835" s="39"/>
      <c r="U1835" s="39"/>
      <c r="V1835" s="39"/>
      <c r="AA1835">
        <f>IFERROR(MATCH(190,Quotes!$AK$9:$AK$258,0),0)</f>
        <v>0</v>
      </c>
    </row>
    <row r="1836" spans="1:27" ht="21" hidden="1" customHeight="1" x14ac:dyDescent="0.35">
      <c r="A1836" s="40" t="str">
        <f>IF($AA1835=0,"",IF(LEN(INDEX(Quotes!$V$9:$V$258,$AA1835)&amp;"")=0,"",INDEX(Quotes!$V$9:$V$258,$AA1835)))</f>
        <v/>
      </c>
      <c r="B1836" s="39"/>
      <c r="C1836" s="39"/>
      <c r="D1836" s="39"/>
      <c r="E1836" s="39"/>
      <c r="F1836" s="39"/>
      <c r="G1836" s="39"/>
      <c r="H1836" s="40" t="str">
        <f>IF($AA1835=0,"",IF(LEN(INDEX(Quotes!$W$9:$W$258,$AA1835)&amp;"")=0,"",INDEX(Quotes!$W$9:$W$258,$AA1835)))</f>
        <v/>
      </c>
      <c r="I1836" s="39"/>
      <c r="J1836" s="39"/>
      <c r="K1836" s="39"/>
      <c r="L1836" s="39"/>
      <c r="M1836" s="39"/>
      <c r="N1836" s="39"/>
      <c r="O1836" s="39"/>
      <c r="P1836" s="39"/>
      <c r="Q1836" s="39"/>
      <c r="R1836" s="77" t="str">
        <f>IF($AA1835=0,"",IF(LEN(INDEX(Quotes!$X$9:$X$258,$AA1835)&amp;"")=0,"",INDEX(Quotes!$X$9:$X$258,$AA1835)))</f>
        <v/>
      </c>
      <c r="S1836" s="39"/>
      <c r="T1836" s="39"/>
      <c r="U1836" s="39"/>
      <c r="V1836" s="39"/>
    </row>
    <row r="1837" spans="1:27" ht="21" hidden="1" customHeight="1" x14ac:dyDescent="0.35">
      <c r="A1837" s="83" t="str">
        <f>IF($AA1835=0,"","ORIGINAL EUR")</f>
        <v/>
      </c>
      <c r="B1837" s="39"/>
      <c r="C1837" s="39"/>
      <c r="D1837" s="39"/>
      <c r="E1837" s="39"/>
      <c r="F1837" s="39"/>
      <c r="G1837" s="39"/>
      <c r="I1837" s="83" t="str">
        <f>IF($AA1835=0,"","LATEST EUR")</f>
        <v/>
      </c>
      <c r="J1837" s="39"/>
      <c r="K1837" s="39"/>
      <c r="L1837" s="39"/>
      <c r="M1837" s="39"/>
      <c r="N1837" s="39"/>
      <c r="O1837" s="39"/>
      <c r="Q1837" s="83" t="str">
        <f>IF($AA1835=0,"","SAVED EUR")</f>
        <v/>
      </c>
      <c r="R1837" s="39"/>
      <c r="S1837" s="39"/>
      <c r="T1837" s="39"/>
      <c r="U1837" s="39"/>
      <c r="V1837" s="39"/>
    </row>
    <row r="1838" spans="1:27" ht="21" hidden="1" customHeight="1" x14ac:dyDescent="0.35">
      <c r="A1838" s="82" t="str">
        <f>IF($AA1835=0,"",IF(LEN(INDEX(Quotes!$AB$9:$AB$258,$AA1835)&amp;"")=0,"",INDEX(Quotes!$AB$9:$AB$258,$AA1835)))</f>
        <v/>
      </c>
      <c r="B1838" s="39"/>
      <c r="C1838" s="39"/>
      <c r="D1838" s="39"/>
      <c r="E1838" s="39"/>
      <c r="F1838" s="39"/>
      <c r="G1838" s="39"/>
      <c r="I1838" s="82" t="str">
        <f>IF($AA1835=0,"",IF(LEN(INDEX(Quotes!$AD$9:$AD$258,$AA1835)&amp;"")=0,"",INDEX(Quotes!$AD$9:$AD$258,$AA1835)))</f>
        <v/>
      </c>
      <c r="J1838" s="39"/>
      <c r="K1838" s="39"/>
      <c r="L1838" s="39"/>
      <c r="M1838" s="39"/>
      <c r="N1838" s="39"/>
      <c r="O1838" s="39"/>
      <c r="Q1838" s="82" t="str">
        <f>IF($AA1835=0,"",IF(LEN(INDEX(Quotes!$AF$9:$AF$258,$AA1835)&amp;"")=0,"",INDEX(Quotes!$AF$9:$AF$258,$AA1835)))</f>
        <v/>
      </c>
      <c r="R1838" s="39"/>
      <c r="S1838" s="39"/>
      <c r="T1838" s="39"/>
      <c r="U1838" s="39"/>
      <c r="V1838" s="39"/>
    </row>
    <row r="1839" spans="1:27" ht="21" hidden="1" customHeight="1" x14ac:dyDescent="0.35">
      <c r="A1839" s="48" t="str">
        <f>IF($AA1835=0,"","Reference: "&amp;IF(INDEX(Quotes!$M$9:$M$258,$AA1835)="",INDEX(Quotes!$S$9:$S$258,$AA1835),INDEX(Quotes!$M$9:$M$258,$AA1835)))</f>
        <v/>
      </c>
      <c r="B1839" s="39"/>
      <c r="C1839" s="39"/>
      <c r="D1839" s="39"/>
      <c r="E1839" s="39"/>
      <c r="F1839" s="39"/>
      <c r="G1839" s="39"/>
      <c r="H1839" s="39"/>
      <c r="I1839" s="39"/>
      <c r="J1839" s="39"/>
      <c r="K1839" s="39"/>
      <c r="L1839" s="39"/>
      <c r="M1839" s="39"/>
      <c r="N1839" s="39"/>
      <c r="O1839" s="39"/>
      <c r="P1839" s="39"/>
      <c r="Q1839" s="48" t="str">
        <f>IF($AA1835=0,"",INDEX(Quotes!$E$9:$E$258,$AA1835))</f>
        <v/>
      </c>
      <c r="R1839" s="39"/>
      <c r="S1839" s="39"/>
      <c r="T1839" s="39"/>
      <c r="U1839" s="39"/>
      <c r="V1839" s="39"/>
    </row>
    <row r="1840" spans="1:27" ht="21" hidden="1" customHeight="1" x14ac:dyDescent="0.35">
      <c r="A1840" s="81" t="str">
        <f>IF($AA1835=0,"",IF(INDEX(Quotes!$N$9:$N$258,$AA1835)="","No original link","Original quote"))</f>
        <v/>
      </c>
      <c r="B1840" s="39"/>
      <c r="C1840" s="39"/>
      <c r="D1840" s="39"/>
      <c r="E1840" s="39"/>
      <c r="F1840" s="39"/>
      <c r="G1840" s="39"/>
      <c r="I1840" s="81" t="str">
        <f>IF($AA1835=0,"",IF(INDEX(Quotes!$O$9:$O$258,$AA1835)="","No revised link","Revised quote"))</f>
        <v/>
      </c>
      <c r="J1840" s="39"/>
      <c r="K1840" s="39"/>
      <c r="L1840" s="39"/>
      <c r="M1840" s="39"/>
      <c r="N1840" s="39"/>
      <c r="O1840" s="39"/>
      <c r="Q1840" s="81" t="str">
        <f>IF($AA1835=0,"",HYPERLINK("#'Quotes'!A"&amp;($AA1835+8),"Open quote record"))</f>
        <v/>
      </c>
      <c r="R1840" s="39"/>
      <c r="S1840" s="39"/>
      <c r="T1840" s="39"/>
      <c r="U1840" s="39"/>
      <c r="V1840" s="39"/>
    </row>
    <row r="1841" spans="1:27" ht="21" hidden="1" customHeight="1" x14ac:dyDescent="0.35"/>
    <row r="1842" spans="1:27" hidden="1" x14ac:dyDescent="0.35"/>
    <row r="1843" spans="1:27" hidden="1" x14ac:dyDescent="0.35"/>
    <row r="1844" spans="1:27" ht="29" hidden="1" customHeight="1" x14ac:dyDescent="0.35">
      <c r="A1844" s="84" t="str">
        <f>IF($AA1844=0,"",IF(LEN(INDEX(Quotes!$U$9:$U$258,$AA1844)&amp;"")=0,"",INDEX(Quotes!$U$9:$U$258,$AA1844)))</f>
        <v/>
      </c>
      <c r="B1844" s="39"/>
      <c r="C1844" s="39"/>
      <c r="D1844" s="39"/>
      <c r="E1844" s="39"/>
      <c r="F1844" s="39"/>
      <c r="G1844" s="39"/>
      <c r="H1844" s="39"/>
      <c r="I1844" s="39"/>
      <c r="J1844" s="39"/>
      <c r="K1844" s="85" t="str">
        <f>IF($AA1844=0,"",IF(LEN(INDEX(Quotes!$Z$9:$Z$258,$AA1844)&amp;"")=0,"",INDEX(Quotes!$Z$9:$Z$258,$AA1844)))</f>
        <v/>
      </c>
      <c r="L1844" s="39"/>
      <c r="M1844" s="39"/>
      <c r="N1844" s="39"/>
      <c r="O1844" s="39"/>
      <c r="P1844" s="39"/>
      <c r="Q1844" s="39"/>
      <c r="R1844" s="39"/>
      <c r="S1844" s="39"/>
      <c r="T1844" s="39"/>
      <c r="U1844" s="39"/>
      <c r="V1844" s="39"/>
      <c r="AA1844">
        <f>IFERROR(MATCH(191,Quotes!$AK$9:$AK$258,0),0)</f>
        <v>0</v>
      </c>
    </row>
    <row r="1845" spans="1:27" ht="21" hidden="1" customHeight="1" x14ac:dyDescent="0.35">
      <c r="A1845" s="40" t="str">
        <f>IF($AA1844=0,"",IF(LEN(INDEX(Quotes!$V$9:$V$258,$AA1844)&amp;"")=0,"",INDEX(Quotes!$V$9:$V$258,$AA1844)))</f>
        <v/>
      </c>
      <c r="B1845" s="39"/>
      <c r="C1845" s="39"/>
      <c r="D1845" s="39"/>
      <c r="E1845" s="39"/>
      <c r="F1845" s="39"/>
      <c r="G1845" s="39"/>
      <c r="H1845" s="40" t="str">
        <f>IF($AA1844=0,"",IF(LEN(INDEX(Quotes!$W$9:$W$258,$AA1844)&amp;"")=0,"",INDEX(Quotes!$W$9:$W$258,$AA1844)))</f>
        <v/>
      </c>
      <c r="I1845" s="39"/>
      <c r="J1845" s="39"/>
      <c r="K1845" s="39"/>
      <c r="L1845" s="39"/>
      <c r="M1845" s="39"/>
      <c r="N1845" s="39"/>
      <c r="O1845" s="39"/>
      <c r="P1845" s="39"/>
      <c r="Q1845" s="39"/>
      <c r="R1845" s="77" t="str">
        <f>IF($AA1844=0,"",IF(LEN(INDEX(Quotes!$X$9:$X$258,$AA1844)&amp;"")=0,"",INDEX(Quotes!$X$9:$X$258,$AA1844)))</f>
        <v/>
      </c>
      <c r="S1845" s="39"/>
      <c r="T1845" s="39"/>
      <c r="U1845" s="39"/>
      <c r="V1845" s="39"/>
    </row>
    <row r="1846" spans="1:27" ht="21" hidden="1" customHeight="1" x14ac:dyDescent="0.35">
      <c r="A1846" s="83" t="str">
        <f>IF($AA1844=0,"","ORIGINAL EUR")</f>
        <v/>
      </c>
      <c r="B1846" s="39"/>
      <c r="C1846" s="39"/>
      <c r="D1846" s="39"/>
      <c r="E1846" s="39"/>
      <c r="F1846" s="39"/>
      <c r="G1846" s="39"/>
      <c r="I1846" s="83" t="str">
        <f>IF($AA1844=0,"","LATEST EUR")</f>
        <v/>
      </c>
      <c r="J1846" s="39"/>
      <c r="K1846" s="39"/>
      <c r="L1846" s="39"/>
      <c r="M1846" s="39"/>
      <c r="N1846" s="39"/>
      <c r="O1846" s="39"/>
      <c r="Q1846" s="83" t="str">
        <f>IF($AA1844=0,"","SAVED EUR")</f>
        <v/>
      </c>
      <c r="R1846" s="39"/>
      <c r="S1846" s="39"/>
      <c r="T1846" s="39"/>
      <c r="U1846" s="39"/>
      <c r="V1846" s="39"/>
    </row>
    <row r="1847" spans="1:27" ht="21" hidden="1" customHeight="1" x14ac:dyDescent="0.35">
      <c r="A1847" s="82" t="str">
        <f>IF($AA1844=0,"",IF(LEN(INDEX(Quotes!$AB$9:$AB$258,$AA1844)&amp;"")=0,"",INDEX(Quotes!$AB$9:$AB$258,$AA1844)))</f>
        <v/>
      </c>
      <c r="B1847" s="39"/>
      <c r="C1847" s="39"/>
      <c r="D1847" s="39"/>
      <c r="E1847" s="39"/>
      <c r="F1847" s="39"/>
      <c r="G1847" s="39"/>
      <c r="I1847" s="82" t="str">
        <f>IF($AA1844=0,"",IF(LEN(INDEX(Quotes!$AD$9:$AD$258,$AA1844)&amp;"")=0,"",INDEX(Quotes!$AD$9:$AD$258,$AA1844)))</f>
        <v/>
      </c>
      <c r="J1847" s="39"/>
      <c r="K1847" s="39"/>
      <c r="L1847" s="39"/>
      <c r="M1847" s="39"/>
      <c r="N1847" s="39"/>
      <c r="O1847" s="39"/>
      <c r="Q1847" s="82" t="str">
        <f>IF($AA1844=0,"",IF(LEN(INDEX(Quotes!$AF$9:$AF$258,$AA1844)&amp;"")=0,"",INDEX(Quotes!$AF$9:$AF$258,$AA1844)))</f>
        <v/>
      </c>
      <c r="R1847" s="39"/>
      <c r="S1847" s="39"/>
      <c r="T1847" s="39"/>
      <c r="U1847" s="39"/>
      <c r="V1847" s="39"/>
    </row>
    <row r="1848" spans="1:27" ht="21" hidden="1" customHeight="1" x14ac:dyDescent="0.35">
      <c r="A1848" s="48" t="str">
        <f>IF($AA1844=0,"","Reference: "&amp;IF(INDEX(Quotes!$M$9:$M$258,$AA1844)="",INDEX(Quotes!$S$9:$S$258,$AA1844),INDEX(Quotes!$M$9:$M$258,$AA1844)))</f>
        <v/>
      </c>
      <c r="B1848" s="39"/>
      <c r="C1848" s="39"/>
      <c r="D1848" s="39"/>
      <c r="E1848" s="39"/>
      <c r="F1848" s="39"/>
      <c r="G1848" s="39"/>
      <c r="H1848" s="39"/>
      <c r="I1848" s="39"/>
      <c r="J1848" s="39"/>
      <c r="K1848" s="39"/>
      <c r="L1848" s="39"/>
      <c r="M1848" s="39"/>
      <c r="N1848" s="39"/>
      <c r="O1848" s="39"/>
      <c r="P1848" s="39"/>
      <c r="Q1848" s="48" t="str">
        <f>IF($AA1844=0,"",INDEX(Quotes!$E$9:$E$258,$AA1844))</f>
        <v/>
      </c>
      <c r="R1848" s="39"/>
      <c r="S1848" s="39"/>
      <c r="T1848" s="39"/>
      <c r="U1848" s="39"/>
      <c r="V1848" s="39"/>
    </row>
    <row r="1849" spans="1:27" ht="21" hidden="1" customHeight="1" x14ac:dyDescent="0.35">
      <c r="A1849" s="81" t="str">
        <f>IF($AA1844=0,"",IF(INDEX(Quotes!$N$9:$N$258,$AA1844)="","No original link","Original quote"))</f>
        <v/>
      </c>
      <c r="B1849" s="39"/>
      <c r="C1849" s="39"/>
      <c r="D1849" s="39"/>
      <c r="E1849" s="39"/>
      <c r="F1849" s="39"/>
      <c r="G1849" s="39"/>
      <c r="I1849" s="81" t="str">
        <f>IF($AA1844=0,"",IF(INDEX(Quotes!$O$9:$O$258,$AA1844)="","No revised link","Revised quote"))</f>
        <v/>
      </c>
      <c r="J1849" s="39"/>
      <c r="K1849" s="39"/>
      <c r="L1849" s="39"/>
      <c r="M1849" s="39"/>
      <c r="N1849" s="39"/>
      <c r="O1849" s="39"/>
      <c r="Q1849" s="81" t="str">
        <f>IF($AA1844=0,"",HYPERLINK("#'Quotes'!A"&amp;($AA1844+8),"Open quote record"))</f>
        <v/>
      </c>
      <c r="R1849" s="39"/>
      <c r="S1849" s="39"/>
      <c r="T1849" s="39"/>
      <c r="U1849" s="39"/>
      <c r="V1849" s="39"/>
    </row>
    <row r="1850" spans="1:27" ht="21" hidden="1" customHeight="1" x14ac:dyDescent="0.35"/>
    <row r="1851" spans="1:27" hidden="1" x14ac:dyDescent="0.35"/>
    <row r="1852" spans="1:27" hidden="1" x14ac:dyDescent="0.35"/>
    <row r="1853" spans="1:27" ht="29" hidden="1" customHeight="1" x14ac:dyDescent="0.35">
      <c r="A1853" s="84" t="str">
        <f>IF($AA1853=0,"",IF(LEN(INDEX(Quotes!$U$9:$U$258,$AA1853)&amp;"")=0,"",INDEX(Quotes!$U$9:$U$258,$AA1853)))</f>
        <v/>
      </c>
      <c r="B1853" s="39"/>
      <c r="C1853" s="39"/>
      <c r="D1853" s="39"/>
      <c r="E1853" s="39"/>
      <c r="F1853" s="39"/>
      <c r="G1853" s="39"/>
      <c r="H1853" s="39"/>
      <c r="I1853" s="39"/>
      <c r="J1853" s="39"/>
      <c r="K1853" s="85" t="str">
        <f>IF($AA1853=0,"",IF(LEN(INDEX(Quotes!$Z$9:$Z$258,$AA1853)&amp;"")=0,"",INDEX(Quotes!$Z$9:$Z$258,$AA1853)))</f>
        <v/>
      </c>
      <c r="L1853" s="39"/>
      <c r="M1853" s="39"/>
      <c r="N1853" s="39"/>
      <c r="O1853" s="39"/>
      <c r="P1853" s="39"/>
      <c r="Q1853" s="39"/>
      <c r="R1853" s="39"/>
      <c r="S1853" s="39"/>
      <c r="T1853" s="39"/>
      <c r="U1853" s="39"/>
      <c r="V1853" s="39"/>
      <c r="AA1853">
        <f>IFERROR(MATCH(192,Quotes!$AK$9:$AK$258,0),0)</f>
        <v>0</v>
      </c>
    </row>
    <row r="1854" spans="1:27" ht="21" hidden="1" customHeight="1" x14ac:dyDescent="0.35">
      <c r="A1854" s="40" t="str">
        <f>IF($AA1853=0,"",IF(LEN(INDEX(Quotes!$V$9:$V$258,$AA1853)&amp;"")=0,"",INDEX(Quotes!$V$9:$V$258,$AA1853)))</f>
        <v/>
      </c>
      <c r="B1854" s="39"/>
      <c r="C1854" s="39"/>
      <c r="D1854" s="39"/>
      <c r="E1854" s="39"/>
      <c r="F1854" s="39"/>
      <c r="G1854" s="39"/>
      <c r="H1854" s="40" t="str">
        <f>IF($AA1853=0,"",IF(LEN(INDEX(Quotes!$W$9:$W$258,$AA1853)&amp;"")=0,"",INDEX(Quotes!$W$9:$W$258,$AA1853)))</f>
        <v/>
      </c>
      <c r="I1854" s="39"/>
      <c r="J1854" s="39"/>
      <c r="K1854" s="39"/>
      <c r="L1854" s="39"/>
      <c r="M1854" s="39"/>
      <c r="N1854" s="39"/>
      <c r="O1854" s="39"/>
      <c r="P1854" s="39"/>
      <c r="Q1854" s="39"/>
      <c r="R1854" s="77" t="str">
        <f>IF($AA1853=0,"",IF(LEN(INDEX(Quotes!$X$9:$X$258,$AA1853)&amp;"")=0,"",INDEX(Quotes!$X$9:$X$258,$AA1853)))</f>
        <v/>
      </c>
      <c r="S1854" s="39"/>
      <c r="T1854" s="39"/>
      <c r="U1854" s="39"/>
      <c r="V1854" s="39"/>
    </row>
    <row r="1855" spans="1:27" ht="21" hidden="1" customHeight="1" x14ac:dyDescent="0.35">
      <c r="A1855" s="83" t="str">
        <f>IF($AA1853=0,"","ORIGINAL EUR")</f>
        <v/>
      </c>
      <c r="B1855" s="39"/>
      <c r="C1855" s="39"/>
      <c r="D1855" s="39"/>
      <c r="E1855" s="39"/>
      <c r="F1855" s="39"/>
      <c r="G1855" s="39"/>
      <c r="I1855" s="83" t="str">
        <f>IF($AA1853=0,"","LATEST EUR")</f>
        <v/>
      </c>
      <c r="J1855" s="39"/>
      <c r="K1855" s="39"/>
      <c r="L1855" s="39"/>
      <c r="M1855" s="39"/>
      <c r="N1855" s="39"/>
      <c r="O1855" s="39"/>
      <c r="Q1855" s="83" t="str">
        <f>IF($AA1853=0,"","SAVED EUR")</f>
        <v/>
      </c>
      <c r="R1855" s="39"/>
      <c r="S1855" s="39"/>
      <c r="T1855" s="39"/>
      <c r="U1855" s="39"/>
      <c r="V1855" s="39"/>
    </row>
    <row r="1856" spans="1:27" ht="21" hidden="1" customHeight="1" x14ac:dyDescent="0.35">
      <c r="A1856" s="82" t="str">
        <f>IF($AA1853=0,"",IF(LEN(INDEX(Quotes!$AB$9:$AB$258,$AA1853)&amp;"")=0,"",INDEX(Quotes!$AB$9:$AB$258,$AA1853)))</f>
        <v/>
      </c>
      <c r="B1856" s="39"/>
      <c r="C1856" s="39"/>
      <c r="D1856" s="39"/>
      <c r="E1856" s="39"/>
      <c r="F1856" s="39"/>
      <c r="G1856" s="39"/>
      <c r="I1856" s="82" t="str">
        <f>IF($AA1853=0,"",IF(LEN(INDEX(Quotes!$AD$9:$AD$258,$AA1853)&amp;"")=0,"",INDEX(Quotes!$AD$9:$AD$258,$AA1853)))</f>
        <v/>
      </c>
      <c r="J1856" s="39"/>
      <c r="K1856" s="39"/>
      <c r="L1856" s="39"/>
      <c r="M1856" s="39"/>
      <c r="N1856" s="39"/>
      <c r="O1856" s="39"/>
      <c r="Q1856" s="82" t="str">
        <f>IF($AA1853=0,"",IF(LEN(INDEX(Quotes!$AF$9:$AF$258,$AA1853)&amp;"")=0,"",INDEX(Quotes!$AF$9:$AF$258,$AA1853)))</f>
        <v/>
      </c>
      <c r="R1856" s="39"/>
      <c r="S1856" s="39"/>
      <c r="T1856" s="39"/>
      <c r="U1856" s="39"/>
      <c r="V1856" s="39"/>
    </row>
    <row r="1857" spans="1:27" ht="21" hidden="1" customHeight="1" x14ac:dyDescent="0.35">
      <c r="A1857" s="48" t="str">
        <f>IF($AA1853=0,"","Reference: "&amp;IF(INDEX(Quotes!$M$9:$M$258,$AA1853)="",INDEX(Quotes!$S$9:$S$258,$AA1853),INDEX(Quotes!$M$9:$M$258,$AA1853)))</f>
        <v/>
      </c>
      <c r="B1857" s="39"/>
      <c r="C1857" s="39"/>
      <c r="D1857" s="39"/>
      <c r="E1857" s="39"/>
      <c r="F1857" s="39"/>
      <c r="G1857" s="39"/>
      <c r="H1857" s="39"/>
      <c r="I1857" s="39"/>
      <c r="J1857" s="39"/>
      <c r="K1857" s="39"/>
      <c r="L1857" s="39"/>
      <c r="M1857" s="39"/>
      <c r="N1857" s="39"/>
      <c r="O1857" s="39"/>
      <c r="P1857" s="39"/>
      <c r="Q1857" s="48" t="str">
        <f>IF($AA1853=0,"",INDEX(Quotes!$E$9:$E$258,$AA1853))</f>
        <v/>
      </c>
      <c r="R1857" s="39"/>
      <c r="S1857" s="39"/>
      <c r="T1857" s="39"/>
      <c r="U1857" s="39"/>
      <c r="V1857" s="39"/>
    </row>
    <row r="1858" spans="1:27" ht="21" hidden="1" customHeight="1" x14ac:dyDescent="0.35">
      <c r="A1858" s="81" t="str">
        <f>IF($AA1853=0,"",IF(INDEX(Quotes!$N$9:$N$258,$AA1853)="","No original link","Original quote"))</f>
        <v/>
      </c>
      <c r="B1858" s="39"/>
      <c r="C1858" s="39"/>
      <c r="D1858" s="39"/>
      <c r="E1858" s="39"/>
      <c r="F1858" s="39"/>
      <c r="G1858" s="39"/>
      <c r="I1858" s="81" t="str">
        <f>IF($AA1853=0,"",IF(INDEX(Quotes!$O$9:$O$258,$AA1853)="","No revised link","Revised quote"))</f>
        <v/>
      </c>
      <c r="J1858" s="39"/>
      <c r="K1858" s="39"/>
      <c r="L1858" s="39"/>
      <c r="M1858" s="39"/>
      <c r="N1858" s="39"/>
      <c r="O1858" s="39"/>
      <c r="Q1858" s="81" t="str">
        <f>IF($AA1853=0,"",HYPERLINK("#'Quotes'!A"&amp;($AA1853+8),"Open quote record"))</f>
        <v/>
      </c>
      <c r="R1858" s="39"/>
      <c r="S1858" s="39"/>
      <c r="T1858" s="39"/>
      <c r="U1858" s="39"/>
      <c r="V1858" s="39"/>
    </row>
    <row r="1859" spans="1:27" ht="21" hidden="1" customHeight="1" x14ac:dyDescent="0.35"/>
    <row r="1860" spans="1:27" hidden="1" x14ac:dyDescent="0.35"/>
    <row r="1861" spans="1:27" hidden="1" x14ac:dyDescent="0.35"/>
    <row r="1862" spans="1:27" hidden="1" x14ac:dyDescent="0.35"/>
    <row r="1863" spans="1:27" hidden="1" x14ac:dyDescent="0.35">
      <c r="A1863" s="67" t="s">
        <v>655</v>
      </c>
      <c r="B1863" s="39"/>
      <c r="C1863" s="39"/>
      <c r="D1863" s="39"/>
      <c r="E1863" s="39"/>
      <c r="F1863" s="39"/>
      <c r="G1863" s="39"/>
      <c r="H1863" s="39"/>
      <c r="I1863" s="39"/>
      <c r="J1863" s="39"/>
      <c r="K1863" s="39"/>
      <c r="L1863" s="39"/>
      <c r="M1863" s="39"/>
      <c r="N1863" s="39"/>
      <c r="O1863" s="39"/>
      <c r="P1863" s="39"/>
      <c r="Q1863" s="39"/>
      <c r="R1863" s="39"/>
      <c r="S1863" s="39"/>
      <c r="T1863" s="39"/>
      <c r="U1863" s="39"/>
      <c r="V1863" s="39"/>
    </row>
    <row r="1864" spans="1:27" ht="29" hidden="1" customHeight="1" x14ac:dyDescent="0.35">
      <c r="A1864" s="84" t="str">
        <f>IF($AA1864=0,"",IF(LEN(INDEX(Quotes!$U$9:$U$258,$AA1864)&amp;"")=0,"",INDEX(Quotes!$U$9:$U$258,$AA1864)))</f>
        <v/>
      </c>
      <c r="B1864" s="39"/>
      <c r="C1864" s="39"/>
      <c r="D1864" s="39"/>
      <c r="E1864" s="39"/>
      <c r="F1864" s="39"/>
      <c r="G1864" s="39"/>
      <c r="H1864" s="39"/>
      <c r="I1864" s="39"/>
      <c r="J1864" s="39"/>
      <c r="K1864" s="85" t="str">
        <f>IF($AA1864=0,"",IF(LEN(INDEX(Quotes!$Z$9:$Z$258,$AA1864)&amp;"")=0,"",INDEX(Quotes!$Z$9:$Z$258,$AA1864)))</f>
        <v/>
      </c>
      <c r="L1864" s="39"/>
      <c r="M1864" s="39"/>
      <c r="N1864" s="39"/>
      <c r="O1864" s="39"/>
      <c r="P1864" s="39"/>
      <c r="Q1864" s="39"/>
      <c r="R1864" s="39"/>
      <c r="S1864" s="39"/>
      <c r="T1864" s="39"/>
      <c r="U1864" s="39"/>
      <c r="V1864" s="39"/>
      <c r="AA1864">
        <f>IFERROR(MATCH(193,Quotes!$AK$9:$AK$258,0),0)</f>
        <v>0</v>
      </c>
    </row>
    <row r="1865" spans="1:27" ht="21" hidden="1" customHeight="1" x14ac:dyDescent="0.35">
      <c r="A1865" s="40" t="str">
        <f>IF($AA1864=0,"",IF(LEN(INDEX(Quotes!$V$9:$V$258,$AA1864)&amp;"")=0,"",INDEX(Quotes!$V$9:$V$258,$AA1864)))</f>
        <v/>
      </c>
      <c r="B1865" s="39"/>
      <c r="C1865" s="39"/>
      <c r="D1865" s="39"/>
      <c r="E1865" s="39"/>
      <c r="F1865" s="39"/>
      <c r="G1865" s="39"/>
      <c r="H1865" s="40" t="str">
        <f>IF($AA1864=0,"",IF(LEN(INDEX(Quotes!$W$9:$W$258,$AA1864)&amp;"")=0,"",INDEX(Quotes!$W$9:$W$258,$AA1864)))</f>
        <v/>
      </c>
      <c r="I1865" s="39"/>
      <c r="J1865" s="39"/>
      <c r="K1865" s="39"/>
      <c r="L1865" s="39"/>
      <c r="M1865" s="39"/>
      <c r="N1865" s="39"/>
      <c r="O1865" s="39"/>
      <c r="P1865" s="39"/>
      <c r="Q1865" s="39"/>
      <c r="R1865" s="77" t="str">
        <f>IF($AA1864=0,"",IF(LEN(INDEX(Quotes!$X$9:$X$258,$AA1864)&amp;"")=0,"",INDEX(Quotes!$X$9:$X$258,$AA1864)))</f>
        <v/>
      </c>
      <c r="S1865" s="39"/>
      <c r="T1865" s="39"/>
      <c r="U1865" s="39"/>
      <c r="V1865" s="39"/>
    </row>
    <row r="1866" spans="1:27" ht="21" hidden="1" customHeight="1" x14ac:dyDescent="0.35">
      <c r="A1866" s="83" t="str">
        <f>IF($AA1864=0,"","ORIGINAL EUR")</f>
        <v/>
      </c>
      <c r="B1866" s="39"/>
      <c r="C1866" s="39"/>
      <c r="D1866" s="39"/>
      <c r="E1866" s="39"/>
      <c r="F1866" s="39"/>
      <c r="G1866" s="39"/>
      <c r="I1866" s="83" t="str">
        <f>IF($AA1864=0,"","LATEST EUR")</f>
        <v/>
      </c>
      <c r="J1866" s="39"/>
      <c r="K1866" s="39"/>
      <c r="L1866" s="39"/>
      <c r="M1866" s="39"/>
      <c r="N1866" s="39"/>
      <c r="O1866" s="39"/>
      <c r="Q1866" s="83" t="str">
        <f>IF($AA1864=0,"","SAVED EUR")</f>
        <v/>
      </c>
      <c r="R1866" s="39"/>
      <c r="S1866" s="39"/>
      <c r="T1866" s="39"/>
      <c r="U1866" s="39"/>
      <c r="V1866" s="39"/>
    </row>
    <row r="1867" spans="1:27" ht="21" hidden="1" customHeight="1" x14ac:dyDescent="0.35">
      <c r="A1867" s="82" t="str">
        <f>IF($AA1864=0,"",IF(LEN(INDEX(Quotes!$AB$9:$AB$258,$AA1864)&amp;"")=0,"",INDEX(Quotes!$AB$9:$AB$258,$AA1864)))</f>
        <v/>
      </c>
      <c r="B1867" s="39"/>
      <c r="C1867" s="39"/>
      <c r="D1867" s="39"/>
      <c r="E1867" s="39"/>
      <c r="F1867" s="39"/>
      <c r="G1867" s="39"/>
      <c r="I1867" s="82" t="str">
        <f>IF($AA1864=0,"",IF(LEN(INDEX(Quotes!$AD$9:$AD$258,$AA1864)&amp;"")=0,"",INDEX(Quotes!$AD$9:$AD$258,$AA1864)))</f>
        <v/>
      </c>
      <c r="J1867" s="39"/>
      <c r="K1867" s="39"/>
      <c r="L1867" s="39"/>
      <c r="M1867" s="39"/>
      <c r="N1867" s="39"/>
      <c r="O1867" s="39"/>
      <c r="Q1867" s="82" t="str">
        <f>IF($AA1864=0,"",IF(LEN(INDEX(Quotes!$AF$9:$AF$258,$AA1864)&amp;"")=0,"",INDEX(Quotes!$AF$9:$AF$258,$AA1864)))</f>
        <v/>
      </c>
      <c r="R1867" s="39"/>
      <c r="S1867" s="39"/>
      <c r="T1867" s="39"/>
      <c r="U1867" s="39"/>
      <c r="V1867" s="39"/>
    </row>
    <row r="1868" spans="1:27" ht="21" hidden="1" customHeight="1" x14ac:dyDescent="0.35">
      <c r="A1868" s="48" t="str">
        <f>IF($AA1864=0,"","Reference: "&amp;IF(INDEX(Quotes!$M$9:$M$258,$AA1864)="",INDEX(Quotes!$S$9:$S$258,$AA1864),INDEX(Quotes!$M$9:$M$258,$AA1864)))</f>
        <v/>
      </c>
      <c r="B1868" s="39"/>
      <c r="C1868" s="39"/>
      <c r="D1868" s="39"/>
      <c r="E1868" s="39"/>
      <c r="F1868" s="39"/>
      <c r="G1868" s="39"/>
      <c r="H1868" s="39"/>
      <c r="I1868" s="39"/>
      <c r="J1868" s="39"/>
      <c r="K1868" s="39"/>
      <c r="L1868" s="39"/>
      <c r="M1868" s="39"/>
      <c r="N1868" s="39"/>
      <c r="O1868" s="39"/>
      <c r="P1868" s="39"/>
      <c r="Q1868" s="48" t="str">
        <f>IF($AA1864=0,"",INDEX(Quotes!$E$9:$E$258,$AA1864))</f>
        <v/>
      </c>
      <c r="R1868" s="39"/>
      <c r="S1868" s="39"/>
      <c r="T1868" s="39"/>
      <c r="U1868" s="39"/>
      <c r="V1868" s="39"/>
    </row>
    <row r="1869" spans="1:27" ht="21" hidden="1" customHeight="1" x14ac:dyDescent="0.35">
      <c r="A1869" s="81" t="str">
        <f>IF($AA1864=0,"",IF(INDEX(Quotes!$N$9:$N$258,$AA1864)="","No original link","Original quote"))</f>
        <v/>
      </c>
      <c r="B1869" s="39"/>
      <c r="C1869" s="39"/>
      <c r="D1869" s="39"/>
      <c r="E1869" s="39"/>
      <c r="F1869" s="39"/>
      <c r="G1869" s="39"/>
      <c r="I1869" s="81" t="str">
        <f>IF($AA1864=0,"",IF(INDEX(Quotes!$O$9:$O$258,$AA1864)="","No revised link","Revised quote"))</f>
        <v/>
      </c>
      <c r="J1869" s="39"/>
      <c r="K1869" s="39"/>
      <c r="L1869" s="39"/>
      <c r="M1869" s="39"/>
      <c r="N1869" s="39"/>
      <c r="O1869" s="39"/>
      <c r="Q1869" s="81" t="str">
        <f>IF($AA1864=0,"",HYPERLINK("#'Quotes'!A"&amp;($AA1864+8),"Open quote record"))</f>
        <v/>
      </c>
      <c r="R1869" s="39"/>
      <c r="S1869" s="39"/>
      <c r="T1869" s="39"/>
      <c r="U1869" s="39"/>
      <c r="V1869" s="39"/>
    </row>
    <row r="1870" spans="1:27" ht="21" hidden="1" customHeight="1" x14ac:dyDescent="0.35"/>
    <row r="1871" spans="1:27" hidden="1" x14ac:dyDescent="0.35"/>
    <row r="1872" spans="1:27" hidden="1" x14ac:dyDescent="0.35"/>
    <row r="1873" spans="1:27" ht="29" hidden="1" customHeight="1" x14ac:dyDescent="0.35">
      <c r="A1873" s="84" t="str">
        <f>IF($AA1873=0,"",IF(LEN(INDEX(Quotes!$U$9:$U$258,$AA1873)&amp;"")=0,"",INDEX(Quotes!$U$9:$U$258,$AA1873)))</f>
        <v/>
      </c>
      <c r="B1873" s="39"/>
      <c r="C1873" s="39"/>
      <c r="D1873" s="39"/>
      <c r="E1873" s="39"/>
      <c r="F1873" s="39"/>
      <c r="G1873" s="39"/>
      <c r="H1873" s="39"/>
      <c r="I1873" s="39"/>
      <c r="J1873" s="39"/>
      <c r="K1873" s="85" t="str">
        <f>IF($AA1873=0,"",IF(LEN(INDEX(Quotes!$Z$9:$Z$258,$AA1873)&amp;"")=0,"",INDEX(Quotes!$Z$9:$Z$258,$AA1873)))</f>
        <v/>
      </c>
      <c r="L1873" s="39"/>
      <c r="M1873" s="39"/>
      <c r="N1873" s="39"/>
      <c r="O1873" s="39"/>
      <c r="P1873" s="39"/>
      <c r="Q1873" s="39"/>
      <c r="R1873" s="39"/>
      <c r="S1873" s="39"/>
      <c r="T1873" s="39"/>
      <c r="U1873" s="39"/>
      <c r="V1873" s="39"/>
      <c r="AA1873">
        <f>IFERROR(MATCH(194,Quotes!$AK$9:$AK$258,0),0)</f>
        <v>0</v>
      </c>
    </row>
    <row r="1874" spans="1:27" ht="21" hidden="1" customHeight="1" x14ac:dyDescent="0.35">
      <c r="A1874" s="40" t="str">
        <f>IF($AA1873=0,"",IF(LEN(INDEX(Quotes!$V$9:$V$258,$AA1873)&amp;"")=0,"",INDEX(Quotes!$V$9:$V$258,$AA1873)))</f>
        <v/>
      </c>
      <c r="B1874" s="39"/>
      <c r="C1874" s="39"/>
      <c r="D1874" s="39"/>
      <c r="E1874" s="39"/>
      <c r="F1874" s="39"/>
      <c r="G1874" s="39"/>
      <c r="H1874" s="40" t="str">
        <f>IF($AA1873=0,"",IF(LEN(INDEX(Quotes!$W$9:$W$258,$AA1873)&amp;"")=0,"",INDEX(Quotes!$W$9:$W$258,$AA1873)))</f>
        <v/>
      </c>
      <c r="I1874" s="39"/>
      <c r="J1874" s="39"/>
      <c r="K1874" s="39"/>
      <c r="L1874" s="39"/>
      <c r="M1874" s="39"/>
      <c r="N1874" s="39"/>
      <c r="O1874" s="39"/>
      <c r="P1874" s="39"/>
      <c r="Q1874" s="39"/>
      <c r="R1874" s="77" t="str">
        <f>IF($AA1873=0,"",IF(LEN(INDEX(Quotes!$X$9:$X$258,$AA1873)&amp;"")=0,"",INDEX(Quotes!$X$9:$X$258,$AA1873)))</f>
        <v/>
      </c>
      <c r="S1874" s="39"/>
      <c r="T1874" s="39"/>
      <c r="U1874" s="39"/>
      <c r="V1874" s="39"/>
    </row>
    <row r="1875" spans="1:27" ht="21" hidden="1" customHeight="1" x14ac:dyDescent="0.35">
      <c r="A1875" s="83" t="str">
        <f>IF($AA1873=0,"","ORIGINAL EUR")</f>
        <v/>
      </c>
      <c r="B1875" s="39"/>
      <c r="C1875" s="39"/>
      <c r="D1875" s="39"/>
      <c r="E1875" s="39"/>
      <c r="F1875" s="39"/>
      <c r="G1875" s="39"/>
      <c r="I1875" s="83" t="str">
        <f>IF($AA1873=0,"","LATEST EUR")</f>
        <v/>
      </c>
      <c r="J1875" s="39"/>
      <c r="K1875" s="39"/>
      <c r="L1875" s="39"/>
      <c r="M1875" s="39"/>
      <c r="N1875" s="39"/>
      <c r="O1875" s="39"/>
      <c r="Q1875" s="83" t="str">
        <f>IF($AA1873=0,"","SAVED EUR")</f>
        <v/>
      </c>
      <c r="R1875" s="39"/>
      <c r="S1875" s="39"/>
      <c r="T1875" s="39"/>
      <c r="U1875" s="39"/>
      <c r="V1875" s="39"/>
    </row>
    <row r="1876" spans="1:27" ht="21" hidden="1" customHeight="1" x14ac:dyDescent="0.35">
      <c r="A1876" s="82" t="str">
        <f>IF($AA1873=0,"",IF(LEN(INDEX(Quotes!$AB$9:$AB$258,$AA1873)&amp;"")=0,"",INDEX(Quotes!$AB$9:$AB$258,$AA1873)))</f>
        <v/>
      </c>
      <c r="B1876" s="39"/>
      <c r="C1876" s="39"/>
      <c r="D1876" s="39"/>
      <c r="E1876" s="39"/>
      <c r="F1876" s="39"/>
      <c r="G1876" s="39"/>
      <c r="I1876" s="82" t="str">
        <f>IF($AA1873=0,"",IF(LEN(INDEX(Quotes!$AD$9:$AD$258,$AA1873)&amp;"")=0,"",INDEX(Quotes!$AD$9:$AD$258,$AA1873)))</f>
        <v/>
      </c>
      <c r="J1876" s="39"/>
      <c r="K1876" s="39"/>
      <c r="L1876" s="39"/>
      <c r="M1876" s="39"/>
      <c r="N1876" s="39"/>
      <c r="O1876" s="39"/>
      <c r="Q1876" s="82" t="str">
        <f>IF($AA1873=0,"",IF(LEN(INDEX(Quotes!$AF$9:$AF$258,$AA1873)&amp;"")=0,"",INDEX(Quotes!$AF$9:$AF$258,$AA1873)))</f>
        <v/>
      </c>
      <c r="R1876" s="39"/>
      <c r="S1876" s="39"/>
      <c r="T1876" s="39"/>
      <c r="U1876" s="39"/>
      <c r="V1876" s="39"/>
    </row>
    <row r="1877" spans="1:27" ht="21" hidden="1" customHeight="1" x14ac:dyDescent="0.35">
      <c r="A1877" s="48" t="str">
        <f>IF($AA1873=0,"","Reference: "&amp;IF(INDEX(Quotes!$M$9:$M$258,$AA1873)="",INDEX(Quotes!$S$9:$S$258,$AA1873),INDEX(Quotes!$M$9:$M$258,$AA1873)))</f>
        <v/>
      </c>
      <c r="B1877" s="39"/>
      <c r="C1877" s="39"/>
      <c r="D1877" s="39"/>
      <c r="E1877" s="39"/>
      <c r="F1877" s="39"/>
      <c r="G1877" s="39"/>
      <c r="H1877" s="39"/>
      <c r="I1877" s="39"/>
      <c r="J1877" s="39"/>
      <c r="K1877" s="39"/>
      <c r="L1877" s="39"/>
      <c r="M1877" s="39"/>
      <c r="N1877" s="39"/>
      <c r="O1877" s="39"/>
      <c r="P1877" s="39"/>
      <c r="Q1877" s="48" t="str">
        <f>IF($AA1873=0,"",INDEX(Quotes!$E$9:$E$258,$AA1873))</f>
        <v/>
      </c>
      <c r="R1877" s="39"/>
      <c r="S1877" s="39"/>
      <c r="T1877" s="39"/>
      <c r="U1877" s="39"/>
      <c r="V1877" s="39"/>
    </row>
    <row r="1878" spans="1:27" ht="21" hidden="1" customHeight="1" x14ac:dyDescent="0.35">
      <c r="A1878" s="81" t="str">
        <f>IF($AA1873=0,"",IF(INDEX(Quotes!$N$9:$N$258,$AA1873)="","No original link","Original quote"))</f>
        <v/>
      </c>
      <c r="B1878" s="39"/>
      <c r="C1878" s="39"/>
      <c r="D1878" s="39"/>
      <c r="E1878" s="39"/>
      <c r="F1878" s="39"/>
      <c r="G1878" s="39"/>
      <c r="I1878" s="81" t="str">
        <f>IF($AA1873=0,"",IF(INDEX(Quotes!$O$9:$O$258,$AA1873)="","No revised link","Revised quote"))</f>
        <v/>
      </c>
      <c r="J1878" s="39"/>
      <c r="K1878" s="39"/>
      <c r="L1878" s="39"/>
      <c r="M1878" s="39"/>
      <c r="N1878" s="39"/>
      <c r="O1878" s="39"/>
      <c r="Q1878" s="81" t="str">
        <f>IF($AA1873=0,"",HYPERLINK("#'Quotes'!A"&amp;($AA1873+8),"Open quote record"))</f>
        <v/>
      </c>
      <c r="R1878" s="39"/>
      <c r="S1878" s="39"/>
      <c r="T1878" s="39"/>
      <c r="U1878" s="39"/>
      <c r="V1878" s="39"/>
    </row>
    <row r="1879" spans="1:27" ht="21" hidden="1" customHeight="1" x14ac:dyDescent="0.35"/>
    <row r="1880" spans="1:27" hidden="1" x14ac:dyDescent="0.35"/>
    <row r="1881" spans="1:27" hidden="1" x14ac:dyDescent="0.35"/>
    <row r="1882" spans="1:27" ht="29" hidden="1" customHeight="1" x14ac:dyDescent="0.35">
      <c r="A1882" s="84" t="str">
        <f>IF($AA1882=0,"",IF(LEN(INDEX(Quotes!$U$9:$U$258,$AA1882)&amp;"")=0,"",INDEX(Quotes!$U$9:$U$258,$AA1882)))</f>
        <v/>
      </c>
      <c r="B1882" s="39"/>
      <c r="C1882" s="39"/>
      <c r="D1882" s="39"/>
      <c r="E1882" s="39"/>
      <c r="F1882" s="39"/>
      <c r="G1882" s="39"/>
      <c r="H1882" s="39"/>
      <c r="I1882" s="39"/>
      <c r="J1882" s="39"/>
      <c r="K1882" s="85" t="str">
        <f>IF($AA1882=0,"",IF(LEN(INDEX(Quotes!$Z$9:$Z$258,$AA1882)&amp;"")=0,"",INDEX(Quotes!$Z$9:$Z$258,$AA1882)))</f>
        <v/>
      </c>
      <c r="L1882" s="39"/>
      <c r="M1882" s="39"/>
      <c r="N1882" s="39"/>
      <c r="O1882" s="39"/>
      <c r="P1882" s="39"/>
      <c r="Q1882" s="39"/>
      <c r="R1882" s="39"/>
      <c r="S1882" s="39"/>
      <c r="T1882" s="39"/>
      <c r="U1882" s="39"/>
      <c r="V1882" s="39"/>
      <c r="AA1882">
        <f>IFERROR(MATCH(195,Quotes!$AK$9:$AK$258,0),0)</f>
        <v>0</v>
      </c>
    </row>
    <row r="1883" spans="1:27" ht="21" hidden="1" customHeight="1" x14ac:dyDescent="0.35">
      <c r="A1883" s="40" t="str">
        <f>IF($AA1882=0,"",IF(LEN(INDEX(Quotes!$V$9:$V$258,$AA1882)&amp;"")=0,"",INDEX(Quotes!$V$9:$V$258,$AA1882)))</f>
        <v/>
      </c>
      <c r="B1883" s="39"/>
      <c r="C1883" s="39"/>
      <c r="D1883" s="39"/>
      <c r="E1883" s="39"/>
      <c r="F1883" s="39"/>
      <c r="G1883" s="39"/>
      <c r="H1883" s="40" t="str">
        <f>IF($AA1882=0,"",IF(LEN(INDEX(Quotes!$W$9:$W$258,$AA1882)&amp;"")=0,"",INDEX(Quotes!$W$9:$W$258,$AA1882)))</f>
        <v/>
      </c>
      <c r="I1883" s="39"/>
      <c r="J1883" s="39"/>
      <c r="K1883" s="39"/>
      <c r="L1883" s="39"/>
      <c r="M1883" s="39"/>
      <c r="N1883" s="39"/>
      <c r="O1883" s="39"/>
      <c r="P1883" s="39"/>
      <c r="Q1883" s="39"/>
      <c r="R1883" s="77" t="str">
        <f>IF($AA1882=0,"",IF(LEN(INDEX(Quotes!$X$9:$X$258,$AA1882)&amp;"")=0,"",INDEX(Quotes!$X$9:$X$258,$AA1882)))</f>
        <v/>
      </c>
      <c r="S1883" s="39"/>
      <c r="T1883" s="39"/>
      <c r="U1883" s="39"/>
      <c r="V1883" s="39"/>
    </row>
    <row r="1884" spans="1:27" ht="21" hidden="1" customHeight="1" x14ac:dyDescent="0.35">
      <c r="A1884" s="83" t="str">
        <f>IF($AA1882=0,"","ORIGINAL EUR")</f>
        <v/>
      </c>
      <c r="B1884" s="39"/>
      <c r="C1884" s="39"/>
      <c r="D1884" s="39"/>
      <c r="E1884" s="39"/>
      <c r="F1884" s="39"/>
      <c r="G1884" s="39"/>
      <c r="I1884" s="83" t="str">
        <f>IF($AA1882=0,"","LATEST EUR")</f>
        <v/>
      </c>
      <c r="J1884" s="39"/>
      <c r="K1884" s="39"/>
      <c r="L1884" s="39"/>
      <c r="M1884" s="39"/>
      <c r="N1884" s="39"/>
      <c r="O1884" s="39"/>
      <c r="Q1884" s="83" t="str">
        <f>IF($AA1882=0,"","SAVED EUR")</f>
        <v/>
      </c>
      <c r="R1884" s="39"/>
      <c r="S1884" s="39"/>
      <c r="T1884" s="39"/>
      <c r="U1884" s="39"/>
      <c r="V1884" s="39"/>
    </row>
    <row r="1885" spans="1:27" ht="21" hidden="1" customHeight="1" x14ac:dyDescent="0.35">
      <c r="A1885" s="82" t="str">
        <f>IF($AA1882=0,"",IF(LEN(INDEX(Quotes!$AB$9:$AB$258,$AA1882)&amp;"")=0,"",INDEX(Quotes!$AB$9:$AB$258,$AA1882)))</f>
        <v/>
      </c>
      <c r="B1885" s="39"/>
      <c r="C1885" s="39"/>
      <c r="D1885" s="39"/>
      <c r="E1885" s="39"/>
      <c r="F1885" s="39"/>
      <c r="G1885" s="39"/>
      <c r="I1885" s="82" t="str">
        <f>IF($AA1882=0,"",IF(LEN(INDEX(Quotes!$AD$9:$AD$258,$AA1882)&amp;"")=0,"",INDEX(Quotes!$AD$9:$AD$258,$AA1882)))</f>
        <v/>
      </c>
      <c r="J1885" s="39"/>
      <c r="K1885" s="39"/>
      <c r="L1885" s="39"/>
      <c r="M1885" s="39"/>
      <c r="N1885" s="39"/>
      <c r="O1885" s="39"/>
      <c r="Q1885" s="82" t="str">
        <f>IF($AA1882=0,"",IF(LEN(INDEX(Quotes!$AF$9:$AF$258,$AA1882)&amp;"")=0,"",INDEX(Quotes!$AF$9:$AF$258,$AA1882)))</f>
        <v/>
      </c>
      <c r="R1885" s="39"/>
      <c r="S1885" s="39"/>
      <c r="T1885" s="39"/>
      <c r="U1885" s="39"/>
      <c r="V1885" s="39"/>
    </row>
    <row r="1886" spans="1:27" ht="21" hidden="1" customHeight="1" x14ac:dyDescent="0.35">
      <c r="A1886" s="48" t="str">
        <f>IF($AA1882=0,"","Reference: "&amp;IF(INDEX(Quotes!$M$9:$M$258,$AA1882)="",INDEX(Quotes!$S$9:$S$258,$AA1882),INDEX(Quotes!$M$9:$M$258,$AA1882)))</f>
        <v/>
      </c>
      <c r="B1886" s="39"/>
      <c r="C1886" s="39"/>
      <c r="D1886" s="39"/>
      <c r="E1886" s="39"/>
      <c r="F1886" s="39"/>
      <c r="G1886" s="39"/>
      <c r="H1886" s="39"/>
      <c r="I1886" s="39"/>
      <c r="J1886" s="39"/>
      <c r="K1886" s="39"/>
      <c r="L1886" s="39"/>
      <c r="M1886" s="39"/>
      <c r="N1886" s="39"/>
      <c r="O1886" s="39"/>
      <c r="P1886" s="39"/>
      <c r="Q1886" s="48" t="str">
        <f>IF($AA1882=0,"",INDEX(Quotes!$E$9:$E$258,$AA1882))</f>
        <v/>
      </c>
      <c r="R1886" s="39"/>
      <c r="S1886" s="39"/>
      <c r="T1886" s="39"/>
      <c r="U1886" s="39"/>
      <c r="V1886" s="39"/>
    </row>
    <row r="1887" spans="1:27" ht="21" hidden="1" customHeight="1" x14ac:dyDescent="0.35">
      <c r="A1887" s="81" t="str">
        <f>IF($AA1882=0,"",IF(INDEX(Quotes!$N$9:$N$258,$AA1882)="","No original link","Original quote"))</f>
        <v/>
      </c>
      <c r="B1887" s="39"/>
      <c r="C1887" s="39"/>
      <c r="D1887" s="39"/>
      <c r="E1887" s="39"/>
      <c r="F1887" s="39"/>
      <c r="G1887" s="39"/>
      <c r="I1887" s="81" t="str">
        <f>IF($AA1882=0,"",IF(INDEX(Quotes!$O$9:$O$258,$AA1882)="","No revised link","Revised quote"))</f>
        <v/>
      </c>
      <c r="J1887" s="39"/>
      <c r="K1887" s="39"/>
      <c r="L1887" s="39"/>
      <c r="M1887" s="39"/>
      <c r="N1887" s="39"/>
      <c r="O1887" s="39"/>
      <c r="Q1887" s="81" t="str">
        <f>IF($AA1882=0,"",HYPERLINK("#'Quotes'!A"&amp;($AA1882+8),"Open quote record"))</f>
        <v/>
      </c>
      <c r="R1887" s="39"/>
      <c r="S1887" s="39"/>
      <c r="T1887" s="39"/>
      <c r="U1887" s="39"/>
      <c r="V1887" s="39"/>
    </row>
    <row r="1888" spans="1:27" ht="21" hidden="1" customHeight="1" x14ac:dyDescent="0.35"/>
    <row r="1889" spans="1:27" hidden="1" x14ac:dyDescent="0.35"/>
    <row r="1890" spans="1:27" hidden="1" x14ac:dyDescent="0.35"/>
    <row r="1891" spans="1:27" ht="29" hidden="1" customHeight="1" x14ac:dyDescent="0.35">
      <c r="A1891" s="84" t="str">
        <f>IF($AA1891=0,"",IF(LEN(INDEX(Quotes!$U$9:$U$258,$AA1891)&amp;"")=0,"",INDEX(Quotes!$U$9:$U$258,$AA1891)))</f>
        <v/>
      </c>
      <c r="B1891" s="39"/>
      <c r="C1891" s="39"/>
      <c r="D1891" s="39"/>
      <c r="E1891" s="39"/>
      <c r="F1891" s="39"/>
      <c r="G1891" s="39"/>
      <c r="H1891" s="39"/>
      <c r="I1891" s="39"/>
      <c r="J1891" s="39"/>
      <c r="K1891" s="85" t="str">
        <f>IF($AA1891=0,"",IF(LEN(INDEX(Quotes!$Z$9:$Z$258,$AA1891)&amp;"")=0,"",INDEX(Quotes!$Z$9:$Z$258,$AA1891)))</f>
        <v/>
      </c>
      <c r="L1891" s="39"/>
      <c r="M1891" s="39"/>
      <c r="N1891" s="39"/>
      <c r="O1891" s="39"/>
      <c r="P1891" s="39"/>
      <c r="Q1891" s="39"/>
      <c r="R1891" s="39"/>
      <c r="S1891" s="39"/>
      <c r="T1891" s="39"/>
      <c r="U1891" s="39"/>
      <c r="V1891" s="39"/>
      <c r="AA1891">
        <f>IFERROR(MATCH(196,Quotes!$AK$9:$AK$258,0),0)</f>
        <v>0</v>
      </c>
    </row>
    <row r="1892" spans="1:27" ht="21" hidden="1" customHeight="1" x14ac:dyDescent="0.35">
      <c r="A1892" s="40" t="str">
        <f>IF($AA1891=0,"",IF(LEN(INDEX(Quotes!$V$9:$V$258,$AA1891)&amp;"")=0,"",INDEX(Quotes!$V$9:$V$258,$AA1891)))</f>
        <v/>
      </c>
      <c r="B1892" s="39"/>
      <c r="C1892" s="39"/>
      <c r="D1892" s="39"/>
      <c r="E1892" s="39"/>
      <c r="F1892" s="39"/>
      <c r="G1892" s="39"/>
      <c r="H1892" s="40" t="str">
        <f>IF($AA1891=0,"",IF(LEN(INDEX(Quotes!$W$9:$W$258,$AA1891)&amp;"")=0,"",INDEX(Quotes!$W$9:$W$258,$AA1891)))</f>
        <v/>
      </c>
      <c r="I1892" s="39"/>
      <c r="J1892" s="39"/>
      <c r="K1892" s="39"/>
      <c r="L1892" s="39"/>
      <c r="M1892" s="39"/>
      <c r="N1892" s="39"/>
      <c r="O1892" s="39"/>
      <c r="P1892" s="39"/>
      <c r="Q1892" s="39"/>
      <c r="R1892" s="77" t="str">
        <f>IF($AA1891=0,"",IF(LEN(INDEX(Quotes!$X$9:$X$258,$AA1891)&amp;"")=0,"",INDEX(Quotes!$X$9:$X$258,$AA1891)))</f>
        <v/>
      </c>
      <c r="S1892" s="39"/>
      <c r="T1892" s="39"/>
      <c r="U1892" s="39"/>
      <c r="V1892" s="39"/>
    </row>
    <row r="1893" spans="1:27" ht="21" hidden="1" customHeight="1" x14ac:dyDescent="0.35">
      <c r="A1893" s="83" t="str">
        <f>IF($AA1891=0,"","ORIGINAL EUR")</f>
        <v/>
      </c>
      <c r="B1893" s="39"/>
      <c r="C1893" s="39"/>
      <c r="D1893" s="39"/>
      <c r="E1893" s="39"/>
      <c r="F1893" s="39"/>
      <c r="G1893" s="39"/>
      <c r="I1893" s="83" t="str">
        <f>IF($AA1891=0,"","LATEST EUR")</f>
        <v/>
      </c>
      <c r="J1893" s="39"/>
      <c r="K1893" s="39"/>
      <c r="L1893" s="39"/>
      <c r="M1893" s="39"/>
      <c r="N1893" s="39"/>
      <c r="O1893" s="39"/>
      <c r="Q1893" s="83" t="str">
        <f>IF($AA1891=0,"","SAVED EUR")</f>
        <v/>
      </c>
      <c r="R1893" s="39"/>
      <c r="S1893" s="39"/>
      <c r="T1893" s="39"/>
      <c r="U1893" s="39"/>
      <c r="V1893" s="39"/>
    </row>
    <row r="1894" spans="1:27" ht="21" hidden="1" customHeight="1" x14ac:dyDescent="0.35">
      <c r="A1894" s="82" t="str">
        <f>IF($AA1891=0,"",IF(LEN(INDEX(Quotes!$AB$9:$AB$258,$AA1891)&amp;"")=0,"",INDEX(Quotes!$AB$9:$AB$258,$AA1891)))</f>
        <v/>
      </c>
      <c r="B1894" s="39"/>
      <c r="C1894" s="39"/>
      <c r="D1894" s="39"/>
      <c r="E1894" s="39"/>
      <c r="F1894" s="39"/>
      <c r="G1894" s="39"/>
      <c r="I1894" s="82" t="str">
        <f>IF($AA1891=0,"",IF(LEN(INDEX(Quotes!$AD$9:$AD$258,$AA1891)&amp;"")=0,"",INDEX(Quotes!$AD$9:$AD$258,$AA1891)))</f>
        <v/>
      </c>
      <c r="J1894" s="39"/>
      <c r="K1894" s="39"/>
      <c r="L1894" s="39"/>
      <c r="M1894" s="39"/>
      <c r="N1894" s="39"/>
      <c r="O1894" s="39"/>
      <c r="Q1894" s="82" t="str">
        <f>IF($AA1891=0,"",IF(LEN(INDEX(Quotes!$AF$9:$AF$258,$AA1891)&amp;"")=0,"",INDEX(Quotes!$AF$9:$AF$258,$AA1891)))</f>
        <v/>
      </c>
      <c r="R1894" s="39"/>
      <c r="S1894" s="39"/>
      <c r="T1894" s="39"/>
      <c r="U1894" s="39"/>
      <c r="V1894" s="39"/>
    </row>
    <row r="1895" spans="1:27" ht="21" hidden="1" customHeight="1" x14ac:dyDescent="0.35">
      <c r="A1895" s="48" t="str">
        <f>IF($AA1891=0,"","Reference: "&amp;IF(INDEX(Quotes!$M$9:$M$258,$AA1891)="",INDEX(Quotes!$S$9:$S$258,$AA1891),INDEX(Quotes!$M$9:$M$258,$AA1891)))</f>
        <v/>
      </c>
      <c r="B1895" s="39"/>
      <c r="C1895" s="39"/>
      <c r="D1895" s="39"/>
      <c r="E1895" s="39"/>
      <c r="F1895" s="39"/>
      <c r="G1895" s="39"/>
      <c r="H1895" s="39"/>
      <c r="I1895" s="39"/>
      <c r="J1895" s="39"/>
      <c r="K1895" s="39"/>
      <c r="L1895" s="39"/>
      <c r="M1895" s="39"/>
      <c r="N1895" s="39"/>
      <c r="O1895" s="39"/>
      <c r="P1895" s="39"/>
      <c r="Q1895" s="48" t="str">
        <f>IF($AA1891=0,"",INDEX(Quotes!$E$9:$E$258,$AA1891))</f>
        <v/>
      </c>
      <c r="R1895" s="39"/>
      <c r="S1895" s="39"/>
      <c r="T1895" s="39"/>
      <c r="U1895" s="39"/>
      <c r="V1895" s="39"/>
    </row>
    <row r="1896" spans="1:27" ht="21" hidden="1" customHeight="1" x14ac:dyDescent="0.35">
      <c r="A1896" s="81" t="str">
        <f>IF($AA1891=0,"",IF(INDEX(Quotes!$N$9:$N$258,$AA1891)="","No original link","Original quote"))</f>
        <v/>
      </c>
      <c r="B1896" s="39"/>
      <c r="C1896" s="39"/>
      <c r="D1896" s="39"/>
      <c r="E1896" s="39"/>
      <c r="F1896" s="39"/>
      <c r="G1896" s="39"/>
      <c r="I1896" s="81" t="str">
        <f>IF($AA1891=0,"",IF(INDEX(Quotes!$O$9:$O$258,$AA1891)="","No revised link","Revised quote"))</f>
        <v/>
      </c>
      <c r="J1896" s="39"/>
      <c r="K1896" s="39"/>
      <c r="L1896" s="39"/>
      <c r="M1896" s="39"/>
      <c r="N1896" s="39"/>
      <c r="O1896" s="39"/>
      <c r="Q1896" s="81" t="str">
        <f>IF($AA1891=0,"",HYPERLINK("#'Quotes'!A"&amp;($AA1891+8),"Open quote record"))</f>
        <v/>
      </c>
      <c r="R1896" s="39"/>
      <c r="S1896" s="39"/>
      <c r="T1896" s="39"/>
      <c r="U1896" s="39"/>
      <c r="V1896" s="39"/>
    </row>
    <row r="1897" spans="1:27" ht="21" hidden="1" customHeight="1" x14ac:dyDescent="0.35"/>
    <row r="1898" spans="1:27" hidden="1" x14ac:dyDescent="0.35"/>
    <row r="1899" spans="1:27" hidden="1" x14ac:dyDescent="0.35"/>
    <row r="1900" spans="1:27" hidden="1" x14ac:dyDescent="0.35"/>
    <row r="1901" spans="1:27" hidden="1" x14ac:dyDescent="0.35">
      <c r="A1901" s="67" t="s">
        <v>655</v>
      </c>
      <c r="B1901" s="39"/>
      <c r="C1901" s="39"/>
      <c r="D1901" s="39"/>
      <c r="E1901" s="39"/>
      <c r="F1901" s="39"/>
      <c r="G1901" s="39"/>
      <c r="H1901" s="39"/>
      <c r="I1901" s="39"/>
      <c r="J1901" s="39"/>
      <c r="K1901" s="39"/>
      <c r="L1901" s="39"/>
      <c r="M1901" s="39"/>
      <c r="N1901" s="39"/>
      <c r="O1901" s="39"/>
      <c r="P1901" s="39"/>
      <c r="Q1901" s="39"/>
      <c r="R1901" s="39"/>
      <c r="S1901" s="39"/>
      <c r="T1901" s="39"/>
      <c r="U1901" s="39"/>
      <c r="V1901" s="39"/>
    </row>
    <row r="1902" spans="1:27" ht="29" hidden="1" customHeight="1" x14ac:dyDescent="0.35">
      <c r="A1902" s="84" t="str">
        <f>IF($AA1902=0,"",IF(LEN(INDEX(Quotes!$U$9:$U$258,$AA1902)&amp;"")=0,"",INDEX(Quotes!$U$9:$U$258,$AA1902)))</f>
        <v/>
      </c>
      <c r="B1902" s="39"/>
      <c r="C1902" s="39"/>
      <c r="D1902" s="39"/>
      <c r="E1902" s="39"/>
      <c r="F1902" s="39"/>
      <c r="G1902" s="39"/>
      <c r="H1902" s="39"/>
      <c r="I1902" s="39"/>
      <c r="J1902" s="39"/>
      <c r="K1902" s="85" t="str">
        <f>IF($AA1902=0,"",IF(LEN(INDEX(Quotes!$Z$9:$Z$258,$AA1902)&amp;"")=0,"",INDEX(Quotes!$Z$9:$Z$258,$AA1902)))</f>
        <v/>
      </c>
      <c r="L1902" s="39"/>
      <c r="M1902" s="39"/>
      <c r="N1902" s="39"/>
      <c r="O1902" s="39"/>
      <c r="P1902" s="39"/>
      <c r="Q1902" s="39"/>
      <c r="R1902" s="39"/>
      <c r="S1902" s="39"/>
      <c r="T1902" s="39"/>
      <c r="U1902" s="39"/>
      <c r="V1902" s="39"/>
      <c r="AA1902">
        <f>IFERROR(MATCH(197,Quotes!$AK$9:$AK$258,0),0)</f>
        <v>0</v>
      </c>
    </row>
    <row r="1903" spans="1:27" ht="21" hidden="1" customHeight="1" x14ac:dyDescent="0.35">
      <c r="A1903" s="40" t="str">
        <f>IF($AA1902=0,"",IF(LEN(INDEX(Quotes!$V$9:$V$258,$AA1902)&amp;"")=0,"",INDEX(Quotes!$V$9:$V$258,$AA1902)))</f>
        <v/>
      </c>
      <c r="B1903" s="39"/>
      <c r="C1903" s="39"/>
      <c r="D1903" s="39"/>
      <c r="E1903" s="39"/>
      <c r="F1903" s="39"/>
      <c r="G1903" s="39"/>
      <c r="H1903" s="40" t="str">
        <f>IF($AA1902=0,"",IF(LEN(INDEX(Quotes!$W$9:$W$258,$AA1902)&amp;"")=0,"",INDEX(Quotes!$W$9:$W$258,$AA1902)))</f>
        <v/>
      </c>
      <c r="I1903" s="39"/>
      <c r="J1903" s="39"/>
      <c r="K1903" s="39"/>
      <c r="L1903" s="39"/>
      <c r="M1903" s="39"/>
      <c r="N1903" s="39"/>
      <c r="O1903" s="39"/>
      <c r="P1903" s="39"/>
      <c r="Q1903" s="39"/>
      <c r="R1903" s="77" t="str">
        <f>IF($AA1902=0,"",IF(LEN(INDEX(Quotes!$X$9:$X$258,$AA1902)&amp;"")=0,"",INDEX(Quotes!$X$9:$X$258,$AA1902)))</f>
        <v/>
      </c>
      <c r="S1903" s="39"/>
      <c r="T1903" s="39"/>
      <c r="U1903" s="39"/>
      <c r="V1903" s="39"/>
    </row>
    <row r="1904" spans="1:27" ht="21" hidden="1" customHeight="1" x14ac:dyDescent="0.35">
      <c r="A1904" s="83" t="str">
        <f>IF($AA1902=0,"","ORIGINAL EUR")</f>
        <v/>
      </c>
      <c r="B1904" s="39"/>
      <c r="C1904" s="39"/>
      <c r="D1904" s="39"/>
      <c r="E1904" s="39"/>
      <c r="F1904" s="39"/>
      <c r="G1904" s="39"/>
      <c r="I1904" s="83" t="str">
        <f>IF($AA1902=0,"","LATEST EUR")</f>
        <v/>
      </c>
      <c r="J1904" s="39"/>
      <c r="K1904" s="39"/>
      <c r="L1904" s="39"/>
      <c r="M1904" s="39"/>
      <c r="N1904" s="39"/>
      <c r="O1904" s="39"/>
      <c r="Q1904" s="83" t="str">
        <f>IF($AA1902=0,"","SAVED EUR")</f>
        <v/>
      </c>
      <c r="R1904" s="39"/>
      <c r="S1904" s="39"/>
      <c r="T1904" s="39"/>
      <c r="U1904" s="39"/>
      <c r="V1904" s="39"/>
    </row>
    <row r="1905" spans="1:27" ht="21" hidden="1" customHeight="1" x14ac:dyDescent="0.35">
      <c r="A1905" s="82" t="str">
        <f>IF($AA1902=0,"",IF(LEN(INDEX(Quotes!$AB$9:$AB$258,$AA1902)&amp;"")=0,"",INDEX(Quotes!$AB$9:$AB$258,$AA1902)))</f>
        <v/>
      </c>
      <c r="B1905" s="39"/>
      <c r="C1905" s="39"/>
      <c r="D1905" s="39"/>
      <c r="E1905" s="39"/>
      <c r="F1905" s="39"/>
      <c r="G1905" s="39"/>
      <c r="I1905" s="82" t="str">
        <f>IF($AA1902=0,"",IF(LEN(INDEX(Quotes!$AD$9:$AD$258,$AA1902)&amp;"")=0,"",INDEX(Quotes!$AD$9:$AD$258,$AA1902)))</f>
        <v/>
      </c>
      <c r="J1905" s="39"/>
      <c r="K1905" s="39"/>
      <c r="L1905" s="39"/>
      <c r="M1905" s="39"/>
      <c r="N1905" s="39"/>
      <c r="O1905" s="39"/>
      <c r="Q1905" s="82" t="str">
        <f>IF($AA1902=0,"",IF(LEN(INDEX(Quotes!$AF$9:$AF$258,$AA1902)&amp;"")=0,"",INDEX(Quotes!$AF$9:$AF$258,$AA1902)))</f>
        <v/>
      </c>
      <c r="R1905" s="39"/>
      <c r="S1905" s="39"/>
      <c r="T1905" s="39"/>
      <c r="U1905" s="39"/>
      <c r="V1905" s="39"/>
    </row>
    <row r="1906" spans="1:27" ht="21" hidden="1" customHeight="1" x14ac:dyDescent="0.35">
      <c r="A1906" s="48" t="str">
        <f>IF($AA1902=0,"","Reference: "&amp;IF(INDEX(Quotes!$M$9:$M$258,$AA1902)="",INDEX(Quotes!$S$9:$S$258,$AA1902),INDEX(Quotes!$M$9:$M$258,$AA1902)))</f>
        <v/>
      </c>
      <c r="B1906" s="39"/>
      <c r="C1906" s="39"/>
      <c r="D1906" s="39"/>
      <c r="E1906" s="39"/>
      <c r="F1906" s="39"/>
      <c r="G1906" s="39"/>
      <c r="H1906" s="39"/>
      <c r="I1906" s="39"/>
      <c r="J1906" s="39"/>
      <c r="K1906" s="39"/>
      <c r="L1906" s="39"/>
      <c r="M1906" s="39"/>
      <c r="N1906" s="39"/>
      <c r="O1906" s="39"/>
      <c r="P1906" s="39"/>
      <c r="Q1906" s="48" t="str">
        <f>IF($AA1902=0,"",INDEX(Quotes!$E$9:$E$258,$AA1902))</f>
        <v/>
      </c>
      <c r="R1906" s="39"/>
      <c r="S1906" s="39"/>
      <c r="T1906" s="39"/>
      <c r="U1906" s="39"/>
      <c r="V1906" s="39"/>
    </row>
    <row r="1907" spans="1:27" ht="21" hidden="1" customHeight="1" x14ac:dyDescent="0.35">
      <c r="A1907" s="81" t="str">
        <f>IF($AA1902=0,"",IF(INDEX(Quotes!$N$9:$N$258,$AA1902)="","No original link","Original quote"))</f>
        <v/>
      </c>
      <c r="B1907" s="39"/>
      <c r="C1907" s="39"/>
      <c r="D1907" s="39"/>
      <c r="E1907" s="39"/>
      <c r="F1907" s="39"/>
      <c r="G1907" s="39"/>
      <c r="I1907" s="81" t="str">
        <f>IF($AA1902=0,"",IF(INDEX(Quotes!$O$9:$O$258,$AA1902)="","No revised link","Revised quote"))</f>
        <v/>
      </c>
      <c r="J1907" s="39"/>
      <c r="K1907" s="39"/>
      <c r="L1907" s="39"/>
      <c r="M1907" s="39"/>
      <c r="N1907" s="39"/>
      <c r="O1907" s="39"/>
      <c r="Q1907" s="81" t="str">
        <f>IF($AA1902=0,"",HYPERLINK("#'Quotes'!A"&amp;($AA1902+8),"Open quote record"))</f>
        <v/>
      </c>
      <c r="R1907" s="39"/>
      <c r="S1907" s="39"/>
      <c r="T1907" s="39"/>
      <c r="U1907" s="39"/>
      <c r="V1907" s="39"/>
    </row>
    <row r="1908" spans="1:27" ht="21" hidden="1" customHeight="1" x14ac:dyDescent="0.35"/>
    <row r="1909" spans="1:27" hidden="1" x14ac:dyDescent="0.35"/>
    <row r="1910" spans="1:27" hidden="1" x14ac:dyDescent="0.35"/>
    <row r="1911" spans="1:27" ht="29" hidden="1" customHeight="1" x14ac:dyDescent="0.35">
      <c r="A1911" s="84" t="str">
        <f>IF($AA1911=0,"",IF(LEN(INDEX(Quotes!$U$9:$U$258,$AA1911)&amp;"")=0,"",INDEX(Quotes!$U$9:$U$258,$AA1911)))</f>
        <v/>
      </c>
      <c r="B1911" s="39"/>
      <c r="C1911" s="39"/>
      <c r="D1911" s="39"/>
      <c r="E1911" s="39"/>
      <c r="F1911" s="39"/>
      <c r="G1911" s="39"/>
      <c r="H1911" s="39"/>
      <c r="I1911" s="39"/>
      <c r="J1911" s="39"/>
      <c r="K1911" s="85" t="str">
        <f>IF($AA1911=0,"",IF(LEN(INDEX(Quotes!$Z$9:$Z$258,$AA1911)&amp;"")=0,"",INDEX(Quotes!$Z$9:$Z$258,$AA1911)))</f>
        <v/>
      </c>
      <c r="L1911" s="39"/>
      <c r="M1911" s="39"/>
      <c r="N1911" s="39"/>
      <c r="O1911" s="39"/>
      <c r="P1911" s="39"/>
      <c r="Q1911" s="39"/>
      <c r="R1911" s="39"/>
      <c r="S1911" s="39"/>
      <c r="T1911" s="39"/>
      <c r="U1911" s="39"/>
      <c r="V1911" s="39"/>
      <c r="AA1911">
        <f>IFERROR(MATCH(198,Quotes!$AK$9:$AK$258,0),0)</f>
        <v>0</v>
      </c>
    </row>
    <row r="1912" spans="1:27" ht="21" hidden="1" customHeight="1" x14ac:dyDescent="0.35">
      <c r="A1912" s="40" t="str">
        <f>IF($AA1911=0,"",IF(LEN(INDEX(Quotes!$V$9:$V$258,$AA1911)&amp;"")=0,"",INDEX(Quotes!$V$9:$V$258,$AA1911)))</f>
        <v/>
      </c>
      <c r="B1912" s="39"/>
      <c r="C1912" s="39"/>
      <c r="D1912" s="39"/>
      <c r="E1912" s="39"/>
      <c r="F1912" s="39"/>
      <c r="G1912" s="39"/>
      <c r="H1912" s="40" t="str">
        <f>IF($AA1911=0,"",IF(LEN(INDEX(Quotes!$W$9:$W$258,$AA1911)&amp;"")=0,"",INDEX(Quotes!$W$9:$W$258,$AA1911)))</f>
        <v/>
      </c>
      <c r="I1912" s="39"/>
      <c r="J1912" s="39"/>
      <c r="K1912" s="39"/>
      <c r="L1912" s="39"/>
      <c r="M1912" s="39"/>
      <c r="N1912" s="39"/>
      <c r="O1912" s="39"/>
      <c r="P1912" s="39"/>
      <c r="Q1912" s="39"/>
      <c r="R1912" s="77" t="str">
        <f>IF($AA1911=0,"",IF(LEN(INDEX(Quotes!$X$9:$X$258,$AA1911)&amp;"")=0,"",INDEX(Quotes!$X$9:$X$258,$AA1911)))</f>
        <v/>
      </c>
      <c r="S1912" s="39"/>
      <c r="T1912" s="39"/>
      <c r="U1912" s="39"/>
      <c r="V1912" s="39"/>
    </row>
    <row r="1913" spans="1:27" ht="21" hidden="1" customHeight="1" x14ac:dyDescent="0.35">
      <c r="A1913" s="83" t="str">
        <f>IF($AA1911=0,"","ORIGINAL EUR")</f>
        <v/>
      </c>
      <c r="B1913" s="39"/>
      <c r="C1913" s="39"/>
      <c r="D1913" s="39"/>
      <c r="E1913" s="39"/>
      <c r="F1913" s="39"/>
      <c r="G1913" s="39"/>
      <c r="I1913" s="83" t="str">
        <f>IF($AA1911=0,"","LATEST EUR")</f>
        <v/>
      </c>
      <c r="J1913" s="39"/>
      <c r="K1913" s="39"/>
      <c r="L1913" s="39"/>
      <c r="M1913" s="39"/>
      <c r="N1913" s="39"/>
      <c r="O1913" s="39"/>
      <c r="Q1913" s="83" t="str">
        <f>IF($AA1911=0,"","SAVED EUR")</f>
        <v/>
      </c>
      <c r="R1913" s="39"/>
      <c r="S1913" s="39"/>
      <c r="T1913" s="39"/>
      <c r="U1913" s="39"/>
      <c r="V1913" s="39"/>
    </row>
    <row r="1914" spans="1:27" ht="21" hidden="1" customHeight="1" x14ac:dyDescent="0.35">
      <c r="A1914" s="82" t="str">
        <f>IF($AA1911=0,"",IF(LEN(INDEX(Quotes!$AB$9:$AB$258,$AA1911)&amp;"")=0,"",INDEX(Quotes!$AB$9:$AB$258,$AA1911)))</f>
        <v/>
      </c>
      <c r="B1914" s="39"/>
      <c r="C1914" s="39"/>
      <c r="D1914" s="39"/>
      <c r="E1914" s="39"/>
      <c r="F1914" s="39"/>
      <c r="G1914" s="39"/>
      <c r="I1914" s="82" t="str">
        <f>IF($AA1911=0,"",IF(LEN(INDEX(Quotes!$AD$9:$AD$258,$AA1911)&amp;"")=0,"",INDEX(Quotes!$AD$9:$AD$258,$AA1911)))</f>
        <v/>
      </c>
      <c r="J1914" s="39"/>
      <c r="K1914" s="39"/>
      <c r="L1914" s="39"/>
      <c r="M1914" s="39"/>
      <c r="N1914" s="39"/>
      <c r="O1914" s="39"/>
      <c r="Q1914" s="82" t="str">
        <f>IF($AA1911=0,"",IF(LEN(INDEX(Quotes!$AF$9:$AF$258,$AA1911)&amp;"")=0,"",INDEX(Quotes!$AF$9:$AF$258,$AA1911)))</f>
        <v/>
      </c>
      <c r="R1914" s="39"/>
      <c r="S1914" s="39"/>
      <c r="T1914" s="39"/>
      <c r="U1914" s="39"/>
      <c r="V1914" s="39"/>
    </row>
    <row r="1915" spans="1:27" ht="21" hidden="1" customHeight="1" x14ac:dyDescent="0.35">
      <c r="A1915" s="48" t="str">
        <f>IF($AA1911=0,"","Reference: "&amp;IF(INDEX(Quotes!$M$9:$M$258,$AA1911)="",INDEX(Quotes!$S$9:$S$258,$AA1911),INDEX(Quotes!$M$9:$M$258,$AA1911)))</f>
        <v/>
      </c>
      <c r="B1915" s="39"/>
      <c r="C1915" s="39"/>
      <c r="D1915" s="39"/>
      <c r="E1915" s="39"/>
      <c r="F1915" s="39"/>
      <c r="G1915" s="39"/>
      <c r="H1915" s="39"/>
      <c r="I1915" s="39"/>
      <c r="J1915" s="39"/>
      <c r="K1915" s="39"/>
      <c r="L1915" s="39"/>
      <c r="M1915" s="39"/>
      <c r="N1915" s="39"/>
      <c r="O1915" s="39"/>
      <c r="P1915" s="39"/>
      <c r="Q1915" s="48" t="str">
        <f>IF($AA1911=0,"",INDEX(Quotes!$E$9:$E$258,$AA1911))</f>
        <v/>
      </c>
      <c r="R1915" s="39"/>
      <c r="S1915" s="39"/>
      <c r="T1915" s="39"/>
      <c r="U1915" s="39"/>
      <c r="V1915" s="39"/>
    </row>
    <row r="1916" spans="1:27" ht="21" hidden="1" customHeight="1" x14ac:dyDescent="0.35">
      <c r="A1916" s="81" t="str">
        <f>IF($AA1911=0,"",IF(INDEX(Quotes!$N$9:$N$258,$AA1911)="","No original link","Original quote"))</f>
        <v/>
      </c>
      <c r="B1916" s="39"/>
      <c r="C1916" s="39"/>
      <c r="D1916" s="39"/>
      <c r="E1916" s="39"/>
      <c r="F1916" s="39"/>
      <c r="G1916" s="39"/>
      <c r="I1916" s="81" t="str">
        <f>IF($AA1911=0,"",IF(INDEX(Quotes!$O$9:$O$258,$AA1911)="","No revised link","Revised quote"))</f>
        <v/>
      </c>
      <c r="J1916" s="39"/>
      <c r="K1916" s="39"/>
      <c r="L1916" s="39"/>
      <c r="M1916" s="39"/>
      <c r="N1916" s="39"/>
      <c r="O1916" s="39"/>
      <c r="Q1916" s="81" t="str">
        <f>IF($AA1911=0,"",HYPERLINK("#'Quotes'!A"&amp;($AA1911+8),"Open quote record"))</f>
        <v/>
      </c>
      <c r="R1916" s="39"/>
      <c r="S1916" s="39"/>
      <c r="T1916" s="39"/>
      <c r="U1916" s="39"/>
      <c r="V1916" s="39"/>
    </row>
    <row r="1917" spans="1:27" ht="21" hidden="1" customHeight="1" x14ac:dyDescent="0.35"/>
    <row r="1918" spans="1:27" hidden="1" x14ac:dyDescent="0.35"/>
    <row r="1919" spans="1:27" hidden="1" x14ac:dyDescent="0.35"/>
    <row r="1920" spans="1:27" ht="29" hidden="1" customHeight="1" x14ac:dyDescent="0.35">
      <c r="A1920" s="84" t="str">
        <f>IF($AA1920=0,"",IF(LEN(INDEX(Quotes!$U$9:$U$258,$AA1920)&amp;"")=0,"",INDEX(Quotes!$U$9:$U$258,$AA1920)))</f>
        <v/>
      </c>
      <c r="B1920" s="39"/>
      <c r="C1920" s="39"/>
      <c r="D1920" s="39"/>
      <c r="E1920" s="39"/>
      <c r="F1920" s="39"/>
      <c r="G1920" s="39"/>
      <c r="H1920" s="39"/>
      <c r="I1920" s="39"/>
      <c r="J1920" s="39"/>
      <c r="K1920" s="85" t="str">
        <f>IF($AA1920=0,"",IF(LEN(INDEX(Quotes!$Z$9:$Z$258,$AA1920)&amp;"")=0,"",INDEX(Quotes!$Z$9:$Z$258,$AA1920)))</f>
        <v/>
      </c>
      <c r="L1920" s="39"/>
      <c r="M1920" s="39"/>
      <c r="N1920" s="39"/>
      <c r="O1920" s="39"/>
      <c r="P1920" s="39"/>
      <c r="Q1920" s="39"/>
      <c r="R1920" s="39"/>
      <c r="S1920" s="39"/>
      <c r="T1920" s="39"/>
      <c r="U1920" s="39"/>
      <c r="V1920" s="39"/>
      <c r="AA1920">
        <f>IFERROR(MATCH(199,Quotes!$AK$9:$AK$258,0),0)</f>
        <v>0</v>
      </c>
    </row>
    <row r="1921" spans="1:27" ht="21" hidden="1" customHeight="1" x14ac:dyDescent="0.35">
      <c r="A1921" s="40" t="str">
        <f>IF($AA1920=0,"",IF(LEN(INDEX(Quotes!$V$9:$V$258,$AA1920)&amp;"")=0,"",INDEX(Quotes!$V$9:$V$258,$AA1920)))</f>
        <v/>
      </c>
      <c r="B1921" s="39"/>
      <c r="C1921" s="39"/>
      <c r="D1921" s="39"/>
      <c r="E1921" s="39"/>
      <c r="F1921" s="39"/>
      <c r="G1921" s="39"/>
      <c r="H1921" s="40" t="str">
        <f>IF($AA1920=0,"",IF(LEN(INDEX(Quotes!$W$9:$W$258,$AA1920)&amp;"")=0,"",INDEX(Quotes!$W$9:$W$258,$AA1920)))</f>
        <v/>
      </c>
      <c r="I1921" s="39"/>
      <c r="J1921" s="39"/>
      <c r="K1921" s="39"/>
      <c r="L1921" s="39"/>
      <c r="M1921" s="39"/>
      <c r="N1921" s="39"/>
      <c r="O1921" s="39"/>
      <c r="P1921" s="39"/>
      <c r="Q1921" s="39"/>
      <c r="R1921" s="77" t="str">
        <f>IF($AA1920=0,"",IF(LEN(INDEX(Quotes!$X$9:$X$258,$AA1920)&amp;"")=0,"",INDEX(Quotes!$X$9:$X$258,$AA1920)))</f>
        <v/>
      </c>
      <c r="S1921" s="39"/>
      <c r="T1921" s="39"/>
      <c r="U1921" s="39"/>
      <c r="V1921" s="39"/>
    </row>
    <row r="1922" spans="1:27" ht="21" hidden="1" customHeight="1" x14ac:dyDescent="0.35">
      <c r="A1922" s="83" t="str">
        <f>IF($AA1920=0,"","ORIGINAL EUR")</f>
        <v/>
      </c>
      <c r="B1922" s="39"/>
      <c r="C1922" s="39"/>
      <c r="D1922" s="39"/>
      <c r="E1922" s="39"/>
      <c r="F1922" s="39"/>
      <c r="G1922" s="39"/>
      <c r="I1922" s="83" t="str">
        <f>IF($AA1920=0,"","LATEST EUR")</f>
        <v/>
      </c>
      <c r="J1922" s="39"/>
      <c r="K1922" s="39"/>
      <c r="L1922" s="39"/>
      <c r="M1922" s="39"/>
      <c r="N1922" s="39"/>
      <c r="O1922" s="39"/>
      <c r="Q1922" s="83" t="str">
        <f>IF($AA1920=0,"","SAVED EUR")</f>
        <v/>
      </c>
      <c r="R1922" s="39"/>
      <c r="S1922" s="39"/>
      <c r="T1922" s="39"/>
      <c r="U1922" s="39"/>
      <c r="V1922" s="39"/>
    </row>
    <row r="1923" spans="1:27" ht="21" hidden="1" customHeight="1" x14ac:dyDescent="0.35">
      <c r="A1923" s="82" t="str">
        <f>IF($AA1920=0,"",IF(LEN(INDEX(Quotes!$AB$9:$AB$258,$AA1920)&amp;"")=0,"",INDEX(Quotes!$AB$9:$AB$258,$AA1920)))</f>
        <v/>
      </c>
      <c r="B1923" s="39"/>
      <c r="C1923" s="39"/>
      <c r="D1923" s="39"/>
      <c r="E1923" s="39"/>
      <c r="F1923" s="39"/>
      <c r="G1923" s="39"/>
      <c r="I1923" s="82" t="str">
        <f>IF($AA1920=0,"",IF(LEN(INDEX(Quotes!$AD$9:$AD$258,$AA1920)&amp;"")=0,"",INDEX(Quotes!$AD$9:$AD$258,$AA1920)))</f>
        <v/>
      </c>
      <c r="J1923" s="39"/>
      <c r="K1923" s="39"/>
      <c r="L1923" s="39"/>
      <c r="M1923" s="39"/>
      <c r="N1923" s="39"/>
      <c r="O1923" s="39"/>
      <c r="Q1923" s="82" t="str">
        <f>IF($AA1920=0,"",IF(LEN(INDEX(Quotes!$AF$9:$AF$258,$AA1920)&amp;"")=0,"",INDEX(Quotes!$AF$9:$AF$258,$AA1920)))</f>
        <v/>
      </c>
      <c r="R1923" s="39"/>
      <c r="S1923" s="39"/>
      <c r="T1923" s="39"/>
      <c r="U1923" s="39"/>
      <c r="V1923" s="39"/>
    </row>
    <row r="1924" spans="1:27" ht="21" hidden="1" customHeight="1" x14ac:dyDescent="0.35">
      <c r="A1924" s="48" t="str">
        <f>IF($AA1920=0,"","Reference: "&amp;IF(INDEX(Quotes!$M$9:$M$258,$AA1920)="",INDEX(Quotes!$S$9:$S$258,$AA1920),INDEX(Quotes!$M$9:$M$258,$AA1920)))</f>
        <v/>
      </c>
      <c r="B1924" s="39"/>
      <c r="C1924" s="39"/>
      <c r="D1924" s="39"/>
      <c r="E1924" s="39"/>
      <c r="F1924" s="39"/>
      <c r="G1924" s="39"/>
      <c r="H1924" s="39"/>
      <c r="I1924" s="39"/>
      <c r="J1924" s="39"/>
      <c r="K1924" s="39"/>
      <c r="L1924" s="39"/>
      <c r="M1924" s="39"/>
      <c r="N1924" s="39"/>
      <c r="O1924" s="39"/>
      <c r="P1924" s="39"/>
      <c r="Q1924" s="48" t="str">
        <f>IF($AA1920=0,"",INDEX(Quotes!$E$9:$E$258,$AA1920))</f>
        <v/>
      </c>
      <c r="R1924" s="39"/>
      <c r="S1924" s="39"/>
      <c r="T1924" s="39"/>
      <c r="U1924" s="39"/>
      <c r="V1924" s="39"/>
    </row>
    <row r="1925" spans="1:27" ht="21" hidden="1" customHeight="1" x14ac:dyDescent="0.35">
      <c r="A1925" s="81" t="str">
        <f>IF($AA1920=0,"",IF(INDEX(Quotes!$N$9:$N$258,$AA1920)="","No original link","Original quote"))</f>
        <v/>
      </c>
      <c r="B1925" s="39"/>
      <c r="C1925" s="39"/>
      <c r="D1925" s="39"/>
      <c r="E1925" s="39"/>
      <c r="F1925" s="39"/>
      <c r="G1925" s="39"/>
      <c r="I1925" s="81" t="str">
        <f>IF($AA1920=0,"",IF(INDEX(Quotes!$O$9:$O$258,$AA1920)="","No revised link","Revised quote"))</f>
        <v/>
      </c>
      <c r="J1925" s="39"/>
      <c r="K1925" s="39"/>
      <c r="L1925" s="39"/>
      <c r="M1925" s="39"/>
      <c r="N1925" s="39"/>
      <c r="O1925" s="39"/>
      <c r="Q1925" s="81" t="str">
        <f>IF($AA1920=0,"",HYPERLINK("#'Quotes'!A"&amp;($AA1920+8),"Open quote record"))</f>
        <v/>
      </c>
      <c r="R1925" s="39"/>
      <c r="S1925" s="39"/>
      <c r="T1925" s="39"/>
      <c r="U1925" s="39"/>
      <c r="V1925" s="39"/>
    </row>
    <row r="1926" spans="1:27" ht="21" hidden="1" customHeight="1" x14ac:dyDescent="0.35"/>
    <row r="1927" spans="1:27" hidden="1" x14ac:dyDescent="0.35"/>
    <row r="1928" spans="1:27" hidden="1" x14ac:dyDescent="0.35"/>
    <row r="1929" spans="1:27" ht="29" hidden="1" customHeight="1" x14ac:dyDescent="0.35">
      <c r="A1929" s="84" t="str">
        <f>IF($AA1929=0,"",IF(LEN(INDEX(Quotes!$U$9:$U$258,$AA1929)&amp;"")=0,"",INDEX(Quotes!$U$9:$U$258,$AA1929)))</f>
        <v/>
      </c>
      <c r="B1929" s="39"/>
      <c r="C1929" s="39"/>
      <c r="D1929" s="39"/>
      <c r="E1929" s="39"/>
      <c r="F1929" s="39"/>
      <c r="G1929" s="39"/>
      <c r="H1929" s="39"/>
      <c r="I1929" s="39"/>
      <c r="J1929" s="39"/>
      <c r="K1929" s="85" t="str">
        <f>IF($AA1929=0,"",IF(LEN(INDEX(Quotes!$Z$9:$Z$258,$AA1929)&amp;"")=0,"",INDEX(Quotes!$Z$9:$Z$258,$AA1929)))</f>
        <v/>
      </c>
      <c r="L1929" s="39"/>
      <c r="M1929" s="39"/>
      <c r="N1929" s="39"/>
      <c r="O1929" s="39"/>
      <c r="P1929" s="39"/>
      <c r="Q1929" s="39"/>
      <c r="R1929" s="39"/>
      <c r="S1929" s="39"/>
      <c r="T1929" s="39"/>
      <c r="U1929" s="39"/>
      <c r="V1929" s="39"/>
      <c r="AA1929">
        <f>IFERROR(MATCH(200,Quotes!$AK$9:$AK$258,0),0)</f>
        <v>0</v>
      </c>
    </row>
    <row r="1930" spans="1:27" ht="21" hidden="1" customHeight="1" x14ac:dyDescent="0.35">
      <c r="A1930" s="40" t="str">
        <f>IF($AA1929=0,"",IF(LEN(INDEX(Quotes!$V$9:$V$258,$AA1929)&amp;"")=0,"",INDEX(Quotes!$V$9:$V$258,$AA1929)))</f>
        <v/>
      </c>
      <c r="B1930" s="39"/>
      <c r="C1930" s="39"/>
      <c r="D1930" s="39"/>
      <c r="E1930" s="39"/>
      <c r="F1930" s="39"/>
      <c r="G1930" s="39"/>
      <c r="H1930" s="40" t="str">
        <f>IF($AA1929=0,"",IF(LEN(INDEX(Quotes!$W$9:$W$258,$AA1929)&amp;"")=0,"",INDEX(Quotes!$W$9:$W$258,$AA1929)))</f>
        <v/>
      </c>
      <c r="I1930" s="39"/>
      <c r="J1930" s="39"/>
      <c r="K1930" s="39"/>
      <c r="L1930" s="39"/>
      <c r="M1930" s="39"/>
      <c r="N1930" s="39"/>
      <c r="O1930" s="39"/>
      <c r="P1930" s="39"/>
      <c r="Q1930" s="39"/>
      <c r="R1930" s="77" t="str">
        <f>IF($AA1929=0,"",IF(LEN(INDEX(Quotes!$X$9:$X$258,$AA1929)&amp;"")=0,"",INDEX(Quotes!$X$9:$X$258,$AA1929)))</f>
        <v/>
      </c>
      <c r="S1930" s="39"/>
      <c r="T1930" s="39"/>
      <c r="U1930" s="39"/>
      <c r="V1930" s="39"/>
    </row>
    <row r="1931" spans="1:27" ht="21" hidden="1" customHeight="1" x14ac:dyDescent="0.35">
      <c r="A1931" s="83" t="str">
        <f>IF($AA1929=0,"","ORIGINAL EUR")</f>
        <v/>
      </c>
      <c r="B1931" s="39"/>
      <c r="C1931" s="39"/>
      <c r="D1931" s="39"/>
      <c r="E1931" s="39"/>
      <c r="F1931" s="39"/>
      <c r="G1931" s="39"/>
      <c r="I1931" s="83" t="str">
        <f>IF($AA1929=0,"","LATEST EUR")</f>
        <v/>
      </c>
      <c r="J1931" s="39"/>
      <c r="K1931" s="39"/>
      <c r="L1931" s="39"/>
      <c r="M1931" s="39"/>
      <c r="N1931" s="39"/>
      <c r="O1931" s="39"/>
      <c r="Q1931" s="83" t="str">
        <f>IF($AA1929=0,"","SAVED EUR")</f>
        <v/>
      </c>
      <c r="R1931" s="39"/>
      <c r="S1931" s="39"/>
      <c r="T1931" s="39"/>
      <c r="U1931" s="39"/>
      <c r="V1931" s="39"/>
    </row>
    <row r="1932" spans="1:27" ht="21" hidden="1" customHeight="1" x14ac:dyDescent="0.35">
      <c r="A1932" s="82" t="str">
        <f>IF($AA1929=0,"",IF(LEN(INDEX(Quotes!$AB$9:$AB$258,$AA1929)&amp;"")=0,"",INDEX(Quotes!$AB$9:$AB$258,$AA1929)))</f>
        <v/>
      </c>
      <c r="B1932" s="39"/>
      <c r="C1932" s="39"/>
      <c r="D1932" s="39"/>
      <c r="E1932" s="39"/>
      <c r="F1932" s="39"/>
      <c r="G1932" s="39"/>
      <c r="I1932" s="82" t="str">
        <f>IF($AA1929=0,"",IF(LEN(INDEX(Quotes!$AD$9:$AD$258,$AA1929)&amp;"")=0,"",INDEX(Quotes!$AD$9:$AD$258,$AA1929)))</f>
        <v/>
      </c>
      <c r="J1932" s="39"/>
      <c r="K1932" s="39"/>
      <c r="L1932" s="39"/>
      <c r="M1932" s="39"/>
      <c r="N1932" s="39"/>
      <c r="O1932" s="39"/>
      <c r="Q1932" s="82" t="str">
        <f>IF($AA1929=0,"",IF(LEN(INDEX(Quotes!$AF$9:$AF$258,$AA1929)&amp;"")=0,"",INDEX(Quotes!$AF$9:$AF$258,$AA1929)))</f>
        <v/>
      </c>
      <c r="R1932" s="39"/>
      <c r="S1932" s="39"/>
      <c r="T1932" s="39"/>
      <c r="U1932" s="39"/>
      <c r="V1932" s="39"/>
    </row>
    <row r="1933" spans="1:27" ht="21" hidden="1" customHeight="1" x14ac:dyDescent="0.35">
      <c r="A1933" s="48" t="str">
        <f>IF($AA1929=0,"","Reference: "&amp;IF(INDEX(Quotes!$M$9:$M$258,$AA1929)="",INDEX(Quotes!$S$9:$S$258,$AA1929),INDEX(Quotes!$M$9:$M$258,$AA1929)))</f>
        <v/>
      </c>
      <c r="B1933" s="39"/>
      <c r="C1933" s="39"/>
      <c r="D1933" s="39"/>
      <c r="E1933" s="39"/>
      <c r="F1933" s="39"/>
      <c r="G1933" s="39"/>
      <c r="H1933" s="39"/>
      <c r="I1933" s="39"/>
      <c r="J1933" s="39"/>
      <c r="K1933" s="39"/>
      <c r="L1933" s="39"/>
      <c r="M1933" s="39"/>
      <c r="N1933" s="39"/>
      <c r="O1933" s="39"/>
      <c r="P1933" s="39"/>
      <c r="Q1933" s="48" t="str">
        <f>IF($AA1929=0,"",INDEX(Quotes!$E$9:$E$258,$AA1929))</f>
        <v/>
      </c>
      <c r="R1933" s="39"/>
      <c r="S1933" s="39"/>
      <c r="T1933" s="39"/>
      <c r="U1933" s="39"/>
      <c r="V1933" s="39"/>
    </row>
    <row r="1934" spans="1:27" ht="21" hidden="1" customHeight="1" x14ac:dyDescent="0.35">
      <c r="A1934" s="81" t="str">
        <f>IF($AA1929=0,"",IF(INDEX(Quotes!$N$9:$N$258,$AA1929)="","No original link","Original quote"))</f>
        <v/>
      </c>
      <c r="B1934" s="39"/>
      <c r="C1934" s="39"/>
      <c r="D1934" s="39"/>
      <c r="E1934" s="39"/>
      <c r="F1934" s="39"/>
      <c r="G1934" s="39"/>
      <c r="I1934" s="81" t="str">
        <f>IF($AA1929=0,"",IF(INDEX(Quotes!$O$9:$O$258,$AA1929)="","No revised link","Revised quote"))</f>
        <v/>
      </c>
      <c r="J1934" s="39"/>
      <c r="K1934" s="39"/>
      <c r="L1934" s="39"/>
      <c r="M1934" s="39"/>
      <c r="N1934" s="39"/>
      <c r="O1934" s="39"/>
      <c r="Q1934" s="81" t="str">
        <f>IF($AA1929=0,"",HYPERLINK("#'Quotes'!A"&amp;($AA1929+8),"Open quote record"))</f>
        <v/>
      </c>
      <c r="R1934" s="39"/>
      <c r="S1934" s="39"/>
      <c r="T1934" s="39"/>
      <c r="U1934" s="39"/>
      <c r="V1934" s="39"/>
    </row>
    <row r="1935" spans="1:27" ht="21" hidden="1" customHeight="1" x14ac:dyDescent="0.35"/>
    <row r="1936" spans="1:27" hidden="1" x14ac:dyDescent="0.35"/>
    <row r="1937" spans="1:27" hidden="1" x14ac:dyDescent="0.35"/>
    <row r="1938" spans="1:27" hidden="1" x14ac:dyDescent="0.35"/>
    <row r="1939" spans="1:27" hidden="1" x14ac:dyDescent="0.35">
      <c r="A1939" s="67" t="s">
        <v>655</v>
      </c>
      <c r="B1939" s="39"/>
      <c r="C1939" s="39"/>
      <c r="D1939" s="39"/>
      <c r="E1939" s="39"/>
      <c r="F1939" s="39"/>
      <c r="G1939" s="39"/>
      <c r="H1939" s="39"/>
      <c r="I1939" s="39"/>
      <c r="J1939" s="39"/>
      <c r="K1939" s="39"/>
      <c r="L1939" s="39"/>
      <c r="M1939" s="39"/>
      <c r="N1939" s="39"/>
      <c r="O1939" s="39"/>
      <c r="P1939" s="39"/>
      <c r="Q1939" s="39"/>
      <c r="R1939" s="39"/>
      <c r="S1939" s="39"/>
      <c r="T1939" s="39"/>
      <c r="U1939" s="39"/>
      <c r="V1939" s="39"/>
    </row>
    <row r="1940" spans="1:27" ht="29" hidden="1" customHeight="1" x14ac:dyDescent="0.35">
      <c r="A1940" s="84" t="str">
        <f>IF($AA1940=0,"",IF(LEN(INDEX(Quotes!$U$9:$U$258,$AA1940)&amp;"")=0,"",INDEX(Quotes!$U$9:$U$258,$AA1940)))</f>
        <v/>
      </c>
      <c r="B1940" s="39"/>
      <c r="C1940" s="39"/>
      <c r="D1940" s="39"/>
      <c r="E1940" s="39"/>
      <c r="F1940" s="39"/>
      <c r="G1940" s="39"/>
      <c r="H1940" s="39"/>
      <c r="I1940" s="39"/>
      <c r="J1940" s="39"/>
      <c r="K1940" s="85" t="str">
        <f>IF($AA1940=0,"",IF(LEN(INDEX(Quotes!$Z$9:$Z$258,$AA1940)&amp;"")=0,"",INDEX(Quotes!$Z$9:$Z$258,$AA1940)))</f>
        <v/>
      </c>
      <c r="L1940" s="39"/>
      <c r="M1940" s="39"/>
      <c r="N1940" s="39"/>
      <c r="O1940" s="39"/>
      <c r="P1940" s="39"/>
      <c r="Q1940" s="39"/>
      <c r="R1940" s="39"/>
      <c r="S1940" s="39"/>
      <c r="T1940" s="39"/>
      <c r="U1940" s="39"/>
      <c r="V1940" s="39"/>
      <c r="AA1940">
        <f>IFERROR(MATCH(201,Quotes!$AK$9:$AK$258,0),0)</f>
        <v>0</v>
      </c>
    </row>
    <row r="1941" spans="1:27" ht="21" hidden="1" customHeight="1" x14ac:dyDescent="0.35">
      <c r="A1941" s="40" t="str">
        <f>IF($AA1940=0,"",IF(LEN(INDEX(Quotes!$V$9:$V$258,$AA1940)&amp;"")=0,"",INDEX(Quotes!$V$9:$V$258,$AA1940)))</f>
        <v/>
      </c>
      <c r="B1941" s="39"/>
      <c r="C1941" s="39"/>
      <c r="D1941" s="39"/>
      <c r="E1941" s="39"/>
      <c r="F1941" s="39"/>
      <c r="G1941" s="39"/>
      <c r="H1941" s="40" t="str">
        <f>IF($AA1940=0,"",IF(LEN(INDEX(Quotes!$W$9:$W$258,$AA1940)&amp;"")=0,"",INDEX(Quotes!$W$9:$W$258,$AA1940)))</f>
        <v/>
      </c>
      <c r="I1941" s="39"/>
      <c r="J1941" s="39"/>
      <c r="K1941" s="39"/>
      <c r="L1941" s="39"/>
      <c r="M1941" s="39"/>
      <c r="N1941" s="39"/>
      <c r="O1941" s="39"/>
      <c r="P1941" s="39"/>
      <c r="Q1941" s="39"/>
      <c r="R1941" s="77" t="str">
        <f>IF($AA1940=0,"",IF(LEN(INDEX(Quotes!$X$9:$X$258,$AA1940)&amp;"")=0,"",INDEX(Quotes!$X$9:$X$258,$AA1940)))</f>
        <v/>
      </c>
      <c r="S1941" s="39"/>
      <c r="T1941" s="39"/>
      <c r="U1941" s="39"/>
      <c r="V1941" s="39"/>
    </row>
    <row r="1942" spans="1:27" ht="21" hidden="1" customHeight="1" x14ac:dyDescent="0.35">
      <c r="A1942" s="83" t="str">
        <f>IF($AA1940=0,"","ORIGINAL EUR")</f>
        <v/>
      </c>
      <c r="B1942" s="39"/>
      <c r="C1942" s="39"/>
      <c r="D1942" s="39"/>
      <c r="E1942" s="39"/>
      <c r="F1942" s="39"/>
      <c r="G1942" s="39"/>
      <c r="I1942" s="83" t="str">
        <f>IF($AA1940=0,"","LATEST EUR")</f>
        <v/>
      </c>
      <c r="J1942" s="39"/>
      <c r="K1942" s="39"/>
      <c r="L1942" s="39"/>
      <c r="M1942" s="39"/>
      <c r="N1942" s="39"/>
      <c r="O1942" s="39"/>
      <c r="Q1942" s="83" t="str">
        <f>IF($AA1940=0,"","SAVED EUR")</f>
        <v/>
      </c>
      <c r="R1942" s="39"/>
      <c r="S1942" s="39"/>
      <c r="T1942" s="39"/>
      <c r="U1942" s="39"/>
      <c r="V1942" s="39"/>
    </row>
    <row r="1943" spans="1:27" ht="21" hidden="1" customHeight="1" x14ac:dyDescent="0.35">
      <c r="A1943" s="82" t="str">
        <f>IF($AA1940=0,"",IF(LEN(INDEX(Quotes!$AB$9:$AB$258,$AA1940)&amp;"")=0,"",INDEX(Quotes!$AB$9:$AB$258,$AA1940)))</f>
        <v/>
      </c>
      <c r="B1943" s="39"/>
      <c r="C1943" s="39"/>
      <c r="D1943" s="39"/>
      <c r="E1943" s="39"/>
      <c r="F1943" s="39"/>
      <c r="G1943" s="39"/>
      <c r="I1943" s="82" t="str">
        <f>IF($AA1940=0,"",IF(LEN(INDEX(Quotes!$AD$9:$AD$258,$AA1940)&amp;"")=0,"",INDEX(Quotes!$AD$9:$AD$258,$AA1940)))</f>
        <v/>
      </c>
      <c r="J1943" s="39"/>
      <c r="K1943" s="39"/>
      <c r="L1943" s="39"/>
      <c r="M1943" s="39"/>
      <c r="N1943" s="39"/>
      <c r="O1943" s="39"/>
      <c r="Q1943" s="82" t="str">
        <f>IF($AA1940=0,"",IF(LEN(INDEX(Quotes!$AF$9:$AF$258,$AA1940)&amp;"")=0,"",INDEX(Quotes!$AF$9:$AF$258,$AA1940)))</f>
        <v/>
      </c>
      <c r="R1943" s="39"/>
      <c r="S1943" s="39"/>
      <c r="T1943" s="39"/>
      <c r="U1943" s="39"/>
      <c r="V1943" s="39"/>
    </row>
    <row r="1944" spans="1:27" ht="21" hidden="1" customHeight="1" x14ac:dyDescent="0.35">
      <c r="A1944" s="48" t="str">
        <f>IF($AA1940=0,"","Reference: "&amp;IF(INDEX(Quotes!$M$9:$M$258,$AA1940)="",INDEX(Quotes!$S$9:$S$258,$AA1940),INDEX(Quotes!$M$9:$M$258,$AA1940)))</f>
        <v/>
      </c>
      <c r="B1944" s="39"/>
      <c r="C1944" s="39"/>
      <c r="D1944" s="39"/>
      <c r="E1944" s="39"/>
      <c r="F1944" s="39"/>
      <c r="G1944" s="39"/>
      <c r="H1944" s="39"/>
      <c r="I1944" s="39"/>
      <c r="J1944" s="39"/>
      <c r="K1944" s="39"/>
      <c r="L1944" s="39"/>
      <c r="M1944" s="39"/>
      <c r="N1944" s="39"/>
      <c r="O1944" s="39"/>
      <c r="P1944" s="39"/>
      <c r="Q1944" s="48" t="str">
        <f>IF($AA1940=0,"",INDEX(Quotes!$E$9:$E$258,$AA1940))</f>
        <v/>
      </c>
      <c r="R1944" s="39"/>
      <c r="S1944" s="39"/>
      <c r="T1944" s="39"/>
      <c r="U1944" s="39"/>
      <c r="V1944" s="39"/>
    </row>
    <row r="1945" spans="1:27" ht="21" hidden="1" customHeight="1" x14ac:dyDescent="0.35">
      <c r="A1945" s="81" t="str">
        <f>IF($AA1940=0,"",IF(INDEX(Quotes!$N$9:$N$258,$AA1940)="","No original link","Original quote"))</f>
        <v/>
      </c>
      <c r="B1945" s="39"/>
      <c r="C1945" s="39"/>
      <c r="D1945" s="39"/>
      <c r="E1945" s="39"/>
      <c r="F1945" s="39"/>
      <c r="G1945" s="39"/>
      <c r="I1945" s="81" t="str">
        <f>IF($AA1940=0,"",IF(INDEX(Quotes!$O$9:$O$258,$AA1940)="","No revised link","Revised quote"))</f>
        <v/>
      </c>
      <c r="J1945" s="39"/>
      <c r="K1945" s="39"/>
      <c r="L1945" s="39"/>
      <c r="M1945" s="39"/>
      <c r="N1945" s="39"/>
      <c r="O1945" s="39"/>
      <c r="Q1945" s="81" t="str">
        <f>IF($AA1940=0,"",HYPERLINK("#'Quotes'!A"&amp;($AA1940+8),"Open quote record"))</f>
        <v/>
      </c>
      <c r="R1945" s="39"/>
      <c r="S1945" s="39"/>
      <c r="T1945" s="39"/>
      <c r="U1945" s="39"/>
      <c r="V1945" s="39"/>
    </row>
    <row r="1946" spans="1:27" ht="21" hidden="1" customHeight="1" x14ac:dyDescent="0.35"/>
    <row r="1947" spans="1:27" hidden="1" x14ac:dyDescent="0.35"/>
    <row r="1948" spans="1:27" hidden="1" x14ac:dyDescent="0.35"/>
    <row r="1949" spans="1:27" ht="29" hidden="1" customHeight="1" x14ac:dyDescent="0.35">
      <c r="A1949" s="84" t="str">
        <f>IF($AA1949=0,"",IF(LEN(INDEX(Quotes!$U$9:$U$258,$AA1949)&amp;"")=0,"",INDEX(Quotes!$U$9:$U$258,$AA1949)))</f>
        <v/>
      </c>
      <c r="B1949" s="39"/>
      <c r="C1949" s="39"/>
      <c r="D1949" s="39"/>
      <c r="E1949" s="39"/>
      <c r="F1949" s="39"/>
      <c r="G1949" s="39"/>
      <c r="H1949" s="39"/>
      <c r="I1949" s="39"/>
      <c r="J1949" s="39"/>
      <c r="K1949" s="85" t="str">
        <f>IF($AA1949=0,"",IF(LEN(INDEX(Quotes!$Z$9:$Z$258,$AA1949)&amp;"")=0,"",INDEX(Quotes!$Z$9:$Z$258,$AA1949)))</f>
        <v/>
      </c>
      <c r="L1949" s="39"/>
      <c r="M1949" s="39"/>
      <c r="N1949" s="39"/>
      <c r="O1949" s="39"/>
      <c r="P1949" s="39"/>
      <c r="Q1949" s="39"/>
      <c r="R1949" s="39"/>
      <c r="S1949" s="39"/>
      <c r="T1949" s="39"/>
      <c r="U1949" s="39"/>
      <c r="V1949" s="39"/>
      <c r="AA1949">
        <f>IFERROR(MATCH(202,Quotes!$AK$9:$AK$258,0),0)</f>
        <v>0</v>
      </c>
    </row>
    <row r="1950" spans="1:27" ht="21" hidden="1" customHeight="1" x14ac:dyDescent="0.35">
      <c r="A1950" s="40" t="str">
        <f>IF($AA1949=0,"",IF(LEN(INDEX(Quotes!$V$9:$V$258,$AA1949)&amp;"")=0,"",INDEX(Quotes!$V$9:$V$258,$AA1949)))</f>
        <v/>
      </c>
      <c r="B1950" s="39"/>
      <c r="C1950" s="39"/>
      <c r="D1950" s="39"/>
      <c r="E1950" s="39"/>
      <c r="F1950" s="39"/>
      <c r="G1950" s="39"/>
      <c r="H1950" s="40" t="str">
        <f>IF($AA1949=0,"",IF(LEN(INDEX(Quotes!$W$9:$W$258,$AA1949)&amp;"")=0,"",INDEX(Quotes!$W$9:$W$258,$AA1949)))</f>
        <v/>
      </c>
      <c r="I1950" s="39"/>
      <c r="J1950" s="39"/>
      <c r="K1950" s="39"/>
      <c r="L1950" s="39"/>
      <c r="M1950" s="39"/>
      <c r="N1950" s="39"/>
      <c r="O1950" s="39"/>
      <c r="P1950" s="39"/>
      <c r="Q1950" s="39"/>
      <c r="R1950" s="77" t="str">
        <f>IF($AA1949=0,"",IF(LEN(INDEX(Quotes!$X$9:$X$258,$AA1949)&amp;"")=0,"",INDEX(Quotes!$X$9:$X$258,$AA1949)))</f>
        <v/>
      </c>
      <c r="S1950" s="39"/>
      <c r="T1950" s="39"/>
      <c r="U1950" s="39"/>
      <c r="V1950" s="39"/>
    </row>
    <row r="1951" spans="1:27" ht="21" hidden="1" customHeight="1" x14ac:dyDescent="0.35">
      <c r="A1951" s="83" t="str">
        <f>IF($AA1949=0,"","ORIGINAL EUR")</f>
        <v/>
      </c>
      <c r="B1951" s="39"/>
      <c r="C1951" s="39"/>
      <c r="D1951" s="39"/>
      <c r="E1951" s="39"/>
      <c r="F1951" s="39"/>
      <c r="G1951" s="39"/>
      <c r="I1951" s="83" t="str">
        <f>IF($AA1949=0,"","LATEST EUR")</f>
        <v/>
      </c>
      <c r="J1951" s="39"/>
      <c r="K1951" s="39"/>
      <c r="L1951" s="39"/>
      <c r="M1951" s="39"/>
      <c r="N1951" s="39"/>
      <c r="O1951" s="39"/>
      <c r="Q1951" s="83" t="str">
        <f>IF($AA1949=0,"","SAVED EUR")</f>
        <v/>
      </c>
      <c r="R1951" s="39"/>
      <c r="S1951" s="39"/>
      <c r="T1951" s="39"/>
      <c r="U1951" s="39"/>
      <c r="V1951" s="39"/>
    </row>
    <row r="1952" spans="1:27" ht="21" hidden="1" customHeight="1" x14ac:dyDescent="0.35">
      <c r="A1952" s="82" t="str">
        <f>IF($AA1949=0,"",IF(LEN(INDEX(Quotes!$AB$9:$AB$258,$AA1949)&amp;"")=0,"",INDEX(Quotes!$AB$9:$AB$258,$AA1949)))</f>
        <v/>
      </c>
      <c r="B1952" s="39"/>
      <c r="C1952" s="39"/>
      <c r="D1952" s="39"/>
      <c r="E1952" s="39"/>
      <c r="F1952" s="39"/>
      <c r="G1952" s="39"/>
      <c r="I1952" s="82" t="str">
        <f>IF($AA1949=0,"",IF(LEN(INDEX(Quotes!$AD$9:$AD$258,$AA1949)&amp;"")=0,"",INDEX(Quotes!$AD$9:$AD$258,$AA1949)))</f>
        <v/>
      </c>
      <c r="J1952" s="39"/>
      <c r="K1952" s="39"/>
      <c r="L1952" s="39"/>
      <c r="M1952" s="39"/>
      <c r="N1952" s="39"/>
      <c r="O1952" s="39"/>
      <c r="Q1952" s="82" t="str">
        <f>IF($AA1949=0,"",IF(LEN(INDEX(Quotes!$AF$9:$AF$258,$AA1949)&amp;"")=0,"",INDEX(Quotes!$AF$9:$AF$258,$AA1949)))</f>
        <v/>
      </c>
      <c r="R1952" s="39"/>
      <c r="S1952" s="39"/>
      <c r="T1952" s="39"/>
      <c r="U1952" s="39"/>
      <c r="V1952" s="39"/>
    </row>
    <row r="1953" spans="1:27" ht="21" hidden="1" customHeight="1" x14ac:dyDescent="0.35">
      <c r="A1953" s="48" t="str">
        <f>IF($AA1949=0,"","Reference: "&amp;IF(INDEX(Quotes!$M$9:$M$258,$AA1949)="",INDEX(Quotes!$S$9:$S$258,$AA1949),INDEX(Quotes!$M$9:$M$258,$AA1949)))</f>
        <v/>
      </c>
      <c r="B1953" s="39"/>
      <c r="C1953" s="39"/>
      <c r="D1953" s="39"/>
      <c r="E1953" s="39"/>
      <c r="F1953" s="39"/>
      <c r="G1953" s="39"/>
      <c r="H1953" s="39"/>
      <c r="I1953" s="39"/>
      <c r="J1953" s="39"/>
      <c r="K1953" s="39"/>
      <c r="L1953" s="39"/>
      <c r="M1953" s="39"/>
      <c r="N1953" s="39"/>
      <c r="O1953" s="39"/>
      <c r="P1953" s="39"/>
      <c r="Q1953" s="48" t="str">
        <f>IF($AA1949=0,"",INDEX(Quotes!$E$9:$E$258,$AA1949))</f>
        <v/>
      </c>
      <c r="R1953" s="39"/>
      <c r="S1953" s="39"/>
      <c r="T1953" s="39"/>
      <c r="U1953" s="39"/>
      <c r="V1953" s="39"/>
    </row>
    <row r="1954" spans="1:27" ht="21" hidden="1" customHeight="1" x14ac:dyDescent="0.35">
      <c r="A1954" s="81" t="str">
        <f>IF($AA1949=0,"",IF(INDEX(Quotes!$N$9:$N$258,$AA1949)="","No original link","Original quote"))</f>
        <v/>
      </c>
      <c r="B1954" s="39"/>
      <c r="C1954" s="39"/>
      <c r="D1954" s="39"/>
      <c r="E1954" s="39"/>
      <c r="F1954" s="39"/>
      <c r="G1954" s="39"/>
      <c r="I1954" s="81" t="str">
        <f>IF($AA1949=0,"",IF(INDEX(Quotes!$O$9:$O$258,$AA1949)="","No revised link","Revised quote"))</f>
        <v/>
      </c>
      <c r="J1954" s="39"/>
      <c r="K1954" s="39"/>
      <c r="L1954" s="39"/>
      <c r="M1954" s="39"/>
      <c r="N1954" s="39"/>
      <c r="O1954" s="39"/>
      <c r="Q1954" s="81" t="str">
        <f>IF($AA1949=0,"",HYPERLINK("#'Quotes'!A"&amp;($AA1949+8),"Open quote record"))</f>
        <v/>
      </c>
      <c r="R1954" s="39"/>
      <c r="S1954" s="39"/>
      <c r="T1954" s="39"/>
      <c r="U1954" s="39"/>
      <c r="V1954" s="39"/>
    </row>
    <row r="1955" spans="1:27" ht="21" hidden="1" customHeight="1" x14ac:dyDescent="0.35"/>
    <row r="1956" spans="1:27" hidden="1" x14ac:dyDescent="0.35"/>
    <row r="1957" spans="1:27" hidden="1" x14ac:dyDescent="0.35"/>
    <row r="1958" spans="1:27" ht="29" hidden="1" customHeight="1" x14ac:dyDescent="0.35">
      <c r="A1958" s="84" t="str">
        <f>IF($AA1958=0,"",IF(LEN(INDEX(Quotes!$U$9:$U$258,$AA1958)&amp;"")=0,"",INDEX(Quotes!$U$9:$U$258,$AA1958)))</f>
        <v/>
      </c>
      <c r="B1958" s="39"/>
      <c r="C1958" s="39"/>
      <c r="D1958" s="39"/>
      <c r="E1958" s="39"/>
      <c r="F1958" s="39"/>
      <c r="G1958" s="39"/>
      <c r="H1958" s="39"/>
      <c r="I1958" s="39"/>
      <c r="J1958" s="39"/>
      <c r="K1958" s="85" t="str">
        <f>IF($AA1958=0,"",IF(LEN(INDEX(Quotes!$Z$9:$Z$258,$AA1958)&amp;"")=0,"",INDEX(Quotes!$Z$9:$Z$258,$AA1958)))</f>
        <v/>
      </c>
      <c r="L1958" s="39"/>
      <c r="M1958" s="39"/>
      <c r="N1958" s="39"/>
      <c r="O1958" s="39"/>
      <c r="P1958" s="39"/>
      <c r="Q1958" s="39"/>
      <c r="R1958" s="39"/>
      <c r="S1958" s="39"/>
      <c r="T1958" s="39"/>
      <c r="U1958" s="39"/>
      <c r="V1958" s="39"/>
      <c r="AA1958">
        <f>IFERROR(MATCH(203,Quotes!$AK$9:$AK$258,0),0)</f>
        <v>0</v>
      </c>
    </row>
    <row r="1959" spans="1:27" ht="21" hidden="1" customHeight="1" x14ac:dyDescent="0.35">
      <c r="A1959" s="40" t="str">
        <f>IF($AA1958=0,"",IF(LEN(INDEX(Quotes!$V$9:$V$258,$AA1958)&amp;"")=0,"",INDEX(Quotes!$V$9:$V$258,$AA1958)))</f>
        <v/>
      </c>
      <c r="B1959" s="39"/>
      <c r="C1959" s="39"/>
      <c r="D1959" s="39"/>
      <c r="E1959" s="39"/>
      <c r="F1959" s="39"/>
      <c r="G1959" s="39"/>
      <c r="H1959" s="40" t="str">
        <f>IF($AA1958=0,"",IF(LEN(INDEX(Quotes!$W$9:$W$258,$AA1958)&amp;"")=0,"",INDEX(Quotes!$W$9:$W$258,$AA1958)))</f>
        <v/>
      </c>
      <c r="I1959" s="39"/>
      <c r="J1959" s="39"/>
      <c r="K1959" s="39"/>
      <c r="L1959" s="39"/>
      <c r="M1959" s="39"/>
      <c r="N1959" s="39"/>
      <c r="O1959" s="39"/>
      <c r="P1959" s="39"/>
      <c r="Q1959" s="39"/>
      <c r="R1959" s="77" t="str">
        <f>IF($AA1958=0,"",IF(LEN(INDEX(Quotes!$X$9:$X$258,$AA1958)&amp;"")=0,"",INDEX(Quotes!$X$9:$X$258,$AA1958)))</f>
        <v/>
      </c>
      <c r="S1959" s="39"/>
      <c r="T1959" s="39"/>
      <c r="U1959" s="39"/>
      <c r="V1959" s="39"/>
    </row>
    <row r="1960" spans="1:27" ht="21" hidden="1" customHeight="1" x14ac:dyDescent="0.35">
      <c r="A1960" s="83" t="str">
        <f>IF($AA1958=0,"","ORIGINAL EUR")</f>
        <v/>
      </c>
      <c r="B1960" s="39"/>
      <c r="C1960" s="39"/>
      <c r="D1960" s="39"/>
      <c r="E1960" s="39"/>
      <c r="F1960" s="39"/>
      <c r="G1960" s="39"/>
      <c r="I1960" s="83" t="str">
        <f>IF($AA1958=0,"","LATEST EUR")</f>
        <v/>
      </c>
      <c r="J1960" s="39"/>
      <c r="K1960" s="39"/>
      <c r="L1960" s="39"/>
      <c r="M1960" s="39"/>
      <c r="N1960" s="39"/>
      <c r="O1960" s="39"/>
      <c r="Q1960" s="83" t="str">
        <f>IF($AA1958=0,"","SAVED EUR")</f>
        <v/>
      </c>
      <c r="R1960" s="39"/>
      <c r="S1960" s="39"/>
      <c r="T1960" s="39"/>
      <c r="U1960" s="39"/>
      <c r="V1960" s="39"/>
    </row>
    <row r="1961" spans="1:27" ht="21" hidden="1" customHeight="1" x14ac:dyDescent="0.35">
      <c r="A1961" s="82" t="str">
        <f>IF($AA1958=0,"",IF(LEN(INDEX(Quotes!$AB$9:$AB$258,$AA1958)&amp;"")=0,"",INDEX(Quotes!$AB$9:$AB$258,$AA1958)))</f>
        <v/>
      </c>
      <c r="B1961" s="39"/>
      <c r="C1961" s="39"/>
      <c r="D1961" s="39"/>
      <c r="E1961" s="39"/>
      <c r="F1961" s="39"/>
      <c r="G1961" s="39"/>
      <c r="I1961" s="82" t="str">
        <f>IF($AA1958=0,"",IF(LEN(INDEX(Quotes!$AD$9:$AD$258,$AA1958)&amp;"")=0,"",INDEX(Quotes!$AD$9:$AD$258,$AA1958)))</f>
        <v/>
      </c>
      <c r="J1961" s="39"/>
      <c r="K1961" s="39"/>
      <c r="L1961" s="39"/>
      <c r="M1961" s="39"/>
      <c r="N1961" s="39"/>
      <c r="O1961" s="39"/>
      <c r="Q1961" s="82" t="str">
        <f>IF($AA1958=0,"",IF(LEN(INDEX(Quotes!$AF$9:$AF$258,$AA1958)&amp;"")=0,"",INDEX(Quotes!$AF$9:$AF$258,$AA1958)))</f>
        <v/>
      </c>
      <c r="R1961" s="39"/>
      <c r="S1961" s="39"/>
      <c r="T1961" s="39"/>
      <c r="U1961" s="39"/>
      <c r="V1961" s="39"/>
    </row>
    <row r="1962" spans="1:27" ht="21" hidden="1" customHeight="1" x14ac:dyDescent="0.35">
      <c r="A1962" s="48" t="str">
        <f>IF($AA1958=0,"","Reference: "&amp;IF(INDEX(Quotes!$M$9:$M$258,$AA1958)="",INDEX(Quotes!$S$9:$S$258,$AA1958),INDEX(Quotes!$M$9:$M$258,$AA1958)))</f>
        <v/>
      </c>
      <c r="B1962" s="39"/>
      <c r="C1962" s="39"/>
      <c r="D1962" s="39"/>
      <c r="E1962" s="39"/>
      <c r="F1962" s="39"/>
      <c r="G1962" s="39"/>
      <c r="H1962" s="39"/>
      <c r="I1962" s="39"/>
      <c r="J1962" s="39"/>
      <c r="K1962" s="39"/>
      <c r="L1962" s="39"/>
      <c r="M1962" s="39"/>
      <c r="N1962" s="39"/>
      <c r="O1962" s="39"/>
      <c r="P1962" s="39"/>
      <c r="Q1962" s="48" t="str">
        <f>IF($AA1958=0,"",INDEX(Quotes!$E$9:$E$258,$AA1958))</f>
        <v/>
      </c>
      <c r="R1962" s="39"/>
      <c r="S1962" s="39"/>
      <c r="T1962" s="39"/>
      <c r="U1962" s="39"/>
      <c r="V1962" s="39"/>
    </row>
    <row r="1963" spans="1:27" ht="21" hidden="1" customHeight="1" x14ac:dyDescent="0.35">
      <c r="A1963" s="81" t="str">
        <f>IF($AA1958=0,"",IF(INDEX(Quotes!$N$9:$N$258,$AA1958)="","No original link","Original quote"))</f>
        <v/>
      </c>
      <c r="B1963" s="39"/>
      <c r="C1963" s="39"/>
      <c r="D1963" s="39"/>
      <c r="E1963" s="39"/>
      <c r="F1963" s="39"/>
      <c r="G1963" s="39"/>
      <c r="I1963" s="81" t="str">
        <f>IF($AA1958=0,"",IF(INDEX(Quotes!$O$9:$O$258,$AA1958)="","No revised link","Revised quote"))</f>
        <v/>
      </c>
      <c r="J1963" s="39"/>
      <c r="K1963" s="39"/>
      <c r="L1963" s="39"/>
      <c r="M1963" s="39"/>
      <c r="N1963" s="39"/>
      <c r="O1963" s="39"/>
      <c r="Q1963" s="81" t="str">
        <f>IF($AA1958=0,"",HYPERLINK("#'Quotes'!A"&amp;($AA1958+8),"Open quote record"))</f>
        <v/>
      </c>
      <c r="R1963" s="39"/>
      <c r="S1963" s="39"/>
      <c r="T1963" s="39"/>
      <c r="U1963" s="39"/>
      <c r="V1963" s="39"/>
    </row>
    <row r="1964" spans="1:27" ht="21" hidden="1" customHeight="1" x14ac:dyDescent="0.35"/>
    <row r="1965" spans="1:27" hidden="1" x14ac:dyDescent="0.35"/>
    <row r="1966" spans="1:27" hidden="1" x14ac:dyDescent="0.35"/>
    <row r="1967" spans="1:27" ht="29" hidden="1" customHeight="1" x14ac:dyDescent="0.35">
      <c r="A1967" s="84" t="str">
        <f>IF($AA1967=0,"",IF(LEN(INDEX(Quotes!$U$9:$U$258,$AA1967)&amp;"")=0,"",INDEX(Quotes!$U$9:$U$258,$AA1967)))</f>
        <v/>
      </c>
      <c r="B1967" s="39"/>
      <c r="C1967" s="39"/>
      <c r="D1967" s="39"/>
      <c r="E1967" s="39"/>
      <c r="F1967" s="39"/>
      <c r="G1967" s="39"/>
      <c r="H1967" s="39"/>
      <c r="I1967" s="39"/>
      <c r="J1967" s="39"/>
      <c r="K1967" s="85" t="str">
        <f>IF($AA1967=0,"",IF(LEN(INDEX(Quotes!$Z$9:$Z$258,$AA1967)&amp;"")=0,"",INDEX(Quotes!$Z$9:$Z$258,$AA1967)))</f>
        <v/>
      </c>
      <c r="L1967" s="39"/>
      <c r="M1967" s="39"/>
      <c r="N1967" s="39"/>
      <c r="O1967" s="39"/>
      <c r="P1967" s="39"/>
      <c r="Q1967" s="39"/>
      <c r="R1967" s="39"/>
      <c r="S1967" s="39"/>
      <c r="T1967" s="39"/>
      <c r="U1967" s="39"/>
      <c r="V1967" s="39"/>
      <c r="AA1967">
        <f>IFERROR(MATCH(204,Quotes!$AK$9:$AK$258,0),0)</f>
        <v>0</v>
      </c>
    </row>
    <row r="1968" spans="1:27" ht="21" hidden="1" customHeight="1" x14ac:dyDescent="0.35">
      <c r="A1968" s="40" t="str">
        <f>IF($AA1967=0,"",IF(LEN(INDEX(Quotes!$V$9:$V$258,$AA1967)&amp;"")=0,"",INDEX(Quotes!$V$9:$V$258,$AA1967)))</f>
        <v/>
      </c>
      <c r="B1968" s="39"/>
      <c r="C1968" s="39"/>
      <c r="D1968" s="39"/>
      <c r="E1968" s="39"/>
      <c r="F1968" s="39"/>
      <c r="G1968" s="39"/>
      <c r="H1968" s="40" t="str">
        <f>IF($AA1967=0,"",IF(LEN(INDEX(Quotes!$W$9:$W$258,$AA1967)&amp;"")=0,"",INDEX(Quotes!$W$9:$W$258,$AA1967)))</f>
        <v/>
      </c>
      <c r="I1968" s="39"/>
      <c r="J1968" s="39"/>
      <c r="K1968" s="39"/>
      <c r="L1968" s="39"/>
      <c r="M1968" s="39"/>
      <c r="N1968" s="39"/>
      <c r="O1968" s="39"/>
      <c r="P1968" s="39"/>
      <c r="Q1968" s="39"/>
      <c r="R1968" s="77" t="str">
        <f>IF($AA1967=0,"",IF(LEN(INDEX(Quotes!$X$9:$X$258,$AA1967)&amp;"")=0,"",INDEX(Quotes!$X$9:$X$258,$AA1967)))</f>
        <v/>
      </c>
      <c r="S1968" s="39"/>
      <c r="T1968" s="39"/>
      <c r="U1968" s="39"/>
      <c r="V1968" s="39"/>
    </row>
    <row r="1969" spans="1:27" ht="21" hidden="1" customHeight="1" x14ac:dyDescent="0.35">
      <c r="A1969" s="83" t="str">
        <f>IF($AA1967=0,"","ORIGINAL EUR")</f>
        <v/>
      </c>
      <c r="B1969" s="39"/>
      <c r="C1969" s="39"/>
      <c r="D1969" s="39"/>
      <c r="E1969" s="39"/>
      <c r="F1969" s="39"/>
      <c r="G1969" s="39"/>
      <c r="I1969" s="83" t="str">
        <f>IF($AA1967=0,"","LATEST EUR")</f>
        <v/>
      </c>
      <c r="J1969" s="39"/>
      <c r="K1969" s="39"/>
      <c r="L1969" s="39"/>
      <c r="M1969" s="39"/>
      <c r="N1969" s="39"/>
      <c r="O1969" s="39"/>
      <c r="Q1969" s="83" t="str">
        <f>IF($AA1967=0,"","SAVED EUR")</f>
        <v/>
      </c>
      <c r="R1969" s="39"/>
      <c r="S1969" s="39"/>
      <c r="T1969" s="39"/>
      <c r="U1969" s="39"/>
      <c r="V1969" s="39"/>
    </row>
    <row r="1970" spans="1:27" ht="21" hidden="1" customHeight="1" x14ac:dyDescent="0.35">
      <c r="A1970" s="82" t="str">
        <f>IF($AA1967=0,"",IF(LEN(INDEX(Quotes!$AB$9:$AB$258,$AA1967)&amp;"")=0,"",INDEX(Quotes!$AB$9:$AB$258,$AA1967)))</f>
        <v/>
      </c>
      <c r="B1970" s="39"/>
      <c r="C1970" s="39"/>
      <c r="D1970" s="39"/>
      <c r="E1970" s="39"/>
      <c r="F1970" s="39"/>
      <c r="G1970" s="39"/>
      <c r="I1970" s="82" t="str">
        <f>IF($AA1967=0,"",IF(LEN(INDEX(Quotes!$AD$9:$AD$258,$AA1967)&amp;"")=0,"",INDEX(Quotes!$AD$9:$AD$258,$AA1967)))</f>
        <v/>
      </c>
      <c r="J1970" s="39"/>
      <c r="K1970" s="39"/>
      <c r="L1970" s="39"/>
      <c r="M1970" s="39"/>
      <c r="N1970" s="39"/>
      <c r="O1970" s="39"/>
      <c r="Q1970" s="82" t="str">
        <f>IF($AA1967=0,"",IF(LEN(INDEX(Quotes!$AF$9:$AF$258,$AA1967)&amp;"")=0,"",INDEX(Quotes!$AF$9:$AF$258,$AA1967)))</f>
        <v/>
      </c>
      <c r="R1970" s="39"/>
      <c r="S1970" s="39"/>
      <c r="T1970" s="39"/>
      <c r="U1970" s="39"/>
      <c r="V1970" s="39"/>
    </row>
    <row r="1971" spans="1:27" ht="21" hidden="1" customHeight="1" x14ac:dyDescent="0.35">
      <c r="A1971" s="48" t="str">
        <f>IF($AA1967=0,"","Reference: "&amp;IF(INDEX(Quotes!$M$9:$M$258,$AA1967)="",INDEX(Quotes!$S$9:$S$258,$AA1967),INDEX(Quotes!$M$9:$M$258,$AA1967)))</f>
        <v/>
      </c>
      <c r="B1971" s="39"/>
      <c r="C1971" s="39"/>
      <c r="D1971" s="39"/>
      <c r="E1971" s="39"/>
      <c r="F1971" s="39"/>
      <c r="G1971" s="39"/>
      <c r="H1971" s="39"/>
      <c r="I1971" s="39"/>
      <c r="J1971" s="39"/>
      <c r="K1971" s="39"/>
      <c r="L1971" s="39"/>
      <c r="M1971" s="39"/>
      <c r="N1971" s="39"/>
      <c r="O1971" s="39"/>
      <c r="P1971" s="39"/>
      <c r="Q1971" s="48" t="str">
        <f>IF($AA1967=0,"",INDEX(Quotes!$E$9:$E$258,$AA1967))</f>
        <v/>
      </c>
      <c r="R1971" s="39"/>
      <c r="S1971" s="39"/>
      <c r="T1971" s="39"/>
      <c r="U1971" s="39"/>
      <c r="V1971" s="39"/>
    </row>
    <row r="1972" spans="1:27" ht="21" hidden="1" customHeight="1" x14ac:dyDescent="0.35">
      <c r="A1972" s="81" t="str">
        <f>IF($AA1967=0,"",IF(INDEX(Quotes!$N$9:$N$258,$AA1967)="","No original link","Original quote"))</f>
        <v/>
      </c>
      <c r="B1972" s="39"/>
      <c r="C1972" s="39"/>
      <c r="D1972" s="39"/>
      <c r="E1972" s="39"/>
      <c r="F1972" s="39"/>
      <c r="G1972" s="39"/>
      <c r="I1972" s="81" t="str">
        <f>IF($AA1967=0,"",IF(INDEX(Quotes!$O$9:$O$258,$AA1967)="","No revised link","Revised quote"))</f>
        <v/>
      </c>
      <c r="J1972" s="39"/>
      <c r="K1972" s="39"/>
      <c r="L1972" s="39"/>
      <c r="M1972" s="39"/>
      <c r="N1972" s="39"/>
      <c r="O1972" s="39"/>
      <c r="Q1972" s="81" t="str">
        <f>IF($AA1967=0,"",HYPERLINK("#'Quotes'!A"&amp;($AA1967+8),"Open quote record"))</f>
        <v/>
      </c>
      <c r="R1972" s="39"/>
      <c r="S1972" s="39"/>
      <c r="T1972" s="39"/>
      <c r="U1972" s="39"/>
      <c r="V1972" s="39"/>
    </row>
    <row r="1973" spans="1:27" ht="21" hidden="1" customHeight="1" x14ac:dyDescent="0.35"/>
    <row r="1974" spans="1:27" hidden="1" x14ac:dyDescent="0.35"/>
    <row r="1975" spans="1:27" hidden="1" x14ac:dyDescent="0.35"/>
    <row r="1976" spans="1:27" hidden="1" x14ac:dyDescent="0.35"/>
    <row r="1977" spans="1:27" hidden="1" x14ac:dyDescent="0.35">
      <c r="A1977" s="67" t="s">
        <v>655</v>
      </c>
      <c r="B1977" s="39"/>
      <c r="C1977" s="39"/>
      <c r="D1977" s="39"/>
      <c r="E1977" s="39"/>
      <c r="F1977" s="39"/>
      <c r="G1977" s="39"/>
      <c r="H1977" s="39"/>
      <c r="I1977" s="39"/>
      <c r="J1977" s="39"/>
      <c r="K1977" s="39"/>
      <c r="L1977" s="39"/>
      <c r="M1977" s="39"/>
      <c r="N1977" s="39"/>
      <c r="O1977" s="39"/>
      <c r="P1977" s="39"/>
      <c r="Q1977" s="39"/>
      <c r="R1977" s="39"/>
      <c r="S1977" s="39"/>
      <c r="T1977" s="39"/>
      <c r="U1977" s="39"/>
      <c r="V1977" s="39"/>
    </row>
    <row r="1978" spans="1:27" ht="29" hidden="1" customHeight="1" x14ac:dyDescent="0.35">
      <c r="A1978" s="84" t="str">
        <f>IF($AA1978=0,"",IF(LEN(INDEX(Quotes!$U$9:$U$258,$AA1978)&amp;"")=0,"",INDEX(Quotes!$U$9:$U$258,$AA1978)))</f>
        <v/>
      </c>
      <c r="B1978" s="39"/>
      <c r="C1978" s="39"/>
      <c r="D1978" s="39"/>
      <c r="E1978" s="39"/>
      <c r="F1978" s="39"/>
      <c r="G1978" s="39"/>
      <c r="H1978" s="39"/>
      <c r="I1978" s="39"/>
      <c r="J1978" s="39"/>
      <c r="K1978" s="85" t="str">
        <f>IF($AA1978=0,"",IF(LEN(INDEX(Quotes!$Z$9:$Z$258,$AA1978)&amp;"")=0,"",INDEX(Quotes!$Z$9:$Z$258,$AA1978)))</f>
        <v/>
      </c>
      <c r="L1978" s="39"/>
      <c r="M1978" s="39"/>
      <c r="N1978" s="39"/>
      <c r="O1978" s="39"/>
      <c r="P1978" s="39"/>
      <c r="Q1978" s="39"/>
      <c r="R1978" s="39"/>
      <c r="S1978" s="39"/>
      <c r="T1978" s="39"/>
      <c r="U1978" s="39"/>
      <c r="V1978" s="39"/>
      <c r="AA1978">
        <f>IFERROR(MATCH(205,Quotes!$AK$9:$AK$258,0),0)</f>
        <v>0</v>
      </c>
    </row>
    <row r="1979" spans="1:27" ht="21" hidden="1" customHeight="1" x14ac:dyDescent="0.35">
      <c r="A1979" s="40" t="str">
        <f>IF($AA1978=0,"",IF(LEN(INDEX(Quotes!$V$9:$V$258,$AA1978)&amp;"")=0,"",INDEX(Quotes!$V$9:$V$258,$AA1978)))</f>
        <v/>
      </c>
      <c r="B1979" s="39"/>
      <c r="C1979" s="39"/>
      <c r="D1979" s="39"/>
      <c r="E1979" s="39"/>
      <c r="F1979" s="39"/>
      <c r="G1979" s="39"/>
      <c r="H1979" s="40" t="str">
        <f>IF($AA1978=0,"",IF(LEN(INDEX(Quotes!$W$9:$W$258,$AA1978)&amp;"")=0,"",INDEX(Quotes!$W$9:$W$258,$AA1978)))</f>
        <v/>
      </c>
      <c r="I1979" s="39"/>
      <c r="J1979" s="39"/>
      <c r="K1979" s="39"/>
      <c r="L1979" s="39"/>
      <c r="M1979" s="39"/>
      <c r="N1979" s="39"/>
      <c r="O1979" s="39"/>
      <c r="P1979" s="39"/>
      <c r="Q1979" s="39"/>
      <c r="R1979" s="77" t="str">
        <f>IF($AA1978=0,"",IF(LEN(INDEX(Quotes!$X$9:$X$258,$AA1978)&amp;"")=0,"",INDEX(Quotes!$X$9:$X$258,$AA1978)))</f>
        <v/>
      </c>
      <c r="S1979" s="39"/>
      <c r="T1979" s="39"/>
      <c r="U1979" s="39"/>
      <c r="V1979" s="39"/>
    </row>
    <row r="1980" spans="1:27" ht="21" hidden="1" customHeight="1" x14ac:dyDescent="0.35">
      <c r="A1980" s="83" t="str">
        <f>IF($AA1978=0,"","ORIGINAL EUR")</f>
        <v/>
      </c>
      <c r="B1980" s="39"/>
      <c r="C1980" s="39"/>
      <c r="D1980" s="39"/>
      <c r="E1980" s="39"/>
      <c r="F1980" s="39"/>
      <c r="G1980" s="39"/>
      <c r="I1980" s="83" t="str">
        <f>IF($AA1978=0,"","LATEST EUR")</f>
        <v/>
      </c>
      <c r="J1980" s="39"/>
      <c r="K1980" s="39"/>
      <c r="L1980" s="39"/>
      <c r="M1980" s="39"/>
      <c r="N1980" s="39"/>
      <c r="O1980" s="39"/>
      <c r="Q1980" s="83" t="str">
        <f>IF($AA1978=0,"","SAVED EUR")</f>
        <v/>
      </c>
      <c r="R1980" s="39"/>
      <c r="S1980" s="39"/>
      <c r="T1980" s="39"/>
      <c r="U1980" s="39"/>
      <c r="V1980" s="39"/>
    </row>
    <row r="1981" spans="1:27" ht="21" hidden="1" customHeight="1" x14ac:dyDescent="0.35">
      <c r="A1981" s="82" t="str">
        <f>IF($AA1978=0,"",IF(LEN(INDEX(Quotes!$AB$9:$AB$258,$AA1978)&amp;"")=0,"",INDEX(Quotes!$AB$9:$AB$258,$AA1978)))</f>
        <v/>
      </c>
      <c r="B1981" s="39"/>
      <c r="C1981" s="39"/>
      <c r="D1981" s="39"/>
      <c r="E1981" s="39"/>
      <c r="F1981" s="39"/>
      <c r="G1981" s="39"/>
      <c r="I1981" s="82" t="str">
        <f>IF($AA1978=0,"",IF(LEN(INDEX(Quotes!$AD$9:$AD$258,$AA1978)&amp;"")=0,"",INDEX(Quotes!$AD$9:$AD$258,$AA1978)))</f>
        <v/>
      </c>
      <c r="J1981" s="39"/>
      <c r="K1981" s="39"/>
      <c r="L1981" s="39"/>
      <c r="M1981" s="39"/>
      <c r="N1981" s="39"/>
      <c r="O1981" s="39"/>
      <c r="Q1981" s="82" t="str">
        <f>IF($AA1978=0,"",IF(LEN(INDEX(Quotes!$AF$9:$AF$258,$AA1978)&amp;"")=0,"",INDEX(Quotes!$AF$9:$AF$258,$AA1978)))</f>
        <v/>
      </c>
      <c r="R1981" s="39"/>
      <c r="S1981" s="39"/>
      <c r="T1981" s="39"/>
      <c r="U1981" s="39"/>
      <c r="V1981" s="39"/>
    </row>
    <row r="1982" spans="1:27" ht="21" hidden="1" customHeight="1" x14ac:dyDescent="0.35">
      <c r="A1982" s="48" t="str">
        <f>IF($AA1978=0,"","Reference: "&amp;IF(INDEX(Quotes!$M$9:$M$258,$AA1978)="",INDEX(Quotes!$S$9:$S$258,$AA1978),INDEX(Quotes!$M$9:$M$258,$AA1978)))</f>
        <v/>
      </c>
      <c r="B1982" s="39"/>
      <c r="C1982" s="39"/>
      <c r="D1982" s="39"/>
      <c r="E1982" s="39"/>
      <c r="F1982" s="39"/>
      <c r="G1982" s="39"/>
      <c r="H1982" s="39"/>
      <c r="I1982" s="39"/>
      <c r="J1982" s="39"/>
      <c r="K1982" s="39"/>
      <c r="L1982" s="39"/>
      <c r="M1982" s="39"/>
      <c r="N1982" s="39"/>
      <c r="O1982" s="39"/>
      <c r="P1982" s="39"/>
      <c r="Q1982" s="48" t="str">
        <f>IF($AA1978=0,"",INDEX(Quotes!$E$9:$E$258,$AA1978))</f>
        <v/>
      </c>
      <c r="R1982" s="39"/>
      <c r="S1982" s="39"/>
      <c r="T1982" s="39"/>
      <c r="U1982" s="39"/>
      <c r="V1982" s="39"/>
    </row>
    <row r="1983" spans="1:27" ht="21" hidden="1" customHeight="1" x14ac:dyDescent="0.35">
      <c r="A1983" s="81" t="str">
        <f>IF($AA1978=0,"",IF(INDEX(Quotes!$N$9:$N$258,$AA1978)="","No original link","Original quote"))</f>
        <v/>
      </c>
      <c r="B1983" s="39"/>
      <c r="C1983" s="39"/>
      <c r="D1983" s="39"/>
      <c r="E1983" s="39"/>
      <c r="F1983" s="39"/>
      <c r="G1983" s="39"/>
      <c r="I1983" s="81" t="str">
        <f>IF($AA1978=0,"",IF(INDEX(Quotes!$O$9:$O$258,$AA1978)="","No revised link","Revised quote"))</f>
        <v/>
      </c>
      <c r="J1983" s="39"/>
      <c r="K1983" s="39"/>
      <c r="L1983" s="39"/>
      <c r="M1983" s="39"/>
      <c r="N1983" s="39"/>
      <c r="O1983" s="39"/>
      <c r="Q1983" s="81" t="str">
        <f>IF($AA1978=0,"",HYPERLINK("#'Quotes'!A"&amp;($AA1978+8),"Open quote record"))</f>
        <v/>
      </c>
      <c r="R1983" s="39"/>
      <c r="S1983" s="39"/>
      <c r="T1983" s="39"/>
      <c r="U1983" s="39"/>
      <c r="V1983" s="39"/>
    </row>
    <row r="1984" spans="1:27" ht="21" hidden="1" customHeight="1" x14ac:dyDescent="0.35"/>
    <row r="1985" spans="1:27" hidden="1" x14ac:dyDescent="0.35"/>
    <row r="1986" spans="1:27" hidden="1" x14ac:dyDescent="0.35"/>
    <row r="1987" spans="1:27" ht="29" hidden="1" customHeight="1" x14ac:dyDescent="0.35">
      <c r="A1987" s="84" t="str">
        <f>IF($AA1987=0,"",IF(LEN(INDEX(Quotes!$U$9:$U$258,$AA1987)&amp;"")=0,"",INDEX(Quotes!$U$9:$U$258,$AA1987)))</f>
        <v/>
      </c>
      <c r="B1987" s="39"/>
      <c r="C1987" s="39"/>
      <c r="D1987" s="39"/>
      <c r="E1987" s="39"/>
      <c r="F1987" s="39"/>
      <c r="G1987" s="39"/>
      <c r="H1987" s="39"/>
      <c r="I1987" s="39"/>
      <c r="J1987" s="39"/>
      <c r="K1987" s="85" t="str">
        <f>IF($AA1987=0,"",IF(LEN(INDEX(Quotes!$Z$9:$Z$258,$AA1987)&amp;"")=0,"",INDEX(Quotes!$Z$9:$Z$258,$AA1987)))</f>
        <v/>
      </c>
      <c r="L1987" s="39"/>
      <c r="M1987" s="39"/>
      <c r="N1987" s="39"/>
      <c r="O1987" s="39"/>
      <c r="P1987" s="39"/>
      <c r="Q1987" s="39"/>
      <c r="R1987" s="39"/>
      <c r="S1987" s="39"/>
      <c r="T1987" s="39"/>
      <c r="U1987" s="39"/>
      <c r="V1987" s="39"/>
      <c r="AA1987">
        <f>IFERROR(MATCH(206,Quotes!$AK$9:$AK$258,0),0)</f>
        <v>0</v>
      </c>
    </row>
    <row r="1988" spans="1:27" ht="21" hidden="1" customHeight="1" x14ac:dyDescent="0.35">
      <c r="A1988" s="40" t="str">
        <f>IF($AA1987=0,"",IF(LEN(INDEX(Quotes!$V$9:$V$258,$AA1987)&amp;"")=0,"",INDEX(Quotes!$V$9:$V$258,$AA1987)))</f>
        <v/>
      </c>
      <c r="B1988" s="39"/>
      <c r="C1988" s="39"/>
      <c r="D1988" s="39"/>
      <c r="E1988" s="39"/>
      <c r="F1988" s="39"/>
      <c r="G1988" s="39"/>
      <c r="H1988" s="40" t="str">
        <f>IF($AA1987=0,"",IF(LEN(INDEX(Quotes!$W$9:$W$258,$AA1987)&amp;"")=0,"",INDEX(Quotes!$W$9:$W$258,$AA1987)))</f>
        <v/>
      </c>
      <c r="I1988" s="39"/>
      <c r="J1988" s="39"/>
      <c r="K1988" s="39"/>
      <c r="L1988" s="39"/>
      <c r="M1988" s="39"/>
      <c r="N1988" s="39"/>
      <c r="O1988" s="39"/>
      <c r="P1988" s="39"/>
      <c r="Q1988" s="39"/>
      <c r="R1988" s="77" t="str">
        <f>IF($AA1987=0,"",IF(LEN(INDEX(Quotes!$X$9:$X$258,$AA1987)&amp;"")=0,"",INDEX(Quotes!$X$9:$X$258,$AA1987)))</f>
        <v/>
      </c>
      <c r="S1988" s="39"/>
      <c r="T1988" s="39"/>
      <c r="U1988" s="39"/>
      <c r="V1988" s="39"/>
    </row>
    <row r="1989" spans="1:27" ht="21" hidden="1" customHeight="1" x14ac:dyDescent="0.35">
      <c r="A1989" s="83" t="str">
        <f>IF($AA1987=0,"","ORIGINAL EUR")</f>
        <v/>
      </c>
      <c r="B1989" s="39"/>
      <c r="C1989" s="39"/>
      <c r="D1989" s="39"/>
      <c r="E1989" s="39"/>
      <c r="F1989" s="39"/>
      <c r="G1989" s="39"/>
      <c r="I1989" s="83" t="str">
        <f>IF($AA1987=0,"","LATEST EUR")</f>
        <v/>
      </c>
      <c r="J1989" s="39"/>
      <c r="K1989" s="39"/>
      <c r="L1989" s="39"/>
      <c r="M1989" s="39"/>
      <c r="N1989" s="39"/>
      <c r="O1989" s="39"/>
      <c r="Q1989" s="83" t="str">
        <f>IF($AA1987=0,"","SAVED EUR")</f>
        <v/>
      </c>
      <c r="R1989" s="39"/>
      <c r="S1989" s="39"/>
      <c r="T1989" s="39"/>
      <c r="U1989" s="39"/>
      <c r="V1989" s="39"/>
    </row>
    <row r="1990" spans="1:27" ht="21" hidden="1" customHeight="1" x14ac:dyDescent="0.35">
      <c r="A1990" s="82" t="str">
        <f>IF($AA1987=0,"",IF(LEN(INDEX(Quotes!$AB$9:$AB$258,$AA1987)&amp;"")=0,"",INDEX(Quotes!$AB$9:$AB$258,$AA1987)))</f>
        <v/>
      </c>
      <c r="B1990" s="39"/>
      <c r="C1990" s="39"/>
      <c r="D1990" s="39"/>
      <c r="E1990" s="39"/>
      <c r="F1990" s="39"/>
      <c r="G1990" s="39"/>
      <c r="I1990" s="82" t="str">
        <f>IF($AA1987=0,"",IF(LEN(INDEX(Quotes!$AD$9:$AD$258,$AA1987)&amp;"")=0,"",INDEX(Quotes!$AD$9:$AD$258,$AA1987)))</f>
        <v/>
      </c>
      <c r="J1990" s="39"/>
      <c r="K1990" s="39"/>
      <c r="L1990" s="39"/>
      <c r="M1990" s="39"/>
      <c r="N1990" s="39"/>
      <c r="O1990" s="39"/>
      <c r="Q1990" s="82" t="str">
        <f>IF($AA1987=0,"",IF(LEN(INDEX(Quotes!$AF$9:$AF$258,$AA1987)&amp;"")=0,"",INDEX(Quotes!$AF$9:$AF$258,$AA1987)))</f>
        <v/>
      </c>
      <c r="R1990" s="39"/>
      <c r="S1990" s="39"/>
      <c r="T1990" s="39"/>
      <c r="U1990" s="39"/>
      <c r="V1990" s="39"/>
    </row>
    <row r="1991" spans="1:27" ht="21" hidden="1" customHeight="1" x14ac:dyDescent="0.35">
      <c r="A1991" s="48" t="str">
        <f>IF($AA1987=0,"","Reference: "&amp;IF(INDEX(Quotes!$M$9:$M$258,$AA1987)="",INDEX(Quotes!$S$9:$S$258,$AA1987),INDEX(Quotes!$M$9:$M$258,$AA1987)))</f>
        <v/>
      </c>
      <c r="B1991" s="39"/>
      <c r="C1991" s="39"/>
      <c r="D1991" s="39"/>
      <c r="E1991" s="39"/>
      <c r="F1991" s="39"/>
      <c r="G1991" s="39"/>
      <c r="H1991" s="39"/>
      <c r="I1991" s="39"/>
      <c r="J1991" s="39"/>
      <c r="K1991" s="39"/>
      <c r="L1991" s="39"/>
      <c r="M1991" s="39"/>
      <c r="N1991" s="39"/>
      <c r="O1991" s="39"/>
      <c r="P1991" s="39"/>
      <c r="Q1991" s="48" t="str">
        <f>IF($AA1987=0,"",INDEX(Quotes!$E$9:$E$258,$AA1987))</f>
        <v/>
      </c>
      <c r="R1991" s="39"/>
      <c r="S1991" s="39"/>
      <c r="T1991" s="39"/>
      <c r="U1991" s="39"/>
      <c r="V1991" s="39"/>
    </row>
    <row r="1992" spans="1:27" ht="21" hidden="1" customHeight="1" x14ac:dyDescent="0.35">
      <c r="A1992" s="81" t="str">
        <f>IF($AA1987=0,"",IF(INDEX(Quotes!$N$9:$N$258,$AA1987)="","No original link","Original quote"))</f>
        <v/>
      </c>
      <c r="B1992" s="39"/>
      <c r="C1992" s="39"/>
      <c r="D1992" s="39"/>
      <c r="E1992" s="39"/>
      <c r="F1992" s="39"/>
      <c r="G1992" s="39"/>
      <c r="I1992" s="81" t="str">
        <f>IF($AA1987=0,"",IF(INDEX(Quotes!$O$9:$O$258,$AA1987)="","No revised link","Revised quote"))</f>
        <v/>
      </c>
      <c r="J1992" s="39"/>
      <c r="K1992" s="39"/>
      <c r="L1992" s="39"/>
      <c r="M1992" s="39"/>
      <c r="N1992" s="39"/>
      <c r="O1992" s="39"/>
      <c r="Q1992" s="81" t="str">
        <f>IF($AA1987=0,"",HYPERLINK("#'Quotes'!A"&amp;($AA1987+8),"Open quote record"))</f>
        <v/>
      </c>
      <c r="R1992" s="39"/>
      <c r="S1992" s="39"/>
      <c r="T1992" s="39"/>
      <c r="U1992" s="39"/>
      <c r="V1992" s="39"/>
    </row>
    <row r="1993" spans="1:27" ht="21" hidden="1" customHeight="1" x14ac:dyDescent="0.35"/>
    <row r="1994" spans="1:27" hidden="1" x14ac:dyDescent="0.35"/>
    <row r="1995" spans="1:27" hidden="1" x14ac:dyDescent="0.35"/>
    <row r="1996" spans="1:27" ht="29" hidden="1" customHeight="1" x14ac:dyDescent="0.35">
      <c r="A1996" s="84" t="str">
        <f>IF($AA1996=0,"",IF(LEN(INDEX(Quotes!$U$9:$U$258,$AA1996)&amp;"")=0,"",INDEX(Quotes!$U$9:$U$258,$AA1996)))</f>
        <v/>
      </c>
      <c r="B1996" s="39"/>
      <c r="C1996" s="39"/>
      <c r="D1996" s="39"/>
      <c r="E1996" s="39"/>
      <c r="F1996" s="39"/>
      <c r="G1996" s="39"/>
      <c r="H1996" s="39"/>
      <c r="I1996" s="39"/>
      <c r="J1996" s="39"/>
      <c r="K1996" s="85" t="str">
        <f>IF($AA1996=0,"",IF(LEN(INDEX(Quotes!$Z$9:$Z$258,$AA1996)&amp;"")=0,"",INDEX(Quotes!$Z$9:$Z$258,$AA1996)))</f>
        <v/>
      </c>
      <c r="L1996" s="39"/>
      <c r="M1996" s="39"/>
      <c r="N1996" s="39"/>
      <c r="O1996" s="39"/>
      <c r="P1996" s="39"/>
      <c r="Q1996" s="39"/>
      <c r="R1996" s="39"/>
      <c r="S1996" s="39"/>
      <c r="T1996" s="39"/>
      <c r="U1996" s="39"/>
      <c r="V1996" s="39"/>
      <c r="AA1996">
        <f>IFERROR(MATCH(207,Quotes!$AK$9:$AK$258,0),0)</f>
        <v>0</v>
      </c>
    </row>
    <row r="1997" spans="1:27" ht="21" hidden="1" customHeight="1" x14ac:dyDescent="0.35">
      <c r="A1997" s="40" t="str">
        <f>IF($AA1996=0,"",IF(LEN(INDEX(Quotes!$V$9:$V$258,$AA1996)&amp;"")=0,"",INDEX(Quotes!$V$9:$V$258,$AA1996)))</f>
        <v/>
      </c>
      <c r="B1997" s="39"/>
      <c r="C1997" s="39"/>
      <c r="D1997" s="39"/>
      <c r="E1997" s="39"/>
      <c r="F1997" s="39"/>
      <c r="G1997" s="39"/>
      <c r="H1997" s="40" t="str">
        <f>IF($AA1996=0,"",IF(LEN(INDEX(Quotes!$W$9:$W$258,$AA1996)&amp;"")=0,"",INDEX(Quotes!$W$9:$W$258,$AA1996)))</f>
        <v/>
      </c>
      <c r="I1997" s="39"/>
      <c r="J1997" s="39"/>
      <c r="K1997" s="39"/>
      <c r="L1997" s="39"/>
      <c r="M1997" s="39"/>
      <c r="N1997" s="39"/>
      <c r="O1997" s="39"/>
      <c r="P1997" s="39"/>
      <c r="Q1997" s="39"/>
      <c r="R1997" s="77" t="str">
        <f>IF($AA1996=0,"",IF(LEN(INDEX(Quotes!$X$9:$X$258,$AA1996)&amp;"")=0,"",INDEX(Quotes!$X$9:$X$258,$AA1996)))</f>
        <v/>
      </c>
      <c r="S1997" s="39"/>
      <c r="T1997" s="39"/>
      <c r="U1997" s="39"/>
      <c r="V1997" s="39"/>
    </row>
    <row r="1998" spans="1:27" ht="21" hidden="1" customHeight="1" x14ac:dyDescent="0.35">
      <c r="A1998" s="83" t="str">
        <f>IF($AA1996=0,"","ORIGINAL EUR")</f>
        <v/>
      </c>
      <c r="B1998" s="39"/>
      <c r="C1998" s="39"/>
      <c r="D1998" s="39"/>
      <c r="E1998" s="39"/>
      <c r="F1998" s="39"/>
      <c r="G1998" s="39"/>
      <c r="I1998" s="83" t="str">
        <f>IF($AA1996=0,"","LATEST EUR")</f>
        <v/>
      </c>
      <c r="J1998" s="39"/>
      <c r="K1998" s="39"/>
      <c r="L1998" s="39"/>
      <c r="M1998" s="39"/>
      <c r="N1998" s="39"/>
      <c r="O1998" s="39"/>
      <c r="Q1998" s="83" t="str">
        <f>IF($AA1996=0,"","SAVED EUR")</f>
        <v/>
      </c>
      <c r="R1998" s="39"/>
      <c r="S1998" s="39"/>
      <c r="T1998" s="39"/>
      <c r="U1998" s="39"/>
      <c r="V1998" s="39"/>
    </row>
    <row r="1999" spans="1:27" ht="21" hidden="1" customHeight="1" x14ac:dyDescent="0.35">
      <c r="A1999" s="82" t="str">
        <f>IF($AA1996=0,"",IF(LEN(INDEX(Quotes!$AB$9:$AB$258,$AA1996)&amp;"")=0,"",INDEX(Quotes!$AB$9:$AB$258,$AA1996)))</f>
        <v/>
      </c>
      <c r="B1999" s="39"/>
      <c r="C1999" s="39"/>
      <c r="D1999" s="39"/>
      <c r="E1999" s="39"/>
      <c r="F1999" s="39"/>
      <c r="G1999" s="39"/>
      <c r="I1999" s="82" t="str">
        <f>IF($AA1996=0,"",IF(LEN(INDEX(Quotes!$AD$9:$AD$258,$AA1996)&amp;"")=0,"",INDEX(Quotes!$AD$9:$AD$258,$AA1996)))</f>
        <v/>
      </c>
      <c r="J1999" s="39"/>
      <c r="K1999" s="39"/>
      <c r="L1999" s="39"/>
      <c r="M1999" s="39"/>
      <c r="N1999" s="39"/>
      <c r="O1999" s="39"/>
      <c r="Q1999" s="82" t="str">
        <f>IF($AA1996=0,"",IF(LEN(INDEX(Quotes!$AF$9:$AF$258,$AA1996)&amp;"")=0,"",INDEX(Quotes!$AF$9:$AF$258,$AA1996)))</f>
        <v/>
      </c>
      <c r="R1999" s="39"/>
      <c r="S1999" s="39"/>
      <c r="T1999" s="39"/>
      <c r="U1999" s="39"/>
      <c r="V1999" s="39"/>
    </row>
    <row r="2000" spans="1:27" ht="21" hidden="1" customHeight="1" x14ac:dyDescent="0.35">
      <c r="A2000" s="48" t="str">
        <f>IF($AA1996=0,"","Reference: "&amp;IF(INDEX(Quotes!$M$9:$M$258,$AA1996)="",INDEX(Quotes!$S$9:$S$258,$AA1996),INDEX(Quotes!$M$9:$M$258,$AA1996)))</f>
        <v/>
      </c>
      <c r="B2000" s="39"/>
      <c r="C2000" s="39"/>
      <c r="D2000" s="39"/>
      <c r="E2000" s="39"/>
      <c r="F2000" s="39"/>
      <c r="G2000" s="39"/>
      <c r="H2000" s="39"/>
      <c r="I2000" s="39"/>
      <c r="J2000" s="39"/>
      <c r="K2000" s="39"/>
      <c r="L2000" s="39"/>
      <c r="M2000" s="39"/>
      <c r="N2000" s="39"/>
      <c r="O2000" s="39"/>
      <c r="P2000" s="39"/>
      <c r="Q2000" s="48" t="str">
        <f>IF($AA1996=0,"",INDEX(Quotes!$E$9:$E$258,$AA1996))</f>
        <v/>
      </c>
      <c r="R2000" s="39"/>
      <c r="S2000" s="39"/>
      <c r="T2000" s="39"/>
      <c r="U2000" s="39"/>
      <c r="V2000" s="39"/>
    </row>
    <row r="2001" spans="1:27" ht="21" hidden="1" customHeight="1" x14ac:dyDescent="0.35">
      <c r="A2001" s="81" t="str">
        <f>IF($AA1996=0,"",IF(INDEX(Quotes!$N$9:$N$258,$AA1996)="","No original link","Original quote"))</f>
        <v/>
      </c>
      <c r="B2001" s="39"/>
      <c r="C2001" s="39"/>
      <c r="D2001" s="39"/>
      <c r="E2001" s="39"/>
      <c r="F2001" s="39"/>
      <c r="G2001" s="39"/>
      <c r="I2001" s="81" t="str">
        <f>IF($AA1996=0,"",IF(INDEX(Quotes!$O$9:$O$258,$AA1996)="","No revised link","Revised quote"))</f>
        <v/>
      </c>
      <c r="J2001" s="39"/>
      <c r="K2001" s="39"/>
      <c r="L2001" s="39"/>
      <c r="M2001" s="39"/>
      <c r="N2001" s="39"/>
      <c r="O2001" s="39"/>
      <c r="Q2001" s="81" t="str">
        <f>IF($AA1996=0,"",HYPERLINK("#'Quotes'!A"&amp;($AA1996+8),"Open quote record"))</f>
        <v/>
      </c>
      <c r="R2001" s="39"/>
      <c r="S2001" s="39"/>
      <c r="T2001" s="39"/>
      <c r="U2001" s="39"/>
      <c r="V2001" s="39"/>
    </row>
    <row r="2002" spans="1:27" ht="21" hidden="1" customHeight="1" x14ac:dyDescent="0.35"/>
    <row r="2003" spans="1:27" hidden="1" x14ac:dyDescent="0.35"/>
    <row r="2004" spans="1:27" hidden="1" x14ac:dyDescent="0.35"/>
    <row r="2005" spans="1:27" ht="29" hidden="1" customHeight="1" x14ac:dyDescent="0.35">
      <c r="A2005" s="84" t="str">
        <f>IF($AA2005=0,"",IF(LEN(INDEX(Quotes!$U$9:$U$258,$AA2005)&amp;"")=0,"",INDEX(Quotes!$U$9:$U$258,$AA2005)))</f>
        <v/>
      </c>
      <c r="B2005" s="39"/>
      <c r="C2005" s="39"/>
      <c r="D2005" s="39"/>
      <c r="E2005" s="39"/>
      <c r="F2005" s="39"/>
      <c r="G2005" s="39"/>
      <c r="H2005" s="39"/>
      <c r="I2005" s="39"/>
      <c r="J2005" s="39"/>
      <c r="K2005" s="85" t="str">
        <f>IF($AA2005=0,"",IF(LEN(INDEX(Quotes!$Z$9:$Z$258,$AA2005)&amp;"")=0,"",INDEX(Quotes!$Z$9:$Z$258,$AA2005)))</f>
        <v/>
      </c>
      <c r="L2005" s="39"/>
      <c r="M2005" s="39"/>
      <c r="N2005" s="39"/>
      <c r="O2005" s="39"/>
      <c r="P2005" s="39"/>
      <c r="Q2005" s="39"/>
      <c r="R2005" s="39"/>
      <c r="S2005" s="39"/>
      <c r="T2005" s="39"/>
      <c r="U2005" s="39"/>
      <c r="V2005" s="39"/>
      <c r="AA2005">
        <f>IFERROR(MATCH(208,Quotes!$AK$9:$AK$258,0),0)</f>
        <v>0</v>
      </c>
    </row>
    <row r="2006" spans="1:27" ht="21" hidden="1" customHeight="1" x14ac:dyDescent="0.35">
      <c r="A2006" s="40" t="str">
        <f>IF($AA2005=0,"",IF(LEN(INDEX(Quotes!$V$9:$V$258,$AA2005)&amp;"")=0,"",INDEX(Quotes!$V$9:$V$258,$AA2005)))</f>
        <v/>
      </c>
      <c r="B2006" s="39"/>
      <c r="C2006" s="39"/>
      <c r="D2006" s="39"/>
      <c r="E2006" s="39"/>
      <c r="F2006" s="39"/>
      <c r="G2006" s="39"/>
      <c r="H2006" s="40" t="str">
        <f>IF($AA2005=0,"",IF(LEN(INDEX(Quotes!$W$9:$W$258,$AA2005)&amp;"")=0,"",INDEX(Quotes!$W$9:$W$258,$AA2005)))</f>
        <v/>
      </c>
      <c r="I2006" s="39"/>
      <c r="J2006" s="39"/>
      <c r="K2006" s="39"/>
      <c r="L2006" s="39"/>
      <c r="M2006" s="39"/>
      <c r="N2006" s="39"/>
      <c r="O2006" s="39"/>
      <c r="P2006" s="39"/>
      <c r="Q2006" s="39"/>
      <c r="R2006" s="77" t="str">
        <f>IF($AA2005=0,"",IF(LEN(INDEX(Quotes!$X$9:$X$258,$AA2005)&amp;"")=0,"",INDEX(Quotes!$X$9:$X$258,$AA2005)))</f>
        <v/>
      </c>
      <c r="S2006" s="39"/>
      <c r="T2006" s="39"/>
      <c r="U2006" s="39"/>
      <c r="V2006" s="39"/>
    </row>
    <row r="2007" spans="1:27" ht="21" hidden="1" customHeight="1" x14ac:dyDescent="0.35">
      <c r="A2007" s="83" t="str">
        <f>IF($AA2005=0,"","ORIGINAL EUR")</f>
        <v/>
      </c>
      <c r="B2007" s="39"/>
      <c r="C2007" s="39"/>
      <c r="D2007" s="39"/>
      <c r="E2007" s="39"/>
      <c r="F2007" s="39"/>
      <c r="G2007" s="39"/>
      <c r="I2007" s="83" t="str">
        <f>IF($AA2005=0,"","LATEST EUR")</f>
        <v/>
      </c>
      <c r="J2007" s="39"/>
      <c r="K2007" s="39"/>
      <c r="L2007" s="39"/>
      <c r="M2007" s="39"/>
      <c r="N2007" s="39"/>
      <c r="O2007" s="39"/>
      <c r="Q2007" s="83" t="str">
        <f>IF($AA2005=0,"","SAVED EUR")</f>
        <v/>
      </c>
      <c r="R2007" s="39"/>
      <c r="S2007" s="39"/>
      <c r="T2007" s="39"/>
      <c r="U2007" s="39"/>
      <c r="V2007" s="39"/>
    </row>
    <row r="2008" spans="1:27" ht="21" hidden="1" customHeight="1" x14ac:dyDescent="0.35">
      <c r="A2008" s="82" t="str">
        <f>IF($AA2005=0,"",IF(LEN(INDEX(Quotes!$AB$9:$AB$258,$AA2005)&amp;"")=0,"",INDEX(Quotes!$AB$9:$AB$258,$AA2005)))</f>
        <v/>
      </c>
      <c r="B2008" s="39"/>
      <c r="C2008" s="39"/>
      <c r="D2008" s="39"/>
      <c r="E2008" s="39"/>
      <c r="F2008" s="39"/>
      <c r="G2008" s="39"/>
      <c r="I2008" s="82" t="str">
        <f>IF($AA2005=0,"",IF(LEN(INDEX(Quotes!$AD$9:$AD$258,$AA2005)&amp;"")=0,"",INDEX(Quotes!$AD$9:$AD$258,$AA2005)))</f>
        <v/>
      </c>
      <c r="J2008" s="39"/>
      <c r="K2008" s="39"/>
      <c r="L2008" s="39"/>
      <c r="M2008" s="39"/>
      <c r="N2008" s="39"/>
      <c r="O2008" s="39"/>
      <c r="Q2008" s="82" t="str">
        <f>IF($AA2005=0,"",IF(LEN(INDEX(Quotes!$AF$9:$AF$258,$AA2005)&amp;"")=0,"",INDEX(Quotes!$AF$9:$AF$258,$AA2005)))</f>
        <v/>
      </c>
      <c r="R2008" s="39"/>
      <c r="S2008" s="39"/>
      <c r="T2008" s="39"/>
      <c r="U2008" s="39"/>
      <c r="V2008" s="39"/>
    </row>
    <row r="2009" spans="1:27" ht="21" hidden="1" customHeight="1" x14ac:dyDescent="0.35">
      <c r="A2009" s="48" t="str">
        <f>IF($AA2005=0,"","Reference: "&amp;IF(INDEX(Quotes!$M$9:$M$258,$AA2005)="",INDEX(Quotes!$S$9:$S$258,$AA2005),INDEX(Quotes!$M$9:$M$258,$AA2005)))</f>
        <v/>
      </c>
      <c r="B2009" s="39"/>
      <c r="C2009" s="39"/>
      <c r="D2009" s="39"/>
      <c r="E2009" s="39"/>
      <c r="F2009" s="39"/>
      <c r="G2009" s="39"/>
      <c r="H2009" s="39"/>
      <c r="I2009" s="39"/>
      <c r="J2009" s="39"/>
      <c r="K2009" s="39"/>
      <c r="L2009" s="39"/>
      <c r="M2009" s="39"/>
      <c r="N2009" s="39"/>
      <c r="O2009" s="39"/>
      <c r="P2009" s="39"/>
      <c r="Q2009" s="48" t="str">
        <f>IF($AA2005=0,"",INDEX(Quotes!$E$9:$E$258,$AA2005))</f>
        <v/>
      </c>
      <c r="R2009" s="39"/>
      <c r="S2009" s="39"/>
      <c r="T2009" s="39"/>
      <c r="U2009" s="39"/>
      <c r="V2009" s="39"/>
    </row>
    <row r="2010" spans="1:27" ht="21" hidden="1" customHeight="1" x14ac:dyDescent="0.35">
      <c r="A2010" s="81" t="str">
        <f>IF($AA2005=0,"",IF(INDEX(Quotes!$N$9:$N$258,$AA2005)="","No original link","Original quote"))</f>
        <v/>
      </c>
      <c r="B2010" s="39"/>
      <c r="C2010" s="39"/>
      <c r="D2010" s="39"/>
      <c r="E2010" s="39"/>
      <c r="F2010" s="39"/>
      <c r="G2010" s="39"/>
      <c r="I2010" s="81" t="str">
        <f>IF($AA2005=0,"",IF(INDEX(Quotes!$O$9:$O$258,$AA2005)="","No revised link","Revised quote"))</f>
        <v/>
      </c>
      <c r="J2010" s="39"/>
      <c r="K2010" s="39"/>
      <c r="L2010" s="39"/>
      <c r="M2010" s="39"/>
      <c r="N2010" s="39"/>
      <c r="O2010" s="39"/>
      <c r="Q2010" s="81" t="str">
        <f>IF($AA2005=0,"",HYPERLINK("#'Quotes'!A"&amp;($AA2005+8),"Open quote record"))</f>
        <v/>
      </c>
      <c r="R2010" s="39"/>
      <c r="S2010" s="39"/>
      <c r="T2010" s="39"/>
      <c r="U2010" s="39"/>
      <c r="V2010" s="39"/>
    </row>
    <row r="2011" spans="1:27" ht="21" hidden="1" customHeight="1" x14ac:dyDescent="0.35"/>
    <row r="2012" spans="1:27" hidden="1" x14ac:dyDescent="0.35"/>
    <row r="2013" spans="1:27" hidden="1" x14ac:dyDescent="0.35"/>
    <row r="2014" spans="1:27" hidden="1" x14ac:dyDescent="0.35"/>
    <row r="2015" spans="1:27" hidden="1" x14ac:dyDescent="0.35">
      <c r="A2015" s="67" t="s">
        <v>655</v>
      </c>
      <c r="B2015" s="39"/>
      <c r="C2015" s="39"/>
      <c r="D2015" s="39"/>
      <c r="E2015" s="39"/>
      <c r="F2015" s="39"/>
      <c r="G2015" s="39"/>
      <c r="H2015" s="39"/>
      <c r="I2015" s="39"/>
      <c r="J2015" s="39"/>
      <c r="K2015" s="39"/>
      <c r="L2015" s="39"/>
      <c r="M2015" s="39"/>
      <c r="N2015" s="39"/>
      <c r="O2015" s="39"/>
      <c r="P2015" s="39"/>
      <c r="Q2015" s="39"/>
      <c r="R2015" s="39"/>
      <c r="S2015" s="39"/>
      <c r="T2015" s="39"/>
      <c r="U2015" s="39"/>
      <c r="V2015" s="39"/>
    </row>
    <row r="2016" spans="1:27" ht="29" hidden="1" customHeight="1" x14ac:dyDescent="0.35">
      <c r="A2016" s="84" t="str">
        <f>IF($AA2016=0,"",IF(LEN(INDEX(Quotes!$U$9:$U$258,$AA2016)&amp;"")=0,"",INDEX(Quotes!$U$9:$U$258,$AA2016)))</f>
        <v/>
      </c>
      <c r="B2016" s="39"/>
      <c r="C2016" s="39"/>
      <c r="D2016" s="39"/>
      <c r="E2016" s="39"/>
      <c r="F2016" s="39"/>
      <c r="G2016" s="39"/>
      <c r="H2016" s="39"/>
      <c r="I2016" s="39"/>
      <c r="J2016" s="39"/>
      <c r="K2016" s="85" t="str">
        <f>IF($AA2016=0,"",IF(LEN(INDEX(Quotes!$Z$9:$Z$258,$AA2016)&amp;"")=0,"",INDEX(Quotes!$Z$9:$Z$258,$AA2016)))</f>
        <v/>
      </c>
      <c r="L2016" s="39"/>
      <c r="M2016" s="39"/>
      <c r="N2016" s="39"/>
      <c r="O2016" s="39"/>
      <c r="P2016" s="39"/>
      <c r="Q2016" s="39"/>
      <c r="R2016" s="39"/>
      <c r="S2016" s="39"/>
      <c r="T2016" s="39"/>
      <c r="U2016" s="39"/>
      <c r="V2016" s="39"/>
      <c r="AA2016">
        <f>IFERROR(MATCH(209,Quotes!$AK$9:$AK$258,0),0)</f>
        <v>0</v>
      </c>
    </row>
    <row r="2017" spans="1:27" ht="21" hidden="1" customHeight="1" x14ac:dyDescent="0.35">
      <c r="A2017" s="40" t="str">
        <f>IF($AA2016=0,"",IF(LEN(INDEX(Quotes!$V$9:$V$258,$AA2016)&amp;"")=0,"",INDEX(Quotes!$V$9:$V$258,$AA2016)))</f>
        <v/>
      </c>
      <c r="B2017" s="39"/>
      <c r="C2017" s="39"/>
      <c r="D2017" s="39"/>
      <c r="E2017" s="39"/>
      <c r="F2017" s="39"/>
      <c r="G2017" s="39"/>
      <c r="H2017" s="40" t="str">
        <f>IF($AA2016=0,"",IF(LEN(INDEX(Quotes!$W$9:$W$258,$AA2016)&amp;"")=0,"",INDEX(Quotes!$W$9:$W$258,$AA2016)))</f>
        <v/>
      </c>
      <c r="I2017" s="39"/>
      <c r="J2017" s="39"/>
      <c r="K2017" s="39"/>
      <c r="L2017" s="39"/>
      <c r="M2017" s="39"/>
      <c r="N2017" s="39"/>
      <c r="O2017" s="39"/>
      <c r="P2017" s="39"/>
      <c r="Q2017" s="39"/>
      <c r="R2017" s="77" t="str">
        <f>IF($AA2016=0,"",IF(LEN(INDEX(Quotes!$X$9:$X$258,$AA2016)&amp;"")=0,"",INDEX(Quotes!$X$9:$X$258,$AA2016)))</f>
        <v/>
      </c>
      <c r="S2017" s="39"/>
      <c r="T2017" s="39"/>
      <c r="U2017" s="39"/>
      <c r="V2017" s="39"/>
    </row>
    <row r="2018" spans="1:27" ht="21" hidden="1" customHeight="1" x14ac:dyDescent="0.35">
      <c r="A2018" s="83" t="str">
        <f>IF($AA2016=0,"","ORIGINAL EUR")</f>
        <v/>
      </c>
      <c r="B2018" s="39"/>
      <c r="C2018" s="39"/>
      <c r="D2018" s="39"/>
      <c r="E2018" s="39"/>
      <c r="F2018" s="39"/>
      <c r="G2018" s="39"/>
      <c r="I2018" s="83" t="str">
        <f>IF($AA2016=0,"","LATEST EUR")</f>
        <v/>
      </c>
      <c r="J2018" s="39"/>
      <c r="K2018" s="39"/>
      <c r="L2018" s="39"/>
      <c r="M2018" s="39"/>
      <c r="N2018" s="39"/>
      <c r="O2018" s="39"/>
      <c r="Q2018" s="83" t="str">
        <f>IF($AA2016=0,"","SAVED EUR")</f>
        <v/>
      </c>
      <c r="R2018" s="39"/>
      <c r="S2018" s="39"/>
      <c r="T2018" s="39"/>
      <c r="U2018" s="39"/>
      <c r="V2018" s="39"/>
    </row>
    <row r="2019" spans="1:27" ht="21" hidden="1" customHeight="1" x14ac:dyDescent="0.35">
      <c r="A2019" s="82" t="str">
        <f>IF($AA2016=0,"",IF(LEN(INDEX(Quotes!$AB$9:$AB$258,$AA2016)&amp;"")=0,"",INDEX(Quotes!$AB$9:$AB$258,$AA2016)))</f>
        <v/>
      </c>
      <c r="B2019" s="39"/>
      <c r="C2019" s="39"/>
      <c r="D2019" s="39"/>
      <c r="E2019" s="39"/>
      <c r="F2019" s="39"/>
      <c r="G2019" s="39"/>
      <c r="I2019" s="82" t="str">
        <f>IF($AA2016=0,"",IF(LEN(INDEX(Quotes!$AD$9:$AD$258,$AA2016)&amp;"")=0,"",INDEX(Quotes!$AD$9:$AD$258,$AA2016)))</f>
        <v/>
      </c>
      <c r="J2019" s="39"/>
      <c r="K2019" s="39"/>
      <c r="L2019" s="39"/>
      <c r="M2019" s="39"/>
      <c r="N2019" s="39"/>
      <c r="O2019" s="39"/>
      <c r="Q2019" s="82" t="str">
        <f>IF($AA2016=0,"",IF(LEN(INDEX(Quotes!$AF$9:$AF$258,$AA2016)&amp;"")=0,"",INDEX(Quotes!$AF$9:$AF$258,$AA2016)))</f>
        <v/>
      </c>
      <c r="R2019" s="39"/>
      <c r="S2019" s="39"/>
      <c r="T2019" s="39"/>
      <c r="U2019" s="39"/>
      <c r="V2019" s="39"/>
    </row>
    <row r="2020" spans="1:27" ht="21" hidden="1" customHeight="1" x14ac:dyDescent="0.35">
      <c r="A2020" s="48" t="str">
        <f>IF($AA2016=0,"","Reference: "&amp;IF(INDEX(Quotes!$M$9:$M$258,$AA2016)="",INDEX(Quotes!$S$9:$S$258,$AA2016),INDEX(Quotes!$M$9:$M$258,$AA2016)))</f>
        <v/>
      </c>
      <c r="B2020" s="39"/>
      <c r="C2020" s="39"/>
      <c r="D2020" s="39"/>
      <c r="E2020" s="39"/>
      <c r="F2020" s="39"/>
      <c r="G2020" s="39"/>
      <c r="H2020" s="39"/>
      <c r="I2020" s="39"/>
      <c r="J2020" s="39"/>
      <c r="K2020" s="39"/>
      <c r="L2020" s="39"/>
      <c r="M2020" s="39"/>
      <c r="N2020" s="39"/>
      <c r="O2020" s="39"/>
      <c r="P2020" s="39"/>
      <c r="Q2020" s="48" t="str">
        <f>IF($AA2016=0,"",INDEX(Quotes!$E$9:$E$258,$AA2016))</f>
        <v/>
      </c>
      <c r="R2020" s="39"/>
      <c r="S2020" s="39"/>
      <c r="T2020" s="39"/>
      <c r="U2020" s="39"/>
      <c r="V2020" s="39"/>
    </row>
    <row r="2021" spans="1:27" ht="21" hidden="1" customHeight="1" x14ac:dyDescent="0.35">
      <c r="A2021" s="81" t="str">
        <f>IF($AA2016=0,"",IF(INDEX(Quotes!$N$9:$N$258,$AA2016)="","No original link","Original quote"))</f>
        <v/>
      </c>
      <c r="B2021" s="39"/>
      <c r="C2021" s="39"/>
      <c r="D2021" s="39"/>
      <c r="E2021" s="39"/>
      <c r="F2021" s="39"/>
      <c r="G2021" s="39"/>
      <c r="I2021" s="81" t="str">
        <f>IF($AA2016=0,"",IF(INDEX(Quotes!$O$9:$O$258,$AA2016)="","No revised link","Revised quote"))</f>
        <v/>
      </c>
      <c r="J2021" s="39"/>
      <c r="K2021" s="39"/>
      <c r="L2021" s="39"/>
      <c r="M2021" s="39"/>
      <c r="N2021" s="39"/>
      <c r="O2021" s="39"/>
      <c r="Q2021" s="81" t="str">
        <f>IF($AA2016=0,"",HYPERLINK("#'Quotes'!A"&amp;($AA2016+8),"Open quote record"))</f>
        <v/>
      </c>
      <c r="R2021" s="39"/>
      <c r="S2021" s="39"/>
      <c r="T2021" s="39"/>
      <c r="U2021" s="39"/>
      <c r="V2021" s="39"/>
    </row>
    <row r="2022" spans="1:27" ht="21" hidden="1" customHeight="1" x14ac:dyDescent="0.35"/>
    <row r="2023" spans="1:27" hidden="1" x14ac:dyDescent="0.35"/>
    <row r="2024" spans="1:27" hidden="1" x14ac:dyDescent="0.35"/>
    <row r="2025" spans="1:27" ht="29" hidden="1" customHeight="1" x14ac:dyDescent="0.35">
      <c r="A2025" s="84" t="str">
        <f>IF($AA2025=0,"",IF(LEN(INDEX(Quotes!$U$9:$U$258,$AA2025)&amp;"")=0,"",INDEX(Quotes!$U$9:$U$258,$AA2025)))</f>
        <v/>
      </c>
      <c r="B2025" s="39"/>
      <c r="C2025" s="39"/>
      <c r="D2025" s="39"/>
      <c r="E2025" s="39"/>
      <c r="F2025" s="39"/>
      <c r="G2025" s="39"/>
      <c r="H2025" s="39"/>
      <c r="I2025" s="39"/>
      <c r="J2025" s="39"/>
      <c r="K2025" s="85" t="str">
        <f>IF($AA2025=0,"",IF(LEN(INDEX(Quotes!$Z$9:$Z$258,$AA2025)&amp;"")=0,"",INDEX(Quotes!$Z$9:$Z$258,$AA2025)))</f>
        <v/>
      </c>
      <c r="L2025" s="39"/>
      <c r="M2025" s="39"/>
      <c r="N2025" s="39"/>
      <c r="O2025" s="39"/>
      <c r="P2025" s="39"/>
      <c r="Q2025" s="39"/>
      <c r="R2025" s="39"/>
      <c r="S2025" s="39"/>
      <c r="T2025" s="39"/>
      <c r="U2025" s="39"/>
      <c r="V2025" s="39"/>
      <c r="AA2025">
        <f>IFERROR(MATCH(210,Quotes!$AK$9:$AK$258,0),0)</f>
        <v>0</v>
      </c>
    </row>
    <row r="2026" spans="1:27" ht="21" hidden="1" customHeight="1" x14ac:dyDescent="0.35">
      <c r="A2026" s="40" t="str">
        <f>IF($AA2025=0,"",IF(LEN(INDEX(Quotes!$V$9:$V$258,$AA2025)&amp;"")=0,"",INDEX(Quotes!$V$9:$V$258,$AA2025)))</f>
        <v/>
      </c>
      <c r="B2026" s="39"/>
      <c r="C2026" s="39"/>
      <c r="D2026" s="39"/>
      <c r="E2026" s="39"/>
      <c r="F2026" s="39"/>
      <c r="G2026" s="39"/>
      <c r="H2026" s="40" t="str">
        <f>IF($AA2025=0,"",IF(LEN(INDEX(Quotes!$W$9:$W$258,$AA2025)&amp;"")=0,"",INDEX(Quotes!$W$9:$W$258,$AA2025)))</f>
        <v/>
      </c>
      <c r="I2026" s="39"/>
      <c r="J2026" s="39"/>
      <c r="K2026" s="39"/>
      <c r="L2026" s="39"/>
      <c r="M2026" s="39"/>
      <c r="N2026" s="39"/>
      <c r="O2026" s="39"/>
      <c r="P2026" s="39"/>
      <c r="Q2026" s="39"/>
      <c r="R2026" s="77" t="str">
        <f>IF($AA2025=0,"",IF(LEN(INDEX(Quotes!$X$9:$X$258,$AA2025)&amp;"")=0,"",INDEX(Quotes!$X$9:$X$258,$AA2025)))</f>
        <v/>
      </c>
      <c r="S2026" s="39"/>
      <c r="T2026" s="39"/>
      <c r="U2026" s="39"/>
      <c r="V2026" s="39"/>
    </row>
    <row r="2027" spans="1:27" ht="21" hidden="1" customHeight="1" x14ac:dyDescent="0.35">
      <c r="A2027" s="83" t="str">
        <f>IF($AA2025=0,"","ORIGINAL EUR")</f>
        <v/>
      </c>
      <c r="B2027" s="39"/>
      <c r="C2027" s="39"/>
      <c r="D2027" s="39"/>
      <c r="E2027" s="39"/>
      <c r="F2027" s="39"/>
      <c r="G2027" s="39"/>
      <c r="I2027" s="83" t="str">
        <f>IF($AA2025=0,"","LATEST EUR")</f>
        <v/>
      </c>
      <c r="J2027" s="39"/>
      <c r="K2027" s="39"/>
      <c r="L2027" s="39"/>
      <c r="M2027" s="39"/>
      <c r="N2027" s="39"/>
      <c r="O2027" s="39"/>
      <c r="Q2027" s="83" t="str">
        <f>IF($AA2025=0,"","SAVED EUR")</f>
        <v/>
      </c>
      <c r="R2027" s="39"/>
      <c r="S2027" s="39"/>
      <c r="T2027" s="39"/>
      <c r="U2027" s="39"/>
      <c r="V2027" s="39"/>
    </row>
    <row r="2028" spans="1:27" ht="21" hidden="1" customHeight="1" x14ac:dyDescent="0.35">
      <c r="A2028" s="82" t="str">
        <f>IF($AA2025=0,"",IF(LEN(INDEX(Quotes!$AB$9:$AB$258,$AA2025)&amp;"")=0,"",INDEX(Quotes!$AB$9:$AB$258,$AA2025)))</f>
        <v/>
      </c>
      <c r="B2028" s="39"/>
      <c r="C2028" s="39"/>
      <c r="D2028" s="39"/>
      <c r="E2028" s="39"/>
      <c r="F2028" s="39"/>
      <c r="G2028" s="39"/>
      <c r="I2028" s="82" t="str">
        <f>IF($AA2025=0,"",IF(LEN(INDEX(Quotes!$AD$9:$AD$258,$AA2025)&amp;"")=0,"",INDEX(Quotes!$AD$9:$AD$258,$AA2025)))</f>
        <v/>
      </c>
      <c r="J2028" s="39"/>
      <c r="K2028" s="39"/>
      <c r="L2028" s="39"/>
      <c r="M2028" s="39"/>
      <c r="N2028" s="39"/>
      <c r="O2028" s="39"/>
      <c r="Q2028" s="82" t="str">
        <f>IF($AA2025=0,"",IF(LEN(INDEX(Quotes!$AF$9:$AF$258,$AA2025)&amp;"")=0,"",INDEX(Quotes!$AF$9:$AF$258,$AA2025)))</f>
        <v/>
      </c>
      <c r="R2028" s="39"/>
      <c r="S2028" s="39"/>
      <c r="T2028" s="39"/>
      <c r="U2028" s="39"/>
      <c r="V2028" s="39"/>
    </row>
    <row r="2029" spans="1:27" ht="21" hidden="1" customHeight="1" x14ac:dyDescent="0.35">
      <c r="A2029" s="48" t="str">
        <f>IF($AA2025=0,"","Reference: "&amp;IF(INDEX(Quotes!$M$9:$M$258,$AA2025)="",INDEX(Quotes!$S$9:$S$258,$AA2025),INDEX(Quotes!$M$9:$M$258,$AA2025)))</f>
        <v/>
      </c>
      <c r="B2029" s="39"/>
      <c r="C2029" s="39"/>
      <c r="D2029" s="39"/>
      <c r="E2029" s="39"/>
      <c r="F2029" s="39"/>
      <c r="G2029" s="39"/>
      <c r="H2029" s="39"/>
      <c r="I2029" s="39"/>
      <c r="J2029" s="39"/>
      <c r="K2029" s="39"/>
      <c r="L2029" s="39"/>
      <c r="M2029" s="39"/>
      <c r="N2029" s="39"/>
      <c r="O2029" s="39"/>
      <c r="P2029" s="39"/>
      <c r="Q2029" s="48" t="str">
        <f>IF($AA2025=0,"",INDEX(Quotes!$E$9:$E$258,$AA2025))</f>
        <v/>
      </c>
      <c r="R2029" s="39"/>
      <c r="S2029" s="39"/>
      <c r="T2029" s="39"/>
      <c r="U2029" s="39"/>
      <c r="V2029" s="39"/>
    </row>
    <row r="2030" spans="1:27" ht="21" hidden="1" customHeight="1" x14ac:dyDescent="0.35">
      <c r="A2030" s="81" t="str">
        <f>IF($AA2025=0,"",IF(INDEX(Quotes!$N$9:$N$258,$AA2025)="","No original link","Original quote"))</f>
        <v/>
      </c>
      <c r="B2030" s="39"/>
      <c r="C2030" s="39"/>
      <c r="D2030" s="39"/>
      <c r="E2030" s="39"/>
      <c r="F2030" s="39"/>
      <c r="G2030" s="39"/>
      <c r="I2030" s="81" t="str">
        <f>IF($AA2025=0,"",IF(INDEX(Quotes!$O$9:$O$258,$AA2025)="","No revised link","Revised quote"))</f>
        <v/>
      </c>
      <c r="J2030" s="39"/>
      <c r="K2030" s="39"/>
      <c r="L2030" s="39"/>
      <c r="M2030" s="39"/>
      <c r="N2030" s="39"/>
      <c r="O2030" s="39"/>
      <c r="Q2030" s="81" t="str">
        <f>IF($AA2025=0,"",HYPERLINK("#'Quotes'!A"&amp;($AA2025+8),"Open quote record"))</f>
        <v/>
      </c>
      <c r="R2030" s="39"/>
      <c r="S2030" s="39"/>
      <c r="T2030" s="39"/>
      <c r="U2030" s="39"/>
      <c r="V2030" s="39"/>
    </row>
    <row r="2031" spans="1:27" ht="21" hidden="1" customHeight="1" x14ac:dyDescent="0.35"/>
    <row r="2032" spans="1:27" hidden="1" x14ac:dyDescent="0.35"/>
    <row r="2033" spans="1:27" hidden="1" x14ac:dyDescent="0.35"/>
    <row r="2034" spans="1:27" ht="29" hidden="1" customHeight="1" x14ac:dyDescent="0.35">
      <c r="A2034" s="84" t="str">
        <f>IF($AA2034=0,"",IF(LEN(INDEX(Quotes!$U$9:$U$258,$AA2034)&amp;"")=0,"",INDEX(Quotes!$U$9:$U$258,$AA2034)))</f>
        <v/>
      </c>
      <c r="B2034" s="39"/>
      <c r="C2034" s="39"/>
      <c r="D2034" s="39"/>
      <c r="E2034" s="39"/>
      <c r="F2034" s="39"/>
      <c r="G2034" s="39"/>
      <c r="H2034" s="39"/>
      <c r="I2034" s="39"/>
      <c r="J2034" s="39"/>
      <c r="K2034" s="85" t="str">
        <f>IF($AA2034=0,"",IF(LEN(INDEX(Quotes!$Z$9:$Z$258,$AA2034)&amp;"")=0,"",INDEX(Quotes!$Z$9:$Z$258,$AA2034)))</f>
        <v/>
      </c>
      <c r="L2034" s="39"/>
      <c r="M2034" s="39"/>
      <c r="N2034" s="39"/>
      <c r="O2034" s="39"/>
      <c r="P2034" s="39"/>
      <c r="Q2034" s="39"/>
      <c r="R2034" s="39"/>
      <c r="S2034" s="39"/>
      <c r="T2034" s="39"/>
      <c r="U2034" s="39"/>
      <c r="V2034" s="39"/>
      <c r="AA2034">
        <f>IFERROR(MATCH(211,Quotes!$AK$9:$AK$258,0),0)</f>
        <v>0</v>
      </c>
    </row>
    <row r="2035" spans="1:27" ht="21" hidden="1" customHeight="1" x14ac:dyDescent="0.35">
      <c r="A2035" s="40" t="str">
        <f>IF($AA2034=0,"",IF(LEN(INDEX(Quotes!$V$9:$V$258,$AA2034)&amp;"")=0,"",INDEX(Quotes!$V$9:$V$258,$AA2034)))</f>
        <v/>
      </c>
      <c r="B2035" s="39"/>
      <c r="C2035" s="39"/>
      <c r="D2035" s="39"/>
      <c r="E2035" s="39"/>
      <c r="F2035" s="39"/>
      <c r="G2035" s="39"/>
      <c r="H2035" s="40" t="str">
        <f>IF($AA2034=0,"",IF(LEN(INDEX(Quotes!$W$9:$W$258,$AA2034)&amp;"")=0,"",INDEX(Quotes!$W$9:$W$258,$AA2034)))</f>
        <v/>
      </c>
      <c r="I2035" s="39"/>
      <c r="J2035" s="39"/>
      <c r="K2035" s="39"/>
      <c r="L2035" s="39"/>
      <c r="M2035" s="39"/>
      <c r="N2035" s="39"/>
      <c r="O2035" s="39"/>
      <c r="P2035" s="39"/>
      <c r="Q2035" s="39"/>
      <c r="R2035" s="77" t="str">
        <f>IF($AA2034=0,"",IF(LEN(INDEX(Quotes!$X$9:$X$258,$AA2034)&amp;"")=0,"",INDEX(Quotes!$X$9:$X$258,$AA2034)))</f>
        <v/>
      </c>
      <c r="S2035" s="39"/>
      <c r="T2035" s="39"/>
      <c r="U2035" s="39"/>
      <c r="V2035" s="39"/>
    </row>
    <row r="2036" spans="1:27" ht="21" hidden="1" customHeight="1" x14ac:dyDescent="0.35">
      <c r="A2036" s="83" t="str">
        <f>IF($AA2034=0,"","ORIGINAL EUR")</f>
        <v/>
      </c>
      <c r="B2036" s="39"/>
      <c r="C2036" s="39"/>
      <c r="D2036" s="39"/>
      <c r="E2036" s="39"/>
      <c r="F2036" s="39"/>
      <c r="G2036" s="39"/>
      <c r="I2036" s="83" t="str">
        <f>IF($AA2034=0,"","LATEST EUR")</f>
        <v/>
      </c>
      <c r="J2036" s="39"/>
      <c r="K2036" s="39"/>
      <c r="L2036" s="39"/>
      <c r="M2036" s="39"/>
      <c r="N2036" s="39"/>
      <c r="O2036" s="39"/>
      <c r="Q2036" s="83" t="str">
        <f>IF($AA2034=0,"","SAVED EUR")</f>
        <v/>
      </c>
      <c r="R2036" s="39"/>
      <c r="S2036" s="39"/>
      <c r="T2036" s="39"/>
      <c r="U2036" s="39"/>
      <c r="V2036" s="39"/>
    </row>
    <row r="2037" spans="1:27" ht="21" hidden="1" customHeight="1" x14ac:dyDescent="0.35">
      <c r="A2037" s="82" t="str">
        <f>IF($AA2034=0,"",IF(LEN(INDEX(Quotes!$AB$9:$AB$258,$AA2034)&amp;"")=0,"",INDEX(Quotes!$AB$9:$AB$258,$AA2034)))</f>
        <v/>
      </c>
      <c r="B2037" s="39"/>
      <c r="C2037" s="39"/>
      <c r="D2037" s="39"/>
      <c r="E2037" s="39"/>
      <c r="F2037" s="39"/>
      <c r="G2037" s="39"/>
      <c r="I2037" s="82" t="str">
        <f>IF($AA2034=0,"",IF(LEN(INDEX(Quotes!$AD$9:$AD$258,$AA2034)&amp;"")=0,"",INDEX(Quotes!$AD$9:$AD$258,$AA2034)))</f>
        <v/>
      </c>
      <c r="J2037" s="39"/>
      <c r="K2037" s="39"/>
      <c r="L2037" s="39"/>
      <c r="M2037" s="39"/>
      <c r="N2037" s="39"/>
      <c r="O2037" s="39"/>
      <c r="Q2037" s="82" t="str">
        <f>IF($AA2034=0,"",IF(LEN(INDEX(Quotes!$AF$9:$AF$258,$AA2034)&amp;"")=0,"",INDEX(Quotes!$AF$9:$AF$258,$AA2034)))</f>
        <v/>
      </c>
      <c r="R2037" s="39"/>
      <c r="S2037" s="39"/>
      <c r="T2037" s="39"/>
      <c r="U2037" s="39"/>
      <c r="V2037" s="39"/>
    </row>
    <row r="2038" spans="1:27" ht="21" hidden="1" customHeight="1" x14ac:dyDescent="0.35">
      <c r="A2038" s="48" t="str">
        <f>IF($AA2034=0,"","Reference: "&amp;IF(INDEX(Quotes!$M$9:$M$258,$AA2034)="",INDEX(Quotes!$S$9:$S$258,$AA2034),INDEX(Quotes!$M$9:$M$258,$AA2034)))</f>
        <v/>
      </c>
      <c r="B2038" s="39"/>
      <c r="C2038" s="39"/>
      <c r="D2038" s="39"/>
      <c r="E2038" s="39"/>
      <c r="F2038" s="39"/>
      <c r="G2038" s="39"/>
      <c r="H2038" s="39"/>
      <c r="I2038" s="39"/>
      <c r="J2038" s="39"/>
      <c r="K2038" s="39"/>
      <c r="L2038" s="39"/>
      <c r="M2038" s="39"/>
      <c r="N2038" s="39"/>
      <c r="O2038" s="39"/>
      <c r="P2038" s="39"/>
      <c r="Q2038" s="48" t="str">
        <f>IF($AA2034=0,"",INDEX(Quotes!$E$9:$E$258,$AA2034))</f>
        <v/>
      </c>
      <c r="R2038" s="39"/>
      <c r="S2038" s="39"/>
      <c r="T2038" s="39"/>
      <c r="U2038" s="39"/>
      <c r="V2038" s="39"/>
    </row>
    <row r="2039" spans="1:27" ht="21" hidden="1" customHeight="1" x14ac:dyDescent="0.35">
      <c r="A2039" s="81" t="str">
        <f>IF($AA2034=0,"",IF(INDEX(Quotes!$N$9:$N$258,$AA2034)="","No original link","Original quote"))</f>
        <v/>
      </c>
      <c r="B2039" s="39"/>
      <c r="C2039" s="39"/>
      <c r="D2039" s="39"/>
      <c r="E2039" s="39"/>
      <c r="F2039" s="39"/>
      <c r="G2039" s="39"/>
      <c r="I2039" s="81" t="str">
        <f>IF($AA2034=0,"",IF(INDEX(Quotes!$O$9:$O$258,$AA2034)="","No revised link","Revised quote"))</f>
        <v/>
      </c>
      <c r="J2039" s="39"/>
      <c r="K2039" s="39"/>
      <c r="L2039" s="39"/>
      <c r="M2039" s="39"/>
      <c r="N2039" s="39"/>
      <c r="O2039" s="39"/>
      <c r="Q2039" s="81" t="str">
        <f>IF($AA2034=0,"",HYPERLINK("#'Quotes'!A"&amp;($AA2034+8),"Open quote record"))</f>
        <v/>
      </c>
      <c r="R2039" s="39"/>
      <c r="S2039" s="39"/>
      <c r="T2039" s="39"/>
      <c r="U2039" s="39"/>
      <c r="V2039" s="39"/>
    </row>
    <row r="2040" spans="1:27" ht="21" hidden="1" customHeight="1" x14ac:dyDescent="0.35"/>
    <row r="2041" spans="1:27" hidden="1" x14ac:dyDescent="0.35"/>
    <row r="2042" spans="1:27" hidden="1" x14ac:dyDescent="0.35"/>
    <row r="2043" spans="1:27" ht="29" hidden="1" customHeight="1" x14ac:dyDescent="0.35">
      <c r="A2043" s="84" t="str">
        <f>IF($AA2043=0,"",IF(LEN(INDEX(Quotes!$U$9:$U$258,$AA2043)&amp;"")=0,"",INDEX(Quotes!$U$9:$U$258,$AA2043)))</f>
        <v/>
      </c>
      <c r="B2043" s="39"/>
      <c r="C2043" s="39"/>
      <c r="D2043" s="39"/>
      <c r="E2043" s="39"/>
      <c r="F2043" s="39"/>
      <c r="G2043" s="39"/>
      <c r="H2043" s="39"/>
      <c r="I2043" s="39"/>
      <c r="J2043" s="39"/>
      <c r="K2043" s="85" t="str">
        <f>IF($AA2043=0,"",IF(LEN(INDEX(Quotes!$Z$9:$Z$258,$AA2043)&amp;"")=0,"",INDEX(Quotes!$Z$9:$Z$258,$AA2043)))</f>
        <v/>
      </c>
      <c r="L2043" s="39"/>
      <c r="M2043" s="39"/>
      <c r="N2043" s="39"/>
      <c r="O2043" s="39"/>
      <c r="P2043" s="39"/>
      <c r="Q2043" s="39"/>
      <c r="R2043" s="39"/>
      <c r="S2043" s="39"/>
      <c r="T2043" s="39"/>
      <c r="U2043" s="39"/>
      <c r="V2043" s="39"/>
      <c r="AA2043">
        <f>IFERROR(MATCH(212,Quotes!$AK$9:$AK$258,0),0)</f>
        <v>0</v>
      </c>
    </row>
    <row r="2044" spans="1:27" ht="21" hidden="1" customHeight="1" x14ac:dyDescent="0.35">
      <c r="A2044" s="40" t="str">
        <f>IF($AA2043=0,"",IF(LEN(INDEX(Quotes!$V$9:$V$258,$AA2043)&amp;"")=0,"",INDEX(Quotes!$V$9:$V$258,$AA2043)))</f>
        <v/>
      </c>
      <c r="B2044" s="39"/>
      <c r="C2044" s="39"/>
      <c r="D2044" s="39"/>
      <c r="E2044" s="39"/>
      <c r="F2044" s="39"/>
      <c r="G2044" s="39"/>
      <c r="H2044" s="40" t="str">
        <f>IF($AA2043=0,"",IF(LEN(INDEX(Quotes!$W$9:$W$258,$AA2043)&amp;"")=0,"",INDEX(Quotes!$W$9:$W$258,$AA2043)))</f>
        <v/>
      </c>
      <c r="I2044" s="39"/>
      <c r="J2044" s="39"/>
      <c r="K2044" s="39"/>
      <c r="L2044" s="39"/>
      <c r="M2044" s="39"/>
      <c r="N2044" s="39"/>
      <c r="O2044" s="39"/>
      <c r="P2044" s="39"/>
      <c r="Q2044" s="39"/>
      <c r="R2044" s="77" t="str">
        <f>IF($AA2043=0,"",IF(LEN(INDEX(Quotes!$X$9:$X$258,$AA2043)&amp;"")=0,"",INDEX(Quotes!$X$9:$X$258,$AA2043)))</f>
        <v/>
      </c>
      <c r="S2044" s="39"/>
      <c r="T2044" s="39"/>
      <c r="U2044" s="39"/>
      <c r="V2044" s="39"/>
    </row>
    <row r="2045" spans="1:27" ht="21" hidden="1" customHeight="1" x14ac:dyDescent="0.35">
      <c r="A2045" s="83" t="str">
        <f>IF($AA2043=0,"","ORIGINAL EUR")</f>
        <v/>
      </c>
      <c r="B2045" s="39"/>
      <c r="C2045" s="39"/>
      <c r="D2045" s="39"/>
      <c r="E2045" s="39"/>
      <c r="F2045" s="39"/>
      <c r="G2045" s="39"/>
      <c r="I2045" s="83" t="str">
        <f>IF($AA2043=0,"","LATEST EUR")</f>
        <v/>
      </c>
      <c r="J2045" s="39"/>
      <c r="K2045" s="39"/>
      <c r="L2045" s="39"/>
      <c r="M2045" s="39"/>
      <c r="N2045" s="39"/>
      <c r="O2045" s="39"/>
      <c r="Q2045" s="83" t="str">
        <f>IF($AA2043=0,"","SAVED EUR")</f>
        <v/>
      </c>
      <c r="R2045" s="39"/>
      <c r="S2045" s="39"/>
      <c r="T2045" s="39"/>
      <c r="U2045" s="39"/>
      <c r="V2045" s="39"/>
    </row>
    <row r="2046" spans="1:27" ht="21" hidden="1" customHeight="1" x14ac:dyDescent="0.35">
      <c r="A2046" s="82" t="str">
        <f>IF($AA2043=0,"",IF(LEN(INDEX(Quotes!$AB$9:$AB$258,$AA2043)&amp;"")=0,"",INDEX(Quotes!$AB$9:$AB$258,$AA2043)))</f>
        <v/>
      </c>
      <c r="B2046" s="39"/>
      <c r="C2046" s="39"/>
      <c r="D2046" s="39"/>
      <c r="E2046" s="39"/>
      <c r="F2046" s="39"/>
      <c r="G2046" s="39"/>
      <c r="I2046" s="82" t="str">
        <f>IF($AA2043=0,"",IF(LEN(INDEX(Quotes!$AD$9:$AD$258,$AA2043)&amp;"")=0,"",INDEX(Quotes!$AD$9:$AD$258,$AA2043)))</f>
        <v/>
      </c>
      <c r="J2046" s="39"/>
      <c r="K2046" s="39"/>
      <c r="L2046" s="39"/>
      <c r="M2046" s="39"/>
      <c r="N2046" s="39"/>
      <c r="O2046" s="39"/>
      <c r="Q2046" s="82" t="str">
        <f>IF($AA2043=0,"",IF(LEN(INDEX(Quotes!$AF$9:$AF$258,$AA2043)&amp;"")=0,"",INDEX(Quotes!$AF$9:$AF$258,$AA2043)))</f>
        <v/>
      </c>
      <c r="R2046" s="39"/>
      <c r="S2046" s="39"/>
      <c r="T2046" s="39"/>
      <c r="U2046" s="39"/>
      <c r="V2046" s="39"/>
    </row>
    <row r="2047" spans="1:27" ht="21" hidden="1" customHeight="1" x14ac:dyDescent="0.35">
      <c r="A2047" s="48" t="str">
        <f>IF($AA2043=0,"","Reference: "&amp;IF(INDEX(Quotes!$M$9:$M$258,$AA2043)="",INDEX(Quotes!$S$9:$S$258,$AA2043),INDEX(Quotes!$M$9:$M$258,$AA2043)))</f>
        <v/>
      </c>
      <c r="B2047" s="39"/>
      <c r="C2047" s="39"/>
      <c r="D2047" s="39"/>
      <c r="E2047" s="39"/>
      <c r="F2047" s="39"/>
      <c r="G2047" s="39"/>
      <c r="H2047" s="39"/>
      <c r="I2047" s="39"/>
      <c r="J2047" s="39"/>
      <c r="K2047" s="39"/>
      <c r="L2047" s="39"/>
      <c r="M2047" s="39"/>
      <c r="N2047" s="39"/>
      <c r="O2047" s="39"/>
      <c r="P2047" s="39"/>
      <c r="Q2047" s="48" t="str">
        <f>IF($AA2043=0,"",INDEX(Quotes!$E$9:$E$258,$AA2043))</f>
        <v/>
      </c>
      <c r="R2047" s="39"/>
      <c r="S2047" s="39"/>
      <c r="T2047" s="39"/>
      <c r="U2047" s="39"/>
      <c r="V2047" s="39"/>
    </row>
    <row r="2048" spans="1:27" ht="21" hidden="1" customHeight="1" x14ac:dyDescent="0.35">
      <c r="A2048" s="81" t="str">
        <f>IF($AA2043=0,"",IF(INDEX(Quotes!$N$9:$N$258,$AA2043)="","No original link","Original quote"))</f>
        <v/>
      </c>
      <c r="B2048" s="39"/>
      <c r="C2048" s="39"/>
      <c r="D2048" s="39"/>
      <c r="E2048" s="39"/>
      <c r="F2048" s="39"/>
      <c r="G2048" s="39"/>
      <c r="I2048" s="81" t="str">
        <f>IF($AA2043=0,"",IF(INDEX(Quotes!$O$9:$O$258,$AA2043)="","No revised link","Revised quote"))</f>
        <v/>
      </c>
      <c r="J2048" s="39"/>
      <c r="K2048" s="39"/>
      <c r="L2048" s="39"/>
      <c r="M2048" s="39"/>
      <c r="N2048" s="39"/>
      <c r="O2048" s="39"/>
      <c r="Q2048" s="81" t="str">
        <f>IF($AA2043=0,"",HYPERLINK("#'Quotes'!A"&amp;($AA2043+8),"Open quote record"))</f>
        <v/>
      </c>
      <c r="R2048" s="39"/>
      <c r="S2048" s="39"/>
      <c r="T2048" s="39"/>
      <c r="U2048" s="39"/>
      <c r="V2048" s="39"/>
    </row>
    <row r="2049" spans="1:27" ht="21" hidden="1" customHeight="1" x14ac:dyDescent="0.35"/>
    <row r="2050" spans="1:27" hidden="1" x14ac:dyDescent="0.35"/>
    <row r="2051" spans="1:27" hidden="1" x14ac:dyDescent="0.35"/>
    <row r="2052" spans="1:27" hidden="1" x14ac:dyDescent="0.35"/>
    <row r="2053" spans="1:27" hidden="1" x14ac:dyDescent="0.35">
      <c r="A2053" s="67" t="s">
        <v>655</v>
      </c>
      <c r="B2053" s="39"/>
      <c r="C2053" s="39"/>
      <c r="D2053" s="39"/>
      <c r="E2053" s="39"/>
      <c r="F2053" s="39"/>
      <c r="G2053" s="39"/>
      <c r="H2053" s="39"/>
      <c r="I2053" s="39"/>
      <c r="J2053" s="39"/>
      <c r="K2053" s="39"/>
      <c r="L2053" s="39"/>
      <c r="M2053" s="39"/>
      <c r="N2053" s="39"/>
      <c r="O2053" s="39"/>
      <c r="P2053" s="39"/>
      <c r="Q2053" s="39"/>
      <c r="R2053" s="39"/>
      <c r="S2053" s="39"/>
      <c r="T2053" s="39"/>
      <c r="U2053" s="39"/>
      <c r="V2053" s="39"/>
    </row>
    <row r="2054" spans="1:27" ht="29" hidden="1" customHeight="1" x14ac:dyDescent="0.35">
      <c r="A2054" s="84" t="str">
        <f>IF($AA2054=0,"",IF(LEN(INDEX(Quotes!$U$9:$U$258,$AA2054)&amp;"")=0,"",INDEX(Quotes!$U$9:$U$258,$AA2054)))</f>
        <v/>
      </c>
      <c r="B2054" s="39"/>
      <c r="C2054" s="39"/>
      <c r="D2054" s="39"/>
      <c r="E2054" s="39"/>
      <c r="F2054" s="39"/>
      <c r="G2054" s="39"/>
      <c r="H2054" s="39"/>
      <c r="I2054" s="39"/>
      <c r="J2054" s="39"/>
      <c r="K2054" s="85" t="str">
        <f>IF($AA2054=0,"",IF(LEN(INDEX(Quotes!$Z$9:$Z$258,$AA2054)&amp;"")=0,"",INDEX(Quotes!$Z$9:$Z$258,$AA2054)))</f>
        <v/>
      </c>
      <c r="L2054" s="39"/>
      <c r="M2054" s="39"/>
      <c r="N2054" s="39"/>
      <c r="O2054" s="39"/>
      <c r="P2054" s="39"/>
      <c r="Q2054" s="39"/>
      <c r="R2054" s="39"/>
      <c r="S2054" s="39"/>
      <c r="T2054" s="39"/>
      <c r="U2054" s="39"/>
      <c r="V2054" s="39"/>
      <c r="AA2054">
        <f>IFERROR(MATCH(213,Quotes!$AK$9:$AK$258,0),0)</f>
        <v>0</v>
      </c>
    </row>
    <row r="2055" spans="1:27" ht="21" hidden="1" customHeight="1" x14ac:dyDescent="0.35">
      <c r="A2055" s="40" t="str">
        <f>IF($AA2054=0,"",IF(LEN(INDEX(Quotes!$V$9:$V$258,$AA2054)&amp;"")=0,"",INDEX(Quotes!$V$9:$V$258,$AA2054)))</f>
        <v/>
      </c>
      <c r="B2055" s="39"/>
      <c r="C2055" s="39"/>
      <c r="D2055" s="39"/>
      <c r="E2055" s="39"/>
      <c r="F2055" s="39"/>
      <c r="G2055" s="39"/>
      <c r="H2055" s="40" t="str">
        <f>IF($AA2054=0,"",IF(LEN(INDEX(Quotes!$W$9:$W$258,$AA2054)&amp;"")=0,"",INDEX(Quotes!$W$9:$W$258,$AA2054)))</f>
        <v/>
      </c>
      <c r="I2055" s="39"/>
      <c r="J2055" s="39"/>
      <c r="K2055" s="39"/>
      <c r="L2055" s="39"/>
      <c r="M2055" s="39"/>
      <c r="N2055" s="39"/>
      <c r="O2055" s="39"/>
      <c r="P2055" s="39"/>
      <c r="Q2055" s="39"/>
      <c r="R2055" s="77" t="str">
        <f>IF($AA2054=0,"",IF(LEN(INDEX(Quotes!$X$9:$X$258,$AA2054)&amp;"")=0,"",INDEX(Quotes!$X$9:$X$258,$AA2054)))</f>
        <v/>
      </c>
      <c r="S2055" s="39"/>
      <c r="T2055" s="39"/>
      <c r="U2055" s="39"/>
      <c r="V2055" s="39"/>
    </row>
    <row r="2056" spans="1:27" ht="21" hidden="1" customHeight="1" x14ac:dyDescent="0.35">
      <c r="A2056" s="83" t="str">
        <f>IF($AA2054=0,"","ORIGINAL EUR")</f>
        <v/>
      </c>
      <c r="B2056" s="39"/>
      <c r="C2056" s="39"/>
      <c r="D2056" s="39"/>
      <c r="E2056" s="39"/>
      <c r="F2056" s="39"/>
      <c r="G2056" s="39"/>
      <c r="I2056" s="83" t="str">
        <f>IF($AA2054=0,"","LATEST EUR")</f>
        <v/>
      </c>
      <c r="J2056" s="39"/>
      <c r="K2056" s="39"/>
      <c r="L2056" s="39"/>
      <c r="M2056" s="39"/>
      <c r="N2056" s="39"/>
      <c r="O2056" s="39"/>
      <c r="Q2056" s="83" t="str">
        <f>IF($AA2054=0,"","SAVED EUR")</f>
        <v/>
      </c>
      <c r="R2056" s="39"/>
      <c r="S2056" s="39"/>
      <c r="T2056" s="39"/>
      <c r="U2056" s="39"/>
      <c r="V2056" s="39"/>
    </row>
    <row r="2057" spans="1:27" ht="21" hidden="1" customHeight="1" x14ac:dyDescent="0.35">
      <c r="A2057" s="82" t="str">
        <f>IF($AA2054=0,"",IF(LEN(INDEX(Quotes!$AB$9:$AB$258,$AA2054)&amp;"")=0,"",INDEX(Quotes!$AB$9:$AB$258,$AA2054)))</f>
        <v/>
      </c>
      <c r="B2057" s="39"/>
      <c r="C2057" s="39"/>
      <c r="D2057" s="39"/>
      <c r="E2057" s="39"/>
      <c r="F2057" s="39"/>
      <c r="G2057" s="39"/>
      <c r="I2057" s="82" t="str">
        <f>IF($AA2054=0,"",IF(LEN(INDEX(Quotes!$AD$9:$AD$258,$AA2054)&amp;"")=0,"",INDEX(Quotes!$AD$9:$AD$258,$AA2054)))</f>
        <v/>
      </c>
      <c r="J2057" s="39"/>
      <c r="K2057" s="39"/>
      <c r="L2057" s="39"/>
      <c r="M2057" s="39"/>
      <c r="N2057" s="39"/>
      <c r="O2057" s="39"/>
      <c r="Q2057" s="82" t="str">
        <f>IF($AA2054=0,"",IF(LEN(INDEX(Quotes!$AF$9:$AF$258,$AA2054)&amp;"")=0,"",INDEX(Quotes!$AF$9:$AF$258,$AA2054)))</f>
        <v/>
      </c>
      <c r="R2057" s="39"/>
      <c r="S2057" s="39"/>
      <c r="T2057" s="39"/>
      <c r="U2057" s="39"/>
      <c r="V2057" s="39"/>
    </row>
    <row r="2058" spans="1:27" ht="21" hidden="1" customHeight="1" x14ac:dyDescent="0.35">
      <c r="A2058" s="48" t="str">
        <f>IF($AA2054=0,"","Reference: "&amp;IF(INDEX(Quotes!$M$9:$M$258,$AA2054)="",INDEX(Quotes!$S$9:$S$258,$AA2054),INDEX(Quotes!$M$9:$M$258,$AA2054)))</f>
        <v/>
      </c>
      <c r="B2058" s="39"/>
      <c r="C2058" s="39"/>
      <c r="D2058" s="39"/>
      <c r="E2058" s="39"/>
      <c r="F2058" s="39"/>
      <c r="G2058" s="39"/>
      <c r="H2058" s="39"/>
      <c r="I2058" s="39"/>
      <c r="J2058" s="39"/>
      <c r="K2058" s="39"/>
      <c r="L2058" s="39"/>
      <c r="M2058" s="39"/>
      <c r="N2058" s="39"/>
      <c r="O2058" s="39"/>
      <c r="P2058" s="39"/>
      <c r="Q2058" s="48" t="str">
        <f>IF($AA2054=0,"",INDEX(Quotes!$E$9:$E$258,$AA2054))</f>
        <v/>
      </c>
      <c r="R2058" s="39"/>
      <c r="S2058" s="39"/>
      <c r="T2058" s="39"/>
      <c r="U2058" s="39"/>
      <c r="V2058" s="39"/>
    </row>
    <row r="2059" spans="1:27" ht="21" hidden="1" customHeight="1" x14ac:dyDescent="0.35">
      <c r="A2059" s="81" t="str">
        <f>IF($AA2054=0,"",IF(INDEX(Quotes!$N$9:$N$258,$AA2054)="","No original link","Original quote"))</f>
        <v/>
      </c>
      <c r="B2059" s="39"/>
      <c r="C2059" s="39"/>
      <c r="D2059" s="39"/>
      <c r="E2059" s="39"/>
      <c r="F2059" s="39"/>
      <c r="G2059" s="39"/>
      <c r="I2059" s="81" t="str">
        <f>IF($AA2054=0,"",IF(INDEX(Quotes!$O$9:$O$258,$AA2054)="","No revised link","Revised quote"))</f>
        <v/>
      </c>
      <c r="J2059" s="39"/>
      <c r="K2059" s="39"/>
      <c r="L2059" s="39"/>
      <c r="M2059" s="39"/>
      <c r="N2059" s="39"/>
      <c r="O2059" s="39"/>
      <c r="Q2059" s="81" t="str">
        <f>IF($AA2054=0,"",HYPERLINK("#'Quotes'!A"&amp;($AA2054+8),"Open quote record"))</f>
        <v/>
      </c>
      <c r="R2059" s="39"/>
      <c r="S2059" s="39"/>
      <c r="T2059" s="39"/>
      <c r="U2059" s="39"/>
      <c r="V2059" s="39"/>
    </row>
    <row r="2060" spans="1:27" ht="21" hidden="1" customHeight="1" x14ac:dyDescent="0.35"/>
    <row r="2061" spans="1:27" hidden="1" x14ac:dyDescent="0.35"/>
    <row r="2062" spans="1:27" hidden="1" x14ac:dyDescent="0.35"/>
    <row r="2063" spans="1:27" ht="29" hidden="1" customHeight="1" x14ac:dyDescent="0.35">
      <c r="A2063" s="84" t="str">
        <f>IF($AA2063=0,"",IF(LEN(INDEX(Quotes!$U$9:$U$258,$AA2063)&amp;"")=0,"",INDEX(Quotes!$U$9:$U$258,$AA2063)))</f>
        <v/>
      </c>
      <c r="B2063" s="39"/>
      <c r="C2063" s="39"/>
      <c r="D2063" s="39"/>
      <c r="E2063" s="39"/>
      <c r="F2063" s="39"/>
      <c r="G2063" s="39"/>
      <c r="H2063" s="39"/>
      <c r="I2063" s="39"/>
      <c r="J2063" s="39"/>
      <c r="K2063" s="85" t="str">
        <f>IF($AA2063=0,"",IF(LEN(INDEX(Quotes!$Z$9:$Z$258,$AA2063)&amp;"")=0,"",INDEX(Quotes!$Z$9:$Z$258,$AA2063)))</f>
        <v/>
      </c>
      <c r="L2063" s="39"/>
      <c r="M2063" s="39"/>
      <c r="N2063" s="39"/>
      <c r="O2063" s="39"/>
      <c r="P2063" s="39"/>
      <c r="Q2063" s="39"/>
      <c r="R2063" s="39"/>
      <c r="S2063" s="39"/>
      <c r="T2063" s="39"/>
      <c r="U2063" s="39"/>
      <c r="V2063" s="39"/>
      <c r="AA2063">
        <f>IFERROR(MATCH(214,Quotes!$AK$9:$AK$258,0),0)</f>
        <v>0</v>
      </c>
    </row>
    <row r="2064" spans="1:27" ht="21" hidden="1" customHeight="1" x14ac:dyDescent="0.35">
      <c r="A2064" s="40" t="str">
        <f>IF($AA2063=0,"",IF(LEN(INDEX(Quotes!$V$9:$V$258,$AA2063)&amp;"")=0,"",INDEX(Quotes!$V$9:$V$258,$AA2063)))</f>
        <v/>
      </c>
      <c r="B2064" s="39"/>
      <c r="C2064" s="39"/>
      <c r="D2064" s="39"/>
      <c r="E2064" s="39"/>
      <c r="F2064" s="39"/>
      <c r="G2064" s="39"/>
      <c r="H2064" s="40" t="str">
        <f>IF($AA2063=0,"",IF(LEN(INDEX(Quotes!$W$9:$W$258,$AA2063)&amp;"")=0,"",INDEX(Quotes!$W$9:$W$258,$AA2063)))</f>
        <v/>
      </c>
      <c r="I2064" s="39"/>
      <c r="J2064" s="39"/>
      <c r="K2064" s="39"/>
      <c r="L2064" s="39"/>
      <c r="M2064" s="39"/>
      <c r="N2064" s="39"/>
      <c r="O2064" s="39"/>
      <c r="P2064" s="39"/>
      <c r="Q2064" s="39"/>
      <c r="R2064" s="77" t="str">
        <f>IF($AA2063=0,"",IF(LEN(INDEX(Quotes!$X$9:$X$258,$AA2063)&amp;"")=0,"",INDEX(Quotes!$X$9:$X$258,$AA2063)))</f>
        <v/>
      </c>
      <c r="S2064" s="39"/>
      <c r="T2064" s="39"/>
      <c r="U2064" s="39"/>
      <c r="V2064" s="39"/>
    </row>
    <row r="2065" spans="1:27" ht="21" hidden="1" customHeight="1" x14ac:dyDescent="0.35">
      <c r="A2065" s="83" t="str">
        <f>IF($AA2063=0,"","ORIGINAL EUR")</f>
        <v/>
      </c>
      <c r="B2065" s="39"/>
      <c r="C2065" s="39"/>
      <c r="D2065" s="39"/>
      <c r="E2065" s="39"/>
      <c r="F2065" s="39"/>
      <c r="G2065" s="39"/>
      <c r="I2065" s="83" t="str">
        <f>IF($AA2063=0,"","LATEST EUR")</f>
        <v/>
      </c>
      <c r="J2065" s="39"/>
      <c r="K2065" s="39"/>
      <c r="L2065" s="39"/>
      <c r="M2065" s="39"/>
      <c r="N2065" s="39"/>
      <c r="O2065" s="39"/>
      <c r="Q2065" s="83" t="str">
        <f>IF($AA2063=0,"","SAVED EUR")</f>
        <v/>
      </c>
      <c r="R2065" s="39"/>
      <c r="S2065" s="39"/>
      <c r="T2065" s="39"/>
      <c r="U2065" s="39"/>
      <c r="V2065" s="39"/>
    </row>
    <row r="2066" spans="1:27" ht="21" hidden="1" customHeight="1" x14ac:dyDescent="0.35">
      <c r="A2066" s="82" t="str">
        <f>IF($AA2063=0,"",IF(LEN(INDEX(Quotes!$AB$9:$AB$258,$AA2063)&amp;"")=0,"",INDEX(Quotes!$AB$9:$AB$258,$AA2063)))</f>
        <v/>
      </c>
      <c r="B2066" s="39"/>
      <c r="C2066" s="39"/>
      <c r="D2066" s="39"/>
      <c r="E2066" s="39"/>
      <c r="F2066" s="39"/>
      <c r="G2066" s="39"/>
      <c r="I2066" s="82" t="str">
        <f>IF($AA2063=0,"",IF(LEN(INDEX(Quotes!$AD$9:$AD$258,$AA2063)&amp;"")=0,"",INDEX(Quotes!$AD$9:$AD$258,$AA2063)))</f>
        <v/>
      </c>
      <c r="J2066" s="39"/>
      <c r="K2066" s="39"/>
      <c r="L2066" s="39"/>
      <c r="M2066" s="39"/>
      <c r="N2066" s="39"/>
      <c r="O2066" s="39"/>
      <c r="Q2066" s="82" t="str">
        <f>IF($AA2063=0,"",IF(LEN(INDEX(Quotes!$AF$9:$AF$258,$AA2063)&amp;"")=0,"",INDEX(Quotes!$AF$9:$AF$258,$AA2063)))</f>
        <v/>
      </c>
      <c r="R2066" s="39"/>
      <c r="S2066" s="39"/>
      <c r="T2066" s="39"/>
      <c r="U2066" s="39"/>
      <c r="V2066" s="39"/>
    </row>
    <row r="2067" spans="1:27" ht="21" hidden="1" customHeight="1" x14ac:dyDescent="0.35">
      <c r="A2067" s="48" t="str">
        <f>IF($AA2063=0,"","Reference: "&amp;IF(INDEX(Quotes!$M$9:$M$258,$AA2063)="",INDEX(Quotes!$S$9:$S$258,$AA2063),INDEX(Quotes!$M$9:$M$258,$AA2063)))</f>
        <v/>
      </c>
      <c r="B2067" s="39"/>
      <c r="C2067" s="39"/>
      <c r="D2067" s="39"/>
      <c r="E2067" s="39"/>
      <c r="F2067" s="39"/>
      <c r="G2067" s="39"/>
      <c r="H2067" s="39"/>
      <c r="I2067" s="39"/>
      <c r="J2067" s="39"/>
      <c r="K2067" s="39"/>
      <c r="L2067" s="39"/>
      <c r="M2067" s="39"/>
      <c r="N2067" s="39"/>
      <c r="O2067" s="39"/>
      <c r="P2067" s="39"/>
      <c r="Q2067" s="48" t="str">
        <f>IF($AA2063=0,"",INDEX(Quotes!$E$9:$E$258,$AA2063))</f>
        <v/>
      </c>
      <c r="R2067" s="39"/>
      <c r="S2067" s="39"/>
      <c r="T2067" s="39"/>
      <c r="U2067" s="39"/>
      <c r="V2067" s="39"/>
    </row>
    <row r="2068" spans="1:27" ht="21" hidden="1" customHeight="1" x14ac:dyDescent="0.35">
      <c r="A2068" s="81" t="str">
        <f>IF($AA2063=0,"",IF(INDEX(Quotes!$N$9:$N$258,$AA2063)="","No original link","Original quote"))</f>
        <v/>
      </c>
      <c r="B2068" s="39"/>
      <c r="C2068" s="39"/>
      <c r="D2068" s="39"/>
      <c r="E2068" s="39"/>
      <c r="F2068" s="39"/>
      <c r="G2068" s="39"/>
      <c r="I2068" s="81" t="str">
        <f>IF($AA2063=0,"",IF(INDEX(Quotes!$O$9:$O$258,$AA2063)="","No revised link","Revised quote"))</f>
        <v/>
      </c>
      <c r="J2068" s="39"/>
      <c r="K2068" s="39"/>
      <c r="L2068" s="39"/>
      <c r="M2068" s="39"/>
      <c r="N2068" s="39"/>
      <c r="O2068" s="39"/>
      <c r="Q2068" s="81" t="str">
        <f>IF($AA2063=0,"",HYPERLINK("#'Quotes'!A"&amp;($AA2063+8),"Open quote record"))</f>
        <v/>
      </c>
      <c r="R2068" s="39"/>
      <c r="S2068" s="39"/>
      <c r="T2068" s="39"/>
      <c r="U2068" s="39"/>
      <c r="V2068" s="39"/>
    </row>
    <row r="2069" spans="1:27" ht="21" hidden="1" customHeight="1" x14ac:dyDescent="0.35"/>
    <row r="2070" spans="1:27" hidden="1" x14ac:dyDescent="0.35"/>
    <row r="2071" spans="1:27" hidden="1" x14ac:dyDescent="0.35"/>
    <row r="2072" spans="1:27" ht="29" hidden="1" customHeight="1" x14ac:dyDescent="0.35">
      <c r="A2072" s="84" t="str">
        <f>IF($AA2072=0,"",IF(LEN(INDEX(Quotes!$U$9:$U$258,$AA2072)&amp;"")=0,"",INDEX(Quotes!$U$9:$U$258,$AA2072)))</f>
        <v/>
      </c>
      <c r="B2072" s="39"/>
      <c r="C2072" s="39"/>
      <c r="D2072" s="39"/>
      <c r="E2072" s="39"/>
      <c r="F2072" s="39"/>
      <c r="G2072" s="39"/>
      <c r="H2072" s="39"/>
      <c r="I2072" s="39"/>
      <c r="J2072" s="39"/>
      <c r="K2072" s="85" t="str">
        <f>IF($AA2072=0,"",IF(LEN(INDEX(Quotes!$Z$9:$Z$258,$AA2072)&amp;"")=0,"",INDEX(Quotes!$Z$9:$Z$258,$AA2072)))</f>
        <v/>
      </c>
      <c r="L2072" s="39"/>
      <c r="M2072" s="39"/>
      <c r="N2072" s="39"/>
      <c r="O2072" s="39"/>
      <c r="P2072" s="39"/>
      <c r="Q2072" s="39"/>
      <c r="R2072" s="39"/>
      <c r="S2072" s="39"/>
      <c r="T2072" s="39"/>
      <c r="U2072" s="39"/>
      <c r="V2072" s="39"/>
      <c r="AA2072">
        <f>IFERROR(MATCH(215,Quotes!$AK$9:$AK$258,0),0)</f>
        <v>0</v>
      </c>
    </row>
    <row r="2073" spans="1:27" ht="21" hidden="1" customHeight="1" x14ac:dyDescent="0.35">
      <c r="A2073" s="40" t="str">
        <f>IF($AA2072=0,"",IF(LEN(INDEX(Quotes!$V$9:$V$258,$AA2072)&amp;"")=0,"",INDEX(Quotes!$V$9:$V$258,$AA2072)))</f>
        <v/>
      </c>
      <c r="B2073" s="39"/>
      <c r="C2073" s="39"/>
      <c r="D2073" s="39"/>
      <c r="E2073" s="39"/>
      <c r="F2073" s="39"/>
      <c r="G2073" s="39"/>
      <c r="H2073" s="40" t="str">
        <f>IF($AA2072=0,"",IF(LEN(INDEX(Quotes!$W$9:$W$258,$AA2072)&amp;"")=0,"",INDEX(Quotes!$W$9:$W$258,$AA2072)))</f>
        <v/>
      </c>
      <c r="I2073" s="39"/>
      <c r="J2073" s="39"/>
      <c r="K2073" s="39"/>
      <c r="L2073" s="39"/>
      <c r="M2073" s="39"/>
      <c r="N2073" s="39"/>
      <c r="O2073" s="39"/>
      <c r="P2073" s="39"/>
      <c r="Q2073" s="39"/>
      <c r="R2073" s="77" t="str">
        <f>IF($AA2072=0,"",IF(LEN(INDEX(Quotes!$X$9:$X$258,$AA2072)&amp;"")=0,"",INDEX(Quotes!$X$9:$X$258,$AA2072)))</f>
        <v/>
      </c>
      <c r="S2073" s="39"/>
      <c r="T2073" s="39"/>
      <c r="U2073" s="39"/>
      <c r="V2073" s="39"/>
    </row>
    <row r="2074" spans="1:27" ht="21" hidden="1" customHeight="1" x14ac:dyDescent="0.35">
      <c r="A2074" s="83" t="str">
        <f>IF($AA2072=0,"","ORIGINAL EUR")</f>
        <v/>
      </c>
      <c r="B2074" s="39"/>
      <c r="C2074" s="39"/>
      <c r="D2074" s="39"/>
      <c r="E2074" s="39"/>
      <c r="F2074" s="39"/>
      <c r="G2074" s="39"/>
      <c r="I2074" s="83" t="str">
        <f>IF($AA2072=0,"","LATEST EUR")</f>
        <v/>
      </c>
      <c r="J2074" s="39"/>
      <c r="K2074" s="39"/>
      <c r="L2074" s="39"/>
      <c r="M2074" s="39"/>
      <c r="N2074" s="39"/>
      <c r="O2074" s="39"/>
      <c r="Q2074" s="83" t="str">
        <f>IF($AA2072=0,"","SAVED EUR")</f>
        <v/>
      </c>
      <c r="R2074" s="39"/>
      <c r="S2074" s="39"/>
      <c r="T2074" s="39"/>
      <c r="U2074" s="39"/>
      <c r="V2074" s="39"/>
    </row>
    <row r="2075" spans="1:27" ht="21" hidden="1" customHeight="1" x14ac:dyDescent="0.35">
      <c r="A2075" s="82" t="str">
        <f>IF($AA2072=0,"",IF(LEN(INDEX(Quotes!$AB$9:$AB$258,$AA2072)&amp;"")=0,"",INDEX(Quotes!$AB$9:$AB$258,$AA2072)))</f>
        <v/>
      </c>
      <c r="B2075" s="39"/>
      <c r="C2075" s="39"/>
      <c r="D2075" s="39"/>
      <c r="E2075" s="39"/>
      <c r="F2075" s="39"/>
      <c r="G2075" s="39"/>
      <c r="I2075" s="82" t="str">
        <f>IF($AA2072=0,"",IF(LEN(INDEX(Quotes!$AD$9:$AD$258,$AA2072)&amp;"")=0,"",INDEX(Quotes!$AD$9:$AD$258,$AA2072)))</f>
        <v/>
      </c>
      <c r="J2075" s="39"/>
      <c r="K2075" s="39"/>
      <c r="L2075" s="39"/>
      <c r="M2075" s="39"/>
      <c r="N2075" s="39"/>
      <c r="O2075" s="39"/>
      <c r="Q2075" s="82" t="str">
        <f>IF($AA2072=0,"",IF(LEN(INDEX(Quotes!$AF$9:$AF$258,$AA2072)&amp;"")=0,"",INDEX(Quotes!$AF$9:$AF$258,$AA2072)))</f>
        <v/>
      </c>
      <c r="R2075" s="39"/>
      <c r="S2075" s="39"/>
      <c r="T2075" s="39"/>
      <c r="U2075" s="39"/>
      <c r="V2075" s="39"/>
    </row>
    <row r="2076" spans="1:27" ht="21" hidden="1" customHeight="1" x14ac:dyDescent="0.35">
      <c r="A2076" s="48" t="str">
        <f>IF($AA2072=0,"","Reference: "&amp;IF(INDEX(Quotes!$M$9:$M$258,$AA2072)="",INDEX(Quotes!$S$9:$S$258,$AA2072),INDEX(Quotes!$M$9:$M$258,$AA2072)))</f>
        <v/>
      </c>
      <c r="B2076" s="39"/>
      <c r="C2076" s="39"/>
      <c r="D2076" s="39"/>
      <c r="E2076" s="39"/>
      <c r="F2076" s="39"/>
      <c r="G2076" s="39"/>
      <c r="H2076" s="39"/>
      <c r="I2076" s="39"/>
      <c r="J2076" s="39"/>
      <c r="K2076" s="39"/>
      <c r="L2076" s="39"/>
      <c r="M2076" s="39"/>
      <c r="N2076" s="39"/>
      <c r="O2076" s="39"/>
      <c r="P2076" s="39"/>
      <c r="Q2076" s="48" t="str">
        <f>IF($AA2072=0,"",INDEX(Quotes!$E$9:$E$258,$AA2072))</f>
        <v/>
      </c>
      <c r="R2076" s="39"/>
      <c r="S2076" s="39"/>
      <c r="T2076" s="39"/>
      <c r="U2076" s="39"/>
      <c r="V2076" s="39"/>
    </row>
    <row r="2077" spans="1:27" ht="21" hidden="1" customHeight="1" x14ac:dyDescent="0.35">
      <c r="A2077" s="81" t="str">
        <f>IF($AA2072=0,"",IF(INDEX(Quotes!$N$9:$N$258,$AA2072)="","No original link","Original quote"))</f>
        <v/>
      </c>
      <c r="B2077" s="39"/>
      <c r="C2077" s="39"/>
      <c r="D2077" s="39"/>
      <c r="E2077" s="39"/>
      <c r="F2077" s="39"/>
      <c r="G2077" s="39"/>
      <c r="I2077" s="81" t="str">
        <f>IF($AA2072=0,"",IF(INDEX(Quotes!$O$9:$O$258,$AA2072)="","No revised link","Revised quote"))</f>
        <v/>
      </c>
      <c r="J2077" s="39"/>
      <c r="K2077" s="39"/>
      <c r="L2077" s="39"/>
      <c r="M2077" s="39"/>
      <c r="N2077" s="39"/>
      <c r="O2077" s="39"/>
      <c r="Q2077" s="81" t="str">
        <f>IF($AA2072=0,"",HYPERLINK("#'Quotes'!A"&amp;($AA2072+8),"Open quote record"))</f>
        <v/>
      </c>
      <c r="R2077" s="39"/>
      <c r="S2077" s="39"/>
      <c r="T2077" s="39"/>
      <c r="U2077" s="39"/>
      <c r="V2077" s="39"/>
    </row>
    <row r="2078" spans="1:27" ht="21" hidden="1" customHeight="1" x14ac:dyDescent="0.35"/>
    <row r="2079" spans="1:27" hidden="1" x14ac:dyDescent="0.35"/>
    <row r="2080" spans="1:27" hidden="1" x14ac:dyDescent="0.35"/>
    <row r="2081" spans="1:27" ht="29" hidden="1" customHeight="1" x14ac:dyDescent="0.35">
      <c r="A2081" s="84" t="str">
        <f>IF($AA2081=0,"",IF(LEN(INDEX(Quotes!$U$9:$U$258,$AA2081)&amp;"")=0,"",INDEX(Quotes!$U$9:$U$258,$AA2081)))</f>
        <v/>
      </c>
      <c r="B2081" s="39"/>
      <c r="C2081" s="39"/>
      <c r="D2081" s="39"/>
      <c r="E2081" s="39"/>
      <c r="F2081" s="39"/>
      <c r="G2081" s="39"/>
      <c r="H2081" s="39"/>
      <c r="I2081" s="39"/>
      <c r="J2081" s="39"/>
      <c r="K2081" s="85" t="str">
        <f>IF($AA2081=0,"",IF(LEN(INDEX(Quotes!$Z$9:$Z$258,$AA2081)&amp;"")=0,"",INDEX(Quotes!$Z$9:$Z$258,$AA2081)))</f>
        <v/>
      </c>
      <c r="L2081" s="39"/>
      <c r="M2081" s="39"/>
      <c r="N2081" s="39"/>
      <c r="O2081" s="39"/>
      <c r="P2081" s="39"/>
      <c r="Q2081" s="39"/>
      <c r="R2081" s="39"/>
      <c r="S2081" s="39"/>
      <c r="T2081" s="39"/>
      <c r="U2081" s="39"/>
      <c r="V2081" s="39"/>
      <c r="AA2081">
        <f>IFERROR(MATCH(216,Quotes!$AK$9:$AK$258,0),0)</f>
        <v>0</v>
      </c>
    </row>
    <row r="2082" spans="1:27" ht="21" hidden="1" customHeight="1" x14ac:dyDescent="0.35">
      <c r="A2082" s="40" t="str">
        <f>IF($AA2081=0,"",IF(LEN(INDEX(Quotes!$V$9:$V$258,$AA2081)&amp;"")=0,"",INDEX(Quotes!$V$9:$V$258,$AA2081)))</f>
        <v/>
      </c>
      <c r="B2082" s="39"/>
      <c r="C2082" s="39"/>
      <c r="D2082" s="39"/>
      <c r="E2082" s="39"/>
      <c r="F2082" s="39"/>
      <c r="G2082" s="39"/>
      <c r="H2082" s="40" t="str">
        <f>IF($AA2081=0,"",IF(LEN(INDEX(Quotes!$W$9:$W$258,$AA2081)&amp;"")=0,"",INDEX(Quotes!$W$9:$W$258,$AA2081)))</f>
        <v/>
      </c>
      <c r="I2082" s="39"/>
      <c r="J2082" s="39"/>
      <c r="K2082" s="39"/>
      <c r="L2082" s="39"/>
      <c r="M2082" s="39"/>
      <c r="N2082" s="39"/>
      <c r="O2082" s="39"/>
      <c r="P2082" s="39"/>
      <c r="Q2082" s="39"/>
      <c r="R2082" s="77" t="str">
        <f>IF($AA2081=0,"",IF(LEN(INDEX(Quotes!$X$9:$X$258,$AA2081)&amp;"")=0,"",INDEX(Quotes!$X$9:$X$258,$AA2081)))</f>
        <v/>
      </c>
      <c r="S2082" s="39"/>
      <c r="T2082" s="39"/>
      <c r="U2082" s="39"/>
      <c r="V2082" s="39"/>
    </row>
    <row r="2083" spans="1:27" ht="21" hidden="1" customHeight="1" x14ac:dyDescent="0.35">
      <c r="A2083" s="83" t="str">
        <f>IF($AA2081=0,"","ORIGINAL EUR")</f>
        <v/>
      </c>
      <c r="B2083" s="39"/>
      <c r="C2083" s="39"/>
      <c r="D2083" s="39"/>
      <c r="E2083" s="39"/>
      <c r="F2083" s="39"/>
      <c r="G2083" s="39"/>
      <c r="I2083" s="83" t="str">
        <f>IF($AA2081=0,"","LATEST EUR")</f>
        <v/>
      </c>
      <c r="J2083" s="39"/>
      <c r="K2083" s="39"/>
      <c r="L2083" s="39"/>
      <c r="M2083" s="39"/>
      <c r="N2083" s="39"/>
      <c r="O2083" s="39"/>
      <c r="Q2083" s="83" t="str">
        <f>IF($AA2081=0,"","SAVED EUR")</f>
        <v/>
      </c>
      <c r="R2083" s="39"/>
      <c r="S2083" s="39"/>
      <c r="T2083" s="39"/>
      <c r="U2083" s="39"/>
      <c r="V2083" s="39"/>
    </row>
    <row r="2084" spans="1:27" ht="21" hidden="1" customHeight="1" x14ac:dyDescent="0.35">
      <c r="A2084" s="82" t="str">
        <f>IF($AA2081=0,"",IF(LEN(INDEX(Quotes!$AB$9:$AB$258,$AA2081)&amp;"")=0,"",INDEX(Quotes!$AB$9:$AB$258,$AA2081)))</f>
        <v/>
      </c>
      <c r="B2084" s="39"/>
      <c r="C2084" s="39"/>
      <c r="D2084" s="39"/>
      <c r="E2084" s="39"/>
      <c r="F2084" s="39"/>
      <c r="G2084" s="39"/>
      <c r="I2084" s="82" t="str">
        <f>IF($AA2081=0,"",IF(LEN(INDEX(Quotes!$AD$9:$AD$258,$AA2081)&amp;"")=0,"",INDEX(Quotes!$AD$9:$AD$258,$AA2081)))</f>
        <v/>
      </c>
      <c r="J2084" s="39"/>
      <c r="K2084" s="39"/>
      <c r="L2084" s="39"/>
      <c r="M2084" s="39"/>
      <c r="N2084" s="39"/>
      <c r="O2084" s="39"/>
      <c r="Q2084" s="82" t="str">
        <f>IF($AA2081=0,"",IF(LEN(INDEX(Quotes!$AF$9:$AF$258,$AA2081)&amp;"")=0,"",INDEX(Quotes!$AF$9:$AF$258,$AA2081)))</f>
        <v/>
      </c>
      <c r="R2084" s="39"/>
      <c r="S2084" s="39"/>
      <c r="T2084" s="39"/>
      <c r="U2084" s="39"/>
      <c r="V2084" s="39"/>
    </row>
    <row r="2085" spans="1:27" ht="21" hidden="1" customHeight="1" x14ac:dyDescent="0.35">
      <c r="A2085" s="48" t="str">
        <f>IF($AA2081=0,"","Reference: "&amp;IF(INDEX(Quotes!$M$9:$M$258,$AA2081)="",INDEX(Quotes!$S$9:$S$258,$AA2081),INDEX(Quotes!$M$9:$M$258,$AA2081)))</f>
        <v/>
      </c>
      <c r="B2085" s="39"/>
      <c r="C2085" s="39"/>
      <c r="D2085" s="39"/>
      <c r="E2085" s="39"/>
      <c r="F2085" s="39"/>
      <c r="G2085" s="39"/>
      <c r="H2085" s="39"/>
      <c r="I2085" s="39"/>
      <c r="J2085" s="39"/>
      <c r="K2085" s="39"/>
      <c r="L2085" s="39"/>
      <c r="M2085" s="39"/>
      <c r="N2085" s="39"/>
      <c r="O2085" s="39"/>
      <c r="P2085" s="39"/>
      <c r="Q2085" s="48" t="str">
        <f>IF($AA2081=0,"",INDEX(Quotes!$E$9:$E$258,$AA2081))</f>
        <v/>
      </c>
      <c r="R2085" s="39"/>
      <c r="S2085" s="39"/>
      <c r="T2085" s="39"/>
      <c r="U2085" s="39"/>
      <c r="V2085" s="39"/>
    </row>
    <row r="2086" spans="1:27" ht="21" hidden="1" customHeight="1" x14ac:dyDescent="0.35">
      <c r="A2086" s="81" t="str">
        <f>IF($AA2081=0,"",IF(INDEX(Quotes!$N$9:$N$258,$AA2081)="","No original link","Original quote"))</f>
        <v/>
      </c>
      <c r="B2086" s="39"/>
      <c r="C2086" s="39"/>
      <c r="D2086" s="39"/>
      <c r="E2086" s="39"/>
      <c r="F2086" s="39"/>
      <c r="G2086" s="39"/>
      <c r="I2086" s="81" t="str">
        <f>IF($AA2081=0,"",IF(INDEX(Quotes!$O$9:$O$258,$AA2081)="","No revised link","Revised quote"))</f>
        <v/>
      </c>
      <c r="J2086" s="39"/>
      <c r="K2086" s="39"/>
      <c r="L2086" s="39"/>
      <c r="M2086" s="39"/>
      <c r="N2086" s="39"/>
      <c r="O2086" s="39"/>
      <c r="Q2086" s="81" t="str">
        <f>IF($AA2081=0,"",HYPERLINK("#'Quotes'!A"&amp;($AA2081+8),"Open quote record"))</f>
        <v/>
      </c>
      <c r="R2086" s="39"/>
      <c r="S2086" s="39"/>
      <c r="T2086" s="39"/>
      <c r="U2086" s="39"/>
      <c r="V2086" s="39"/>
    </row>
    <row r="2087" spans="1:27" ht="21" hidden="1" customHeight="1" x14ac:dyDescent="0.35"/>
    <row r="2088" spans="1:27" hidden="1" x14ac:dyDescent="0.35"/>
    <row r="2089" spans="1:27" hidden="1" x14ac:dyDescent="0.35"/>
    <row r="2090" spans="1:27" hidden="1" x14ac:dyDescent="0.35"/>
    <row r="2091" spans="1:27" hidden="1" x14ac:dyDescent="0.35">
      <c r="A2091" s="67" t="s">
        <v>655</v>
      </c>
      <c r="B2091" s="39"/>
      <c r="C2091" s="39"/>
      <c r="D2091" s="39"/>
      <c r="E2091" s="39"/>
      <c r="F2091" s="39"/>
      <c r="G2091" s="39"/>
      <c r="H2091" s="39"/>
      <c r="I2091" s="39"/>
      <c r="J2091" s="39"/>
      <c r="K2091" s="39"/>
      <c r="L2091" s="39"/>
      <c r="M2091" s="39"/>
      <c r="N2091" s="39"/>
      <c r="O2091" s="39"/>
      <c r="P2091" s="39"/>
      <c r="Q2091" s="39"/>
      <c r="R2091" s="39"/>
      <c r="S2091" s="39"/>
      <c r="T2091" s="39"/>
      <c r="U2091" s="39"/>
      <c r="V2091" s="39"/>
    </row>
    <row r="2092" spans="1:27" ht="29" hidden="1" customHeight="1" x14ac:dyDescent="0.35">
      <c r="A2092" s="84" t="str">
        <f>IF($AA2092=0,"",IF(LEN(INDEX(Quotes!$U$9:$U$258,$AA2092)&amp;"")=0,"",INDEX(Quotes!$U$9:$U$258,$AA2092)))</f>
        <v/>
      </c>
      <c r="B2092" s="39"/>
      <c r="C2092" s="39"/>
      <c r="D2092" s="39"/>
      <c r="E2092" s="39"/>
      <c r="F2092" s="39"/>
      <c r="G2092" s="39"/>
      <c r="H2092" s="39"/>
      <c r="I2092" s="39"/>
      <c r="J2092" s="39"/>
      <c r="K2092" s="85" t="str">
        <f>IF($AA2092=0,"",IF(LEN(INDEX(Quotes!$Z$9:$Z$258,$AA2092)&amp;"")=0,"",INDEX(Quotes!$Z$9:$Z$258,$AA2092)))</f>
        <v/>
      </c>
      <c r="L2092" s="39"/>
      <c r="M2092" s="39"/>
      <c r="N2092" s="39"/>
      <c r="O2092" s="39"/>
      <c r="P2092" s="39"/>
      <c r="Q2092" s="39"/>
      <c r="R2092" s="39"/>
      <c r="S2092" s="39"/>
      <c r="T2092" s="39"/>
      <c r="U2092" s="39"/>
      <c r="V2092" s="39"/>
      <c r="AA2092">
        <f>IFERROR(MATCH(217,Quotes!$AK$9:$AK$258,0),0)</f>
        <v>0</v>
      </c>
    </row>
    <row r="2093" spans="1:27" ht="21" hidden="1" customHeight="1" x14ac:dyDescent="0.35">
      <c r="A2093" s="40" t="str">
        <f>IF($AA2092=0,"",IF(LEN(INDEX(Quotes!$V$9:$V$258,$AA2092)&amp;"")=0,"",INDEX(Quotes!$V$9:$V$258,$AA2092)))</f>
        <v/>
      </c>
      <c r="B2093" s="39"/>
      <c r="C2093" s="39"/>
      <c r="D2093" s="39"/>
      <c r="E2093" s="39"/>
      <c r="F2093" s="39"/>
      <c r="G2093" s="39"/>
      <c r="H2093" s="40" t="str">
        <f>IF($AA2092=0,"",IF(LEN(INDEX(Quotes!$W$9:$W$258,$AA2092)&amp;"")=0,"",INDEX(Quotes!$W$9:$W$258,$AA2092)))</f>
        <v/>
      </c>
      <c r="I2093" s="39"/>
      <c r="J2093" s="39"/>
      <c r="K2093" s="39"/>
      <c r="L2093" s="39"/>
      <c r="M2093" s="39"/>
      <c r="N2093" s="39"/>
      <c r="O2093" s="39"/>
      <c r="P2093" s="39"/>
      <c r="Q2093" s="39"/>
      <c r="R2093" s="77" t="str">
        <f>IF($AA2092=0,"",IF(LEN(INDEX(Quotes!$X$9:$X$258,$AA2092)&amp;"")=0,"",INDEX(Quotes!$X$9:$X$258,$AA2092)))</f>
        <v/>
      </c>
      <c r="S2093" s="39"/>
      <c r="T2093" s="39"/>
      <c r="U2093" s="39"/>
      <c r="V2093" s="39"/>
    </row>
    <row r="2094" spans="1:27" ht="21" hidden="1" customHeight="1" x14ac:dyDescent="0.35">
      <c r="A2094" s="83" t="str">
        <f>IF($AA2092=0,"","ORIGINAL EUR")</f>
        <v/>
      </c>
      <c r="B2094" s="39"/>
      <c r="C2094" s="39"/>
      <c r="D2094" s="39"/>
      <c r="E2094" s="39"/>
      <c r="F2094" s="39"/>
      <c r="G2094" s="39"/>
      <c r="I2094" s="83" t="str">
        <f>IF($AA2092=0,"","LATEST EUR")</f>
        <v/>
      </c>
      <c r="J2094" s="39"/>
      <c r="K2094" s="39"/>
      <c r="L2094" s="39"/>
      <c r="M2094" s="39"/>
      <c r="N2094" s="39"/>
      <c r="O2094" s="39"/>
      <c r="Q2094" s="83" t="str">
        <f>IF($AA2092=0,"","SAVED EUR")</f>
        <v/>
      </c>
      <c r="R2094" s="39"/>
      <c r="S2094" s="39"/>
      <c r="T2094" s="39"/>
      <c r="U2094" s="39"/>
      <c r="V2094" s="39"/>
    </row>
    <row r="2095" spans="1:27" ht="21" hidden="1" customHeight="1" x14ac:dyDescent="0.35">
      <c r="A2095" s="82" t="str">
        <f>IF($AA2092=0,"",IF(LEN(INDEX(Quotes!$AB$9:$AB$258,$AA2092)&amp;"")=0,"",INDEX(Quotes!$AB$9:$AB$258,$AA2092)))</f>
        <v/>
      </c>
      <c r="B2095" s="39"/>
      <c r="C2095" s="39"/>
      <c r="D2095" s="39"/>
      <c r="E2095" s="39"/>
      <c r="F2095" s="39"/>
      <c r="G2095" s="39"/>
      <c r="I2095" s="82" t="str">
        <f>IF($AA2092=0,"",IF(LEN(INDEX(Quotes!$AD$9:$AD$258,$AA2092)&amp;"")=0,"",INDEX(Quotes!$AD$9:$AD$258,$AA2092)))</f>
        <v/>
      </c>
      <c r="J2095" s="39"/>
      <c r="K2095" s="39"/>
      <c r="L2095" s="39"/>
      <c r="M2095" s="39"/>
      <c r="N2095" s="39"/>
      <c r="O2095" s="39"/>
      <c r="Q2095" s="82" t="str">
        <f>IF($AA2092=0,"",IF(LEN(INDEX(Quotes!$AF$9:$AF$258,$AA2092)&amp;"")=0,"",INDEX(Quotes!$AF$9:$AF$258,$AA2092)))</f>
        <v/>
      </c>
      <c r="R2095" s="39"/>
      <c r="S2095" s="39"/>
      <c r="T2095" s="39"/>
      <c r="U2095" s="39"/>
      <c r="V2095" s="39"/>
    </row>
    <row r="2096" spans="1:27" ht="21" hidden="1" customHeight="1" x14ac:dyDescent="0.35">
      <c r="A2096" s="48" t="str">
        <f>IF($AA2092=0,"","Reference: "&amp;IF(INDEX(Quotes!$M$9:$M$258,$AA2092)="",INDEX(Quotes!$S$9:$S$258,$AA2092),INDEX(Quotes!$M$9:$M$258,$AA2092)))</f>
        <v/>
      </c>
      <c r="B2096" s="39"/>
      <c r="C2096" s="39"/>
      <c r="D2096" s="39"/>
      <c r="E2096" s="39"/>
      <c r="F2096" s="39"/>
      <c r="G2096" s="39"/>
      <c r="H2096" s="39"/>
      <c r="I2096" s="39"/>
      <c r="J2096" s="39"/>
      <c r="K2096" s="39"/>
      <c r="L2096" s="39"/>
      <c r="M2096" s="39"/>
      <c r="N2096" s="39"/>
      <c r="O2096" s="39"/>
      <c r="P2096" s="39"/>
      <c r="Q2096" s="48" t="str">
        <f>IF($AA2092=0,"",INDEX(Quotes!$E$9:$E$258,$AA2092))</f>
        <v/>
      </c>
      <c r="R2096" s="39"/>
      <c r="S2096" s="39"/>
      <c r="T2096" s="39"/>
      <c r="U2096" s="39"/>
      <c r="V2096" s="39"/>
    </row>
    <row r="2097" spans="1:27" ht="21" hidden="1" customHeight="1" x14ac:dyDescent="0.35">
      <c r="A2097" s="81" t="str">
        <f>IF($AA2092=0,"",IF(INDEX(Quotes!$N$9:$N$258,$AA2092)="","No original link","Original quote"))</f>
        <v/>
      </c>
      <c r="B2097" s="39"/>
      <c r="C2097" s="39"/>
      <c r="D2097" s="39"/>
      <c r="E2097" s="39"/>
      <c r="F2097" s="39"/>
      <c r="G2097" s="39"/>
      <c r="I2097" s="81" t="str">
        <f>IF($AA2092=0,"",IF(INDEX(Quotes!$O$9:$O$258,$AA2092)="","No revised link","Revised quote"))</f>
        <v/>
      </c>
      <c r="J2097" s="39"/>
      <c r="K2097" s="39"/>
      <c r="L2097" s="39"/>
      <c r="M2097" s="39"/>
      <c r="N2097" s="39"/>
      <c r="O2097" s="39"/>
      <c r="Q2097" s="81" t="str">
        <f>IF($AA2092=0,"",HYPERLINK("#'Quotes'!A"&amp;($AA2092+8),"Open quote record"))</f>
        <v/>
      </c>
      <c r="R2097" s="39"/>
      <c r="S2097" s="39"/>
      <c r="T2097" s="39"/>
      <c r="U2097" s="39"/>
      <c r="V2097" s="39"/>
    </row>
    <row r="2098" spans="1:27" ht="21" hidden="1" customHeight="1" x14ac:dyDescent="0.35"/>
    <row r="2099" spans="1:27" hidden="1" x14ac:dyDescent="0.35"/>
    <row r="2100" spans="1:27" hidden="1" x14ac:dyDescent="0.35"/>
    <row r="2101" spans="1:27" ht="29" hidden="1" customHeight="1" x14ac:dyDescent="0.35">
      <c r="A2101" s="84" t="str">
        <f>IF($AA2101=0,"",IF(LEN(INDEX(Quotes!$U$9:$U$258,$AA2101)&amp;"")=0,"",INDEX(Quotes!$U$9:$U$258,$AA2101)))</f>
        <v/>
      </c>
      <c r="B2101" s="39"/>
      <c r="C2101" s="39"/>
      <c r="D2101" s="39"/>
      <c r="E2101" s="39"/>
      <c r="F2101" s="39"/>
      <c r="G2101" s="39"/>
      <c r="H2101" s="39"/>
      <c r="I2101" s="39"/>
      <c r="J2101" s="39"/>
      <c r="K2101" s="85" t="str">
        <f>IF($AA2101=0,"",IF(LEN(INDEX(Quotes!$Z$9:$Z$258,$AA2101)&amp;"")=0,"",INDEX(Quotes!$Z$9:$Z$258,$AA2101)))</f>
        <v/>
      </c>
      <c r="L2101" s="39"/>
      <c r="M2101" s="39"/>
      <c r="N2101" s="39"/>
      <c r="O2101" s="39"/>
      <c r="P2101" s="39"/>
      <c r="Q2101" s="39"/>
      <c r="R2101" s="39"/>
      <c r="S2101" s="39"/>
      <c r="T2101" s="39"/>
      <c r="U2101" s="39"/>
      <c r="V2101" s="39"/>
      <c r="AA2101">
        <f>IFERROR(MATCH(218,Quotes!$AK$9:$AK$258,0),0)</f>
        <v>0</v>
      </c>
    </row>
    <row r="2102" spans="1:27" ht="21" hidden="1" customHeight="1" x14ac:dyDescent="0.35">
      <c r="A2102" s="40" t="str">
        <f>IF($AA2101=0,"",IF(LEN(INDEX(Quotes!$V$9:$V$258,$AA2101)&amp;"")=0,"",INDEX(Quotes!$V$9:$V$258,$AA2101)))</f>
        <v/>
      </c>
      <c r="B2102" s="39"/>
      <c r="C2102" s="39"/>
      <c r="D2102" s="39"/>
      <c r="E2102" s="39"/>
      <c r="F2102" s="39"/>
      <c r="G2102" s="39"/>
      <c r="H2102" s="40" t="str">
        <f>IF($AA2101=0,"",IF(LEN(INDEX(Quotes!$W$9:$W$258,$AA2101)&amp;"")=0,"",INDEX(Quotes!$W$9:$W$258,$AA2101)))</f>
        <v/>
      </c>
      <c r="I2102" s="39"/>
      <c r="J2102" s="39"/>
      <c r="K2102" s="39"/>
      <c r="L2102" s="39"/>
      <c r="M2102" s="39"/>
      <c r="N2102" s="39"/>
      <c r="O2102" s="39"/>
      <c r="P2102" s="39"/>
      <c r="Q2102" s="39"/>
      <c r="R2102" s="77" t="str">
        <f>IF($AA2101=0,"",IF(LEN(INDEX(Quotes!$X$9:$X$258,$AA2101)&amp;"")=0,"",INDEX(Quotes!$X$9:$X$258,$AA2101)))</f>
        <v/>
      </c>
      <c r="S2102" s="39"/>
      <c r="T2102" s="39"/>
      <c r="U2102" s="39"/>
      <c r="V2102" s="39"/>
    </row>
    <row r="2103" spans="1:27" ht="21" hidden="1" customHeight="1" x14ac:dyDescent="0.35">
      <c r="A2103" s="83" t="str">
        <f>IF($AA2101=0,"","ORIGINAL EUR")</f>
        <v/>
      </c>
      <c r="B2103" s="39"/>
      <c r="C2103" s="39"/>
      <c r="D2103" s="39"/>
      <c r="E2103" s="39"/>
      <c r="F2103" s="39"/>
      <c r="G2103" s="39"/>
      <c r="I2103" s="83" t="str">
        <f>IF($AA2101=0,"","LATEST EUR")</f>
        <v/>
      </c>
      <c r="J2103" s="39"/>
      <c r="K2103" s="39"/>
      <c r="L2103" s="39"/>
      <c r="M2103" s="39"/>
      <c r="N2103" s="39"/>
      <c r="O2103" s="39"/>
      <c r="Q2103" s="83" t="str">
        <f>IF($AA2101=0,"","SAVED EUR")</f>
        <v/>
      </c>
      <c r="R2103" s="39"/>
      <c r="S2103" s="39"/>
      <c r="T2103" s="39"/>
      <c r="U2103" s="39"/>
      <c r="V2103" s="39"/>
    </row>
    <row r="2104" spans="1:27" ht="21" hidden="1" customHeight="1" x14ac:dyDescent="0.35">
      <c r="A2104" s="82" t="str">
        <f>IF($AA2101=0,"",IF(LEN(INDEX(Quotes!$AB$9:$AB$258,$AA2101)&amp;"")=0,"",INDEX(Quotes!$AB$9:$AB$258,$AA2101)))</f>
        <v/>
      </c>
      <c r="B2104" s="39"/>
      <c r="C2104" s="39"/>
      <c r="D2104" s="39"/>
      <c r="E2104" s="39"/>
      <c r="F2104" s="39"/>
      <c r="G2104" s="39"/>
      <c r="I2104" s="82" t="str">
        <f>IF($AA2101=0,"",IF(LEN(INDEX(Quotes!$AD$9:$AD$258,$AA2101)&amp;"")=0,"",INDEX(Quotes!$AD$9:$AD$258,$AA2101)))</f>
        <v/>
      </c>
      <c r="J2104" s="39"/>
      <c r="K2104" s="39"/>
      <c r="L2104" s="39"/>
      <c r="M2104" s="39"/>
      <c r="N2104" s="39"/>
      <c r="O2104" s="39"/>
      <c r="Q2104" s="82" t="str">
        <f>IF($AA2101=0,"",IF(LEN(INDEX(Quotes!$AF$9:$AF$258,$AA2101)&amp;"")=0,"",INDEX(Quotes!$AF$9:$AF$258,$AA2101)))</f>
        <v/>
      </c>
      <c r="R2104" s="39"/>
      <c r="S2104" s="39"/>
      <c r="T2104" s="39"/>
      <c r="U2104" s="39"/>
      <c r="V2104" s="39"/>
    </row>
    <row r="2105" spans="1:27" ht="21" hidden="1" customHeight="1" x14ac:dyDescent="0.35">
      <c r="A2105" s="48" t="str">
        <f>IF($AA2101=0,"","Reference: "&amp;IF(INDEX(Quotes!$M$9:$M$258,$AA2101)="",INDEX(Quotes!$S$9:$S$258,$AA2101),INDEX(Quotes!$M$9:$M$258,$AA2101)))</f>
        <v/>
      </c>
      <c r="B2105" s="39"/>
      <c r="C2105" s="39"/>
      <c r="D2105" s="39"/>
      <c r="E2105" s="39"/>
      <c r="F2105" s="39"/>
      <c r="G2105" s="39"/>
      <c r="H2105" s="39"/>
      <c r="I2105" s="39"/>
      <c r="J2105" s="39"/>
      <c r="K2105" s="39"/>
      <c r="L2105" s="39"/>
      <c r="M2105" s="39"/>
      <c r="N2105" s="39"/>
      <c r="O2105" s="39"/>
      <c r="P2105" s="39"/>
      <c r="Q2105" s="48" t="str">
        <f>IF($AA2101=0,"",INDEX(Quotes!$E$9:$E$258,$AA2101))</f>
        <v/>
      </c>
      <c r="R2105" s="39"/>
      <c r="S2105" s="39"/>
      <c r="T2105" s="39"/>
      <c r="U2105" s="39"/>
      <c r="V2105" s="39"/>
    </row>
    <row r="2106" spans="1:27" ht="21" hidden="1" customHeight="1" x14ac:dyDescent="0.35">
      <c r="A2106" s="81" t="str">
        <f>IF($AA2101=0,"",IF(INDEX(Quotes!$N$9:$N$258,$AA2101)="","No original link","Original quote"))</f>
        <v/>
      </c>
      <c r="B2106" s="39"/>
      <c r="C2106" s="39"/>
      <c r="D2106" s="39"/>
      <c r="E2106" s="39"/>
      <c r="F2106" s="39"/>
      <c r="G2106" s="39"/>
      <c r="I2106" s="81" t="str">
        <f>IF($AA2101=0,"",IF(INDEX(Quotes!$O$9:$O$258,$AA2101)="","No revised link","Revised quote"))</f>
        <v/>
      </c>
      <c r="J2106" s="39"/>
      <c r="K2106" s="39"/>
      <c r="L2106" s="39"/>
      <c r="M2106" s="39"/>
      <c r="N2106" s="39"/>
      <c r="O2106" s="39"/>
      <c r="Q2106" s="81" t="str">
        <f>IF($AA2101=0,"",HYPERLINK("#'Quotes'!A"&amp;($AA2101+8),"Open quote record"))</f>
        <v/>
      </c>
      <c r="R2106" s="39"/>
      <c r="S2106" s="39"/>
      <c r="T2106" s="39"/>
      <c r="U2106" s="39"/>
      <c r="V2106" s="39"/>
    </row>
    <row r="2107" spans="1:27" ht="21" hidden="1" customHeight="1" x14ac:dyDescent="0.35"/>
    <row r="2108" spans="1:27" hidden="1" x14ac:dyDescent="0.35"/>
    <row r="2109" spans="1:27" hidden="1" x14ac:dyDescent="0.35"/>
    <row r="2110" spans="1:27" ht="29" hidden="1" customHeight="1" x14ac:dyDescent="0.35">
      <c r="A2110" s="84" t="str">
        <f>IF($AA2110=0,"",IF(LEN(INDEX(Quotes!$U$9:$U$258,$AA2110)&amp;"")=0,"",INDEX(Quotes!$U$9:$U$258,$AA2110)))</f>
        <v/>
      </c>
      <c r="B2110" s="39"/>
      <c r="C2110" s="39"/>
      <c r="D2110" s="39"/>
      <c r="E2110" s="39"/>
      <c r="F2110" s="39"/>
      <c r="G2110" s="39"/>
      <c r="H2110" s="39"/>
      <c r="I2110" s="39"/>
      <c r="J2110" s="39"/>
      <c r="K2110" s="85" t="str">
        <f>IF($AA2110=0,"",IF(LEN(INDEX(Quotes!$Z$9:$Z$258,$AA2110)&amp;"")=0,"",INDEX(Quotes!$Z$9:$Z$258,$AA2110)))</f>
        <v/>
      </c>
      <c r="L2110" s="39"/>
      <c r="M2110" s="39"/>
      <c r="N2110" s="39"/>
      <c r="O2110" s="39"/>
      <c r="P2110" s="39"/>
      <c r="Q2110" s="39"/>
      <c r="R2110" s="39"/>
      <c r="S2110" s="39"/>
      <c r="T2110" s="39"/>
      <c r="U2110" s="39"/>
      <c r="V2110" s="39"/>
      <c r="AA2110">
        <f>IFERROR(MATCH(219,Quotes!$AK$9:$AK$258,0),0)</f>
        <v>0</v>
      </c>
    </row>
    <row r="2111" spans="1:27" ht="21" hidden="1" customHeight="1" x14ac:dyDescent="0.35">
      <c r="A2111" s="40" t="str">
        <f>IF($AA2110=0,"",IF(LEN(INDEX(Quotes!$V$9:$V$258,$AA2110)&amp;"")=0,"",INDEX(Quotes!$V$9:$V$258,$AA2110)))</f>
        <v/>
      </c>
      <c r="B2111" s="39"/>
      <c r="C2111" s="39"/>
      <c r="D2111" s="39"/>
      <c r="E2111" s="39"/>
      <c r="F2111" s="39"/>
      <c r="G2111" s="39"/>
      <c r="H2111" s="40" t="str">
        <f>IF($AA2110=0,"",IF(LEN(INDEX(Quotes!$W$9:$W$258,$AA2110)&amp;"")=0,"",INDEX(Quotes!$W$9:$W$258,$AA2110)))</f>
        <v/>
      </c>
      <c r="I2111" s="39"/>
      <c r="J2111" s="39"/>
      <c r="K2111" s="39"/>
      <c r="L2111" s="39"/>
      <c r="M2111" s="39"/>
      <c r="N2111" s="39"/>
      <c r="O2111" s="39"/>
      <c r="P2111" s="39"/>
      <c r="Q2111" s="39"/>
      <c r="R2111" s="77" t="str">
        <f>IF($AA2110=0,"",IF(LEN(INDEX(Quotes!$X$9:$X$258,$AA2110)&amp;"")=0,"",INDEX(Quotes!$X$9:$X$258,$AA2110)))</f>
        <v/>
      </c>
      <c r="S2111" s="39"/>
      <c r="T2111" s="39"/>
      <c r="U2111" s="39"/>
      <c r="V2111" s="39"/>
    </row>
    <row r="2112" spans="1:27" ht="21" hidden="1" customHeight="1" x14ac:dyDescent="0.35">
      <c r="A2112" s="83" t="str">
        <f>IF($AA2110=0,"","ORIGINAL EUR")</f>
        <v/>
      </c>
      <c r="B2112" s="39"/>
      <c r="C2112" s="39"/>
      <c r="D2112" s="39"/>
      <c r="E2112" s="39"/>
      <c r="F2112" s="39"/>
      <c r="G2112" s="39"/>
      <c r="I2112" s="83" t="str">
        <f>IF($AA2110=0,"","LATEST EUR")</f>
        <v/>
      </c>
      <c r="J2112" s="39"/>
      <c r="K2112" s="39"/>
      <c r="L2112" s="39"/>
      <c r="M2112" s="39"/>
      <c r="N2112" s="39"/>
      <c r="O2112" s="39"/>
      <c r="Q2112" s="83" t="str">
        <f>IF($AA2110=0,"","SAVED EUR")</f>
        <v/>
      </c>
      <c r="R2112" s="39"/>
      <c r="S2112" s="39"/>
      <c r="T2112" s="39"/>
      <c r="U2112" s="39"/>
      <c r="V2112" s="39"/>
    </row>
    <row r="2113" spans="1:27" ht="21" hidden="1" customHeight="1" x14ac:dyDescent="0.35">
      <c r="A2113" s="82" t="str">
        <f>IF($AA2110=0,"",IF(LEN(INDEX(Quotes!$AB$9:$AB$258,$AA2110)&amp;"")=0,"",INDEX(Quotes!$AB$9:$AB$258,$AA2110)))</f>
        <v/>
      </c>
      <c r="B2113" s="39"/>
      <c r="C2113" s="39"/>
      <c r="D2113" s="39"/>
      <c r="E2113" s="39"/>
      <c r="F2113" s="39"/>
      <c r="G2113" s="39"/>
      <c r="I2113" s="82" t="str">
        <f>IF($AA2110=0,"",IF(LEN(INDEX(Quotes!$AD$9:$AD$258,$AA2110)&amp;"")=0,"",INDEX(Quotes!$AD$9:$AD$258,$AA2110)))</f>
        <v/>
      </c>
      <c r="J2113" s="39"/>
      <c r="K2113" s="39"/>
      <c r="L2113" s="39"/>
      <c r="M2113" s="39"/>
      <c r="N2113" s="39"/>
      <c r="O2113" s="39"/>
      <c r="Q2113" s="82" t="str">
        <f>IF($AA2110=0,"",IF(LEN(INDEX(Quotes!$AF$9:$AF$258,$AA2110)&amp;"")=0,"",INDEX(Quotes!$AF$9:$AF$258,$AA2110)))</f>
        <v/>
      </c>
      <c r="R2113" s="39"/>
      <c r="S2113" s="39"/>
      <c r="T2113" s="39"/>
      <c r="U2113" s="39"/>
      <c r="V2113" s="39"/>
    </row>
    <row r="2114" spans="1:27" ht="21" hidden="1" customHeight="1" x14ac:dyDescent="0.35">
      <c r="A2114" s="48" t="str">
        <f>IF($AA2110=0,"","Reference: "&amp;IF(INDEX(Quotes!$M$9:$M$258,$AA2110)="",INDEX(Quotes!$S$9:$S$258,$AA2110),INDEX(Quotes!$M$9:$M$258,$AA2110)))</f>
        <v/>
      </c>
      <c r="B2114" s="39"/>
      <c r="C2114" s="39"/>
      <c r="D2114" s="39"/>
      <c r="E2114" s="39"/>
      <c r="F2114" s="39"/>
      <c r="G2114" s="39"/>
      <c r="H2114" s="39"/>
      <c r="I2114" s="39"/>
      <c r="J2114" s="39"/>
      <c r="K2114" s="39"/>
      <c r="L2114" s="39"/>
      <c r="M2114" s="39"/>
      <c r="N2114" s="39"/>
      <c r="O2114" s="39"/>
      <c r="P2114" s="39"/>
      <c r="Q2114" s="48" t="str">
        <f>IF($AA2110=0,"",INDEX(Quotes!$E$9:$E$258,$AA2110))</f>
        <v/>
      </c>
      <c r="R2114" s="39"/>
      <c r="S2114" s="39"/>
      <c r="T2114" s="39"/>
      <c r="U2114" s="39"/>
      <c r="V2114" s="39"/>
    </row>
    <row r="2115" spans="1:27" ht="21" hidden="1" customHeight="1" x14ac:dyDescent="0.35">
      <c r="A2115" s="81" t="str">
        <f>IF($AA2110=0,"",IF(INDEX(Quotes!$N$9:$N$258,$AA2110)="","No original link","Original quote"))</f>
        <v/>
      </c>
      <c r="B2115" s="39"/>
      <c r="C2115" s="39"/>
      <c r="D2115" s="39"/>
      <c r="E2115" s="39"/>
      <c r="F2115" s="39"/>
      <c r="G2115" s="39"/>
      <c r="I2115" s="81" t="str">
        <f>IF($AA2110=0,"",IF(INDEX(Quotes!$O$9:$O$258,$AA2110)="","No revised link","Revised quote"))</f>
        <v/>
      </c>
      <c r="J2115" s="39"/>
      <c r="K2115" s="39"/>
      <c r="L2115" s="39"/>
      <c r="M2115" s="39"/>
      <c r="N2115" s="39"/>
      <c r="O2115" s="39"/>
      <c r="Q2115" s="81" t="str">
        <f>IF($AA2110=0,"",HYPERLINK("#'Quotes'!A"&amp;($AA2110+8),"Open quote record"))</f>
        <v/>
      </c>
      <c r="R2115" s="39"/>
      <c r="S2115" s="39"/>
      <c r="T2115" s="39"/>
      <c r="U2115" s="39"/>
      <c r="V2115" s="39"/>
    </row>
    <row r="2116" spans="1:27" ht="21" hidden="1" customHeight="1" x14ac:dyDescent="0.35"/>
    <row r="2117" spans="1:27" hidden="1" x14ac:dyDescent="0.35"/>
    <row r="2118" spans="1:27" hidden="1" x14ac:dyDescent="0.35"/>
    <row r="2119" spans="1:27" ht="29" hidden="1" customHeight="1" x14ac:dyDescent="0.35">
      <c r="A2119" s="84" t="str">
        <f>IF($AA2119=0,"",IF(LEN(INDEX(Quotes!$U$9:$U$258,$AA2119)&amp;"")=0,"",INDEX(Quotes!$U$9:$U$258,$AA2119)))</f>
        <v/>
      </c>
      <c r="B2119" s="39"/>
      <c r="C2119" s="39"/>
      <c r="D2119" s="39"/>
      <c r="E2119" s="39"/>
      <c r="F2119" s="39"/>
      <c r="G2119" s="39"/>
      <c r="H2119" s="39"/>
      <c r="I2119" s="39"/>
      <c r="J2119" s="39"/>
      <c r="K2119" s="85" t="str">
        <f>IF($AA2119=0,"",IF(LEN(INDEX(Quotes!$Z$9:$Z$258,$AA2119)&amp;"")=0,"",INDEX(Quotes!$Z$9:$Z$258,$AA2119)))</f>
        <v/>
      </c>
      <c r="L2119" s="39"/>
      <c r="M2119" s="39"/>
      <c r="N2119" s="39"/>
      <c r="O2119" s="39"/>
      <c r="P2119" s="39"/>
      <c r="Q2119" s="39"/>
      <c r="R2119" s="39"/>
      <c r="S2119" s="39"/>
      <c r="T2119" s="39"/>
      <c r="U2119" s="39"/>
      <c r="V2119" s="39"/>
      <c r="AA2119">
        <f>IFERROR(MATCH(220,Quotes!$AK$9:$AK$258,0),0)</f>
        <v>0</v>
      </c>
    </row>
    <row r="2120" spans="1:27" ht="21" hidden="1" customHeight="1" x14ac:dyDescent="0.35">
      <c r="A2120" s="40" t="str">
        <f>IF($AA2119=0,"",IF(LEN(INDEX(Quotes!$V$9:$V$258,$AA2119)&amp;"")=0,"",INDEX(Quotes!$V$9:$V$258,$AA2119)))</f>
        <v/>
      </c>
      <c r="B2120" s="39"/>
      <c r="C2120" s="39"/>
      <c r="D2120" s="39"/>
      <c r="E2120" s="39"/>
      <c r="F2120" s="39"/>
      <c r="G2120" s="39"/>
      <c r="H2120" s="40" t="str">
        <f>IF($AA2119=0,"",IF(LEN(INDEX(Quotes!$W$9:$W$258,$AA2119)&amp;"")=0,"",INDEX(Quotes!$W$9:$W$258,$AA2119)))</f>
        <v/>
      </c>
      <c r="I2120" s="39"/>
      <c r="J2120" s="39"/>
      <c r="K2120" s="39"/>
      <c r="L2120" s="39"/>
      <c r="M2120" s="39"/>
      <c r="N2120" s="39"/>
      <c r="O2120" s="39"/>
      <c r="P2120" s="39"/>
      <c r="Q2120" s="39"/>
      <c r="R2120" s="77" t="str">
        <f>IF($AA2119=0,"",IF(LEN(INDEX(Quotes!$X$9:$X$258,$AA2119)&amp;"")=0,"",INDEX(Quotes!$X$9:$X$258,$AA2119)))</f>
        <v/>
      </c>
      <c r="S2120" s="39"/>
      <c r="T2120" s="39"/>
      <c r="U2120" s="39"/>
      <c r="V2120" s="39"/>
    </row>
    <row r="2121" spans="1:27" ht="21" hidden="1" customHeight="1" x14ac:dyDescent="0.35">
      <c r="A2121" s="83" t="str">
        <f>IF($AA2119=0,"","ORIGINAL EUR")</f>
        <v/>
      </c>
      <c r="B2121" s="39"/>
      <c r="C2121" s="39"/>
      <c r="D2121" s="39"/>
      <c r="E2121" s="39"/>
      <c r="F2121" s="39"/>
      <c r="G2121" s="39"/>
      <c r="I2121" s="83" t="str">
        <f>IF($AA2119=0,"","LATEST EUR")</f>
        <v/>
      </c>
      <c r="J2121" s="39"/>
      <c r="K2121" s="39"/>
      <c r="L2121" s="39"/>
      <c r="M2121" s="39"/>
      <c r="N2121" s="39"/>
      <c r="O2121" s="39"/>
      <c r="Q2121" s="83" t="str">
        <f>IF($AA2119=0,"","SAVED EUR")</f>
        <v/>
      </c>
      <c r="R2121" s="39"/>
      <c r="S2121" s="39"/>
      <c r="T2121" s="39"/>
      <c r="U2121" s="39"/>
      <c r="V2121" s="39"/>
    </row>
    <row r="2122" spans="1:27" ht="21" hidden="1" customHeight="1" x14ac:dyDescent="0.35">
      <c r="A2122" s="82" t="str">
        <f>IF($AA2119=0,"",IF(LEN(INDEX(Quotes!$AB$9:$AB$258,$AA2119)&amp;"")=0,"",INDEX(Quotes!$AB$9:$AB$258,$AA2119)))</f>
        <v/>
      </c>
      <c r="B2122" s="39"/>
      <c r="C2122" s="39"/>
      <c r="D2122" s="39"/>
      <c r="E2122" s="39"/>
      <c r="F2122" s="39"/>
      <c r="G2122" s="39"/>
      <c r="I2122" s="82" t="str">
        <f>IF($AA2119=0,"",IF(LEN(INDEX(Quotes!$AD$9:$AD$258,$AA2119)&amp;"")=0,"",INDEX(Quotes!$AD$9:$AD$258,$AA2119)))</f>
        <v/>
      </c>
      <c r="J2122" s="39"/>
      <c r="K2122" s="39"/>
      <c r="L2122" s="39"/>
      <c r="M2122" s="39"/>
      <c r="N2122" s="39"/>
      <c r="O2122" s="39"/>
      <c r="Q2122" s="82" t="str">
        <f>IF($AA2119=0,"",IF(LEN(INDEX(Quotes!$AF$9:$AF$258,$AA2119)&amp;"")=0,"",INDEX(Quotes!$AF$9:$AF$258,$AA2119)))</f>
        <v/>
      </c>
      <c r="R2122" s="39"/>
      <c r="S2122" s="39"/>
      <c r="T2122" s="39"/>
      <c r="U2122" s="39"/>
      <c r="V2122" s="39"/>
    </row>
    <row r="2123" spans="1:27" ht="21" hidden="1" customHeight="1" x14ac:dyDescent="0.35">
      <c r="A2123" s="48" t="str">
        <f>IF($AA2119=0,"","Reference: "&amp;IF(INDEX(Quotes!$M$9:$M$258,$AA2119)="",INDEX(Quotes!$S$9:$S$258,$AA2119),INDEX(Quotes!$M$9:$M$258,$AA2119)))</f>
        <v/>
      </c>
      <c r="B2123" s="39"/>
      <c r="C2123" s="39"/>
      <c r="D2123" s="39"/>
      <c r="E2123" s="39"/>
      <c r="F2123" s="39"/>
      <c r="G2123" s="39"/>
      <c r="H2123" s="39"/>
      <c r="I2123" s="39"/>
      <c r="J2123" s="39"/>
      <c r="K2123" s="39"/>
      <c r="L2123" s="39"/>
      <c r="M2123" s="39"/>
      <c r="N2123" s="39"/>
      <c r="O2123" s="39"/>
      <c r="P2123" s="39"/>
      <c r="Q2123" s="48" t="str">
        <f>IF($AA2119=0,"",INDEX(Quotes!$E$9:$E$258,$AA2119))</f>
        <v/>
      </c>
      <c r="R2123" s="39"/>
      <c r="S2123" s="39"/>
      <c r="T2123" s="39"/>
      <c r="U2123" s="39"/>
      <c r="V2123" s="39"/>
    </row>
    <row r="2124" spans="1:27" ht="21" hidden="1" customHeight="1" x14ac:dyDescent="0.35">
      <c r="A2124" s="81" t="str">
        <f>IF($AA2119=0,"",IF(INDEX(Quotes!$N$9:$N$258,$AA2119)="","No original link","Original quote"))</f>
        <v/>
      </c>
      <c r="B2124" s="39"/>
      <c r="C2124" s="39"/>
      <c r="D2124" s="39"/>
      <c r="E2124" s="39"/>
      <c r="F2124" s="39"/>
      <c r="G2124" s="39"/>
      <c r="I2124" s="81" t="str">
        <f>IF($AA2119=0,"",IF(INDEX(Quotes!$O$9:$O$258,$AA2119)="","No revised link","Revised quote"))</f>
        <v/>
      </c>
      <c r="J2124" s="39"/>
      <c r="K2124" s="39"/>
      <c r="L2124" s="39"/>
      <c r="M2124" s="39"/>
      <c r="N2124" s="39"/>
      <c r="O2124" s="39"/>
      <c r="Q2124" s="81" t="str">
        <f>IF($AA2119=0,"",HYPERLINK("#'Quotes'!A"&amp;($AA2119+8),"Open quote record"))</f>
        <v/>
      </c>
      <c r="R2124" s="39"/>
      <c r="S2124" s="39"/>
      <c r="T2124" s="39"/>
      <c r="U2124" s="39"/>
      <c r="V2124" s="39"/>
    </row>
    <row r="2125" spans="1:27" ht="21" hidden="1" customHeight="1" x14ac:dyDescent="0.35"/>
    <row r="2126" spans="1:27" hidden="1" x14ac:dyDescent="0.35"/>
    <row r="2127" spans="1:27" hidden="1" x14ac:dyDescent="0.35"/>
    <row r="2128" spans="1:27" hidden="1" x14ac:dyDescent="0.35"/>
    <row r="2129" spans="1:27" hidden="1" x14ac:dyDescent="0.35">
      <c r="A2129" s="67" t="s">
        <v>655</v>
      </c>
      <c r="B2129" s="39"/>
      <c r="C2129" s="39"/>
      <c r="D2129" s="39"/>
      <c r="E2129" s="39"/>
      <c r="F2129" s="39"/>
      <c r="G2129" s="39"/>
      <c r="H2129" s="39"/>
      <c r="I2129" s="39"/>
      <c r="J2129" s="39"/>
      <c r="K2129" s="39"/>
      <c r="L2129" s="39"/>
      <c r="M2129" s="39"/>
      <c r="N2129" s="39"/>
      <c r="O2129" s="39"/>
      <c r="P2129" s="39"/>
      <c r="Q2129" s="39"/>
      <c r="R2129" s="39"/>
      <c r="S2129" s="39"/>
      <c r="T2129" s="39"/>
      <c r="U2129" s="39"/>
      <c r="V2129" s="39"/>
    </row>
    <row r="2130" spans="1:27" ht="29" hidden="1" customHeight="1" x14ac:dyDescent="0.35">
      <c r="A2130" s="84" t="str">
        <f>IF($AA2130=0,"",IF(LEN(INDEX(Quotes!$U$9:$U$258,$AA2130)&amp;"")=0,"",INDEX(Quotes!$U$9:$U$258,$AA2130)))</f>
        <v/>
      </c>
      <c r="B2130" s="39"/>
      <c r="C2130" s="39"/>
      <c r="D2130" s="39"/>
      <c r="E2130" s="39"/>
      <c r="F2130" s="39"/>
      <c r="G2130" s="39"/>
      <c r="H2130" s="39"/>
      <c r="I2130" s="39"/>
      <c r="J2130" s="39"/>
      <c r="K2130" s="85" t="str">
        <f>IF($AA2130=0,"",IF(LEN(INDEX(Quotes!$Z$9:$Z$258,$AA2130)&amp;"")=0,"",INDEX(Quotes!$Z$9:$Z$258,$AA2130)))</f>
        <v/>
      </c>
      <c r="L2130" s="39"/>
      <c r="M2130" s="39"/>
      <c r="N2130" s="39"/>
      <c r="O2130" s="39"/>
      <c r="P2130" s="39"/>
      <c r="Q2130" s="39"/>
      <c r="R2130" s="39"/>
      <c r="S2130" s="39"/>
      <c r="T2130" s="39"/>
      <c r="U2130" s="39"/>
      <c r="V2130" s="39"/>
      <c r="AA2130">
        <f>IFERROR(MATCH(221,Quotes!$AK$9:$AK$258,0),0)</f>
        <v>0</v>
      </c>
    </row>
    <row r="2131" spans="1:27" ht="21" hidden="1" customHeight="1" x14ac:dyDescent="0.35">
      <c r="A2131" s="40" t="str">
        <f>IF($AA2130=0,"",IF(LEN(INDEX(Quotes!$V$9:$V$258,$AA2130)&amp;"")=0,"",INDEX(Quotes!$V$9:$V$258,$AA2130)))</f>
        <v/>
      </c>
      <c r="B2131" s="39"/>
      <c r="C2131" s="39"/>
      <c r="D2131" s="39"/>
      <c r="E2131" s="39"/>
      <c r="F2131" s="39"/>
      <c r="G2131" s="39"/>
      <c r="H2131" s="40" t="str">
        <f>IF($AA2130=0,"",IF(LEN(INDEX(Quotes!$W$9:$W$258,$AA2130)&amp;"")=0,"",INDEX(Quotes!$W$9:$W$258,$AA2130)))</f>
        <v/>
      </c>
      <c r="I2131" s="39"/>
      <c r="J2131" s="39"/>
      <c r="K2131" s="39"/>
      <c r="L2131" s="39"/>
      <c r="M2131" s="39"/>
      <c r="N2131" s="39"/>
      <c r="O2131" s="39"/>
      <c r="P2131" s="39"/>
      <c r="Q2131" s="39"/>
      <c r="R2131" s="77" t="str">
        <f>IF($AA2130=0,"",IF(LEN(INDEX(Quotes!$X$9:$X$258,$AA2130)&amp;"")=0,"",INDEX(Quotes!$X$9:$X$258,$AA2130)))</f>
        <v/>
      </c>
      <c r="S2131" s="39"/>
      <c r="T2131" s="39"/>
      <c r="U2131" s="39"/>
      <c r="V2131" s="39"/>
    </row>
    <row r="2132" spans="1:27" ht="21" hidden="1" customHeight="1" x14ac:dyDescent="0.35">
      <c r="A2132" s="83" t="str">
        <f>IF($AA2130=0,"","ORIGINAL EUR")</f>
        <v/>
      </c>
      <c r="B2132" s="39"/>
      <c r="C2132" s="39"/>
      <c r="D2132" s="39"/>
      <c r="E2132" s="39"/>
      <c r="F2132" s="39"/>
      <c r="G2132" s="39"/>
      <c r="I2132" s="83" t="str">
        <f>IF($AA2130=0,"","LATEST EUR")</f>
        <v/>
      </c>
      <c r="J2132" s="39"/>
      <c r="K2132" s="39"/>
      <c r="L2132" s="39"/>
      <c r="M2132" s="39"/>
      <c r="N2132" s="39"/>
      <c r="O2132" s="39"/>
      <c r="Q2132" s="83" t="str">
        <f>IF($AA2130=0,"","SAVED EUR")</f>
        <v/>
      </c>
      <c r="R2132" s="39"/>
      <c r="S2132" s="39"/>
      <c r="T2132" s="39"/>
      <c r="U2132" s="39"/>
      <c r="V2132" s="39"/>
    </row>
    <row r="2133" spans="1:27" ht="21" hidden="1" customHeight="1" x14ac:dyDescent="0.35">
      <c r="A2133" s="82" t="str">
        <f>IF($AA2130=0,"",IF(LEN(INDEX(Quotes!$AB$9:$AB$258,$AA2130)&amp;"")=0,"",INDEX(Quotes!$AB$9:$AB$258,$AA2130)))</f>
        <v/>
      </c>
      <c r="B2133" s="39"/>
      <c r="C2133" s="39"/>
      <c r="D2133" s="39"/>
      <c r="E2133" s="39"/>
      <c r="F2133" s="39"/>
      <c r="G2133" s="39"/>
      <c r="I2133" s="82" t="str">
        <f>IF($AA2130=0,"",IF(LEN(INDEX(Quotes!$AD$9:$AD$258,$AA2130)&amp;"")=0,"",INDEX(Quotes!$AD$9:$AD$258,$AA2130)))</f>
        <v/>
      </c>
      <c r="J2133" s="39"/>
      <c r="K2133" s="39"/>
      <c r="L2133" s="39"/>
      <c r="M2133" s="39"/>
      <c r="N2133" s="39"/>
      <c r="O2133" s="39"/>
      <c r="Q2133" s="82" t="str">
        <f>IF($AA2130=0,"",IF(LEN(INDEX(Quotes!$AF$9:$AF$258,$AA2130)&amp;"")=0,"",INDEX(Quotes!$AF$9:$AF$258,$AA2130)))</f>
        <v/>
      </c>
      <c r="R2133" s="39"/>
      <c r="S2133" s="39"/>
      <c r="T2133" s="39"/>
      <c r="U2133" s="39"/>
      <c r="V2133" s="39"/>
    </row>
    <row r="2134" spans="1:27" ht="21" hidden="1" customHeight="1" x14ac:dyDescent="0.35">
      <c r="A2134" s="48" t="str">
        <f>IF($AA2130=0,"","Reference: "&amp;IF(INDEX(Quotes!$M$9:$M$258,$AA2130)="",INDEX(Quotes!$S$9:$S$258,$AA2130),INDEX(Quotes!$M$9:$M$258,$AA2130)))</f>
        <v/>
      </c>
      <c r="B2134" s="39"/>
      <c r="C2134" s="39"/>
      <c r="D2134" s="39"/>
      <c r="E2134" s="39"/>
      <c r="F2134" s="39"/>
      <c r="G2134" s="39"/>
      <c r="H2134" s="39"/>
      <c r="I2134" s="39"/>
      <c r="J2134" s="39"/>
      <c r="K2134" s="39"/>
      <c r="L2134" s="39"/>
      <c r="M2134" s="39"/>
      <c r="N2134" s="39"/>
      <c r="O2134" s="39"/>
      <c r="P2134" s="39"/>
      <c r="Q2134" s="48" t="str">
        <f>IF($AA2130=0,"",INDEX(Quotes!$E$9:$E$258,$AA2130))</f>
        <v/>
      </c>
      <c r="R2134" s="39"/>
      <c r="S2134" s="39"/>
      <c r="T2134" s="39"/>
      <c r="U2134" s="39"/>
      <c r="V2134" s="39"/>
    </row>
    <row r="2135" spans="1:27" ht="21" hidden="1" customHeight="1" x14ac:dyDescent="0.35">
      <c r="A2135" s="81" t="str">
        <f>IF($AA2130=0,"",IF(INDEX(Quotes!$N$9:$N$258,$AA2130)="","No original link","Original quote"))</f>
        <v/>
      </c>
      <c r="B2135" s="39"/>
      <c r="C2135" s="39"/>
      <c r="D2135" s="39"/>
      <c r="E2135" s="39"/>
      <c r="F2135" s="39"/>
      <c r="G2135" s="39"/>
      <c r="I2135" s="81" t="str">
        <f>IF($AA2130=0,"",IF(INDEX(Quotes!$O$9:$O$258,$AA2130)="","No revised link","Revised quote"))</f>
        <v/>
      </c>
      <c r="J2135" s="39"/>
      <c r="K2135" s="39"/>
      <c r="L2135" s="39"/>
      <c r="M2135" s="39"/>
      <c r="N2135" s="39"/>
      <c r="O2135" s="39"/>
      <c r="Q2135" s="81" t="str">
        <f>IF($AA2130=0,"",HYPERLINK("#'Quotes'!A"&amp;($AA2130+8),"Open quote record"))</f>
        <v/>
      </c>
      <c r="R2135" s="39"/>
      <c r="S2135" s="39"/>
      <c r="T2135" s="39"/>
      <c r="U2135" s="39"/>
      <c r="V2135" s="39"/>
    </row>
    <row r="2136" spans="1:27" ht="21" hidden="1" customHeight="1" x14ac:dyDescent="0.35"/>
    <row r="2137" spans="1:27" hidden="1" x14ac:dyDescent="0.35"/>
    <row r="2138" spans="1:27" hidden="1" x14ac:dyDescent="0.35"/>
    <row r="2139" spans="1:27" ht="29" hidden="1" customHeight="1" x14ac:dyDescent="0.35">
      <c r="A2139" s="84" t="str">
        <f>IF($AA2139=0,"",IF(LEN(INDEX(Quotes!$U$9:$U$258,$AA2139)&amp;"")=0,"",INDEX(Quotes!$U$9:$U$258,$AA2139)))</f>
        <v/>
      </c>
      <c r="B2139" s="39"/>
      <c r="C2139" s="39"/>
      <c r="D2139" s="39"/>
      <c r="E2139" s="39"/>
      <c r="F2139" s="39"/>
      <c r="G2139" s="39"/>
      <c r="H2139" s="39"/>
      <c r="I2139" s="39"/>
      <c r="J2139" s="39"/>
      <c r="K2139" s="85" t="str">
        <f>IF($AA2139=0,"",IF(LEN(INDEX(Quotes!$Z$9:$Z$258,$AA2139)&amp;"")=0,"",INDEX(Quotes!$Z$9:$Z$258,$AA2139)))</f>
        <v/>
      </c>
      <c r="L2139" s="39"/>
      <c r="M2139" s="39"/>
      <c r="N2139" s="39"/>
      <c r="O2139" s="39"/>
      <c r="P2139" s="39"/>
      <c r="Q2139" s="39"/>
      <c r="R2139" s="39"/>
      <c r="S2139" s="39"/>
      <c r="T2139" s="39"/>
      <c r="U2139" s="39"/>
      <c r="V2139" s="39"/>
      <c r="AA2139">
        <f>IFERROR(MATCH(222,Quotes!$AK$9:$AK$258,0),0)</f>
        <v>0</v>
      </c>
    </row>
    <row r="2140" spans="1:27" ht="21" hidden="1" customHeight="1" x14ac:dyDescent="0.35">
      <c r="A2140" s="40" t="str">
        <f>IF($AA2139=0,"",IF(LEN(INDEX(Quotes!$V$9:$V$258,$AA2139)&amp;"")=0,"",INDEX(Quotes!$V$9:$V$258,$AA2139)))</f>
        <v/>
      </c>
      <c r="B2140" s="39"/>
      <c r="C2140" s="39"/>
      <c r="D2140" s="39"/>
      <c r="E2140" s="39"/>
      <c r="F2140" s="39"/>
      <c r="G2140" s="39"/>
      <c r="H2140" s="40" t="str">
        <f>IF($AA2139=0,"",IF(LEN(INDEX(Quotes!$W$9:$W$258,$AA2139)&amp;"")=0,"",INDEX(Quotes!$W$9:$W$258,$AA2139)))</f>
        <v/>
      </c>
      <c r="I2140" s="39"/>
      <c r="J2140" s="39"/>
      <c r="K2140" s="39"/>
      <c r="L2140" s="39"/>
      <c r="M2140" s="39"/>
      <c r="N2140" s="39"/>
      <c r="O2140" s="39"/>
      <c r="P2140" s="39"/>
      <c r="Q2140" s="39"/>
      <c r="R2140" s="77" t="str">
        <f>IF($AA2139=0,"",IF(LEN(INDEX(Quotes!$X$9:$X$258,$AA2139)&amp;"")=0,"",INDEX(Quotes!$X$9:$X$258,$AA2139)))</f>
        <v/>
      </c>
      <c r="S2140" s="39"/>
      <c r="T2140" s="39"/>
      <c r="U2140" s="39"/>
      <c r="V2140" s="39"/>
    </row>
    <row r="2141" spans="1:27" ht="21" hidden="1" customHeight="1" x14ac:dyDescent="0.35">
      <c r="A2141" s="83" t="str">
        <f>IF($AA2139=0,"","ORIGINAL EUR")</f>
        <v/>
      </c>
      <c r="B2141" s="39"/>
      <c r="C2141" s="39"/>
      <c r="D2141" s="39"/>
      <c r="E2141" s="39"/>
      <c r="F2141" s="39"/>
      <c r="G2141" s="39"/>
      <c r="I2141" s="83" t="str">
        <f>IF($AA2139=0,"","LATEST EUR")</f>
        <v/>
      </c>
      <c r="J2141" s="39"/>
      <c r="K2141" s="39"/>
      <c r="L2141" s="39"/>
      <c r="M2141" s="39"/>
      <c r="N2141" s="39"/>
      <c r="O2141" s="39"/>
      <c r="Q2141" s="83" t="str">
        <f>IF($AA2139=0,"","SAVED EUR")</f>
        <v/>
      </c>
      <c r="R2141" s="39"/>
      <c r="S2141" s="39"/>
      <c r="T2141" s="39"/>
      <c r="U2141" s="39"/>
      <c r="V2141" s="39"/>
    </row>
    <row r="2142" spans="1:27" ht="21" hidden="1" customHeight="1" x14ac:dyDescent="0.35">
      <c r="A2142" s="82" t="str">
        <f>IF($AA2139=0,"",IF(LEN(INDEX(Quotes!$AB$9:$AB$258,$AA2139)&amp;"")=0,"",INDEX(Quotes!$AB$9:$AB$258,$AA2139)))</f>
        <v/>
      </c>
      <c r="B2142" s="39"/>
      <c r="C2142" s="39"/>
      <c r="D2142" s="39"/>
      <c r="E2142" s="39"/>
      <c r="F2142" s="39"/>
      <c r="G2142" s="39"/>
      <c r="I2142" s="82" t="str">
        <f>IF($AA2139=0,"",IF(LEN(INDEX(Quotes!$AD$9:$AD$258,$AA2139)&amp;"")=0,"",INDEX(Quotes!$AD$9:$AD$258,$AA2139)))</f>
        <v/>
      </c>
      <c r="J2142" s="39"/>
      <c r="K2142" s="39"/>
      <c r="L2142" s="39"/>
      <c r="M2142" s="39"/>
      <c r="N2142" s="39"/>
      <c r="O2142" s="39"/>
      <c r="Q2142" s="82" t="str">
        <f>IF($AA2139=0,"",IF(LEN(INDEX(Quotes!$AF$9:$AF$258,$AA2139)&amp;"")=0,"",INDEX(Quotes!$AF$9:$AF$258,$AA2139)))</f>
        <v/>
      </c>
      <c r="R2142" s="39"/>
      <c r="S2142" s="39"/>
      <c r="T2142" s="39"/>
      <c r="U2142" s="39"/>
      <c r="V2142" s="39"/>
    </row>
    <row r="2143" spans="1:27" ht="21" hidden="1" customHeight="1" x14ac:dyDescent="0.35">
      <c r="A2143" s="48" t="str">
        <f>IF($AA2139=0,"","Reference: "&amp;IF(INDEX(Quotes!$M$9:$M$258,$AA2139)="",INDEX(Quotes!$S$9:$S$258,$AA2139),INDEX(Quotes!$M$9:$M$258,$AA2139)))</f>
        <v/>
      </c>
      <c r="B2143" s="39"/>
      <c r="C2143" s="39"/>
      <c r="D2143" s="39"/>
      <c r="E2143" s="39"/>
      <c r="F2143" s="39"/>
      <c r="G2143" s="39"/>
      <c r="H2143" s="39"/>
      <c r="I2143" s="39"/>
      <c r="J2143" s="39"/>
      <c r="K2143" s="39"/>
      <c r="L2143" s="39"/>
      <c r="M2143" s="39"/>
      <c r="N2143" s="39"/>
      <c r="O2143" s="39"/>
      <c r="P2143" s="39"/>
      <c r="Q2143" s="48" t="str">
        <f>IF($AA2139=0,"",INDEX(Quotes!$E$9:$E$258,$AA2139))</f>
        <v/>
      </c>
      <c r="R2143" s="39"/>
      <c r="S2143" s="39"/>
      <c r="T2143" s="39"/>
      <c r="U2143" s="39"/>
      <c r="V2143" s="39"/>
    </row>
    <row r="2144" spans="1:27" ht="21" hidden="1" customHeight="1" x14ac:dyDescent="0.35">
      <c r="A2144" s="81" t="str">
        <f>IF($AA2139=0,"",IF(INDEX(Quotes!$N$9:$N$258,$AA2139)="","No original link","Original quote"))</f>
        <v/>
      </c>
      <c r="B2144" s="39"/>
      <c r="C2144" s="39"/>
      <c r="D2144" s="39"/>
      <c r="E2144" s="39"/>
      <c r="F2144" s="39"/>
      <c r="G2144" s="39"/>
      <c r="I2144" s="81" t="str">
        <f>IF($AA2139=0,"",IF(INDEX(Quotes!$O$9:$O$258,$AA2139)="","No revised link","Revised quote"))</f>
        <v/>
      </c>
      <c r="J2144" s="39"/>
      <c r="K2144" s="39"/>
      <c r="L2144" s="39"/>
      <c r="M2144" s="39"/>
      <c r="N2144" s="39"/>
      <c r="O2144" s="39"/>
      <c r="Q2144" s="81" t="str">
        <f>IF($AA2139=0,"",HYPERLINK("#'Quotes'!A"&amp;($AA2139+8),"Open quote record"))</f>
        <v/>
      </c>
      <c r="R2144" s="39"/>
      <c r="S2144" s="39"/>
      <c r="T2144" s="39"/>
      <c r="U2144" s="39"/>
      <c r="V2144" s="39"/>
    </row>
    <row r="2145" spans="1:27" ht="21" hidden="1" customHeight="1" x14ac:dyDescent="0.35"/>
    <row r="2146" spans="1:27" hidden="1" x14ac:dyDescent="0.35"/>
    <row r="2147" spans="1:27" hidden="1" x14ac:dyDescent="0.35"/>
    <row r="2148" spans="1:27" ht="29" hidden="1" customHeight="1" x14ac:dyDescent="0.35">
      <c r="A2148" s="84" t="str">
        <f>IF($AA2148=0,"",IF(LEN(INDEX(Quotes!$U$9:$U$258,$AA2148)&amp;"")=0,"",INDEX(Quotes!$U$9:$U$258,$AA2148)))</f>
        <v/>
      </c>
      <c r="B2148" s="39"/>
      <c r="C2148" s="39"/>
      <c r="D2148" s="39"/>
      <c r="E2148" s="39"/>
      <c r="F2148" s="39"/>
      <c r="G2148" s="39"/>
      <c r="H2148" s="39"/>
      <c r="I2148" s="39"/>
      <c r="J2148" s="39"/>
      <c r="K2148" s="85" t="str">
        <f>IF($AA2148=0,"",IF(LEN(INDEX(Quotes!$Z$9:$Z$258,$AA2148)&amp;"")=0,"",INDEX(Quotes!$Z$9:$Z$258,$AA2148)))</f>
        <v/>
      </c>
      <c r="L2148" s="39"/>
      <c r="M2148" s="39"/>
      <c r="N2148" s="39"/>
      <c r="O2148" s="39"/>
      <c r="P2148" s="39"/>
      <c r="Q2148" s="39"/>
      <c r="R2148" s="39"/>
      <c r="S2148" s="39"/>
      <c r="T2148" s="39"/>
      <c r="U2148" s="39"/>
      <c r="V2148" s="39"/>
      <c r="AA2148">
        <f>IFERROR(MATCH(223,Quotes!$AK$9:$AK$258,0),0)</f>
        <v>0</v>
      </c>
    </row>
    <row r="2149" spans="1:27" ht="21" hidden="1" customHeight="1" x14ac:dyDescent="0.35">
      <c r="A2149" s="40" t="str">
        <f>IF($AA2148=0,"",IF(LEN(INDEX(Quotes!$V$9:$V$258,$AA2148)&amp;"")=0,"",INDEX(Quotes!$V$9:$V$258,$AA2148)))</f>
        <v/>
      </c>
      <c r="B2149" s="39"/>
      <c r="C2149" s="39"/>
      <c r="D2149" s="39"/>
      <c r="E2149" s="39"/>
      <c r="F2149" s="39"/>
      <c r="G2149" s="39"/>
      <c r="H2149" s="40" t="str">
        <f>IF($AA2148=0,"",IF(LEN(INDEX(Quotes!$W$9:$W$258,$AA2148)&amp;"")=0,"",INDEX(Quotes!$W$9:$W$258,$AA2148)))</f>
        <v/>
      </c>
      <c r="I2149" s="39"/>
      <c r="J2149" s="39"/>
      <c r="K2149" s="39"/>
      <c r="L2149" s="39"/>
      <c r="M2149" s="39"/>
      <c r="N2149" s="39"/>
      <c r="O2149" s="39"/>
      <c r="P2149" s="39"/>
      <c r="Q2149" s="39"/>
      <c r="R2149" s="77" t="str">
        <f>IF($AA2148=0,"",IF(LEN(INDEX(Quotes!$X$9:$X$258,$AA2148)&amp;"")=0,"",INDEX(Quotes!$X$9:$X$258,$AA2148)))</f>
        <v/>
      </c>
      <c r="S2149" s="39"/>
      <c r="T2149" s="39"/>
      <c r="U2149" s="39"/>
      <c r="V2149" s="39"/>
    </row>
    <row r="2150" spans="1:27" ht="21" hidden="1" customHeight="1" x14ac:dyDescent="0.35">
      <c r="A2150" s="83" t="str">
        <f>IF($AA2148=0,"","ORIGINAL EUR")</f>
        <v/>
      </c>
      <c r="B2150" s="39"/>
      <c r="C2150" s="39"/>
      <c r="D2150" s="39"/>
      <c r="E2150" s="39"/>
      <c r="F2150" s="39"/>
      <c r="G2150" s="39"/>
      <c r="I2150" s="83" t="str">
        <f>IF($AA2148=0,"","LATEST EUR")</f>
        <v/>
      </c>
      <c r="J2150" s="39"/>
      <c r="K2150" s="39"/>
      <c r="L2150" s="39"/>
      <c r="M2150" s="39"/>
      <c r="N2150" s="39"/>
      <c r="O2150" s="39"/>
      <c r="Q2150" s="83" t="str">
        <f>IF($AA2148=0,"","SAVED EUR")</f>
        <v/>
      </c>
      <c r="R2150" s="39"/>
      <c r="S2150" s="39"/>
      <c r="T2150" s="39"/>
      <c r="U2150" s="39"/>
      <c r="V2150" s="39"/>
    </row>
    <row r="2151" spans="1:27" ht="21" hidden="1" customHeight="1" x14ac:dyDescent="0.35">
      <c r="A2151" s="82" t="str">
        <f>IF($AA2148=0,"",IF(LEN(INDEX(Quotes!$AB$9:$AB$258,$AA2148)&amp;"")=0,"",INDEX(Quotes!$AB$9:$AB$258,$AA2148)))</f>
        <v/>
      </c>
      <c r="B2151" s="39"/>
      <c r="C2151" s="39"/>
      <c r="D2151" s="39"/>
      <c r="E2151" s="39"/>
      <c r="F2151" s="39"/>
      <c r="G2151" s="39"/>
      <c r="I2151" s="82" t="str">
        <f>IF($AA2148=0,"",IF(LEN(INDEX(Quotes!$AD$9:$AD$258,$AA2148)&amp;"")=0,"",INDEX(Quotes!$AD$9:$AD$258,$AA2148)))</f>
        <v/>
      </c>
      <c r="J2151" s="39"/>
      <c r="K2151" s="39"/>
      <c r="L2151" s="39"/>
      <c r="M2151" s="39"/>
      <c r="N2151" s="39"/>
      <c r="O2151" s="39"/>
      <c r="Q2151" s="82" t="str">
        <f>IF($AA2148=0,"",IF(LEN(INDEX(Quotes!$AF$9:$AF$258,$AA2148)&amp;"")=0,"",INDEX(Quotes!$AF$9:$AF$258,$AA2148)))</f>
        <v/>
      </c>
      <c r="R2151" s="39"/>
      <c r="S2151" s="39"/>
      <c r="T2151" s="39"/>
      <c r="U2151" s="39"/>
      <c r="V2151" s="39"/>
    </row>
    <row r="2152" spans="1:27" ht="21" hidden="1" customHeight="1" x14ac:dyDescent="0.35">
      <c r="A2152" s="48" t="str">
        <f>IF($AA2148=0,"","Reference: "&amp;IF(INDEX(Quotes!$M$9:$M$258,$AA2148)="",INDEX(Quotes!$S$9:$S$258,$AA2148),INDEX(Quotes!$M$9:$M$258,$AA2148)))</f>
        <v/>
      </c>
      <c r="B2152" s="39"/>
      <c r="C2152" s="39"/>
      <c r="D2152" s="39"/>
      <c r="E2152" s="39"/>
      <c r="F2152" s="39"/>
      <c r="G2152" s="39"/>
      <c r="H2152" s="39"/>
      <c r="I2152" s="39"/>
      <c r="J2152" s="39"/>
      <c r="K2152" s="39"/>
      <c r="L2152" s="39"/>
      <c r="M2152" s="39"/>
      <c r="N2152" s="39"/>
      <c r="O2152" s="39"/>
      <c r="P2152" s="39"/>
      <c r="Q2152" s="48" t="str">
        <f>IF($AA2148=0,"",INDEX(Quotes!$E$9:$E$258,$AA2148))</f>
        <v/>
      </c>
      <c r="R2152" s="39"/>
      <c r="S2152" s="39"/>
      <c r="T2152" s="39"/>
      <c r="U2152" s="39"/>
      <c r="V2152" s="39"/>
    </row>
    <row r="2153" spans="1:27" ht="21" hidden="1" customHeight="1" x14ac:dyDescent="0.35">
      <c r="A2153" s="81" t="str">
        <f>IF($AA2148=0,"",IF(INDEX(Quotes!$N$9:$N$258,$AA2148)="","No original link","Original quote"))</f>
        <v/>
      </c>
      <c r="B2153" s="39"/>
      <c r="C2153" s="39"/>
      <c r="D2153" s="39"/>
      <c r="E2153" s="39"/>
      <c r="F2153" s="39"/>
      <c r="G2153" s="39"/>
      <c r="I2153" s="81" t="str">
        <f>IF($AA2148=0,"",IF(INDEX(Quotes!$O$9:$O$258,$AA2148)="","No revised link","Revised quote"))</f>
        <v/>
      </c>
      <c r="J2153" s="39"/>
      <c r="K2153" s="39"/>
      <c r="L2153" s="39"/>
      <c r="M2153" s="39"/>
      <c r="N2153" s="39"/>
      <c r="O2153" s="39"/>
      <c r="Q2153" s="81" t="str">
        <f>IF($AA2148=0,"",HYPERLINK("#'Quotes'!A"&amp;($AA2148+8),"Open quote record"))</f>
        <v/>
      </c>
      <c r="R2153" s="39"/>
      <c r="S2153" s="39"/>
      <c r="T2153" s="39"/>
      <c r="U2153" s="39"/>
      <c r="V2153" s="39"/>
    </row>
    <row r="2154" spans="1:27" ht="21" hidden="1" customHeight="1" x14ac:dyDescent="0.35"/>
    <row r="2155" spans="1:27" hidden="1" x14ac:dyDescent="0.35"/>
    <row r="2156" spans="1:27" hidden="1" x14ac:dyDescent="0.35"/>
    <row r="2157" spans="1:27" ht="29" hidden="1" customHeight="1" x14ac:dyDescent="0.35">
      <c r="A2157" s="84" t="str">
        <f>IF($AA2157=0,"",IF(LEN(INDEX(Quotes!$U$9:$U$258,$AA2157)&amp;"")=0,"",INDEX(Quotes!$U$9:$U$258,$AA2157)))</f>
        <v/>
      </c>
      <c r="B2157" s="39"/>
      <c r="C2157" s="39"/>
      <c r="D2157" s="39"/>
      <c r="E2157" s="39"/>
      <c r="F2157" s="39"/>
      <c r="G2157" s="39"/>
      <c r="H2157" s="39"/>
      <c r="I2157" s="39"/>
      <c r="J2157" s="39"/>
      <c r="K2157" s="85" t="str">
        <f>IF($AA2157=0,"",IF(LEN(INDEX(Quotes!$Z$9:$Z$258,$AA2157)&amp;"")=0,"",INDEX(Quotes!$Z$9:$Z$258,$AA2157)))</f>
        <v/>
      </c>
      <c r="L2157" s="39"/>
      <c r="M2157" s="39"/>
      <c r="N2157" s="39"/>
      <c r="O2157" s="39"/>
      <c r="P2157" s="39"/>
      <c r="Q2157" s="39"/>
      <c r="R2157" s="39"/>
      <c r="S2157" s="39"/>
      <c r="T2157" s="39"/>
      <c r="U2157" s="39"/>
      <c r="V2157" s="39"/>
      <c r="AA2157">
        <f>IFERROR(MATCH(224,Quotes!$AK$9:$AK$258,0),0)</f>
        <v>0</v>
      </c>
    </row>
    <row r="2158" spans="1:27" ht="21" hidden="1" customHeight="1" x14ac:dyDescent="0.35">
      <c r="A2158" s="40" t="str">
        <f>IF($AA2157=0,"",IF(LEN(INDEX(Quotes!$V$9:$V$258,$AA2157)&amp;"")=0,"",INDEX(Quotes!$V$9:$V$258,$AA2157)))</f>
        <v/>
      </c>
      <c r="B2158" s="39"/>
      <c r="C2158" s="39"/>
      <c r="D2158" s="39"/>
      <c r="E2158" s="39"/>
      <c r="F2158" s="39"/>
      <c r="G2158" s="39"/>
      <c r="H2158" s="40" t="str">
        <f>IF($AA2157=0,"",IF(LEN(INDEX(Quotes!$W$9:$W$258,$AA2157)&amp;"")=0,"",INDEX(Quotes!$W$9:$W$258,$AA2157)))</f>
        <v/>
      </c>
      <c r="I2158" s="39"/>
      <c r="J2158" s="39"/>
      <c r="K2158" s="39"/>
      <c r="L2158" s="39"/>
      <c r="M2158" s="39"/>
      <c r="N2158" s="39"/>
      <c r="O2158" s="39"/>
      <c r="P2158" s="39"/>
      <c r="Q2158" s="39"/>
      <c r="R2158" s="77" t="str">
        <f>IF($AA2157=0,"",IF(LEN(INDEX(Quotes!$X$9:$X$258,$AA2157)&amp;"")=0,"",INDEX(Quotes!$X$9:$X$258,$AA2157)))</f>
        <v/>
      </c>
      <c r="S2158" s="39"/>
      <c r="T2158" s="39"/>
      <c r="U2158" s="39"/>
      <c r="V2158" s="39"/>
    </row>
    <row r="2159" spans="1:27" ht="21" hidden="1" customHeight="1" x14ac:dyDescent="0.35">
      <c r="A2159" s="83" t="str">
        <f>IF($AA2157=0,"","ORIGINAL EUR")</f>
        <v/>
      </c>
      <c r="B2159" s="39"/>
      <c r="C2159" s="39"/>
      <c r="D2159" s="39"/>
      <c r="E2159" s="39"/>
      <c r="F2159" s="39"/>
      <c r="G2159" s="39"/>
      <c r="I2159" s="83" t="str">
        <f>IF($AA2157=0,"","LATEST EUR")</f>
        <v/>
      </c>
      <c r="J2159" s="39"/>
      <c r="K2159" s="39"/>
      <c r="L2159" s="39"/>
      <c r="M2159" s="39"/>
      <c r="N2159" s="39"/>
      <c r="O2159" s="39"/>
      <c r="Q2159" s="83" t="str">
        <f>IF($AA2157=0,"","SAVED EUR")</f>
        <v/>
      </c>
      <c r="R2159" s="39"/>
      <c r="S2159" s="39"/>
      <c r="T2159" s="39"/>
      <c r="U2159" s="39"/>
      <c r="V2159" s="39"/>
    </row>
    <row r="2160" spans="1:27" ht="21" hidden="1" customHeight="1" x14ac:dyDescent="0.35">
      <c r="A2160" s="82" t="str">
        <f>IF($AA2157=0,"",IF(LEN(INDEX(Quotes!$AB$9:$AB$258,$AA2157)&amp;"")=0,"",INDEX(Quotes!$AB$9:$AB$258,$AA2157)))</f>
        <v/>
      </c>
      <c r="B2160" s="39"/>
      <c r="C2160" s="39"/>
      <c r="D2160" s="39"/>
      <c r="E2160" s="39"/>
      <c r="F2160" s="39"/>
      <c r="G2160" s="39"/>
      <c r="I2160" s="82" t="str">
        <f>IF($AA2157=0,"",IF(LEN(INDEX(Quotes!$AD$9:$AD$258,$AA2157)&amp;"")=0,"",INDEX(Quotes!$AD$9:$AD$258,$AA2157)))</f>
        <v/>
      </c>
      <c r="J2160" s="39"/>
      <c r="K2160" s="39"/>
      <c r="L2160" s="39"/>
      <c r="M2160" s="39"/>
      <c r="N2160" s="39"/>
      <c r="O2160" s="39"/>
      <c r="Q2160" s="82" t="str">
        <f>IF($AA2157=0,"",IF(LEN(INDEX(Quotes!$AF$9:$AF$258,$AA2157)&amp;"")=0,"",INDEX(Quotes!$AF$9:$AF$258,$AA2157)))</f>
        <v/>
      </c>
      <c r="R2160" s="39"/>
      <c r="S2160" s="39"/>
      <c r="T2160" s="39"/>
      <c r="U2160" s="39"/>
      <c r="V2160" s="39"/>
    </row>
    <row r="2161" spans="1:27" ht="21" hidden="1" customHeight="1" x14ac:dyDescent="0.35">
      <c r="A2161" s="48" t="str">
        <f>IF($AA2157=0,"","Reference: "&amp;IF(INDEX(Quotes!$M$9:$M$258,$AA2157)="",INDEX(Quotes!$S$9:$S$258,$AA2157),INDEX(Quotes!$M$9:$M$258,$AA2157)))</f>
        <v/>
      </c>
      <c r="B2161" s="39"/>
      <c r="C2161" s="39"/>
      <c r="D2161" s="39"/>
      <c r="E2161" s="39"/>
      <c r="F2161" s="39"/>
      <c r="G2161" s="39"/>
      <c r="H2161" s="39"/>
      <c r="I2161" s="39"/>
      <c r="J2161" s="39"/>
      <c r="K2161" s="39"/>
      <c r="L2161" s="39"/>
      <c r="M2161" s="39"/>
      <c r="N2161" s="39"/>
      <c r="O2161" s="39"/>
      <c r="P2161" s="39"/>
      <c r="Q2161" s="48" t="str">
        <f>IF($AA2157=0,"",INDEX(Quotes!$E$9:$E$258,$AA2157))</f>
        <v/>
      </c>
      <c r="R2161" s="39"/>
      <c r="S2161" s="39"/>
      <c r="T2161" s="39"/>
      <c r="U2161" s="39"/>
      <c r="V2161" s="39"/>
    </row>
    <row r="2162" spans="1:27" ht="21" hidden="1" customHeight="1" x14ac:dyDescent="0.35">
      <c r="A2162" s="81" t="str">
        <f>IF($AA2157=0,"",IF(INDEX(Quotes!$N$9:$N$258,$AA2157)="","No original link","Original quote"))</f>
        <v/>
      </c>
      <c r="B2162" s="39"/>
      <c r="C2162" s="39"/>
      <c r="D2162" s="39"/>
      <c r="E2162" s="39"/>
      <c r="F2162" s="39"/>
      <c r="G2162" s="39"/>
      <c r="I2162" s="81" t="str">
        <f>IF($AA2157=0,"",IF(INDEX(Quotes!$O$9:$O$258,$AA2157)="","No revised link","Revised quote"))</f>
        <v/>
      </c>
      <c r="J2162" s="39"/>
      <c r="K2162" s="39"/>
      <c r="L2162" s="39"/>
      <c r="M2162" s="39"/>
      <c r="N2162" s="39"/>
      <c r="O2162" s="39"/>
      <c r="Q2162" s="81" t="str">
        <f>IF($AA2157=0,"",HYPERLINK("#'Quotes'!A"&amp;($AA2157+8),"Open quote record"))</f>
        <v/>
      </c>
      <c r="R2162" s="39"/>
      <c r="S2162" s="39"/>
      <c r="T2162" s="39"/>
      <c r="U2162" s="39"/>
      <c r="V2162" s="39"/>
    </row>
    <row r="2163" spans="1:27" ht="21" hidden="1" customHeight="1" x14ac:dyDescent="0.35"/>
    <row r="2164" spans="1:27" hidden="1" x14ac:dyDescent="0.35"/>
    <row r="2165" spans="1:27" hidden="1" x14ac:dyDescent="0.35"/>
    <row r="2166" spans="1:27" hidden="1" x14ac:dyDescent="0.35"/>
    <row r="2167" spans="1:27" hidden="1" x14ac:dyDescent="0.35">
      <c r="A2167" s="67" t="s">
        <v>655</v>
      </c>
      <c r="B2167" s="39"/>
      <c r="C2167" s="39"/>
      <c r="D2167" s="39"/>
      <c r="E2167" s="39"/>
      <c r="F2167" s="39"/>
      <c r="G2167" s="39"/>
      <c r="H2167" s="39"/>
      <c r="I2167" s="39"/>
      <c r="J2167" s="39"/>
      <c r="K2167" s="39"/>
      <c r="L2167" s="39"/>
      <c r="M2167" s="39"/>
      <c r="N2167" s="39"/>
      <c r="O2167" s="39"/>
      <c r="P2167" s="39"/>
      <c r="Q2167" s="39"/>
      <c r="R2167" s="39"/>
      <c r="S2167" s="39"/>
      <c r="T2167" s="39"/>
      <c r="U2167" s="39"/>
      <c r="V2167" s="39"/>
    </row>
    <row r="2168" spans="1:27" ht="29" hidden="1" customHeight="1" x14ac:dyDescent="0.35">
      <c r="A2168" s="84" t="str">
        <f>IF($AA2168=0,"",IF(LEN(INDEX(Quotes!$U$9:$U$258,$AA2168)&amp;"")=0,"",INDEX(Quotes!$U$9:$U$258,$AA2168)))</f>
        <v/>
      </c>
      <c r="B2168" s="39"/>
      <c r="C2168" s="39"/>
      <c r="D2168" s="39"/>
      <c r="E2168" s="39"/>
      <c r="F2168" s="39"/>
      <c r="G2168" s="39"/>
      <c r="H2168" s="39"/>
      <c r="I2168" s="39"/>
      <c r="J2168" s="39"/>
      <c r="K2168" s="85" t="str">
        <f>IF($AA2168=0,"",IF(LEN(INDEX(Quotes!$Z$9:$Z$258,$AA2168)&amp;"")=0,"",INDEX(Quotes!$Z$9:$Z$258,$AA2168)))</f>
        <v/>
      </c>
      <c r="L2168" s="39"/>
      <c r="M2168" s="39"/>
      <c r="N2168" s="39"/>
      <c r="O2168" s="39"/>
      <c r="P2168" s="39"/>
      <c r="Q2168" s="39"/>
      <c r="R2168" s="39"/>
      <c r="S2168" s="39"/>
      <c r="T2168" s="39"/>
      <c r="U2168" s="39"/>
      <c r="V2168" s="39"/>
      <c r="AA2168">
        <f>IFERROR(MATCH(225,Quotes!$AK$9:$AK$258,0),0)</f>
        <v>0</v>
      </c>
    </row>
    <row r="2169" spans="1:27" ht="21" hidden="1" customHeight="1" x14ac:dyDescent="0.35">
      <c r="A2169" s="40" t="str">
        <f>IF($AA2168=0,"",IF(LEN(INDEX(Quotes!$V$9:$V$258,$AA2168)&amp;"")=0,"",INDEX(Quotes!$V$9:$V$258,$AA2168)))</f>
        <v/>
      </c>
      <c r="B2169" s="39"/>
      <c r="C2169" s="39"/>
      <c r="D2169" s="39"/>
      <c r="E2169" s="39"/>
      <c r="F2169" s="39"/>
      <c r="G2169" s="39"/>
      <c r="H2169" s="40" t="str">
        <f>IF($AA2168=0,"",IF(LEN(INDEX(Quotes!$W$9:$W$258,$AA2168)&amp;"")=0,"",INDEX(Quotes!$W$9:$W$258,$AA2168)))</f>
        <v/>
      </c>
      <c r="I2169" s="39"/>
      <c r="J2169" s="39"/>
      <c r="K2169" s="39"/>
      <c r="L2169" s="39"/>
      <c r="M2169" s="39"/>
      <c r="N2169" s="39"/>
      <c r="O2169" s="39"/>
      <c r="P2169" s="39"/>
      <c r="Q2169" s="39"/>
      <c r="R2169" s="77" t="str">
        <f>IF($AA2168=0,"",IF(LEN(INDEX(Quotes!$X$9:$X$258,$AA2168)&amp;"")=0,"",INDEX(Quotes!$X$9:$X$258,$AA2168)))</f>
        <v/>
      </c>
      <c r="S2169" s="39"/>
      <c r="T2169" s="39"/>
      <c r="U2169" s="39"/>
      <c r="V2169" s="39"/>
    </row>
    <row r="2170" spans="1:27" ht="21" hidden="1" customHeight="1" x14ac:dyDescent="0.35">
      <c r="A2170" s="83" t="str">
        <f>IF($AA2168=0,"","ORIGINAL EUR")</f>
        <v/>
      </c>
      <c r="B2170" s="39"/>
      <c r="C2170" s="39"/>
      <c r="D2170" s="39"/>
      <c r="E2170" s="39"/>
      <c r="F2170" s="39"/>
      <c r="G2170" s="39"/>
      <c r="I2170" s="83" t="str">
        <f>IF($AA2168=0,"","LATEST EUR")</f>
        <v/>
      </c>
      <c r="J2170" s="39"/>
      <c r="K2170" s="39"/>
      <c r="L2170" s="39"/>
      <c r="M2170" s="39"/>
      <c r="N2170" s="39"/>
      <c r="O2170" s="39"/>
      <c r="Q2170" s="83" t="str">
        <f>IF($AA2168=0,"","SAVED EUR")</f>
        <v/>
      </c>
      <c r="R2170" s="39"/>
      <c r="S2170" s="39"/>
      <c r="T2170" s="39"/>
      <c r="U2170" s="39"/>
      <c r="V2170" s="39"/>
    </row>
    <row r="2171" spans="1:27" ht="21" hidden="1" customHeight="1" x14ac:dyDescent="0.35">
      <c r="A2171" s="82" t="str">
        <f>IF($AA2168=0,"",IF(LEN(INDEX(Quotes!$AB$9:$AB$258,$AA2168)&amp;"")=0,"",INDEX(Quotes!$AB$9:$AB$258,$AA2168)))</f>
        <v/>
      </c>
      <c r="B2171" s="39"/>
      <c r="C2171" s="39"/>
      <c r="D2171" s="39"/>
      <c r="E2171" s="39"/>
      <c r="F2171" s="39"/>
      <c r="G2171" s="39"/>
      <c r="I2171" s="82" t="str">
        <f>IF($AA2168=0,"",IF(LEN(INDEX(Quotes!$AD$9:$AD$258,$AA2168)&amp;"")=0,"",INDEX(Quotes!$AD$9:$AD$258,$AA2168)))</f>
        <v/>
      </c>
      <c r="J2171" s="39"/>
      <c r="K2171" s="39"/>
      <c r="L2171" s="39"/>
      <c r="M2171" s="39"/>
      <c r="N2171" s="39"/>
      <c r="O2171" s="39"/>
      <c r="Q2171" s="82" t="str">
        <f>IF($AA2168=0,"",IF(LEN(INDEX(Quotes!$AF$9:$AF$258,$AA2168)&amp;"")=0,"",INDEX(Quotes!$AF$9:$AF$258,$AA2168)))</f>
        <v/>
      </c>
      <c r="R2171" s="39"/>
      <c r="S2171" s="39"/>
      <c r="T2171" s="39"/>
      <c r="U2171" s="39"/>
      <c r="V2171" s="39"/>
    </row>
    <row r="2172" spans="1:27" ht="21" hidden="1" customHeight="1" x14ac:dyDescent="0.35">
      <c r="A2172" s="48" t="str">
        <f>IF($AA2168=0,"","Reference: "&amp;IF(INDEX(Quotes!$M$9:$M$258,$AA2168)="",INDEX(Quotes!$S$9:$S$258,$AA2168),INDEX(Quotes!$M$9:$M$258,$AA2168)))</f>
        <v/>
      </c>
      <c r="B2172" s="39"/>
      <c r="C2172" s="39"/>
      <c r="D2172" s="39"/>
      <c r="E2172" s="39"/>
      <c r="F2172" s="39"/>
      <c r="G2172" s="39"/>
      <c r="H2172" s="39"/>
      <c r="I2172" s="39"/>
      <c r="J2172" s="39"/>
      <c r="K2172" s="39"/>
      <c r="L2172" s="39"/>
      <c r="M2172" s="39"/>
      <c r="N2172" s="39"/>
      <c r="O2172" s="39"/>
      <c r="P2172" s="39"/>
      <c r="Q2172" s="48" t="str">
        <f>IF($AA2168=0,"",INDEX(Quotes!$E$9:$E$258,$AA2168))</f>
        <v/>
      </c>
      <c r="R2172" s="39"/>
      <c r="S2172" s="39"/>
      <c r="T2172" s="39"/>
      <c r="U2172" s="39"/>
      <c r="V2172" s="39"/>
    </row>
    <row r="2173" spans="1:27" ht="21" hidden="1" customHeight="1" x14ac:dyDescent="0.35">
      <c r="A2173" s="81" t="str">
        <f>IF($AA2168=0,"",IF(INDEX(Quotes!$N$9:$N$258,$AA2168)="","No original link","Original quote"))</f>
        <v/>
      </c>
      <c r="B2173" s="39"/>
      <c r="C2173" s="39"/>
      <c r="D2173" s="39"/>
      <c r="E2173" s="39"/>
      <c r="F2173" s="39"/>
      <c r="G2173" s="39"/>
      <c r="I2173" s="81" t="str">
        <f>IF($AA2168=0,"",IF(INDEX(Quotes!$O$9:$O$258,$AA2168)="","No revised link","Revised quote"))</f>
        <v/>
      </c>
      <c r="J2173" s="39"/>
      <c r="K2173" s="39"/>
      <c r="L2173" s="39"/>
      <c r="M2173" s="39"/>
      <c r="N2173" s="39"/>
      <c r="O2173" s="39"/>
      <c r="Q2173" s="81" t="str">
        <f>IF($AA2168=0,"",HYPERLINK("#'Quotes'!A"&amp;($AA2168+8),"Open quote record"))</f>
        <v/>
      </c>
      <c r="R2173" s="39"/>
      <c r="S2173" s="39"/>
      <c r="T2173" s="39"/>
      <c r="U2173" s="39"/>
      <c r="V2173" s="39"/>
    </row>
    <row r="2174" spans="1:27" ht="21" hidden="1" customHeight="1" x14ac:dyDescent="0.35"/>
    <row r="2175" spans="1:27" hidden="1" x14ac:dyDescent="0.35"/>
    <row r="2176" spans="1:27" hidden="1" x14ac:dyDescent="0.35"/>
    <row r="2177" spans="1:27" ht="29" hidden="1" customHeight="1" x14ac:dyDescent="0.35">
      <c r="A2177" s="84" t="str">
        <f>IF($AA2177=0,"",IF(LEN(INDEX(Quotes!$U$9:$U$258,$AA2177)&amp;"")=0,"",INDEX(Quotes!$U$9:$U$258,$AA2177)))</f>
        <v/>
      </c>
      <c r="B2177" s="39"/>
      <c r="C2177" s="39"/>
      <c r="D2177" s="39"/>
      <c r="E2177" s="39"/>
      <c r="F2177" s="39"/>
      <c r="G2177" s="39"/>
      <c r="H2177" s="39"/>
      <c r="I2177" s="39"/>
      <c r="J2177" s="39"/>
      <c r="K2177" s="85" t="str">
        <f>IF($AA2177=0,"",IF(LEN(INDEX(Quotes!$Z$9:$Z$258,$AA2177)&amp;"")=0,"",INDEX(Quotes!$Z$9:$Z$258,$AA2177)))</f>
        <v/>
      </c>
      <c r="L2177" s="39"/>
      <c r="M2177" s="39"/>
      <c r="N2177" s="39"/>
      <c r="O2177" s="39"/>
      <c r="P2177" s="39"/>
      <c r="Q2177" s="39"/>
      <c r="R2177" s="39"/>
      <c r="S2177" s="39"/>
      <c r="T2177" s="39"/>
      <c r="U2177" s="39"/>
      <c r="V2177" s="39"/>
      <c r="AA2177">
        <f>IFERROR(MATCH(226,Quotes!$AK$9:$AK$258,0),0)</f>
        <v>0</v>
      </c>
    </row>
    <row r="2178" spans="1:27" ht="21" hidden="1" customHeight="1" x14ac:dyDescent="0.35">
      <c r="A2178" s="40" t="str">
        <f>IF($AA2177=0,"",IF(LEN(INDEX(Quotes!$V$9:$V$258,$AA2177)&amp;"")=0,"",INDEX(Quotes!$V$9:$V$258,$AA2177)))</f>
        <v/>
      </c>
      <c r="B2178" s="39"/>
      <c r="C2178" s="39"/>
      <c r="D2178" s="39"/>
      <c r="E2178" s="39"/>
      <c r="F2178" s="39"/>
      <c r="G2178" s="39"/>
      <c r="H2178" s="40" t="str">
        <f>IF($AA2177=0,"",IF(LEN(INDEX(Quotes!$W$9:$W$258,$AA2177)&amp;"")=0,"",INDEX(Quotes!$W$9:$W$258,$AA2177)))</f>
        <v/>
      </c>
      <c r="I2178" s="39"/>
      <c r="J2178" s="39"/>
      <c r="K2178" s="39"/>
      <c r="L2178" s="39"/>
      <c r="M2178" s="39"/>
      <c r="N2178" s="39"/>
      <c r="O2178" s="39"/>
      <c r="P2178" s="39"/>
      <c r="Q2178" s="39"/>
      <c r="R2178" s="77" t="str">
        <f>IF($AA2177=0,"",IF(LEN(INDEX(Quotes!$X$9:$X$258,$AA2177)&amp;"")=0,"",INDEX(Quotes!$X$9:$X$258,$AA2177)))</f>
        <v/>
      </c>
      <c r="S2178" s="39"/>
      <c r="T2178" s="39"/>
      <c r="U2178" s="39"/>
      <c r="V2178" s="39"/>
    </row>
    <row r="2179" spans="1:27" ht="21" hidden="1" customHeight="1" x14ac:dyDescent="0.35">
      <c r="A2179" s="83" t="str">
        <f>IF($AA2177=0,"","ORIGINAL EUR")</f>
        <v/>
      </c>
      <c r="B2179" s="39"/>
      <c r="C2179" s="39"/>
      <c r="D2179" s="39"/>
      <c r="E2179" s="39"/>
      <c r="F2179" s="39"/>
      <c r="G2179" s="39"/>
      <c r="I2179" s="83" t="str">
        <f>IF($AA2177=0,"","LATEST EUR")</f>
        <v/>
      </c>
      <c r="J2179" s="39"/>
      <c r="K2179" s="39"/>
      <c r="L2179" s="39"/>
      <c r="M2179" s="39"/>
      <c r="N2179" s="39"/>
      <c r="O2179" s="39"/>
      <c r="Q2179" s="83" t="str">
        <f>IF($AA2177=0,"","SAVED EUR")</f>
        <v/>
      </c>
      <c r="R2179" s="39"/>
      <c r="S2179" s="39"/>
      <c r="T2179" s="39"/>
      <c r="U2179" s="39"/>
      <c r="V2179" s="39"/>
    </row>
    <row r="2180" spans="1:27" ht="21" hidden="1" customHeight="1" x14ac:dyDescent="0.35">
      <c r="A2180" s="82" t="str">
        <f>IF($AA2177=0,"",IF(LEN(INDEX(Quotes!$AB$9:$AB$258,$AA2177)&amp;"")=0,"",INDEX(Quotes!$AB$9:$AB$258,$AA2177)))</f>
        <v/>
      </c>
      <c r="B2180" s="39"/>
      <c r="C2180" s="39"/>
      <c r="D2180" s="39"/>
      <c r="E2180" s="39"/>
      <c r="F2180" s="39"/>
      <c r="G2180" s="39"/>
      <c r="I2180" s="82" t="str">
        <f>IF($AA2177=0,"",IF(LEN(INDEX(Quotes!$AD$9:$AD$258,$AA2177)&amp;"")=0,"",INDEX(Quotes!$AD$9:$AD$258,$AA2177)))</f>
        <v/>
      </c>
      <c r="J2180" s="39"/>
      <c r="K2180" s="39"/>
      <c r="L2180" s="39"/>
      <c r="M2180" s="39"/>
      <c r="N2180" s="39"/>
      <c r="O2180" s="39"/>
      <c r="Q2180" s="82" t="str">
        <f>IF($AA2177=0,"",IF(LEN(INDEX(Quotes!$AF$9:$AF$258,$AA2177)&amp;"")=0,"",INDEX(Quotes!$AF$9:$AF$258,$AA2177)))</f>
        <v/>
      </c>
      <c r="R2180" s="39"/>
      <c r="S2180" s="39"/>
      <c r="T2180" s="39"/>
      <c r="U2180" s="39"/>
      <c r="V2180" s="39"/>
    </row>
    <row r="2181" spans="1:27" ht="21" hidden="1" customHeight="1" x14ac:dyDescent="0.35">
      <c r="A2181" s="48" t="str">
        <f>IF($AA2177=0,"","Reference: "&amp;IF(INDEX(Quotes!$M$9:$M$258,$AA2177)="",INDEX(Quotes!$S$9:$S$258,$AA2177),INDEX(Quotes!$M$9:$M$258,$AA2177)))</f>
        <v/>
      </c>
      <c r="B2181" s="39"/>
      <c r="C2181" s="39"/>
      <c r="D2181" s="39"/>
      <c r="E2181" s="39"/>
      <c r="F2181" s="39"/>
      <c r="G2181" s="39"/>
      <c r="H2181" s="39"/>
      <c r="I2181" s="39"/>
      <c r="J2181" s="39"/>
      <c r="K2181" s="39"/>
      <c r="L2181" s="39"/>
      <c r="M2181" s="39"/>
      <c r="N2181" s="39"/>
      <c r="O2181" s="39"/>
      <c r="P2181" s="39"/>
      <c r="Q2181" s="48" t="str">
        <f>IF($AA2177=0,"",INDEX(Quotes!$E$9:$E$258,$AA2177))</f>
        <v/>
      </c>
      <c r="R2181" s="39"/>
      <c r="S2181" s="39"/>
      <c r="T2181" s="39"/>
      <c r="U2181" s="39"/>
      <c r="V2181" s="39"/>
    </row>
    <row r="2182" spans="1:27" ht="21" hidden="1" customHeight="1" x14ac:dyDescent="0.35">
      <c r="A2182" s="81" t="str">
        <f>IF($AA2177=0,"",IF(INDEX(Quotes!$N$9:$N$258,$AA2177)="","No original link","Original quote"))</f>
        <v/>
      </c>
      <c r="B2182" s="39"/>
      <c r="C2182" s="39"/>
      <c r="D2182" s="39"/>
      <c r="E2182" s="39"/>
      <c r="F2182" s="39"/>
      <c r="G2182" s="39"/>
      <c r="I2182" s="81" t="str">
        <f>IF($AA2177=0,"",IF(INDEX(Quotes!$O$9:$O$258,$AA2177)="","No revised link","Revised quote"))</f>
        <v/>
      </c>
      <c r="J2182" s="39"/>
      <c r="K2182" s="39"/>
      <c r="L2182" s="39"/>
      <c r="M2182" s="39"/>
      <c r="N2182" s="39"/>
      <c r="O2182" s="39"/>
      <c r="Q2182" s="81" t="str">
        <f>IF($AA2177=0,"",HYPERLINK("#'Quotes'!A"&amp;($AA2177+8),"Open quote record"))</f>
        <v/>
      </c>
      <c r="R2182" s="39"/>
      <c r="S2182" s="39"/>
      <c r="T2182" s="39"/>
      <c r="U2182" s="39"/>
      <c r="V2182" s="39"/>
    </row>
    <row r="2183" spans="1:27" ht="21" hidden="1" customHeight="1" x14ac:dyDescent="0.35"/>
    <row r="2184" spans="1:27" hidden="1" x14ac:dyDescent="0.35"/>
    <row r="2185" spans="1:27" hidden="1" x14ac:dyDescent="0.35"/>
    <row r="2186" spans="1:27" ht="29" hidden="1" customHeight="1" x14ac:dyDescent="0.35">
      <c r="A2186" s="84" t="str">
        <f>IF($AA2186=0,"",IF(LEN(INDEX(Quotes!$U$9:$U$258,$AA2186)&amp;"")=0,"",INDEX(Quotes!$U$9:$U$258,$AA2186)))</f>
        <v/>
      </c>
      <c r="B2186" s="39"/>
      <c r="C2186" s="39"/>
      <c r="D2186" s="39"/>
      <c r="E2186" s="39"/>
      <c r="F2186" s="39"/>
      <c r="G2186" s="39"/>
      <c r="H2186" s="39"/>
      <c r="I2186" s="39"/>
      <c r="J2186" s="39"/>
      <c r="K2186" s="85" t="str">
        <f>IF($AA2186=0,"",IF(LEN(INDEX(Quotes!$Z$9:$Z$258,$AA2186)&amp;"")=0,"",INDEX(Quotes!$Z$9:$Z$258,$AA2186)))</f>
        <v/>
      </c>
      <c r="L2186" s="39"/>
      <c r="M2186" s="39"/>
      <c r="N2186" s="39"/>
      <c r="O2186" s="39"/>
      <c r="P2186" s="39"/>
      <c r="Q2186" s="39"/>
      <c r="R2186" s="39"/>
      <c r="S2186" s="39"/>
      <c r="T2186" s="39"/>
      <c r="U2186" s="39"/>
      <c r="V2186" s="39"/>
      <c r="AA2186">
        <f>IFERROR(MATCH(227,Quotes!$AK$9:$AK$258,0),0)</f>
        <v>0</v>
      </c>
    </row>
    <row r="2187" spans="1:27" ht="21" hidden="1" customHeight="1" x14ac:dyDescent="0.35">
      <c r="A2187" s="40" t="str">
        <f>IF($AA2186=0,"",IF(LEN(INDEX(Quotes!$V$9:$V$258,$AA2186)&amp;"")=0,"",INDEX(Quotes!$V$9:$V$258,$AA2186)))</f>
        <v/>
      </c>
      <c r="B2187" s="39"/>
      <c r="C2187" s="39"/>
      <c r="D2187" s="39"/>
      <c r="E2187" s="39"/>
      <c r="F2187" s="39"/>
      <c r="G2187" s="39"/>
      <c r="H2187" s="40" t="str">
        <f>IF($AA2186=0,"",IF(LEN(INDEX(Quotes!$W$9:$W$258,$AA2186)&amp;"")=0,"",INDEX(Quotes!$W$9:$W$258,$AA2186)))</f>
        <v/>
      </c>
      <c r="I2187" s="39"/>
      <c r="J2187" s="39"/>
      <c r="K2187" s="39"/>
      <c r="L2187" s="39"/>
      <c r="M2187" s="39"/>
      <c r="N2187" s="39"/>
      <c r="O2187" s="39"/>
      <c r="P2187" s="39"/>
      <c r="Q2187" s="39"/>
      <c r="R2187" s="77" t="str">
        <f>IF($AA2186=0,"",IF(LEN(INDEX(Quotes!$X$9:$X$258,$AA2186)&amp;"")=0,"",INDEX(Quotes!$X$9:$X$258,$AA2186)))</f>
        <v/>
      </c>
      <c r="S2187" s="39"/>
      <c r="T2187" s="39"/>
      <c r="U2187" s="39"/>
      <c r="V2187" s="39"/>
    </row>
    <row r="2188" spans="1:27" ht="21" hidden="1" customHeight="1" x14ac:dyDescent="0.35">
      <c r="A2188" s="83" t="str">
        <f>IF($AA2186=0,"","ORIGINAL EUR")</f>
        <v/>
      </c>
      <c r="B2188" s="39"/>
      <c r="C2188" s="39"/>
      <c r="D2188" s="39"/>
      <c r="E2188" s="39"/>
      <c r="F2188" s="39"/>
      <c r="G2188" s="39"/>
      <c r="I2188" s="83" t="str">
        <f>IF($AA2186=0,"","LATEST EUR")</f>
        <v/>
      </c>
      <c r="J2188" s="39"/>
      <c r="K2188" s="39"/>
      <c r="L2188" s="39"/>
      <c r="M2188" s="39"/>
      <c r="N2188" s="39"/>
      <c r="O2188" s="39"/>
      <c r="Q2188" s="83" t="str">
        <f>IF($AA2186=0,"","SAVED EUR")</f>
        <v/>
      </c>
      <c r="R2188" s="39"/>
      <c r="S2188" s="39"/>
      <c r="T2188" s="39"/>
      <c r="U2188" s="39"/>
      <c r="V2188" s="39"/>
    </row>
    <row r="2189" spans="1:27" ht="21" hidden="1" customHeight="1" x14ac:dyDescent="0.35">
      <c r="A2189" s="82" t="str">
        <f>IF($AA2186=0,"",IF(LEN(INDEX(Quotes!$AB$9:$AB$258,$AA2186)&amp;"")=0,"",INDEX(Quotes!$AB$9:$AB$258,$AA2186)))</f>
        <v/>
      </c>
      <c r="B2189" s="39"/>
      <c r="C2189" s="39"/>
      <c r="D2189" s="39"/>
      <c r="E2189" s="39"/>
      <c r="F2189" s="39"/>
      <c r="G2189" s="39"/>
      <c r="I2189" s="82" t="str">
        <f>IF($AA2186=0,"",IF(LEN(INDEX(Quotes!$AD$9:$AD$258,$AA2186)&amp;"")=0,"",INDEX(Quotes!$AD$9:$AD$258,$AA2186)))</f>
        <v/>
      </c>
      <c r="J2189" s="39"/>
      <c r="K2189" s="39"/>
      <c r="L2189" s="39"/>
      <c r="M2189" s="39"/>
      <c r="N2189" s="39"/>
      <c r="O2189" s="39"/>
      <c r="Q2189" s="82" t="str">
        <f>IF($AA2186=0,"",IF(LEN(INDEX(Quotes!$AF$9:$AF$258,$AA2186)&amp;"")=0,"",INDEX(Quotes!$AF$9:$AF$258,$AA2186)))</f>
        <v/>
      </c>
      <c r="R2189" s="39"/>
      <c r="S2189" s="39"/>
      <c r="T2189" s="39"/>
      <c r="U2189" s="39"/>
      <c r="V2189" s="39"/>
    </row>
    <row r="2190" spans="1:27" ht="21" hidden="1" customHeight="1" x14ac:dyDescent="0.35">
      <c r="A2190" s="48" t="str">
        <f>IF($AA2186=0,"","Reference: "&amp;IF(INDEX(Quotes!$M$9:$M$258,$AA2186)="",INDEX(Quotes!$S$9:$S$258,$AA2186),INDEX(Quotes!$M$9:$M$258,$AA2186)))</f>
        <v/>
      </c>
      <c r="B2190" s="39"/>
      <c r="C2190" s="39"/>
      <c r="D2190" s="39"/>
      <c r="E2190" s="39"/>
      <c r="F2190" s="39"/>
      <c r="G2190" s="39"/>
      <c r="H2190" s="39"/>
      <c r="I2190" s="39"/>
      <c r="J2190" s="39"/>
      <c r="K2190" s="39"/>
      <c r="L2190" s="39"/>
      <c r="M2190" s="39"/>
      <c r="N2190" s="39"/>
      <c r="O2190" s="39"/>
      <c r="P2190" s="39"/>
      <c r="Q2190" s="48" t="str">
        <f>IF($AA2186=0,"",INDEX(Quotes!$E$9:$E$258,$AA2186))</f>
        <v/>
      </c>
      <c r="R2190" s="39"/>
      <c r="S2190" s="39"/>
      <c r="T2190" s="39"/>
      <c r="U2190" s="39"/>
      <c r="V2190" s="39"/>
    </row>
    <row r="2191" spans="1:27" ht="21" hidden="1" customHeight="1" x14ac:dyDescent="0.35">
      <c r="A2191" s="81" t="str">
        <f>IF($AA2186=0,"",IF(INDEX(Quotes!$N$9:$N$258,$AA2186)="","No original link","Original quote"))</f>
        <v/>
      </c>
      <c r="B2191" s="39"/>
      <c r="C2191" s="39"/>
      <c r="D2191" s="39"/>
      <c r="E2191" s="39"/>
      <c r="F2191" s="39"/>
      <c r="G2191" s="39"/>
      <c r="I2191" s="81" t="str">
        <f>IF($AA2186=0,"",IF(INDEX(Quotes!$O$9:$O$258,$AA2186)="","No revised link","Revised quote"))</f>
        <v/>
      </c>
      <c r="J2191" s="39"/>
      <c r="K2191" s="39"/>
      <c r="L2191" s="39"/>
      <c r="M2191" s="39"/>
      <c r="N2191" s="39"/>
      <c r="O2191" s="39"/>
      <c r="Q2191" s="81" t="str">
        <f>IF($AA2186=0,"",HYPERLINK("#'Quotes'!A"&amp;($AA2186+8),"Open quote record"))</f>
        <v/>
      </c>
      <c r="R2191" s="39"/>
      <c r="S2191" s="39"/>
      <c r="T2191" s="39"/>
      <c r="U2191" s="39"/>
      <c r="V2191" s="39"/>
    </row>
    <row r="2192" spans="1:27" ht="21" hidden="1" customHeight="1" x14ac:dyDescent="0.35"/>
    <row r="2193" spans="1:27" hidden="1" x14ac:dyDescent="0.35"/>
    <row r="2194" spans="1:27" hidden="1" x14ac:dyDescent="0.35"/>
    <row r="2195" spans="1:27" ht="29" hidden="1" customHeight="1" x14ac:dyDescent="0.35">
      <c r="A2195" s="84" t="str">
        <f>IF($AA2195=0,"",IF(LEN(INDEX(Quotes!$U$9:$U$258,$AA2195)&amp;"")=0,"",INDEX(Quotes!$U$9:$U$258,$AA2195)))</f>
        <v/>
      </c>
      <c r="B2195" s="39"/>
      <c r="C2195" s="39"/>
      <c r="D2195" s="39"/>
      <c r="E2195" s="39"/>
      <c r="F2195" s="39"/>
      <c r="G2195" s="39"/>
      <c r="H2195" s="39"/>
      <c r="I2195" s="39"/>
      <c r="J2195" s="39"/>
      <c r="K2195" s="85" t="str">
        <f>IF($AA2195=0,"",IF(LEN(INDEX(Quotes!$Z$9:$Z$258,$AA2195)&amp;"")=0,"",INDEX(Quotes!$Z$9:$Z$258,$AA2195)))</f>
        <v/>
      </c>
      <c r="L2195" s="39"/>
      <c r="M2195" s="39"/>
      <c r="N2195" s="39"/>
      <c r="O2195" s="39"/>
      <c r="P2195" s="39"/>
      <c r="Q2195" s="39"/>
      <c r="R2195" s="39"/>
      <c r="S2195" s="39"/>
      <c r="T2195" s="39"/>
      <c r="U2195" s="39"/>
      <c r="V2195" s="39"/>
      <c r="AA2195">
        <f>IFERROR(MATCH(228,Quotes!$AK$9:$AK$258,0),0)</f>
        <v>0</v>
      </c>
    </row>
    <row r="2196" spans="1:27" ht="21" hidden="1" customHeight="1" x14ac:dyDescent="0.35">
      <c r="A2196" s="40" t="str">
        <f>IF($AA2195=0,"",IF(LEN(INDEX(Quotes!$V$9:$V$258,$AA2195)&amp;"")=0,"",INDEX(Quotes!$V$9:$V$258,$AA2195)))</f>
        <v/>
      </c>
      <c r="B2196" s="39"/>
      <c r="C2196" s="39"/>
      <c r="D2196" s="39"/>
      <c r="E2196" s="39"/>
      <c r="F2196" s="39"/>
      <c r="G2196" s="39"/>
      <c r="H2196" s="40" t="str">
        <f>IF($AA2195=0,"",IF(LEN(INDEX(Quotes!$W$9:$W$258,$AA2195)&amp;"")=0,"",INDEX(Quotes!$W$9:$W$258,$AA2195)))</f>
        <v/>
      </c>
      <c r="I2196" s="39"/>
      <c r="J2196" s="39"/>
      <c r="K2196" s="39"/>
      <c r="L2196" s="39"/>
      <c r="M2196" s="39"/>
      <c r="N2196" s="39"/>
      <c r="O2196" s="39"/>
      <c r="P2196" s="39"/>
      <c r="Q2196" s="39"/>
      <c r="R2196" s="77" t="str">
        <f>IF($AA2195=0,"",IF(LEN(INDEX(Quotes!$X$9:$X$258,$AA2195)&amp;"")=0,"",INDEX(Quotes!$X$9:$X$258,$AA2195)))</f>
        <v/>
      </c>
      <c r="S2196" s="39"/>
      <c r="T2196" s="39"/>
      <c r="U2196" s="39"/>
      <c r="V2196" s="39"/>
    </row>
    <row r="2197" spans="1:27" ht="21" hidden="1" customHeight="1" x14ac:dyDescent="0.35">
      <c r="A2197" s="83" t="str">
        <f>IF($AA2195=0,"","ORIGINAL EUR")</f>
        <v/>
      </c>
      <c r="B2197" s="39"/>
      <c r="C2197" s="39"/>
      <c r="D2197" s="39"/>
      <c r="E2197" s="39"/>
      <c r="F2197" s="39"/>
      <c r="G2197" s="39"/>
      <c r="I2197" s="83" t="str">
        <f>IF($AA2195=0,"","LATEST EUR")</f>
        <v/>
      </c>
      <c r="J2197" s="39"/>
      <c r="K2197" s="39"/>
      <c r="L2197" s="39"/>
      <c r="M2197" s="39"/>
      <c r="N2197" s="39"/>
      <c r="O2197" s="39"/>
      <c r="Q2197" s="83" t="str">
        <f>IF($AA2195=0,"","SAVED EUR")</f>
        <v/>
      </c>
      <c r="R2197" s="39"/>
      <c r="S2197" s="39"/>
      <c r="T2197" s="39"/>
      <c r="U2197" s="39"/>
      <c r="V2197" s="39"/>
    </row>
    <row r="2198" spans="1:27" ht="21" hidden="1" customHeight="1" x14ac:dyDescent="0.35">
      <c r="A2198" s="82" t="str">
        <f>IF($AA2195=0,"",IF(LEN(INDEX(Quotes!$AB$9:$AB$258,$AA2195)&amp;"")=0,"",INDEX(Quotes!$AB$9:$AB$258,$AA2195)))</f>
        <v/>
      </c>
      <c r="B2198" s="39"/>
      <c r="C2198" s="39"/>
      <c r="D2198" s="39"/>
      <c r="E2198" s="39"/>
      <c r="F2198" s="39"/>
      <c r="G2198" s="39"/>
      <c r="I2198" s="82" t="str">
        <f>IF($AA2195=0,"",IF(LEN(INDEX(Quotes!$AD$9:$AD$258,$AA2195)&amp;"")=0,"",INDEX(Quotes!$AD$9:$AD$258,$AA2195)))</f>
        <v/>
      </c>
      <c r="J2198" s="39"/>
      <c r="K2198" s="39"/>
      <c r="L2198" s="39"/>
      <c r="M2198" s="39"/>
      <c r="N2198" s="39"/>
      <c r="O2198" s="39"/>
      <c r="Q2198" s="82" t="str">
        <f>IF($AA2195=0,"",IF(LEN(INDEX(Quotes!$AF$9:$AF$258,$AA2195)&amp;"")=0,"",INDEX(Quotes!$AF$9:$AF$258,$AA2195)))</f>
        <v/>
      </c>
      <c r="R2198" s="39"/>
      <c r="S2198" s="39"/>
      <c r="T2198" s="39"/>
      <c r="U2198" s="39"/>
      <c r="V2198" s="39"/>
    </row>
    <row r="2199" spans="1:27" ht="21" hidden="1" customHeight="1" x14ac:dyDescent="0.35">
      <c r="A2199" s="48" t="str">
        <f>IF($AA2195=0,"","Reference: "&amp;IF(INDEX(Quotes!$M$9:$M$258,$AA2195)="",INDEX(Quotes!$S$9:$S$258,$AA2195),INDEX(Quotes!$M$9:$M$258,$AA2195)))</f>
        <v/>
      </c>
      <c r="B2199" s="39"/>
      <c r="C2199" s="39"/>
      <c r="D2199" s="39"/>
      <c r="E2199" s="39"/>
      <c r="F2199" s="39"/>
      <c r="G2199" s="39"/>
      <c r="H2199" s="39"/>
      <c r="I2199" s="39"/>
      <c r="J2199" s="39"/>
      <c r="K2199" s="39"/>
      <c r="L2199" s="39"/>
      <c r="M2199" s="39"/>
      <c r="N2199" s="39"/>
      <c r="O2199" s="39"/>
      <c r="P2199" s="39"/>
      <c r="Q2199" s="48" t="str">
        <f>IF($AA2195=0,"",INDEX(Quotes!$E$9:$E$258,$AA2195))</f>
        <v/>
      </c>
      <c r="R2199" s="39"/>
      <c r="S2199" s="39"/>
      <c r="T2199" s="39"/>
      <c r="U2199" s="39"/>
      <c r="V2199" s="39"/>
    </row>
    <row r="2200" spans="1:27" ht="21" hidden="1" customHeight="1" x14ac:dyDescent="0.35">
      <c r="A2200" s="81" t="str">
        <f>IF($AA2195=0,"",IF(INDEX(Quotes!$N$9:$N$258,$AA2195)="","No original link","Original quote"))</f>
        <v/>
      </c>
      <c r="B2200" s="39"/>
      <c r="C2200" s="39"/>
      <c r="D2200" s="39"/>
      <c r="E2200" s="39"/>
      <c r="F2200" s="39"/>
      <c r="G2200" s="39"/>
      <c r="I2200" s="81" t="str">
        <f>IF($AA2195=0,"",IF(INDEX(Quotes!$O$9:$O$258,$AA2195)="","No revised link","Revised quote"))</f>
        <v/>
      </c>
      <c r="J2200" s="39"/>
      <c r="K2200" s="39"/>
      <c r="L2200" s="39"/>
      <c r="M2200" s="39"/>
      <c r="N2200" s="39"/>
      <c r="O2200" s="39"/>
      <c r="Q2200" s="81" t="str">
        <f>IF($AA2195=0,"",HYPERLINK("#'Quotes'!A"&amp;($AA2195+8),"Open quote record"))</f>
        <v/>
      </c>
      <c r="R2200" s="39"/>
      <c r="S2200" s="39"/>
      <c r="T2200" s="39"/>
      <c r="U2200" s="39"/>
      <c r="V2200" s="39"/>
    </row>
    <row r="2201" spans="1:27" ht="21" hidden="1" customHeight="1" x14ac:dyDescent="0.35"/>
    <row r="2202" spans="1:27" hidden="1" x14ac:dyDescent="0.35"/>
    <row r="2203" spans="1:27" hidden="1" x14ac:dyDescent="0.35"/>
    <row r="2204" spans="1:27" hidden="1" x14ac:dyDescent="0.35"/>
    <row r="2205" spans="1:27" hidden="1" x14ac:dyDescent="0.35">
      <c r="A2205" s="67" t="s">
        <v>655</v>
      </c>
      <c r="B2205" s="39"/>
      <c r="C2205" s="39"/>
      <c r="D2205" s="39"/>
      <c r="E2205" s="39"/>
      <c r="F2205" s="39"/>
      <c r="G2205" s="39"/>
      <c r="H2205" s="39"/>
      <c r="I2205" s="39"/>
      <c r="J2205" s="39"/>
      <c r="K2205" s="39"/>
      <c r="L2205" s="39"/>
      <c r="M2205" s="39"/>
      <c r="N2205" s="39"/>
      <c r="O2205" s="39"/>
      <c r="P2205" s="39"/>
      <c r="Q2205" s="39"/>
      <c r="R2205" s="39"/>
      <c r="S2205" s="39"/>
      <c r="T2205" s="39"/>
      <c r="U2205" s="39"/>
      <c r="V2205" s="39"/>
    </row>
    <row r="2206" spans="1:27" ht="29" hidden="1" customHeight="1" x14ac:dyDescent="0.35">
      <c r="A2206" s="84" t="str">
        <f>IF($AA2206=0,"",IF(LEN(INDEX(Quotes!$U$9:$U$258,$AA2206)&amp;"")=0,"",INDEX(Quotes!$U$9:$U$258,$AA2206)))</f>
        <v/>
      </c>
      <c r="B2206" s="39"/>
      <c r="C2206" s="39"/>
      <c r="D2206" s="39"/>
      <c r="E2206" s="39"/>
      <c r="F2206" s="39"/>
      <c r="G2206" s="39"/>
      <c r="H2206" s="39"/>
      <c r="I2206" s="39"/>
      <c r="J2206" s="39"/>
      <c r="K2206" s="85" t="str">
        <f>IF($AA2206=0,"",IF(LEN(INDEX(Quotes!$Z$9:$Z$258,$AA2206)&amp;"")=0,"",INDEX(Quotes!$Z$9:$Z$258,$AA2206)))</f>
        <v/>
      </c>
      <c r="L2206" s="39"/>
      <c r="M2206" s="39"/>
      <c r="N2206" s="39"/>
      <c r="O2206" s="39"/>
      <c r="P2206" s="39"/>
      <c r="Q2206" s="39"/>
      <c r="R2206" s="39"/>
      <c r="S2206" s="39"/>
      <c r="T2206" s="39"/>
      <c r="U2206" s="39"/>
      <c r="V2206" s="39"/>
      <c r="AA2206">
        <f>IFERROR(MATCH(229,Quotes!$AK$9:$AK$258,0),0)</f>
        <v>0</v>
      </c>
    </row>
    <row r="2207" spans="1:27" ht="21" hidden="1" customHeight="1" x14ac:dyDescent="0.35">
      <c r="A2207" s="40" t="str">
        <f>IF($AA2206=0,"",IF(LEN(INDEX(Quotes!$V$9:$V$258,$AA2206)&amp;"")=0,"",INDEX(Quotes!$V$9:$V$258,$AA2206)))</f>
        <v/>
      </c>
      <c r="B2207" s="39"/>
      <c r="C2207" s="39"/>
      <c r="D2207" s="39"/>
      <c r="E2207" s="39"/>
      <c r="F2207" s="39"/>
      <c r="G2207" s="39"/>
      <c r="H2207" s="40" t="str">
        <f>IF($AA2206=0,"",IF(LEN(INDEX(Quotes!$W$9:$W$258,$AA2206)&amp;"")=0,"",INDEX(Quotes!$W$9:$W$258,$AA2206)))</f>
        <v/>
      </c>
      <c r="I2207" s="39"/>
      <c r="J2207" s="39"/>
      <c r="K2207" s="39"/>
      <c r="L2207" s="39"/>
      <c r="M2207" s="39"/>
      <c r="N2207" s="39"/>
      <c r="O2207" s="39"/>
      <c r="P2207" s="39"/>
      <c r="Q2207" s="39"/>
      <c r="R2207" s="77" t="str">
        <f>IF($AA2206=0,"",IF(LEN(INDEX(Quotes!$X$9:$X$258,$AA2206)&amp;"")=0,"",INDEX(Quotes!$X$9:$X$258,$AA2206)))</f>
        <v/>
      </c>
      <c r="S2207" s="39"/>
      <c r="T2207" s="39"/>
      <c r="U2207" s="39"/>
      <c r="V2207" s="39"/>
    </row>
    <row r="2208" spans="1:27" ht="21" hidden="1" customHeight="1" x14ac:dyDescent="0.35">
      <c r="A2208" s="83" t="str">
        <f>IF($AA2206=0,"","ORIGINAL EUR")</f>
        <v/>
      </c>
      <c r="B2208" s="39"/>
      <c r="C2208" s="39"/>
      <c r="D2208" s="39"/>
      <c r="E2208" s="39"/>
      <c r="F2208" s="39"/>
      <c r="G2208" s="39"/>
      <c r="I2208" s="83" t="str">
        <f>IF($AA2206=0,"","LATEST EUR")</f>
        <v/>
      </c>
      <c r="J2208" s="39"/>
      <c r="K2208" s="39"/>
      <c r="L2208" s="39"/>
      <c r="M2208" s="39"/>
      <c r="N2208" s="39"/>
      <c r="O2208" s="39"/>
      <c r="Q2208" s="83" t="str">
        <f>IF($AA2206=0,"","SAVED EUR")</f>
        <v/>
      </c>
      <c r="R2208" s="39"/>
      <c r="S2208" s="39"/>
      <c r="T2208" s="39"/>
      <c r="U2208" s="39"/>
      <c r="V2208" s="39"/>
    </row>
    <row r="2209" spans="1:27" ht="21" hidden="1" customHeight="1" x14ac:dyDescent="0.35">
      <c r="A2209" s="82" t="str">
        <f>IF($AA2206=0,"",IF(LEN(INDEX(Quotes!$AB$9:$AB$258,$AA2206)&amp;"")=0,"",INDEX(Quotes!$AB$9:$AB$258,$AA2206)))</f>
        <v/>
      </c>
      <c r="B2209" s="39"/>
      <c r="C2209" s="39"/>
      <c r="D2209" s="39"/>
      <c r="E2209" s="39"/>
      <c r="F2209" s="39"/>
      <c r="G2209" s="39"/>
      <c r="I2209" s="82" t="str">
        <f>IF($AA2206=0,"",IF(LEN(INDEX(Quotes!$AD$9:$AD$258,$AA2206)&amp;"")=0,"",INDEX(Quotes!$AD$9:$AD$258,$AA2206)))</f>
        <v/>
      </c>
      <c r="J2209" s="39"/>
      <c r="K2209" s="39"/>
      <c r="L2209" s="39"/>
      <c r="M2209" s="39"/>
      <c r="N2209" s="39"/>
      <c r="O2209" s="39"/>
      <c r="Q2209" s="82" t="str">
        <f>IF($AA2206=0,"",IF(LEN(INDEX(Quotes!$AF$9:$AF$258,$AA2206)&amp;"")=0,"",INDEX(Quotes!$AF$9:$AF$258,$AA2206)))</f>
        <v/>
      </c>
      <c r="R2209" s="39"/>
      <c r="S2209" s="39"/>
      <c r="T2209" s="39"/>
      <c r="U2209" s="39"/>
      <c r="V2209" s="39"/>
    </row>
    <row r="2210" spans="1:27" ht="21" hidden="1" customHeight="1" x14ac:dyDescent="0.35">
      <c r="A2210" s="48" t="str">
        <f>IF($AA2206=0,"","Reference: "&amp;IF(INDEX(Quotes!$M$9:$M$258,$AA2206)="",INDEX(Quotes!$S$9:$S$258,$AA2206),INDEX(Quotes!$M$9:$M$258,$AA2206)))</f>
        <v/>
      </c>
      <c r="B2210" s="39"/>
      <c r="C2210" s="39"/>
      <c r="D2210" s="39"/>
      <c r="E2210" s="39"/>
      <c r="F2210" s="39"/>
      <c r="G2210" s="39"/>
      <c r="H2210" s="39"/>
      <c r="I2210" s="39"/>
      <c r="J2210" s="39"/>
      <c r="K2210" s="39"/>
      <c r="L2210" s="39"/>
      <c r="M2210" s="39"/>
      <c r="N2210" s="39"/>
      <c r="O2210" s="39"/>
      <c r="P2210" s="39"/>
      <c r="Q2210" s="48" t="str">
        <f>IF($AA2206=0,"",INDEX(Quotes!$E$9:$E$258,$AA2206))</f>
        <v/>
      </c>
      <c r="R2210" s="39"/>
      <c r="S2210" s="39"/>
      <c r="T2210" s="39"/>
      <c r="U2210" s="39"/>
      <c r="V2210" s="39"/>
    </row>
    <row r="2211" spans="1:27" ht="21" hidden="1" customHeight="1" x14ac:dyDescent="0.35">
      <c r="A2211" s="81" t="str">
        <f>IF($AA2206=0,"",IF(INDEX(Quotes!$N$9:$N$258,$AA2206)="","No original link","Original quote"))</f>
        <v/>
      </c>
      <c r="B2211" s="39"/>
      <c r="C2211" s="39"/>
      <c r="D2211" s="39"/>
      <c r="E2211" s="39"/>
      <c r="F2211" s="39"/>
      <c r="G2211" s="39"/>
      <c r="I2211" s="81" t="str">
        <f>IF($AA2206=0,"",IF(INDEX(Quotes!$O$9:$O$258,$AA2206)="","No revised link","Revised quote"))</f>
        <v/>
      </c>
      <c r="J2211" s="39"/>
      <c r="K2211" s="39"/>
      <c r="L2211" s="39"/>
      <c r="M2211" s="39"/>
      <c r="N2211" s="39"/>
      <c r="O2211" s="39"/>
      <c r="Q2211" s="81" t="str">
        <f>IF($AA2206=0,"",HYPERLINK("#'Quotes'!A"&amp;($AA2206+8),"Open quote record"))</f>
        <v/>
      </c>
      <c r="R2211" s="39"/>
      <c r="S2211" s="39"/>
      <c r="T2211" s="39"/>
      <c r="U2211" s="39"/>
      <c r="V2211" s="39"/>
    </row>
    <row r="2212" spans="1:27" ht="21" hidden="1" customHeight="1" x14ac:dyDescent="0.35"/>
    <row r="2213" spans="1:27" hidden="1" x14ac:dyDescent="0.35"/>
    <row r="2214" spans="1:27" hidden="1" x14ac:dyDescent="0.35"/>
    <row r="2215" spans="1:27" ht="29" hidden="1" customHeight="1" x14ac:dyDescent="0.35">
      <c r="A2215" s="84" t="str">
        <f>IF($AA2215=0,"",IF(LEN(INDEX(Quotes!$U$9:$U$258,$AA2215)&amp;"")=0,"",INDEX(Quotes!$U$9:$U$258,$AA2215)))</f>
        <v/>
      </c>
      <c r="B2215" s="39"/>
      <c r="C2215" s="39"/>
      <c r="D2215" s="39"/>
      <c r="E2215" s="39"/>
      <c r="F2215" s="39"/>
      <c r="G2215" s="39"/>
      <c r="H2215" s="39"/>
      <c r="I2215" s="39"/>
      <c r="J2215" s="39"/>
      <c r="K2215" s="85" t="str">
        <f>IF($AA2215=0,"",IF(LEN(INDEX(Quotes!$Z$9:$Z$258,$AA2215)&amp;"")=0,"",INDEX(Quotes!$Z$9:$Z$258,$AA2215)))</f>
        <v/>
      </c>
      <c r="L2215" s="39"/>
      <c r="M2215" s="39"/>
      <c r="N2215" s="39"/>
      <c r="O2215" s="39"/>
      <c r="P2215" s="39"/>
      <c r="Q2215" s="39"/>
      <c r="R2215" s="39"/>
      <c r="S2215" s="39"/>
      <c r="T2215" s="39"/>
      <c r="U2215" s="39"/>
      <c r="V2215" s="39"/>
      <c r="AA2215">
        <f>IFERROR(MATCH(230,Quotes!$AK$9:$AK$258,0),0)</f>
        <v>0</v>
      </c>
    </row>
    <row r="2216" spans="1:27" ht="21" hidden="1" customHeight="1" x14ac:dyDescent="0.35">
      <c r="A2216" s="40" t="str">
        <f>IF($AA2215=0,"",IF(LEN(INDEX(Quotes!$V$9:$V$258,$AA2215)&amp;"")=0,"",INDEX(Quotes!$V$9:$V$258,$AA2215)))</f>
        <v/>
      </c>
      <c r="B2216" s="39"/>
      <c r="C2216" s="39"/>
      <c r="D2216" s="39"/>
      <c r="E2216" s="39"/>
      <c r="F2216" s="39"/>
      <c r="G2216" s="39"/>
      <c r="H2216" s="40" t="str">
        <f>IF($AA2215=0,"",IF(LEN(INDEX(Quotes!$W$9:$W$258,$AA2215)&amp;"")=0,"",INDEX(Quotes!$W$9:$W$258,$AA2215)))</f>
        <v/>
      </c>
      <c r="I2216" s="39"/>
      <c r="J2216" s="39"/>
      <c r="K2216" s="39"/>
      <c r="L2216" s="39"/>
      <c r="M2216" s="39"/>
      <c r="N2216" s="39"/>
      <c r="O2216" s="39"/>
      <c r="P2216" s="39"/>
      <c r="Q2216" s="39"/>
      <c r="R2216" s="77" t="str">
        <f>IF($AA2215=0,"",IF(LEN(INDEX(Quotes!$X$9:$X$258,$AA2215)&amp;"")=0,"",INDEX(Quotes!$X$9:$X$258,$AA2215)))</f>
        <v/>
      </c>
      <c r="S2216" s="39"/>
      <c r="T2216" s="39"/>
      <c r="U2216" s="39"/>
      <c r="V2216" s="39"/>
    </row>
    <row r="2217" spans="1:27" ht="21" hidden="1" customHeight="1" x14ac:dyDescent="0.35">
      <c r="A2217" s="83" t="str">
        <f>IF($AA2215=0,"","ORIGINAL EUR")</f>
        <v/>
      </c>
      <c r="B2217" s="39"/>
      <c r="C2217" s="39"/>
      <c r="D2217" s="39"/>
      <c r="E2217" s="39"/>
      <c r="F2217" s="39"/>
      <c r="G2217" s="39"/>
      <c r="I2217" s="83" t="str">
        <f>IF($AA2215=0,"","LATEST EUR")</f>
        <v/>
      </c>
      <c r="J2217" s="39"/>
      <c r="K2217" s="39"/>
      <c r="L2217" s="39"/>
      <c r="M2217" s="39"/>
      <c r="N2217" s="39"/>
      <c r="O2217" s="39"/>
      <c r="Q2217" s="83" t="str">
        <f>IF($AA2215=0,"","SAVED EUR")</f>
        <v/>
      </c>
      <c r="R2217" s="39"/>
      <c r="S2217" s="39"/>
      <c r="T2217" s="39"/>
      <c r="U2217" s="39"/>
      <c r="V2217" s="39"/>
    </row>
    <row r="2218" spans="1:27" ht="21" hidden="1" customHeight="1" x14ac:dyDescent="0.35">
      <c r="A2218" s="82" t="str">
        <f>IF($AA2215=0,"",IF(LEN(INDEX(Quotes!$AB$9:$AB$258,$AA2215)&amp;"")=0,"",INDEX(Quotes!$AB$9:$AB$258,$AA2215)))</f>
        <v/>
      </c>
      <c r="B2218" s="39"/>
      <c r="C2218" s="39"/>
      <c r="D2218" s="39"/>
      <c r="E2218" s="39"/>
      <c r="F2218" s="39"/>
      <c r="G2218" s="39"/>
      <c r="I2218" s="82" t="str">
        <f>IF($AA2215=0,"",IF(LEN(INDEX(Quotes!$AD$9:$AD$258,$AA2215)&amp;"")=0,"",INDEX(Quotes!$AD$9:$AD$258,$AA2215)))</f>
        <v/>
      </c>
      <c r="J2218" s="39"/>
      <c r="K2218" s="39"/>
      <c r="L2218" s="39"/>
      <c r="M2218" s="39"/>
      <c r="N2218" s="39"/>
      <c r="O2218" s="39"/>
      <c r="Q2218" s="82" t="str">
        <f>IF($AA2215=0,"",IF(LEN(INDEX(Quotes!$AF$9:$AF$258,$AA2215)&amp;"")=0,"",INDEX(Quotes!$AF$9:$AF$258,$AA2215)))</f>
        <v/>
      </c>
      <c r="R2218" s="39"/>
      <c r="S2218" s="39"/>
      <c r="T2218" s="39"/>
      <c r="U2218" s="39"/>
      <c r="V2218" s="39"/>
    </row>
    <row r="2219" spans="1:27" ht="21" hidden="1" customHeight="1" x14ac:dyDescent="0.35">
      <c r="A2219" s="48" t="str">
        <f>IF($AA2215=0,"","Reference: "&amp;IF(INDEX(Quotes!$M$9:$M$258,$AA2215)="",INDEX(Quotes!$S$9:$S$258,$AA2215),INDEX(Quotes!$M$9:$M$258,$AA2215)))</f>
        <v/>
      </c>
      <c r="B2219" s="39"/>
      <c r="C2219" s="39"/>
      <c r="D2219" s="39"/>
      <c r="E2219" s="39"/>
      <c r="F2219" s="39"/>
      <c r="G2219" s="39"/>
      <c r="H2219" s="39"/>
      <c r="I2219" s="39"/>
      <c r="J2219" s="39"/>
      <c r="K2219" s="39"/>
      <c r="L2219" s="39"/>
      <c r="M2219" s="39"/>
      <c r="N2219" s="39"/>
      <c r="O2219" s="39"/>
      <c r="P2219" s="39"/>
      <c r="Q2219" s="48" t="str">
        <f>IF($AA2215=0,"",INDEX(Quotes!$E$9:$E$258,$AA2215))</f>
        <v/>
      </c>
      <c r="R2219" s="39"/>
      <c r="S2219" s="39"/>
      <c r="T2219" s="39"/>
      <c r="U2219" s="39"/>
      <c r="V2219" s="39"/>
    </row>
    <row r="2220" spans="1:27" ht="21" hidden="1" customHeight="1" x14ac:dyDescent="0.35">
      <c r="A2220" s="81" t="str">
        <f>IF($AA2215=0,"",IF(INDEX(Quotes!$N$9:$N$258,$AA2215)="","No original link","Original quote"))</f>
        <v/>
      </c>
      <c r="B2220" s="39"/>
      <c r="C2220" s="39"/>
      <c r="D2220" s="39"/>
      <c r="E2220" s="39"/>
      <c r="F2220" s="39"/>
      <c r="G2220" s="39"/>
      <c r="I2220" s="81" t="str">
        <f>IF($AA2215=0,"",IF(INDEX(Quotes!$O$9:$O$258,$AA2215)="","No revised link","Revised quote"))</f>
        <v/>
      </c>
      <c r="J2220" s="39"/>
      <c r="K2220" s="39"/>
      <c r="L2220" s="39"/>
      <c r="M2220" s="39"/>
      <c r="N2220" s="39"/>
      <c r="O2220" s="39"/>
      <c r="Q2220" s="81" t="str">
        <f>IF($AA2215=0,"",HYPERLINK("#'Quotes'!A"&amp;($AA2215+8),"Open quote record"))</f>
        <v/>
      </c>
      <c r="R2220" s="39"/>
      <c r="S2220" s="39"/>
      <c r="T2220" s="39"/>
      <c r="U2220" s="39"/>
      <c r="V2220" s="39"/>
    </row>
    <row r="2221" spans="1:27" ht="21" hidden="1" customHeight="1" x14ac:dyDescent="0.35"/>
    <row r="2222" spans="1:27" hidden="1" x14ac:dyDescent="0.35"/>
    <row r="2223" spans="1:27" hidden="1" x14ac:dyDescent="0.35"/>
    <row r="2224" spans="1:27" ht="29" hidden="1" customHeight="1" x14ac:dyDescent="0.35">
      <c r="A2224" s="84" t="str">
        <f>IF($AA2224=0,"",IF(LEN(INDEX(Quotes!$U$9:$U$258,$AA2224)&amp;"")=0,"",INDEX(Quotes!$U$9:$U$258,$AA2224)))</f>
        <v/>
      </c>
      <c r="B2224" s="39"/>
      <c r="C2224" s="39"/>
      <c r="D2224" s="39"/>
      <c r="E2224" s="39"/>
      <c r="F2224" s="39"/>
      <c r="G2224" s="39"/>
      <c r="H2224" s="39"/>
      <c r="I2224" s="39"/>
      <c r="J2224" s="39"/>
      <c r="K2224" s="85" t="str">
        <f>IF($AA2224=0,"",IF(LEN(INDEX(Quotes!$Z$9:$Z$258,$AA2224)&amp;"")=0,"",INDEX(Quotes!$Z$9:$Z$258,$AA2224)))</f>
        <v/>
      </c>
      <c r="L2224" s="39"/>
      <c r="M2224" s="39"/>
      <c r="N2224" s="39"/>
      <c r="O2224" s="39"/>
      <c r="P2224" s="39"/>
      <c r="Q2224" s="39"/>
      <c r="R2224" s="39"/>
      <c r="S2224" s="39"/>
      <c r="T2224" s="39"/>
      <c r="U2224" s="39"/>
      <c r="V2224" s="39"/>
      <c r="AA2224">
        <f>IFERROR(MATCH(231,Quotes!$AK$9:$AK$258,0),0)</f>
        <v>0</v>
      </c>
    </row>
    <row r="2225" spans="1:27" ht="21" hidden="1" customHeight="1" x14ac:dyDescent="0.35">
      <c r="A2225" s="40" t="str">
        <f>IF($AA2224=0,"",IF(LEN(INDEX(Quotes!$V$9:$V$258,$AA2224)&amp;"")=0,"",INDEX(Quotes!$V$9:$V$258,$AA2224)))</f>
        <v/>
      </c>
      <c r="B2225" s="39"/>
      <c r="C2225" s="39"/>
      <c r="D2225" s="39"/>
      <c r="E2225" s="39"/>
      <c r="F2225" s="39"/>
      <c r="G2225" s="39"/>
      <c r="H2225" s="40" t="str">
        <f>IF($AA2224=0,"",IF(LEN(INDEX(Quotes!$W$9:$W$258,$AA2224)&amp;"")=0,"",INDEX(Quotes!$W$9:$W$258,$AA2224)))</f>
        <v/>
      </c>
      <c r="I2225" s="39"/>
      <c r="J2225" s="39"/>
      <c r="K2225" s="39"/>
      <c r="L2225" s="39"/>
      <c r="M2225" s="39"/>
      <c r="N2225" s="39"/>
      <c r="O2225" s="39"/>
      <c r="P2225" s="39"/>
      <c r="Q2225" s="39"/>
      <c r="R2225" s="77" t="str">
        <f>IF($AA2224=0,"",IF(LEN(INDEX(Quotes!$X$9:$X$258,$AA2224)&amp;"")=0,"",INDEX(Quotes!$X$9:$X$258,$AA2224)))</f>
        <v/>
      </c>
      <c r="S2225" s="39"/>
      <c r="T2225" s="39"/>
      <c r="U2225" s="39"/>
      <c r="V2225" s="39"/>
    </row>
    <row r="2226" spans="1:27" ht="21" hidden="1" customHeight="1" x14ac:dyDescent="0.35">
      <c r="A2226" s="83" t="str">
        <f>IF($AA2224=0,"","ORIGINAL EUR")</f>
        <v/>
      </c>
      <c r="B2226" s="39"/>
      <c r="C2226" s="39"/>
      <c r="D2226" s="39"/>
      <c r="E2226" s="39"/>
      <c r="F2226" s="39"/>
      <c r="G2226" s="39"/>
      <c r="I2226" s="83" t="str">
        <f>IF($AA2224=0,"","LATEST EUR")</f>
        <v/>
      </c>
      <c r="J2226" s="39"/>
      <c r="K2226" s="39"/>
      <c r="L2226" s="39"/>
      <c r="M2226" s="39"/>
      <c r="N2226" s="39"/>
      <c r="O2226" s="39"/>
      <c r="Q2226" s="83" t="str">
        <f>IF($AA2224=0,"","SAVED EUR")</f>
        <v/>
      </c>
      <c r="R2226" s="39"/>
      <c r="S2226" s="39"/>
      <c r="T2226" s="39"/>
      <c r="U2226" s="39"/>
      <c r="V2226" s="39"/>
    </row>
    <row r="2227" spans="1:27" ht="21" hidden="1" customHeight="1" x14ac:dyDescent="0.35">
      <c r="A2227" s="82" t="str">
        <f>IF($AA2224=0,"",IF(LEN(INDEX(Quotes!$AB$9:$AB$258,$AA2224)&amp;"")=0,"",INDEX(Quotes!$AB$9:$AB$258,$AA2224)))</f>
        <v/>
      </c>
      <c r="B2227" s="39"/>
      <c r="C2227" s="39"/>
      <c r="D2227" s="39"/>
      <c r="E2227" s="39"/>
      <c r="F2227" s="39"/>
      <c r="G2227" s="39"/>
      <c r="I2227" s="82" t="str">
        <f>IF($AA2224=0,"",IF(LEN(INDEX(Quotes!$AD$9:$AD$258,$AA2224)&amp;"")=0,"",INDEX(Quotes!$AD$9:$AD$258,$AA2224)))</f>
        <v/>
      </c>
      <c r="J2227" s="39"/>
      <c r="K2227" s="39"/>
      <c r="L2227" s="39"/>
      <c r="M2227" s="39"/>
      <c r="N2227" s="39"/>
      <c r="O2227" s="39"/>
      <c r="Q2227" s="82" t="str">
        <f>IF($AA2224=0,"",IF(LEN(INDEX(Quotes!$AF$9:$AF$258,$AA2224)&amp;"")=0,"",INDEX(Quotes!$AF$9:$AF$258,$AA2224)))</f>
        <v/>
      </c>
      <c r="R2227" s="39"/>
      <c r="S2227" s="39"/>
      <c r="T2227" s="39"/>
      <c r="U2227" s="39"/>
      <c r="V2227" s="39"/>
    </row>
    <row r="2228" spans="1:27" ht="21" hidden="1" customHeight="1" x14ac:dyDescent="0.35">
      <c r="A2228" s="48" t="str">
        <f>IF($AA2224=0,"","Reference: "&amp;IF(INDEX(Quotes!$M$9:$M$258,$AA2224)="",INDEX(Quotes!$S$9:$S$258,$AA2224),INDEX(Quotes!$M$9:$M$258,$AA2224)))</f>
        <v/>
      </c>
      <c r="B2228" s="39"/>
      <c r="C2228" s="39"/>
      <c r="D2228" s="39"/>
      <c r="E2228" s="39"/>
      <c r="F2228" s="39"/>
      <c r="G2228" s="39"/>
      <c r="H2228" s="39"/>
      <c r="I2228" s="39"/>
      <c r="J2228" s="39"/>
      <c r="K2228" s="39"/>
      <c r="L2228" s="39"/>
      <c r="M2228" s="39"/>
      <c r="N2228" s="39"/>
      <c r="O2228" s="39"/>
      <c r="P2228" s="39"/>
      <c r="Q2228" s="48" t="str">
        <f>IF($AA2224=0,"",INDEX(Quotes!$E$9:$E$258,$AA2224))</f>
        <v/>
      </c>
      <c r="R2228" s="39"/>
      <c r="S2228" s="39"/>
      <c r="T2228" s="39"/>
      <c r="U2228" s="39"/>
      <c r="V2228" s="39"/>
    </row>
    <row r="2229" spans="1:27" ht="21" hidden="1" customHeight="1" x14ac:dyDescent="0.35">
      <c r="A2229" s="81" t="str">
        <f>IF($AA2224=0,"",IF(INDEX(Quotes!$N$9:$N$258,$AA2224)="","No original link","Original quote"))</f>
        <v/>
      </c>
      <c r="B2229" s="39"/>
      <c r="C2229" s="39"/>
      <c r="D2229" s="39"/>
      <c r="E2229" s="39"/>
      <c r="F2229" s="39"/>
      <c r="G2229" s="39"/>
      <c r="I2229" s="81" t="str">
        <f>IF($AA2224=0,"",IF(INDEX(Quotes!$O$9:$O$258,$AA2224)="","No revised link","Revised quote"))</f>
        <v/>
      </c>
      <c r="J2229" s="39"/>
      <c r="K2229" s="39"/>
      <c r="L2229" s="39"/>
      <c r="M2229" s="39"/>
      <c r="N2229" s="39"/>
      <c r="O2229" s="39"/>
      <c r="Q2229" s="81" t="str">
        <f>IF($AA2224=0,"",HYPERLINK("#'Quotes'!A"&amp;($AA2224+8),"Open quote record"))</f>
        <v/>
      </c>
      <c r="R2229" s="39"/>
      <c r="S2229" s="39"/>
      <c r="T2229" s="39"/>
      <c r="U2229" s="39"/>
      <c r="V2229" s="39"/>
    </row>
    <row r="2230" spans="1:27" ht="21" hidden="1" customHeight="1" x14ac:dyDescent="0.35"/>
    <row r="2231" spans="1:27" hidden="1" x14ac:dyDescent="0.35"/>
    <row r="2232" spans="1:27" hidden="1" x14ac:dyDescent="0.35"/>
    <row r="2233" spans="1:27" ht="29" hidden="1" customHeight="1" x14ac:dyDescent="0.35">
      <c r="A2233" s="84" t="str">
        <f>IF($AA2233=0,"",IF(LEN(INDEX(Quotes!$U$9:$U$258,$AA2233)&amp;"")=0,"",INDEX(Quotes!$U$9:$U$258,$AA2233)))</f>
        <v/>
      </c>
      <c r="B2233" s="39"/>
      <c r="C2233" s="39"/>
      <c r="D2233" s="39"/>
      <c r="E2233" s="39"/>
      <c r="F2233" s="39"/>
      <c r="G2233" s="39"/>
      <c r="H2233" s="39"/>
      <c r="I2233" s="39"/>
      <c r="J2233" s="39"/>
      <c r="K2233" s="85" t="str">
        <f>IF($AA2233=0,"",IF(LEN(INDEX(Quotes!$Z$9:$Z$258,$AA2233)&amp;"")=0,"",INDEX(Quotes!$Z$9:$Z$258,$AA2233)))</f>
        <v/>
      </c>
      <c r="L2233" s="39"/>
      <c r="M2233" s="39"/>
      <c r="N2233" s="39"/>
      <c r="O2233" s="39"/>
      <c r="P2233" s="39"/>
      <c r="Q2233" s="39"/>
      <c r="R2233" s="39"/>
      <c r="S2233" s="39"/>
      <c r="T2233" s="39"/>
      <c r="U2233" s="39"/>
      <c r="V2233" s="39"/>
      <c r="AA2233">
        <f>IFERROR(MATCH(232,Quotes!$AK$9:$AK$258,0),0)</f>
        <v>0</v>
      </c>
    </row>
    <row r="2234" spans="1:27" ht="21" hidden="1" customHeight="1" x14ac:dyDescent="0.35">
      <c r="A2234" s="40" t="str">
        <f>IF($AA2233=0,"",IF(LEN(INDEX(Quotes!$V$9:$V$258,$AA2233)&amp;"")=0,"",INDEX(Quotes!$V$9:$V$258,$AA2233)))</f>
        <v/>
      </c>
      <c r="B2234" s="39"/>
      <c r="C2234" s="39"/>
      <c r="D2234" s="39"/>
      <c r="E2234" s="39"/>
      <c r="F2234" s="39"/>
      <c r="G2234" s="39"/>
      <c r="H2234" s="40" t="str">
        <f>IF($AA2233=0,"",IF(LEN(INDEX(Quotes!$W$9:$W$258,$AA2233)&amp;"")=0,"",INDEX(Quotes!$W$9:$W$258,$AA2233)))</f>
        <v/>
      </c>
      <c r="I2234" s="39"/>
      <c r="J2234" s="39"/>
      <c r="K2234" s="39"/>
      <c r="L2234" s="39"/>
      <c r="M2234" s="39"/>
      <c r="N2234" s="39"/>
      <c r="O2234" s="39"/>
      <c r="P2234" s="39"/>
      <c r="Q2234" s="39"/>
      <c r="R2234" s="77" t="str">
        <f>IF($AA2233=0,"",IF(LEN(INDEX(Quotes!$X$9:$X$258,$AA2233)&amp;"")=0,"",INDEX(Quotes!$X$9:$X$258,$AA2233)))</f>
        <v/>
      </c>
      <c r="S2234" s="39"/>
      <c r="T2234" s="39"/>
      <c r="U2234" s="39"/>
      <c r="V2234" s="39"/>
    </row>
    <row r="2235" spans="1:27" ht="21" hidden="1" customHeight="1" x14ac:dyDescent="0.35">
      <c r="A2235" s="83" t="str">
        <f>IF($AA2233=0,"","ORIGINAL EUR")</f>
        <v/>
      </c>
      <c r="B2235" s="39"/>
      <c r="C2235" s="39"/>
      <c r="D2235" s="39"/>
      <c r="E2235" s="39"/>
      <c r="F2235" s="39"/>
      <c r="G2235" s="39"/>
      <c r="I2235" s="83" t="str">
        <f>IF($AA2233=0,"","LATEST EUR")</f>
        <v/>
      </c>
      <c r="J2235" s="39"/>
      <c r="K2235" s="39"/>
      <c r="L2235" s="39"/>
      <c r="M2235" s="39"/>
      <c r="N2235" s="39"/>
      <c r="O2235" s="39"/>
      <c r="Q2235" s="83" t="str">
        <f>IF($AA2233=0,"","SAVED EUR")</f>
        <v/>
      </c>
      <c r="R2235" s="39"/>
      <c r="S2235" s="39"/>
      <c r="T2235" s="39"/>
      <c r="U2235" s="39"/>
      <c r="V2235" s="39"/>
    </row>
    <row r="2236" spans="1:27" ht="21" hidden="1" customHeight="1" x14ac:dyDescent="0.35">
      <c r="A2236" s="82" t="str">
        <f>IF($AA2233=0,"",IF(LEN(INDEX(Quotes!$AB$9:$AB$258,$AA2233)&amp;"")=0,"",INDEX(Quotes!$AB$9:$AB$258,$AA2233)))</f>
        <v/>
      </c>
      <c r="B2236" s="39"/>
      <c r="C2236" s="39"/>
      <c r="D2236" s="39"/>
      <c r="E2236" s="39"/>
      <c r="F2236" s="39"/>
      <c r="G2236" s="39"/>
      <c r="I2236" s="82" t="str">
        <f>IF($AA2233=0,"",IF(LEN(INDEX(Quotes!$AD$9:$AD$258,$AA2233)&amp;"")=0,"",INDEX(Quotes!$AD$9:$AD$258,$AA2233)))</f>
        <v/>
      </c>
      <c r="J2236" s="39"/>
      <c r="K2236" s="39"/>
      <c r="L2236" s="39"/>
      <c r="M2236" s="39"/>
      <c r="N2236" s="39"/>
      <c r="O2236" s="39"/>
      <c r="Q2236" s="82" t="str">
        <f>IF($AA2233=0,"",IF(LEN(INDEX(Quotes!$AF$9:$AF$258,$AA2233)&amp;"")=0,"",INDEX(Quotes!$AF$9:$AF$258,$AA2233)))</f>
        <v/>
      </c>
      <c r="R2236" s="39"/>
      <c r="S2236" s="39"/>
      <c r="T2236" s="39"/>
      <c r="U2236" s="39"/>
      <c r="V2236" s="39"/>
    </row>
    <row r="2237" spans="1:27" ht="21" hidden="1" customHeight="1" x14ac:dyDescent="0.35">
      <c r="A2237" s="48" t="str">
        <f>IF($AA2233=0,"","Reference: "&amp;IF(INDEX(Quotes!$M$9:$M$258,$AA2233)="",INDEX(Quotes!$S$9:$S$258,$AA2233),INDEX(Quotes!$M$9:$M$258,$AA2233)))</f>
        <v/>
      </c>
      <c r="B2237" s="39"/>
      <c r="C2237" s="39"/>
      <c r="D2237" s="39"/>
      <c r="E2237" s="39"/>
      <c r="F2237" s="39"/>
      <c r="G2237" s="39"/>
      <c r="H2237" s="39"/>
      <c r="I2237" s="39"/>
      <c r="J2237" s="39"/>
      <c r="K2237" s="39"/>
      <c r="L2237" s="39"/>
      <c r="M2237" s="39"/>
      <c r="N2237" s="39"/>
      <c r="O2237" s="39"/>
      <c r="P2237" s="39"/>
      <c r="Q2237" s="48" t="str">
        <f>IF($AA2233=0,"",INDEX(Quotes!$E$9:$E$258,$AA2233))</f>
        <v/>
      </c>
      <c r="R2237" s="39"/>
      <c r="S2237" s="39"/>
      <c r="T2237" s="39"/>
      <c r="U2237" s="39"/>
      <c r="V2237" s="39"/>
    </row>
    <row r="2238" spans="1:27" ht="21" hidden="1" customHeight="1" x14ac:dyDescent="0.35">
      <c r="A2238" s="81" t="str">
        <f>IF($AA2233=0,"",IF(INDEX(Quotes!$N$9:$N$258,$AA2233)="","No original link","Original quote"))</f>
        <v/>
      </c>
      <c r="B2238" s="39"/>
      <c r="C2238" s="39"/>
      <c r="D2238" s="39"/>
      <c r="E2238" s="39"/>
      <c r="F2238" s="39"/>
      <c r="G2238" s="39"/>
      <c r="I2238" s="81" t="str">
        <f>IF($AA2233=0,"",IF(INDEX(Quotes!$O$9:$O$258,$AA2233)="","No revised link","Revised quote"))</f>
        <v/>
      </c>
      <c r="J2238" s="39"/>
      <c r="K2238" s="39"/>
      <c r="L2238" s="39"/>
      <c r="M2238" s="39"/>
      <c r="N2238" s="39"/>
      <c r="O2238" s="39"/>
      <c r="Q2238" s="81" t="str">
        <f>IF($AA2233=0,"",HYPERLINK("#'Quotes'!A"&amp;($AA2233+8),"Open quote record"))</f>
        <v/>
      </c>
      <c r="R2238" s="39"/>
      <c r="S2238" s="39"/>
      <c r="T2238" s="39"/>
      <c r="U2238" s="39"/>
      <c r="V2238" s="39"/>
    </row>
    <row r="2239" spans="1:27" ht="21" hidden="1" customHeight="1" x14ac:dyDescent="0.35"/>
    <row r="2240" spans="1:27" hidden="1" x14ac:dyDescent="0.35"/>
    <row r="2241" spans="1:27" hidden="1" x14ac:dyDescent="0.35"/>
    <row r="2242" spans="1:27" hidden="1" x14ac:dyDescent="0.35"/>
    <row r="2243" spans="1:27" hidden="1" x14ac:dyDescent="0.35">
      <c r="A2243" s="67" t="s">
        <v>655</v>
      </c>
      <c r="B2243" s="39"/>
      <c r="C2243" s="39"/>
      <c r="D2243" s="39"/>
      <c r="E2243" s="39"/>
      <c r="F2243" s="39"/>
      <c r="G2243" s="39"/>
      <c r="H2243" s="39"/>
      <c r="I2243" s="39"/>
      <c r="J2243" s="39"/>
      <c r="K2243" s="39"/>
      <c r="L2243" s="39"/>
      <c r="M2243" s="39"/>
      <c r="N2243" s="39"/>
      <c r="O2243" s="39"/>
      <c r="P2243" s="39"/>
      <c r="Q2243" s="39"/>
      <c r="R2243" s="39"/>
      <c r="S2243" s="39"/>
      <c r="T2243" s="39"/>
      <c r="U2243" s="39"/>
      <c r="V2243" s="39"/>
    </row>
    <row r="2244" spans="1:27" ht="29" hidden="1" customHeight="1" x14ac:dyDescent="0.35">
      <c r="A2244" s="84" t="str">
        <f>IF($AA2244=0,"",IF(LEN(INDEX(Quotes!$U$9:$U$258,$AA2244)&amp;"")=0,"",INDEX(Quotes!$U$9:$U$258,$AA2244)))</f>
        <v/>
      </c>
      <c r="B2244" s="39"/>
      <c r="C2244" s="39"/>
      <c r="D2244" s="39"/>
      <c r="E2244" s="39"/>
      <c r="F2244" s="39"/>
      <c r="G2244" s="39"/>
      <c r="H2244" s="39"/>
      <c r="I2244" s="39"/>
      <c r="J2244" s="39"/>
      <c r="K2244" s="85" t="str">
        <f>IF($AA2244=0,"",IF(LEN(INDEX(Quotes!$Z$9:$Z$258,$AA2244)&amp;"")=0,"",INDEX(Quotes!$Z$9:$Z$258,$AA2244)))</f>
        <v/>
      </c>
      <c r="L2244" s="39"/>
      <c r="M2244" s="39"/>
      <c r="N2244" s="39"/>
      <c r="O2244" s="39"/>
      <c r="P2244" s="39"/>
      <c r="Q2244" s="39"/>
      <c r="R2244" s="39"/>
      <c r="S2244" s="39"/>
      <c r="T2244" s="39"/>
      <c r="U2244" s="39"/>
      <c r="V2244" s="39"/>
      <c r="AA2244">
        <f>IFERROR(MATCH(233,Quotes!$AK$9:$AK$258,0),0)</f>
        <v>0</v>
      </c>
    </row>
    <row r="2245" spans="1:27" ht="21" hidden="1" customHeight="1" x14ac:dyDescent="0.35">
      <c r="A2245" s="40" t="str">
        <f>IF($AA2244=0,"",IF(LEN(INDEX(Quotes!$V$9:$V$258,$AA2244)&amp;"")=0,"",INDEX(Quotes!$V$9:$V$258,$AA2244)))</f>
        <v/>
      </c>
      <c r="B2245" s="39"/>
      <c r="C2245" s="39"/>
      <c r="D2245" s="39"/>
      <c r="E2245" s="39"/>
      <c r="F2245" s="39"/>
      <c r="G2245" s="39"/>
      <c r="H2245" s="40" t="str">
        <f>IF($AA2244=0,"",IF(LEN(INDEX(Quotes!$W$9:$W$258,$AA2244)&amp;"")=0,"",INDEX(Quotes!$W$9:$W$258,$AA2244)))</f>
        <v/>
      </c>
      <c r="I2245" s="39"/>
      <c r="J2245" s="39"/>
      <c r="K2245" s="39"/>
      <c r="L2245" s="39"/>
      <c r="M2245" s="39"/>
      <c r="N2245" s="39"/>
      <c r="O2245" s="39"/>
      <c r="P2245" s="39"/>
      <c r="Q2245" s="39"/>
      <c r="R2245" s="77" t="str">
        <f>IF($AA2244=0,"",IF(LEN(INDEX(Quotes!$X$9:$X$258,$AA2244)&amp;"")=0,"",INDEX(Quotes!$X$9:$X$258,$AA2244)))</f>
        <v/>
      </c>
      <c r="S2245" s="39"/>
      <c r="T2245" s="39"/>
      <c r="U2245" s="39"/>
      <c r="V2245" s="39"/>
    </row>
    <row r="2246" spans="1:27" ht="21" hidden="1" customHeight="1" x14ac:dyDescent="0.35">
      <c r="A2246" s="83" t="str">
        <f>IF($AA2244=0,"","ORIGINAL EUR")</f>
        <v/>
      </c>
      <c r="B2246" s="39"/>
      <c r="C2246" s="39"/>
      <c r="D2246" s="39"/>
      <c r="E2246" s="39"/>
      <c r="F2246" s="39"/>
      <c r="G2246" s="39"/>
      <c r="I2246" s="83" t="str">
        <f>IF($AA2244=0,"","LATEST EUR")</f>
        <v/>
      </c>
      <c r="J2246" s="39"/>
      <c r="K2246" s="39"/>
      <c r="L2246" s="39"/>
      <c r="M2246" s="39"/>
      <c r="N2246" s="39"/>
      <c r="O2246" s="39"/>
      <c r="Q2246" s="83" t="str">
        <f>IF($AA2244=0,"","SAVED EUR")</f>
        <v/>
      </c>
      <c r="R2246" s="39"/>
      <c r="S2246" s="39"/>
      <c r="T2246" s="39"/>
      <c r="U2246" s="39"/>
      <c r="V2246" s="39"/>
    </row>
    <row r="2247" spans="1:27" ht="21" hidden="1" customHeight="1" x14ac:dyDescent="0.35">
      <c r="A2247" s="82" t="str">
        <f>IF($AA2244=0,"",IF(LEN(INDEX(Quotes!$AB$9:$AB$258,$AA2244)&amp;"")=0,"",INDEX(Quotes!$AB$9:$AB$258,$AA2244)))</f>
        <v/>
      </c>
      <c r="B2247" s="39"/>
      <c r="C2247" s="39"/>
      <c r="D2247" s="39"/>
      <c r="E2247" s="39"/>
      <c r="F2247" s="39"/>
      <c r="G2247" s="39"/>
      <c r="I2247" s="82" t="str">
        <f>IF($AA2244=0,"",IF(LEN(INDEX(Quotes!$AD$9:$AD$258,$AA2244)&amp;"")=0,"",INDEX(Quotes!$AD$9:$AD$258,$AA2244)))</f>
        <v/>
      </c>
      <c r="J2247" s="39"/>
      <c r="K2247" s="39"/>
      <c r="L2247" s="39"/>
      <c r="M2247" s="39"/>
      <c r="N2247" s="39"/>
      <c r="O2247" s="39"/>
      <c r="Q2247" s="82" t="str">
        <f>IF($AA2244=0,"",IF(LEN(INDEX(Quotes!$AF$9:$AF$258,$AA2244)&amp;"")=0,"",INDEX(Quotes!$AF$9:$AF$258,$AA2244)))</f>
        <v/>
      </c>
      <c r="R2247" s="39"/>
      <c r="S2247" s="39"/>
      <c r="T2247" s="39"/>
      <c r="U2247" s="39"/>
      <c r="V2247" s="39"/>
    </row>
    <row r="2248" spans="1:27" ht="21" hidden="1" customHeight="1" x14ac:dyDescent="0.35">
      <c r="A2248" s="48" t="str">
        <f>IF($AA2244=0,"","Reference: "&amp;IF(INDEX(Quotes!$M$9:$M$258,$AA2244)="",INDEX(Quotes!$S$9:$S$258,$AA2244),INDEX(Quotes!$M$9:$M$258,$AA2244)))</f>
        <v/>
      </c>
      <c r="B2248" s="39"/>
      <c r="C2248" s="39"/>
      <c r="D2248" s="39"/>
      <c r="E2248" s="39"/>
      <c r="F2248" s="39"/>
      <c r="G2248" s="39"/>
      <c r="H2248" s="39"/>
      <c r="I2248" s="39"/>
      <c r="J2248" s="39"/>
      <c r="K2248" s="39"/>
      <c r="L2248" s="39"/>
      <c r="M2248" s="39"/>
      <c r="N2248" s="39"/>
      <c r="O2248" s="39"/>
      <c r="P2248" s="39"/>
      <c r="Q2248" s="48" t="str">
        <f>IF($AA2244=0,"",INDEX(Quotes!$E$9:$E$258,$AA2244))</f>
        <v/>
      </c>
      <c r="R2248" s="39"/>
      <c r="S2248" s="39"/>
      <c r="T2248" s="39"/>
      <c r="U2248" s="39"/>
      <c r="V2248" s="39"/>
    </row>
    <row r="2249" spans="1:27" ht="21" hidden="1" customHeight="1" x14ac:dyDescent="0.35">
      <c r="A2249" s="81" t="str">
        <f>IF($AA2244=0,"",IF(INDEX(Quotes!$N$9:$N$258,$AA2244)="","No original link","Original quote"))</f>
        <v/>
      </c>
      <c r="B2249" s="39"/>
      <c r="C2249" s="39"/>
      <c r="D2249" s="39"/>
      <c r="E2249" s="39"/>
      <c r="F2249" s="39"/>
      <c r="G2249" s="39"/>
      <c r="I2249" s="81" t="str">
        <f>IF($AA2244=0,"",IF(INDEX(Quotes!$O$9:$O$258,$AA2244)="","No revised link","Revised quote"))</f>
        <v/>
      </c>
      <c r="J2249" s="39"/>
      <c r="K2249" s="39"/>
      <c r="L2249" s="39"/>
      <c r="M2249" s="39"/>
      <c r="N2249" s="39"/>
      <c r="O2249" s="39"/>
      <c r="Q2249" s="81" t="str">
        <f>IF($AA2244=0,"",HYPERLINK("#'Quotes'!A"&amp;($AA2244+8),"Open quote record"))</f>
        <v/>
      </c>
      <c r="R2249" s="39"/>
      <c r="S2249" s="39"/>
      <c r="T2249" s="39"/>
      <c r="U2249" s="39"/>
      <c r="V2249" s="39"/>
    </row>
    <row r="2250" spans="1:27" ht="21" hidden="1" customHeight="1" x14ac:dyDescent="0.35"/>
    <row r="2251" spans="1:27" hidden="1" x14ac:dyDescent="0.35"/>
    <row r="2252" spans="1:27" hidden="1" x14ac:dyDescent="0.35"/>
    <row r="2253" spans="1:27" ht="29" hidden="1" customHeight="1" x14ac:dyDescent="0.35">
      <c r="A2253" s="84" t="str">
        <f>IF($AA2253=0,"",IF(LEN(INDEX(Quotes!$U$9:$U$258,$AA2253)&amp;"")=0,"",INDEX(Quotes!$U$9:$U$258,$AA2253)))</f>
        <v/>
      </c>
      <c r="B2253" s="39"/>
      <c r="C2253" s="39"/>
      <c r="D2253" s="39"/>
      <c r="E2253" s="39"/>
      <c r="F2253" s="39"/>
      <c r="G2253" s="39"/>
      <c r="H2253" s="39"/>
      <c r="I2253" s="39"/>
      <c r="J2253" s="39"/>
      <c r="K2253" s="85" t="str">
        <f>IF($AA2253=0,"",IF(LEN(INDEX(Quotes!$Z$9:$Z$258,$AA2253)&amp;"")=0,"",INDEX(Quotes!$Z$9:$Z$258,$AA2253)))</f>
        <v/>
      </c>
      <c r="L2253" s="39"/>
      <c r="M2253" s="39"/>
      <c r="N2253" s="39"/>
      <c r="O2253" s="39"/>
      <c r="P2253" s="39"/>
      <c r="Q2253" s="39"/>
      <c r="R2253" s="39"/>
      <c r="S2253" s="39"/>
      <c r="T2253" s="39"/>
      <c r="U2253" s="39"/>
      <c r="V2253" s="39"/>
      <c r="AA2253">
        <f>IFERROR(MATCH(234,Quotes!$AK$9:$AK$258,0),0)</f>
        <v>0</v>
      </c>
    </row>
    <row r="2254" spans="1:27" ht="21" hidden="1" customHeight="1" x14ac:dyDescent="0.35">
      <c r="A2254" s="40" t="str">
        <f>IF($AA2253=0,"",IF(LEN(INDEX(Quotes!$V$9:$V$258,$AA2253)&amp;"")=0,"",INDEX(Quotes!$V$9:$V$258,$AA2253)))</f>
        <v/>
      </c>
      <c r="B2254" s="39"/>
      <c r="C2254" s="39"/>
      <c r="D2254" s="39"/>
      <c r="E2254" s="39"/>
      <c r="F2254" s="39"/>
      <c r="G2254" s="39"/>
      <c r="H2254" s="40" t="str">
        <f>IF($AA2253=0,"",IF(LEN(INDEX(Quotes!$W$9:$W$258,$AA2253)&amp;"")=0,"",INDEX(Quotes!$W$9:$W$258,$AA2253)))</f>
        <v/>
      </c>
      <c r="I2254" s="39"/>
      <c r="J2254" s="39"/>
      <c r="K2254" s="39"/>
      <c r="L2254" s="39"/>
      <c r="M2254" s="39"/>
      <c r="N2254" s="39"/>
      <c r="O2254" s="39"/>
      <c r="P2254" s="39"/>
      <c r="Q2254" s="39"/>
      <c r="R2254" s="77" t="str">
        <f>IF($AA2253=0,"",IF(LEN(INDEX(Quotes!$X$9:$X$258,$AA2253)&amp;"")=0,"",INDEX(Quotes!$X$9:$X$258,$AA2253)))</f>
        <v/>
      </c>
      <c r="S2254" s="39"/>
      <c r="T2254" s="39"/>
      <c r="U2254" s="39"/>
      <c r="V2254" s="39"/>
    </row>
    <row r="2255" spans="1:27" ht="21" hidden="1" customHeight="1" x14ac:dyDescent="0.35">
      <c r="A2255" s="83" t="str">
        <f>IF($AA2253=0,"","ORIGINAL EUR")</f>
        <v/>
      </c>
      <c r="B2255" s="39"/>
      <c r="C2255" s="39"/>
      <c r="D2255" s="39"/>
      <c r="E2255" s="39"/>
      <c r="F2255" s="39"/>
      <c r="G2255" s="39"/>
      <c r="I2255" s="83" t="str">
        <f>IF($AA2253=0,"","LATEST EUR")</f>
        <v/>
      </c>
      <c r="J2255" s="39"/>
      <c r="K2255" s="39"/>
      <c r="L2255" s="39"/>
      <c r="M2255" s="39"/>
      <c r="N2255" s="39"/>
      <c r="O2255" s="39"/>
      <c r="Q2255" s="83" t="str">
        <f>IF($AA2253=0,"","SAVED EUR")</f>
        <v/>
      </c>
      <c r="R2255" s="39"/>
      <c r="S2255" s="39"/>
      <c r="T2255" s="39"/>
      <c r="U2255" s="39"/>
      <c r="V2255" s="39"/>
    </row>
    <row r="2256" spans="1:27" ht="21" hidden="1" customHeight="1" x14ac:dyDescent="0.35">
      <c r="A2256" s="82" t="str">
        <f>IF($AA2253=0,"",IF(LEN(INDEX(Quotes!$AB$9:$AB$258,$AA2253)&amp;"")=0,"",INDEX(Quotes!$AB$9:$AB$258,$AA2253)))</f>
        <v/>
      </c>
      <c r="B2256" s="39"/>
      <c r="C2256" s="39"/>
      <c r="D2256" s="39"/>
      <c r="E2256" s="39"/>
      <c r="F2256" s="39"/>
      <c r="G2256" s="39"/>
      <c r="I2256" s="82" t="str">
        <f>IF($AA2253=0,"",IF(LEN(INDEX(Quotes!$AD$9:$AD$258,$AA2253)&amp;"")=0,"",INDEX(Quotes!$AD$9:$AD$258,$AA2253)))</f>
        <v/>
      </c>
      <c r="J2256" s="39"/>
      <c r="K2256" s="39"/>
      <c r="L2256" s="39"/>
      <c r="M2256" s="39"/>
      <c r="N2256" s="39"/>
      <c r="O2256" s="39"/>
      <c r="Q2256" s="82" t="str">
        <f>IF($AA2253=0,"",IF(LEN(INDEX(Quotes!$AF$9:$AF$258,$AA2253)&amp;"")=0,"",INDEX(Quotes!$AF$9:$AF$258,$AA2253)))</f>
        <v/>
      </c>
      <c r="R2256" s="39"/>
      <c r="S2256" s="39"/>
      <c r="T2256" s="39"/>
      <c r="U2256" s="39"/>
      <c r="V2256" s="39"/>
    </row>
    <row r="2257" spans="1:27" ht="21" hidden="1" customHeight="1" x14ac:dyDescent="0.35">
      <c r="A2257" s="48" t="str">
        <f>IF($AA2253=0,"","Reference: "&amp;IF(INDEX(Quotes!$M$9:$M$258,$AA2253)="",INDEX(Quotes!$S$9:$S$258,$AA2253),INDEX(Quotes!$M$9:$M$258,$AA2253)))</f>
        <v/>
      </c>
      <c r="B2257" s="39"/>
      <c r="C2257" s="39"/>
      <c r="D2257" s="39"/>
      <c r="E2257" s="39"/>
      <c r="F2257" s="39"/>
      <c r="G2257" s="39"/>
      <c r="H2257" s="39"/>
      <c r="I2257" s="39"/>
      <c r="J2257" s="39"/>
      <c r="K2257" s="39"/>
      <c r="L2257" s="39"/>
      <c r="M2257" s="39"/>
      <c r="N2257" s="39"/>
      <c r="O2257" s="39"/>
      <c r="P2257" s="39"/>
      <c r="Q2257" s="48" t="str">
        <f>IF($AA2253=0,"",INDEX(Quotes!$E$9:$E$258,$AA2253))</f>
        <v/>
      </c>
      <c r="R2257" s="39"/>
      <c r="S2257" s="39"/>
      <c r="T2257" s="39"/>
      <c r="U2257" s="39"/>
      <c r="V2257" s="39"/>
    </row>
    <row r="2258" spans="1:27" ht="21" hidden="1" customHeight="1" x14ac:dyDescent="0.35">
      <c r="A2258" s="81" t="str">
        <f>IF($AA2253=0,"",IF(INDEX(Quotes!$N$9:$N$258,$AA2253)="","No original link","Original quote"))</f>
        <v/>
      </c>
      <c r="B2258" s="39"/>
      <c r="C2258" s="39"/>
      <c r="D2258" s="39"/>
      <c r="E2258" s="39"/>
      <c r="F2258" s="39"/>
      <c r="G2258" s="39"/>
      <c r="I2258" s="81" t="str">
        <f>IF($AA2253=0,"",IF(INDEX(Quotes!$O$9:$O$258,$AA2253)="","No revised link","Revised quote"))</f>
        <v/>
      </c>
      <c r="J2258" s="39"/>
      <c r="K2258" s="39"/>
      <c r="L2258" s="39"/>
      <c r="M2258" s="39"/>
      <c r="N2258" s="39"/>
      <c r="O2258" s="39"/>
      <c r="Q2258" s="81" t="str">
        <f>IF($AA2253=0,"",HYPERLINK("#'Quotes'!A"&amp;($AA2253+8),"Open quote record"))</f>
        <v/>
      </c>
      <c r="R2258" s="39"/>
      <c r="S2258" s="39"/>
      <c r="T2258" s="39"/>
      <c r="U2258" s="39"/>
      <c r="V2258" s="39"/>
    </row>
    <row r="2259" spans="1:27" ht="21" hidden="1" customHeight="1" x14ac:dyDescent="0.35"/>
    <row r="2260" spans="1:27" hidden="1" x14ac:dyDescent="0.35"/>
    <row r="2261" spans="1:27" hidden="1" x14ac:dyDescent="0.35"/>
    <row r="2262" spans="1:27" ht="29" hidden="1" customHeight="1" x14ac:dyDescent="0.35">
      <c r="A2262" s="84" t="str">
        <f>IF($AA2262=0,"",IF(LEN(INDEX(Quotes!$U$9:$U$258,$AA2262)&amp;"")=0,"",INDEX(Quotes!$U$9:$U$258,$AA2262)))</f>
        <v/>
      </c>
      <c r="B2262" s="39"/>
      <c r="C2262" s="39"/>
      <c r="D2262" s="39"/>
      <c r="E2262" s="39"/>
      <c r="F2262" s="39"/>
      <c r="G2262" s="39"/>
      <c r="H2262" s="39"/>
      <c r="I2262" s="39"/>
      <c r="J2262" s="39"/>
      <c r="K2262" s="85" t="str">
        <f>IF($AA2262=0,"",IF(LEN(INDEX(Quotes!$Z$9:$Z$258,$AA2262)&amp;"")=0,"",INDEX(Quotes!$Z$9:$Z$258,$AA2262)))</f>
        <v/>
      </c>
      <c r="L2262" s="39"/>
      <c r="M2262" s="39"/>
      <c r="N2262" s="39"/>
      <c r="O2262" s="39"/>
      <c r="P2262" s="39"/>
      <c r="Q2262" s="39"/>
      <c r="R2262" s="39"/>
      <c r="S2262" s="39"/>
      <c r="T2262" s="39"/>
      <c r="U2262" s="39"/>
      <c r="V2262" s="39"/>
      <c r="AA2262">
        <f>IFERROR(MATCH(235,Quotes!$AK$9:$AK$258,0),0)</f>
        <v>0</v>
      </c>
    </row>
    <row r="2263" spans="1:27" ht="21" hidden="1" customHeight="1" x14ac:dyDescent="0.35">
      <c r="A2263" s="40" t="str">
        <f>IF($AA2262=0,"",IF(LEN(INDEX(Quotes!$V$9:$V$258,$AA2262)&amp;"")=0,"",INDEX(Quotes!$V$9:$V$258,$AA2262)))</f>
        <v/>
      </c>
      <c r="B2263" s="39"/>
      <c r="C2263" s="39"/>
      <c r="D2263" s="39"/>
      <c r="E2263" s="39"/>
      <c r="F2263" s="39"/>
      <c r="G2263" s="39"/>
      <c r="H2263" s="40" t="str">
        <f>IF($AA2262=0,"",IF(LEN(INDEX(Quotes!$W$9:$W$258,$AA2262)&amp;"")=0,"",INDEX(Quotes!$W$9:$W$258,$AA2262)))</f>
        <v/>
      </c>
      <c r="I2263" s="39"/>
      <c r="J2263" s="39"/>
      <c r="K2263" s="39"/>
      <c r="L2263" s="39"/>
      <c r="M2263" s="39"/>
      <c r="N2263" s="39"/>
      <c r="O2263" s="39"/>
      <c r="P2263" s="39"/>
      <c r="Q2263" s="39"/>
      <c r="R2263" s="77" t="str">
        <f>IF($AA2262=0,"",IF(LEN(INDEX(Quotes!$X$9:$X$258,$AA2262)&amp;"")=0,"",INDEX(Quotes!$X$9:$X$258,$AA2262)))</f>
        <v/>
      </c>
      <c r="S2263" s="39"/>
      <c r="T2263" s="39"/>
      <c r="U2263" s="39"/>
      <c r="V2263" s="39"/>
    </row>
    <row r="2264" spans="1:27" ht="21" hidden="1" customHeight="1" x14ac:dyDescent="0.35">
      <c r="A2264" s="83" t="str">
        <f>IF($AA2262=0,"","ORIGINAL EUR")</f>
        <v/>
      </c>
      <c r="B2264" s="39"/>
      <c r="C2264" s="39"/>
      <c r="D2264" s="39"/>
      <c r="E2264" s="39"/>
      <c r="F2264" s="39"/>
      <c r="G2264" s="39"/>
      <c r="I2264" s="83" t="str">
        <f>IF($AA2262=0,"","LATEST EUR")</f>
        <v/>
      </c>
      <c r="J2264" s="39"/>
      <c r="K2264" s="39"/>
      <c r="L2264" s="39"/>
      <c r="M2264" s="39"/>
      <c r="N2264" s="39"/>
      <c r="O2264" s="39"/>
      <c r="Q2264" s="83" t="str">
        <f>IF($AA2262=0,"","SAVED EUR")</f>
        <v/>
      </c>
      <c r="R2264" s="39"/>
      <c r="S2264" s="39"/>
      <c r="T2264" s="39"/>
      <c r="U2264" s="39"/>
      <c r="V2264" s="39"/>
    </row>
    <row r="2265" spans="1:27" ht="21" hidden="1" customHeight="1" x14ac:dyDescent="0.35">
      <c r="A2265" s="82" t="str">
        <f>IF($AA2262=0,"",IF(LEN(INDEX(Quotes!$AB$9:$AB$258,$AA2262)&amp;"")=0,"",INDEX(Quotes!$AB$9:$AB$258,$AA2262)))</f>
        <v/>
      </c>
      <c r="B2265" s="39"/>
      <c r="C2265" s="39"/>
      <c r="D2265" s="39"/>
      <c r="E2265" s="39"/>
      <c r="F2265" s="39"/>
      <c r="G2265" s="39"/>
      <c r="I2265" s="82" t="str">
        <f>IF($AA2262=0,"",IF(LEN(INDEX(Quotes!$AD$9:$AD$258,$AA2262)&amp;"")=0,"",INDEX(Quotes!$AD$9:$AD$258,$AA2262)))</f>
        <v/>
      </c>
      <c r="J2265" s="39"/>
      <c r="K2265" s="39"/>
      <c r="L2265" s="39"/>
      <c r="M2265" s="39"/>
      <c r="N2265" s="39"/>
      <c r="O2265" s="39"/>
      <c r="Q2265" s="82" t="str">
        <f>IF($AA2262=0,"",IF(LEN(INDEX(Quotes!$AF$9:$AF$258,$AA2262)&amp;"")=0,"",INDEX(Quotes!$AF$9:$AF$258,$AA2262)))</f>
        <v/>
      </c>
      <c r="R2265" s="39"/>
      <c r="S2265" s="39"/>
      <c r="T2265" s="39"/>
      <c r="U2265" s="39"/>
      <c r="V2265" s="39"/>
    </row>
    <row r="2266" spans="1:27" ht="21" hidden="1" customHeight="1" x14ac:dyDescent="0.35">
      <c r="A2266" s="48" t="str">
        <f>IF($AA2262=0,"","Reference: "&amp;IF(INDEX(Quotes!$M$9:$M$258,$AA2262)="",INDEX(Quotes!$S$9:$S$258,$AA2262),INDEX(Quotes!$M$9:$M$258,$AA2262)))</f>
        <v/>
      </c>
      <c r="B2266" s="39"/>
      <c r="C2266" s="39"/>
      <c r="D2266" s="39"/>
      <c r="E2266" s="39"/>
      <c r="F2266" s="39"/>
      <c r="G2266" s="39"/>
      <c r="H2266" s="39"/>
      <c r="I2266" s="39"/>
      <c r="J2266" s="39"/>
      <c r="K2266" s="39"/>
      <c r="L2266" s="39"/>
      <c r="M2266" s="39"/>
      <c r="N2266" s="39"/>
      <c r="O2266" s="39"/>
      <c r="P2266" s="39"/>
      <c r="Q2266" s="48" t="str">
        <f>IF($AA2262=0,"",INDEX(Quotes!$E$9:$E$258,$AA2262))</f>
        <v/>
      </c>
      <c r="R2266" s="39"/>
      <c r="S2266" s="39"/>
      <c r="T2266" s="39"/>
      <c r="U2266" s="39"/>
      <c r="V2266" s="39"/>
    </row>
    <row r="2267" spans="1:27" ht="21" hidden="1" customHeight="1" x14ac:dyDescent="0.35">
      <c r="A2267" s="81" t="str">
        <f>IF($AA2262=0,"",IF(INDEX(Quotes!$N$9:$N$258,$AA2262)="","No original link","Original quote"))</f>
        <v/>
      </c>
      <c r="B2267" s="39"/>
      <c r="C2267" s="39"/>
      <c r="D2267" s="39"/>
      <c r="E2267" s="39"/>
      <c r="F2267" s="39"/>
      <c r="G2267" s="39"/>
      <c r="I2267" s="81" t="str">
        <f>IF($AA2262=0,"",IF(INDEX(Quotes!$O$9:$O$258,$AA2262)="","No revised link","Revised quote"))</f>
        <v/>
      </c>
      <c r="J2267" s="39"/>
      <c r="K2267" s="39"/>
      <c r="L2267" s="39"/>
      <c r="M2267" s="39"/>
      <c r="N2267" s="39"/>
      <c r="O2267" s="39"/>
      <c r="Q2267" s="81" t="str">
        <f>IF($AA2262=0,"",HYPERLINK("#'Quotes'!A"&amp;($AA2262+8),"Open quote record"))</f>
        <v/>
      </c>
      <c r="R2267" s="39"/>
      <c r="S2267" s="39"/>
      <c r="T2267" s="39"/>
      <c r="U2267" s="39"/>
      <c r="V2267" s="39"/>
    </row>
    <row r="2268" spans="1:27" ht="21" hidden="1" customHeight="1" x14ac:dyDescent="0.35"/>
    <row r="2269" spans="1:27" hidden="1" x14ac:dyDescent="0.35"/>
    <row r="2270" spans="1:27" hidden="1" x14ac:dyDescent="0.35"/>
    <row r="2271" spans="1:27" ht="29" hidden="1" customHeight="1" x14ac:dyDescent="0.35">
      <c r="A2271" s="84" t="str">
        <f>IF($AA2271=0,"",IF(LEN(INDEX(Quotes!$U$9:$U$258,$AA2271)&amp;"")=0,"",INDEX(Quotes!$U$9:$U$258,$AA2271)))</f>
        <v/>
      </c>
      <c r="B2271" s="39"/>
      <c r="C2271" s="39"/>
      <c r="D2271" s="39"/>
      <c r="E2271" s="39"/>
      <c r="F2271" s="39"/>
      <c r="G2271" s="39"/>
      <c r="H2271" s="39"/>
      <c r="I2271" s="39"/>
      <c r="J2271" s="39"/>
      <c r="K2271" s="85" t="str">
        <f>IF($AA2271=0,"",IF(LEN(INDEX(Quotes!$Z$9:$Z$258,$AA2271)&amp;"")=0,"",INDEX(Quotes!$Z$9:$Z$258,$AA2271)))</f>
        <v/>
      </c>
      <c r="L2271" s="39"/>
      <c r="M2271" s="39"/>
      <c r="N2271" s="39"/>
      <c r="O2271" s="39"/>
      <c r="P2271" s="39"/>
      <c r="Q2271" s="39"/>
      <c r="R2271" s="39"/>
      <c r="S2271" s="39"/>
      <c r="T2271" s="39"/>
      <c r="U2271" s="39"/>
      <c r="V2271" s="39"/>
      <c r="AA2271">
        <f>IFERROR(MATCH(236,Quotes!$AK$9:$AK$258,0),0)</f>
        <v>0</v>
      </c>
    </row>
    <row r="2272" spans="1:27" ht="21" hidden="1" customHeight="1" x14ac:dyDescent="0.35">
      <c r="A2272" s="40" t="str">
        <f>IF($AA2271=0,"",IF(LEN(INDEX(Quotes!$V$9:$V$258,$AA2271)&amp;"")=0,"",INDEX(Quotes!$V$9:$V$258,$AA2271)))</f>
        <v/>
      </c>
      <c r="B2272" s="39"/>
      <c r="C2272" s="39"/>
      <c r="D2272" s="39"/>
      <c r="E2272" s="39"/>
      <c r="F2272" s="39"/>
      <c r="G2272" s="39"/>
      <c r="H2272" s="40" t="str">
        <f>IF($AA2271=0,"",IF(LEN(INDEX(Quotes!$W$9:$W$258,$AA2271)&amp;"")=0,"",INDEX(Quotes!$W$9:$W$258,$AA2271)))</f>
        <v/>
      </c>
      <c r="I2272" s="39"/>
      <c r="J2272" s="39"/>
      <c r="K2272" s="39"/>
      <c r="L2272" s="39"/>
      <c r="M2272" s="39"/>
      <c r="N2272" s="39"/>
      <c r="O2272" s="39"/>
      <c r="P2272" s="39"/>
      <c r="Q2272" s="39"/>
      <c r="R2272" s="77" t="str">
        <f>IF($AA2271=0,"",IF(LEN(INDEX(Quotes!$X$9:$X$258,$AA2271)&amp;"")=0,"",INDEX(Quotes!$X$9:$X$258,$AA2271)))</f>
        <v/>
      </c>
      <c r="S2272" s="39"/>
      <c r="T2272" s="39"/>
      <c r="U2272" s="39"/>
      <c r="V2272" s="39"/>
    </row>
    <row r="2273" spans="1:27" ht="21" hidden="1" customHeight="1" x14ac:dyDescent="0.35">
      <c r="A2273" s="83" t="str">
        <f>IF($AA2271=0,"","ORIGINAL EUR")</f>
        <v/>
      </c>
      <c r="B2273" s="39"/>
      <c r="C2273" s="39"/>
      <c r="D2273" s="39"/>
      <c r="E2273" s="39"/>
      <c r="F2273" s="39"/>
      <c r="G2273" s="39"/>
      <c r="I2273" s="83" t="str">
        <f>IF($AA2271=0,"","LATEST EUR")</f>
        <v/>
      </c>
      <c r="J2273" s="39"/>
      <c r="K2273" s="39"/>
      <c r="L2273" s="39"/>
      <c r="M2273" s="39"/>
      <c r="N2273" s="39"/>
      <c r="O2273" s="39"/>
      <c r="Q2273" s="83" t="str">
        <f>IF($AA2271=0,"","SAVED EUR")</f>
        <v/>
      </c>
      <c r="R2273" s="39"/>
      <c r="S2273" s="39"/>
      <c r="T2273" s="39"/>
      <c r="U2273" s="39"/>
      <c r="V2273" s="39"/>
    </row>
    <row r="2274" spans="1:27" ht="21" hidden="1" customHeight="1" x14ac:dyDescent="0.35">
      <c r="A2274" s="82" t="str">
        <f>IF($AA2271=0,"",IF(LEN(INDEX(Quotes!$AB$9:$AB$258,$AA2271)&amp;"")=0,"",INDEX(Quotes!$AB$9:$AB$258,$AA2271)))</f>
        <v/>
      </c>
      <c r="B2274" s="39"/>
      <c r="C2274" s="39"/>
      <c r="D2274" s="39"/>
      <c r="E2274" s="39"/>
      <c r="F2274" s="39"/>
      <c r="G2274" s="39"/>
      <c r="I2274" s="82" t="str">
        <f>IF($AA2271=0,"",IF(LEN(INDEX(Quotes!$AD$9:$AD$258,$AA2271)&amp;"")=0,"",INDEX(Quotes!$AD$9:$AD$258,$AA2271)))</f>
        <v/>
      </c>
      <c r="J2274" s="39"/>
      <c r="K2274" s="39"/>
      <c r="L2274" s="39"/>
      <c r="M2274" s="39"/>
      <c r="N2274" s="39"/>
      <c r="O2274" s="39"/>
      <c r="Q2274" s="82" t="str">
        <f>IF($AA2271=0,"",IF(LEN(INDEX(Quotes!$AF$9:$AF$258,$AA2271)&amp;"")=0,"",INDEX(Quotes!$AF$9:$AF$258,$AA2271)))</f>
        <v/>
      </c>
      <c r="R2274" s="39"/>
      <c r="S2274" s="39"/>
      <c r="T2274" s="39"/>
      <c r="U2274" s="39"/>
      <c r="V2274" s="39"/>
    </row>
    <row r="2275" spans="1:27" ht="21" hidden="1" customHeight="1" x14ac:dyDescent="0.35">
      <c r="A2275" s="48" t="str">
        <f>IF($AA2271=0,"","Reference: "&amp;IF(INDEX(Quotes!$M$9:$M$258,$AA2271)="",INDEX(Quotes!$S$9:$S$258,$AA2271),INDEX(Quotes!$M$9:$M$258,$AA2271)))</f>
        <v/>
      </c>
      <c r="B2275" s="39"/>
      <c r="C2275" s="39"/>
      <c r="D2275" s="39"/>
      <c r="E2275" s="39"/>
      <c r="F2275" s="39"/>
      <c r="G2275" s="39"/>
      <c r="H2275" s="39"/>
      <c r="I2275" s="39"/>
      <c r="J2275" s="39"/>
      <c r="K2275" s="39"/>
      <c r="L2275" s="39"/>
      <c r="M2275" s="39"/>
      <c r="N2275" s="39"/>
      <c r="O2275" s="39"/>
      <c r="P2275" s="39"/>
      <c r="Q2275" s="48" t="str">
        <f>IF($AA2271=0,"",INDEX(Quotes!$E$9:$E$258,$AA2271))</f>
        <v/>
      </c>
      <c r="R2275" s="39"/>
      <c r="S2275" s="39"/>
      <c r="T2275" s="39"/>
      <c r="U2275" s="39"/>
      <c r="V2275" s="39"/>
    </row>
    <row r="2276" spans="1:27" ht="21" hidden="1" customHeight="1" x14ac:dyDescent="0.35">
      <c r="A2276" s="81" t="str">
        <f>IF($AA2271=0,"",IF(INDEX(Quotes!$N$9:$N$258,$AA2271)="","No original link","Original quote"))</f>
        <v/>
      </c>
      <c r="B2276" s="39"/>
      <c r="C2276" s="39"/>
      <c r="D2276" s="39"/>
      <c r="E2276" s="39"/>
      <c r="F2276" s="39"/>
      <c r="G2276" s="39"/>
      <c r="I2276" s="81" t="str">
        <f>IF($AA2271=0,"",IF(INDEX(Quotes!$O$9:$O$258,$AA2271)="","No revised link","Revised quote"))</f>
        <v/>
      </c>
      <c r="J2276" s="39"/>
      <c r="K2276" s="39"/>
      <c r="L2276" s="39"/>
      <c r="M2276" s="39"/>
      <c r="N2276" s="39"/>
      <c r="O2276" s="39"/>
      <c r="Q2276" s="81" t="str">
        <f>IF($AA2271=0,"",HYPERLINK("#'Quotes'!A"&amp;($AA2271+8),"Open quote record"))</f>
        <v/>
      </c>
      <c r="R2276" s="39"/>
      <c r="S2276" s="39"/>
      <c r="T2276" s="39"/>
      <c r="U2276" s="39"/>
      <c r="V2276" s="39"/>
    </row>
    <row r="2277" spans="1:27" ht="21" hidden="1" customHeight="1" x14ac:dyDescent="0.35"/>
    <row r="2278" spans="1:27" hidden="1" x14ac:dyDescent="0.35"/>
    <row r="2279" spans="1:27" hidden="1" x14ac:dyDescent="0.35"/>
    <row r="2280" spans="1:27" hidden="1" x14ac:dyDescent="0.35"/>
    <row r="2281" spans="1:27" hidden="1" x14ac:dyDescent="0.35">
      <c r="A2281" s="67" t="s">
        <v>655</v>
      </c>
      <c r="B2281" s="39"/>
      <c r="C2281" s="39"/>
      <c r="D2281" s="39"/>
      <c r="E2281" s="39"/>
      <c r="F2281" s="39"/>
      <c r="G2281" s="39"/>
      <c r="H2281" s="39"/>
      <c r="I2281" s="39"/>
      <c r="J2281" s="39"/>
      <c r="K2281" s="39"/>
      <c r="L2281" s="39"/>
      <c r="M2281" s="39"/>
      <c r="N2281" s="39"/>
      <c r="O2281" s="39"/>
      <c r="P2281" s="39"/>
      <c r="Q2281" s="39"/>
      <c r="R2281" s="39"/>
      <c r="S2281" s="39"/>
      <c r="T2281" s="39"/>
      <c r="U2281" s="39"/>
      <c r="V2281" s="39"/>
    </row>
    <row r="2282" spans="1:27" ht="29" hidden="1" customHeight="1" x14ac:dyDescent="0.35">
      <c r="A2282" s="84" t="str">
        <f>IF($AA2282=0,"",IF(LEN(INDEX(Quotes!$U$9:$U$258,$AA2282)&amp;"")=0,"",INDEX(Quotes!$U$9:$U$258,$AA2282)))</f>
        <v/>
      </c>
      <c r="B2282" s="39"/>
      <c r="C2282" s="39"/>
      <c r="D2282" s="39"/>
      <c r="E2282" s="39"/>
      <c r="F2282" s="39"/>
      <c r="G2282" s="39"/>
      <c r="H2282" s="39"/>
      <c r="I2282" s="39"/>
      <c r="J2282" s="39"/>
      <c r="K2282" s="85" t="str">
        <f>IF($AA2282=0,"",IF(LEN(INDEX(Quotes!$Z$9:$Z$258,$AA2282)&amp;"")=0,"",INDEX(Quotes!$Z$9:$Z$258,$AA2282)))</f>
        <v/>
      </c>
      <c r="L2282" s="39"/>
      <c r="M2282" s="39"/>
      <c r="N2282" s="39"/>
      <c r="O2282" s="39"/>
      <c r="P2282" s="39"/>
      <c r="Q2282" s="39"/>
      <c r="R2282" s="39"/>
      <c r="S2282" s="39"/>
      <c r="T2282" s="39"/>
      <c r="U2282" s="39"/>
      <c r="V2282" s="39"/>
      <c r="AA2282">
        <f>IFERROR(MATCH(237,Quotes!$AK$9:$AK$258,0),0)</f>
        <v>0</v>
      </c>
    </row>
    <row r="2283" spans="1:27" ht="21" hidden="1" customHeight="1" x14ac:dyDescent="0.35">
      <c r="A2283" s="40" t="str">
        <f>IF($AA2282=0,"",IF(LEN(INDEX(Quotes!$V$9:$V$258,$AA2282)&amp;"")=0,"",INDEX(Quotes!$V$9:$V$258,$AA2282)))</f>
        <v/>
      </c>
      <c r="B2283" s="39"/>
      <c r="C2283" s="39"/>
      <c r="D2283" s="39"/>
      <c r="E2283" s="39"/>
      <c r="F2283" s="39"/>
      <c r="G2283" s="39"/>
      <c r="H2283" s="40" t="str">
        <f>IF($AA2282=0,"",IF(LEN(INDEX(Quotes!$W$9:$W$258,$AA2282)&amp;"")=0,"",INDEX(Quotes!$W$9:$W$258,$AA2282)))</f>
        <v/>
      </c>
      <c r="I2283" s="39"/>
      <c r="J2283" s="39"/>
      <c r="K2283" s="39"/>
      <c r="L2283" s="39"/>
      <c r="M2283" s="39"/>
      <c r="N2283" s="39"/>
      <c r="O2283" s="39"/>
      <c r="P2283" s="39"/>
      <c r="Q2283" s="39"/>
      <c r="R2283" s="77" t="str">
        <f>IF($AA2282=0,"",IF(LEN(INDEX(Quotes!$X$9:$X$258,$AA2282)&amp;"")=0,"",INDEX(Quotes!$X$9:$X$258,$AA2282)))</f>
        <v/>
      </c>
      <c r="S2283" s="39"/>
      <c r="T2283" s="39"/>
      <c r="U2283" s="39"/>
      <c r="V2283" s="39"/>
    </row>
    <row r="2284" spans="1:27" ht="21" hidden="1" customHeight="1" x14ac:dyDescent="0.35">
      <c r="A2284" s="83" t="str">
        <f>IF($AA2282=0,"","ORIGINAL EUR")</f>
        <v/>
      </c>
      <c r="B2284" s="39"/>
      <c r="C2284" s="39"/>
      <c r="D2284" s="39"/>
      <c r="E2284" s="39"/>
      <c r="F2284" s="39"/>
      <c r="G2284" s="39"/>
      <c r="I2284" s="83" t="str">
        <f>IF($AA2282=0,"","LATEST EUR")</f>
        <v/>
      </c>
      <c r="J2284" s="39"/>
      <c r="K2284" s="39"/>
      <c r="L2284" s="39"/>
      <c r="M2284" s="39"/>
      <c r="N2284" s="39"/>
      <c r="O2284" s="39"/>
      <c r="Q2284" s="83" t="str">
        <f>IF($AA2282=0,"","SAVED EUR")</f>
        <v/>
      </c>
      <c r="R2284" s="39"/>
      <c r="S2284" s="39"/>
      <c r="T2284" s="39"/>
      <c r="U2284" s="39"/>
      <c r="V2284" s="39"/>
    </row>
    <row r="2285" spans="1:27" ht="21" hidden="1" customHeight="1" x14ac:dyDescent="0.35">
      <c r="A2285" s="82" t="str">
        <f>IF($AA2282=0,"",IF(LEN(INDEX(Quotes!$AB$9:$AB$258,$AA2282)&amp;"")=0,"",INDEX(Quotes!$AB$9:$AB$258,$AA2282)))</f>
        <v/>
      </c>
      <c r="B2285" s="39"/>
      <c r="C2285" s="39"/>
      <c r="D2285" s="39"/>
      <c r="E2285" s="39"/>
      <c r="F2285" s="39"/>
      <c r="G2285" s="39"/>
      <c r="I2285" s="82" t="str">
        <f>IF($AA2282=0,"",IF(LEN(INDEX(Quotes!$AD$9:$AD$258,$AA2282)&amp;"")=0,"",INDEX(Quotes!$AD$9:$AD$258,$AA2282)))</f>
        <v/>
      </c>
      <c r="J2285" s="39"/>
      <c r="K2285" s="39"/>
      <c r="L2285" s="39"/>
      <c r="M2285" s="39"/>
      <c r="N2285" s="39"/>
      <c r="O2285" s="39"/>
      <c r="Q2285" s="82" t="str">
        <f>IF($AA2282=0,"",IF(LEN(INDEX(Quotes!$AF$9:$AF$258,$AA2282)&amp;"")=0,"",INDEX(Quotes!$AF$9:$AF$258,$AA2282)))</f>
        <v/>
      </c>
      <c r="R2285" s="39"/>
      <c r="S2285" s="39"/>
      <c r="T2285" s="39"/>
      <c r="U2285" s="39"/>
      <c r="V2285" s="39"/>
    </row>
    <row r="2286" spans="1:27" ht="21" hidden="1" customHeight="1" x14ac:dyDescent="0.35">
      <c r="A2286" s="48" t="str">
        <f>IF($AA2282=0,"","Reference: "&amp;IF(INDEX(Quotes!$M$9:$M$258,$AA2282)="",INDEX(Quotes!$S$9:$S$258,$AA2282),INDEX(Quotes!$M$9:$M$258,$AA2282)))</f>
        <v/>
      </c>
      <c r="B2286" s="39"/>
      <c r="C2286" s="39"/>
      <c r="D2286" s="39"/>
      <c r="E2286" s="39"/>
      <c r="F2286" s="39"/>
      <c r="G2286" s="39"/>
      <c r="H2286" s="39"/>
      <c r="I2286" s="39"/>
      <c r="J2286" s="39"/>
      <c r="K2286" s="39"/>
      <c r="L2286" s="39"/>
      <c r="M2286" s="39"/>
      <c r="N2286" s="39"/>
      <c r="O2286" s="39"/>
      <c r="P2286" s="39"/>
      <c r="Q2286" s="48" t="str">
        <f>IF($AA2282=0,"",INDEX(Quotes!$E$9:$E$258,$AA2282))</f>
        <v/>
      </c>
      <c r="R2286" s="39"/>
      <c r="S2286" s="39"/>
      <c r="T2286" s="39"/>
      <c r="U2286" s="39"/>
      <c r="V2286" s="39"/>
    </row>
    <row r="2287" spans="1:27" ht="21" hidden="1" customHeight="1" x14ac:dyDescent="0.35">
      <c r="A2287" s="81" t="str">
        <f>IF($AA2282=0,"",IF(INDEX(Quotes!$N$9:$N$258,$AA2282)="","No original link","Original quote"))</f>
        <v/>
      </c>
      <c r="B2287" s="39"/>
      <c r="C2287" s="39"/>
      <c r="D2287" s="39"/>
      <c r="E2287" s="39"/>
      <c r="F2287" s="39"/>
      <c r="G2287" s="39"/>
      <c r="I2287" s="81" t="str">
        <f>IF($AA2282=0,"",IF(INDEX(Quotes!$O$9:$O$258,$AA2282)="","No revised link","Revised quote"))</f>
        <v/>
      </c>
      <c r="J2287" s="39"/>
      <c r="K2287" s="39"/>
      <c r="L2287" s="39"/>
      <c r="M2287" s="39"/>
      <c r="N2287" s="39"/>
      <c r="O2287" s="39"/>
      <c r="Q2287" s="81" t="str">
        <f>IF($AA2282=0,"",HYPERLINK("#'Quotes'!A"&amp;($AA2282+8),"Open quote record"))</f>
        <v/>
      </c>
      <c r="R2287" s="39"/>
      <c r="S2287" s="39"/>
      <c r="T2287" s="39"/>
      <c r="U2287" s="39"/>
      <c r="V2287" s="39"/>
    </row>
    <row r="2288" spans="1:27" ht="21" hidden="1" customHeight="1" x14ac:dyDescent="0.35"/>
    <row r="2289" spans="1:27" hidden="1" x14ac:dyDescent="0.35"/>
    <row r="2290" spans="1:27" hidden="1" x14ac:dyDescent="0.35"/>
    <row r="2291" spans="1:27" ht="29" hidden="1" customHeight="1" x14ac:dyDescent="0.35">
      <c r="A2291" s="84" t="str">
        <f>IF($AA2291=0,"",IF(LEN(INDEX(Quotes!$U$9:$U$258,$AA2291)&amp;"")=0,"",INDEX(Quotes!$U$9:$U$258,$AA2291)))</f>
        <v/>
      </c>
      <c r="B2291" s="39"/>
      <c r="C2291" s="39"/>
      <c r="D2291" s="39"/>
      <c r="E2291" s="39"/>
      <c r="F2291" s="39"/>
      <c r="G2291" s="39"/>
      <c r="H2291" s="39"/>
      <c r="I2291" s="39"/>
      <c r="J2291" s="39"/>
      <c r="K2291" s="85" t="str">
        <f>IF($AA2291=0,"",IF(LEN(INDEX(Quotes!$Z$9:$Z$258,$AA2291)&amp;"")=0,"",INDEX(Quotes!$Z$9:$Z$258,$AA2291)))</f>
        <v/>
      </c>
      <c r="L2291" s="39"/>
      <c r="M2291" s="39"/>
      <c r="N2291" s="39"/>
      <c r="O2291" s="39"/>
      <c r="P2291" s="39"/>
      <c r="Q2291" s="39"/>
      <c r="R2291" s="39"/>
      <c r="S2291" s="39"/>
      <c r="T2291" s="39"/>
      <c r="U2291" s="39"/>
      <c r="V2291" s="39"/>
      <c r="AA2291">
        <f>IFERROR(MATCH(238,Quotes!$AK$9:$AK$258,0),0)</f>
        <v>0</v>
      </c>
    </row>
    <row r="2292" spans="1:27" ht="21" hidden="1" customHeight="1" x14ac:dyDescent="0.35">
      <c r="A2292" s="40" t="str">
        <f>IF($AA2291=0,"",IF(LEN(INDEX(Quotes!$V$9:$V$258,$AA2291)&amp;"")=0,"",INDEX(Quotes!$V$9:$V$258,$AA2291)))</f>
        <v/>
      </c>
      <c r="B2292" s="39"/>
      <c r="C2292" s="39"/>
      <c r="D2292" s="39"/>
      <c r="E2292" s="39"/>
      <c r="F2292" s="39"/>
      <c r="G2292" s="39"/>
      <c r="H2292" s="40" t="str">
        <f>IF($AA2291=0,"",IF(LEN(INDEX(Quotes!$W$9:$W$258,$AA2291)&amp;"")=0,"",INDEX(Quotes!$W$9:$W$258,$AA2291)))</f>
        <v/>
      </c>
      <c r="I2292" s="39"/>
      <c r="J2292" s="39"/>
      <c r="K2292" s="39"/>
      <c r="L2292" s="39"/>
      <c r="M2292" s="39"/>
      <c r="N2292" s="39"/>
      <c r="O2292" s="39"/>
      <c r="P2292" s="39"/>
      <c r="Q2292" s="39"/>
      <c r="R2292" s="77" t="str">
        <f>IF($AA2291=0,"",IF(LEN(INDEX(Quotes!$X$9:$X$258,$AA2291)&amp;"")=0,"",INDEX(Quotes!$X$9:$X$258,$AA2291)))</f>
        <v/>
      </c>
      <c r="S2292" s="39"/>
      <c r="T2292" s="39"/>
      <c r="U2292" s="39"/>
      <c r="V2292" s="39"/>
    </row>
    <row r="2293" spans="1:27" ht="21" hidden="1" customHeight="1" x14ac:dyDescent="0.35">
      <c r="A2293" s="83" t="str">
        <f>IF($AA2291=0,"","ORIGINAL EUR")</f>
        <v/>
      </c>
      <c r="B2293" s="39"/>
      <c r="C2293" s="39"/>
      <c r="D2293" s="39"/>
      <c r="E2293" s="39"/>
      <c r="F2293" s="39"/>
      <c r="G2293" s="39"/>
      <c r="I2293" s="83" t="str">
        <f>IF($AA2291=0,"","LATEST EUR")</f>
        <v/>
      </c>
      <c r="J2293" s="39"/>
      <c r="K2293" s="39"/>
      <c r="L2293" s="39"/>
      <c r="M2293" s="39"/>
      <c r="N2293" s="39"/>
      <c r="O2293" s="39"/>
      <c r="Q2293" s="83" t="str">
        <f>IF($AA2291=0,"","SAVED EUR")</f>
        <v/>
      </c>
      <c r="R2293" s="39"/>
      <c r="S2293" s="39"/>
      <c r="T2293" s="39"/>
      <c r="U2293" s="39"/>
      <c r="V2293" s="39"/>
    </row>
    <row r="2294" spans="1:27" ht="21" hidden="1" customHeight="1" x14ac:dyDescent="0.35">
      <c r="A2294" s="82" t="str">
        <f>IF($AA2291=0,"",IF(LEN(INDEX(Quotes!$AB$9:$AB$258,$AA2291)&amp;"")=0,"",INDEX(Quotes!$AB$9:$AB$258,$AA2291)))</f>
        <v/>
      </c>
      <c r="B2294" s="39"/>
      <c r="C2294" s="39"/>
      <c r="D2294" s="39"/>
      <c r="E2294" s="39"/>
      <c r="F2294" s="39"/>
      <c r="G2294" s="39"/>
      <c r="I2294" s="82" t="str">
        <f>IF($AA2291=0,"",IF(LEN(INDEX(Quotes!$AD$9:$AD$258,$AA2291)&amp;"")=0,"",INDEX(Quotes!$AD$9:$AD$258,$AA2291)))</f>
        <v/>
      </c>
      <c r="J2294" s="39"/>
      <c r="K2294" s="39"/>
      <c r="L2294" s="39"/>
      <c r="M2294" s="39"/>
      <c r="N2294" s="39"/>
      <c r="O2294" s="39"/>
      <c r="Q2294" s="82" t="str">
        <f>IF($AA2291=0,"",IF(LEN(INDEX(Quotes!$AF$9:$AF$258,$AA2291)&amp;"")=0,"",INDEX(Quotes!$AF$9:$AF$258,$AA2291)))</f>
        <v/>
      </c>
      <c r="R2294" s="39"/>
      <c r="S2294" s="39"/>
      <c r="T2294" s="39"/>
      <c r="U2294" s="39"/>
      <c r="V2294" s="39"/>
    </row>
    <row r="2295" spans="1:27" ht="21" hidden="1" customHeight="1" x14ac:dyDescent="0.35">
      <c r="A2295" s="48" t="str">
        <f>IF($AA2291=0,"","Reference: "&amp;IF(INDEX(Quotes!$M$9:$M$258,$AA2291)="",INDEX(Quotes!$S$9:$S$258,$AA2291),INDEX(Quotes!$M$9:$M$258,$AA2291)))</f>
        <v/>
      </c>
      <c r="B2295" s="39"/>
      <c r="C2295" s="39"/>
      <c r="D2295" s="39"/>
      <c r="E2295" s="39"/>
      <c r="F2295" s="39"/>
      <c r="G2295" s="39"/>
      <c r="H2295" s="39"/>
      <c r="I2295" s="39"/>
      <c r="J2295" s="39"/>
      <c r="K2295" s="39"/>
      <c r="L2295" s="39"/>
      <c r="M2295" s="39"/>
      <c r="N2295" s="39"/>
      <c r="O2295" s="39"/>
      <c r="P2295" s="39"/>
      <c r="Q2295" s="48" t="str">
        <f>IF($AA2291=0,"",INDEX(Quotes!$E$9:$E$258,$AA2291))</f>
        <v/>
      </c>
      <c r="R2295" s="39"/>
      <c r="S2295" s="39"/>
      <c r="T2295" s="39"/>
      <c r="U2295" s="39"/>
      <c r="V2295" s="39"/>
    </row>
    <row r="2296" spans="1:27" ht="21" hidden="1" customHeight="1" x14ac:dyDescent="0.35">
      <c r="A2296" s="81" t="str">
        <f>IF($AA2291=0,"",IF(INDEX(Quotes!$N$9:$N$258,$AA2291)="","No original link","Original quote"))</f>
        <v/>
      </c>
      <c r="B2296" s="39"/>
      <c r="C2296" s="39"/>
      <c r="D2296" s="39"/>
      <c r="E2296" s="39"/>
      <c r="F2296" s="39"/>
      <c r="G2296" s="39"/>
      <c r="I2296" s="81" t="str">
        <f>IF($AA2291=0,"",IF(INDEX(Quotes!$O$9:$O$258,$AA2291)="","No revised link","Revised quote"))</f>
        <v/>
      </c>
      <c r="J2296" s="39"/>
      <c r="K2296" s="39"/>
      <c r="L2296" s="39"/>
      <c r="M2296" s="39"/>
      <c r="N2296" s="39"/>
      <c r="O2296" s="39"/>
      <c r="Q2296" s="81" t="str">
        <f>IF($AA2291=0,"",HYPERLINK("#'Quotes'!A"&amp;($AA2291+8),"Open quote record"))</f>
        <v/>
      </c>
      <c r="R2296" s="39"/>
      <c r="S2296" s="39"/>
      <c r="T2296" s="39"/>
      <c r="U2296" s="39"/>
      <c r="V2296" s="39"/>
    </row>
    <row r="2297" spans="1:27" ht="21" hidden="1" customHeight="1" x14ac:dyDescent="0.35"/>
    <row r="2298" spans="1:27" hidden="1" x14ac:dyDescent="0.35"/>
    <row r="2299" spans="1:27" hidden="1" x14ac:dyDescent="0.35"/>
    <row r="2300" spans="1:27" ht="29" hidden="1" customHeight="1" x14ac:dyDescent="0.35">
      <c r="A2300" s="84" t="str">
        <f>IF($AA2300=0,"",IF(LEN(INDEX(Quotes!$U$9:$U$258,$AA2300)&amp;"")=0,"",INDEX(Quotes!$U$9:$U$258,$AA2300)))</f>
        <v/>
      </c>
      <c r="B2300" s="39"/>
      <c r="C2300" s="39"/>
      <c r="D2300" s="39"/>
      <c r="E2300" s="39"/>
      <c r="F2300" s="39"/>
      <c r="G2300" s="39"/>
      <c r="H2300" s="39"/>
      <c r="I2300" s="39"/>
      <c r="J2300" s="39"/>
      <c r="K2300" s="85" t="str">
        <f>IF($AA2300=0,"",IF(LEN(INDEX(Quotes!$Z$9:$Z$258,$AA2300)&amp;"")=0,"",INDEX(Quotes!$Z$9:$Z$258,$AA2300)))</f>
        <v/>
      </c>
      <c r="L2300" s="39"/>
      <c r="M2300" s="39"/>
      <c r="N2300" s="39"/>
      <c r="O2300" s="39"/>
      <c r="P2300" s="39"/>
      <c r="Q2300" s="39"/>
      <c r="R2300" s="39"/>
      <c r="S2300" s="39"/>
      <c r="T2300" s="39"/>
      <c r="U2300" s="39"/>
      <c r="V2300" s="39"/>
      <c r="AA2300">
        <f>IFERROR(MATCH(239,Quotes!$AK$9:$AK$258,0),0)</f>
        <v>0</v>
      </c>
    </row>
    <row r="2301" spans="1:27" ht="21" hidden="1" customHeight="1" x14ac:dyDescent="0.35">
      <c r="A2301" s="40" t="str">
        <f>IF($AA2300=0,"",IF(LEN(INDEX(Quotes!$V$9:$V$258,$AA2300)&amp;"")=0,"",INDEX(Quotes!$V$9:$V$258,$AA2300)))</f>
        <v/>
      </c>
      <c r="B2301" s="39"/>
      <c r="C2301" s="39"/>
      <c r="D2301" s="39"/>
      <c r="E2301" s="39"/>
      <c r="F2301" s="39"/>
      <c r="G2301" s="39"/>
      <c r="H2301" s="40" t="str">
        <f>IF($AA2300=0,"",IF(LEN(INDEX(Quotes!$W$9:$W$258,$AA2300)&amp;"")=0,"",INDEX(Quotes!$W$9:$W$258,$AA2300)))</f>
        <v/>
      </c>
      <c r="I2301" s="39"/>
      <c r="J2301" s="39"/>
      <c r="K2301" s="39"/>
      <c r="L2301" s="39"/>
      <c r="M2301" s="39"/>
      <c r="N2301" s="39"/>
      <c r="O2301" s="39"/>
      <c r="P2301" s="39"/>
      <c r="Q2301" s="39"/>
      <c r="R2301" s="77" t="str">
        <f>IF($AA2300=0,"",IF(LEN(INDEX(Quotes!$X$9:$X$258,$AA2300)&amp;"")=0,"",INDEX(Quotes!$X$9:$X$258,$AA2300)))</f>
        <v/>
      </c>
      <c r="S2301" s="39"/>
      <c r="T2301" s="39"/>
      <c r="U2301" s="39"/>
      <c r="V2301" s="39"/>
    </row>
    <row r="2302" spans="1:27" ht="21" hidden="1" customHeight="1" x14ac:dyDescent="0.35">
      <c r="A2302" s="83" t="str">
        <f>IF($AA2300=0,"","ORIGINAL EUR")</f>
        <v/>
      </c>
      <c r="B2302" s="39"/>
      <c r="C2302" s="39"/>
      <c r="D2302" s="39"/>
      <c r="E2302" s="39"/>
      <c r="F2302" s="39"/>
      <c r="G2302" s="39"/>
      <c r="I2302" s="83" t="str">
        <f>IF($AA2300=0,"","LATEST EUR")</f>
        <v/>
      </c>
      <c r="J2302" s="39"/>
      <c r="K2302" s="39"/>
      <c r="L2302" s="39"/>
      <c r="M2302" s="39"/>
      <c r="N2302" s="39"/>
      <c r="O2302" s="39"/>
      <c r="Q2302" s="83" t="str">
        <f>IF($AA2300=0,"","SAVED EUR")</f>
        <v/>
      </c>
      <c r="R2302" s="39"/>
      <c r="S2302" s="39"/>
      <c r="T2302" s="39"/>
      <c r="U2302" s="39"/>
      <c r="V2302" s="39"/>
    </row>
    <row r="2303" spans="1:27" ht="21" hidden="1" customHeight="1" x14ac:dyDescent="0.35">
      <c r="A2303" s="82" t="str">
        <f>IF($AA2300=0,"",IF(LEN(INDEX(Quotes!$AB$9:$AB$258,$AA2300)&amp;"")=0,"",INDEX(Quotes!$AB$9:$AB$258,$AA2300)))</f>
        <v/>
      </c>
      <c r="B2303" s="39"/>
      <c r="C2303" s="39"/>
      <c r="D2303" s="39"/>
      <c r="E2303" s="39"/>
      <c r="F2303" s="39"/>
      <c r="G2303" s="39"/>
      <c r="I2303" s="82" t="str">
        <f>IF($AA2300=0,"",IF(LEN(INDEX(Quotes!$AD$9:$AD$258,$AA2300)&amp;"")=0,"",INDEX(Quotes!$AD$9:$AD$258,$AA2300)))</f>
        <v/>
      </c>
      <c r="J2303" s="39"/>
      <c r="K2303" s="39"/>
      <c r="L2303" s="39"/>
      <c r="M2303" s="39"/>
      <c r="N2303" s="39"/>
      <c r="O2303" s="39"/>
      <c r="Q2303" s="82" t="str">
        <f>IF($AA2300=0,"",IF(LEN(INDEX(Quotes!$AF$9:$AF$258,$AA2300)&amp;"")=0,"",INDEX(Quotes!$AF$9:$AF$258,$AA2300)))</f>
        <v/>
      </c>
      <c r="R2303" s="39"/>
      <c r="S2303" s="39"/>
      <c r="T2303" s="39"/>
      <c r="U2303" s="39"/>
      <c r="V2303" s="39"/>
    </row>
    <row r="2304" spans="1:27" ht="21" hidden="1" customHeight="1" x14ac:dyDescent="0.35">
      <c r="A2304" s="48" t="str">
        <f>IF($AA2300=0,"","Reference: "&amp;IF(INDEX(Quotes!$M$9:$M$258,$AA2300)="",INDEX(Quotes!$S$9:$S$258,$AA2300),INDEX(Quotes!$M$9:$M$258,$AA2300)))</f>
        <v/>
      </c>
      <c r="B2304" s="39"/>
      <c r="C2304" s="39"/>
      <c r="D2304" s="39"/>
      <c r="E2304" s="39"/>
      <c r="F2304" s="39"/>
      <c r="G2304" s="39"/>
      <c r="H2304" s="39"/>
      <c r="I2304" s="39"/>
      <c r="J2304" s="39"/>
      <c r="K2304" s="39"/>
      <c r="L2304" s="39"/>
      <c r="M2304" s="39"/>
      <c r="N2304" s="39"/>
      <c r="O2304" s="39"/>
      <c r="P2304" s="39"/>
      <c r="Q2304" s="48" t="str">
        <f>IF($AA2300=0,"",INDEX(Quotes!$E$9:$E$258,$AA2300))</f>
        <v/>
      </c>
      <c r="R2304" s="39"/>
      <c r="S2304" s="39"/>
      <c r="T2304" s="39"/>
      <c r="U2304" s="39"/>
      <c r="V2304" s="39"/>
    </row>
    <row r="2305" spans="1:27" ht="21" hidden="1" customHeight="1" x14ac:dyDescent="0.35">
      <c r="A2305" s="81" t="str">
        <f>IF($AA2300=0,"",IF(INDEX(Quotes!$N$9:$N$258,$AA2300)="","No original link","Original quote"))</f>
        <v/>
      </c>
      <c r="B2305" s="39"/>
      <c r="C2305" s="39"/>
      <c r="D2305" s="39"/>
      <c r="E2305" s="39"/>
      <c r="F2305" s="39"/>
      <c r="G2305" s="39"/>
      <c r="I2305" s="81" t="str">
        <f>IF($AA2300=0,"",IF(INDEX(Quotes!$O$9:$O$258,$AA2300)="","No revised link","Revised quote"))</f>
        <v/>
      </c>
      <c r="J2305" s="39"/>
      <c r="K2305" s="39"/>
      <c r="L2305" s="39"/>
      <c r="M2305" s="39"/>
      <c r="N2305" s="39"/>
      <c r="O2305" s="39"/>
      <c r="Q2305" s="81" t="str">
        <f>IF($AA2300=0,"",HYPERLINK("#'Quotes'!A"&amp;($AA2300+8),"Open quote record"))</f>
        <v/>
      </c>
      <c r="R2305" s="39"/>
      <c r="S2305" s="39"/>
      <c r="T2305" s="39"/>
      <c r="U2305" s="39"/>
      <c r="V2305" s="39"/>
    </row>
    <row r="2306" spans="1:27" ht="21" hidden="1" customHeight="1" x14ac:dyDescent="0.35"/>
    <row r="2307" spans="1:27" hidden="1" x14ac:dyDescent="0.35"/>
    <row r="2308" spans="1:27" hidden="1" x14ac:dyDescent="0.35"/>
    <row r="2309" spans="1:27" ht="29" hidden="1" customHeight="1" x14ac:dyDescent="0.35">
      <c r="A2309" s="84" t="str">
        <f>IF($AA2309=0,"",IF(LEN(INDEX(Quotes!$U$9:$U$258,$AA2309)&amp;"")=0,"",INDEX(Quotes!$U$9:$U$258,$AA2309)))</f>
        <v/>
      </c>
      <c r="B2309" s="39"/>
      <c r="C2309" s="39"/>
      <c r="D2309" s="39"/>
      <c r="E2309" s="39"/>
      <c r="F2309" s="39"/>
      <c r="G2309" s="39"/>
      <c r="H2309" s="39"/>
      <c r="I2309" s="39"/>
      <c r="J2309" s="39"/>
      <c r="K2309" s="85" t="str">
        <f>IF($AA2309=0,"",IF(LEN(INDEX(Quotes!$Z$9:$Z$258,$AA2309)&amp;"")=0,"",INDEX(Quotes!$Z$9:$Z$258,$AA2309)))</f>
        <v/>
      </c>
      <c r="L2309" s="39"/>
      <c r="M2309" s="39"/>
      <c r="N2309" s="39"/>
      <c r="O2309" s="39"/>
      <c r="P2309" s="39"/>
      <c r="Q2309" s="39"/>
      <c r="R2309" s="39"/>
      <c r="S2309" s="39"/>
      <c r="T2309" s="39"/>
      <c r="U2309" s="39"/>
      <c r="V2309" s="39"/>
      <c r="AA2309">
        <f>IFERROR(MATCH(240,Quotes!$AK$9:$AK$258,0),0)</f>
        <v>0</v>
      </c>
    </row>
    <row r="2310" spans="1:27" ht="21" hidden="1" customHeight="1" x14ac:dyDescent="0.35">
      <c r="A2310" s="40" t="str">
        <f>IF($AA2309=0,"",IF(LEN(INDEX(Quotes!$V$9:$V$258,$AA2309)&amp;"")=0,"",INDEX(Quotes!$V$9:$V$258,$AA2309)))</f>
        <v/>
      </c>
      <c r="B2310" s="39"/>
      <c r="C2310" s="39"/>
      <c r="D2310" s="39"/>
      <c r="E2310" s="39"/>
      <c r="F2310" s="39"/>
      <c r="G2310" s="39"/>
      <c r="H2310" s="40" t="str">
        <f>IF($AA2309=0,"",IF(LEN(INDEX(Quotes!$W$9:$W$258,$AA2309)&amp;"")=0,"",INDEX(Quotes!$W$9:$W$258,$AA2309)))</f>
        <v/>
      </c>
      <c r="I2310" s="39"/>
      <c r="J2310" s="39"/>
      <c r="K2310" s="39"/>
      <c r="L2310" s="39"/>
      <c r="M2310" s="39"/>
      <c r="N2310" s="39"/>
      <c r="O2310" s="39"/>
      <c r="P2310" s="39"/>
      <c r="Q2310" s="39"/>
      <c r="R2310" s="77" t="str">
        <f>IF($AA2309=0,"",IF(LEN(INDEX(Quotes!$X$9:$X$258,$AA2309)&amp;"")=0,"",INDEX(Quotes!$X$9:$X$258,$AA2309)))</f>
        <v/>
      </c>
      <c r="S2310" s="39"/>
      <c r="T2310" s="39"/>
      <c r="U2310" s="39"/>
      <c r="V2310" s="39"/>
    </row>
    <row r="2311" spans="1:27" ht="21" hidden="1" customHeight="1" x14ac:dyDescent="0.35">
      <c r="A2311" s="83" t="str">
        <f>IF($AA2309=0,"","ORIGINAL EUR")</f>
        <v/>
      </c>
      <c r="B2311" s="39"/>
      <c r="C2311" s="39"/>
      <c r="D2311" s="39"/>
      <c r="E2311" s="39"/>
      <c r="F2311" s="39"/>
      <c r="G2311" s="39"/>
      <c r="I2311" s="83" t="str">
        <f>IF($AA2309=0,"","LATEST EUR")</f>
        <v/>
      </c>
      <c r="J2311" s="39"/>
      <c r="K2311" s="39"/>
      <c r="L2311" s="39"/>
      <c r="M2311" s="39"/>
      <c r="N2311" s="39"/>
      <c r="O2311" s="39"/>
      <c r="Q2311" s="83" t="str">
        <f>IF($AA2309=0,"","SAVED EUR")</f>
        <v/>
      </c>
      <c r="R2311" s="39"/>
      <c r="S2311" s="39"/>
      <c r="T2311" s="39"/>
      <c r="U2311" s="39"/>
      <c r="V2311" s="39"/>
    </row>
    <row r="2312" spans="1:27" ht="21" hidden="1" customHeight="1" x14ac:dyDescent="0.35">
      <c r="A2312" s="82" t="str">
        <f>IF($AA2309=0,"",IF(LEN(INDEX(Quotes!$AB$9:$AB$258,$AA2309)&amp;"")=0,"",INDEX(Quotes!$AB$9:$AB$258,$AA2309)))</f>
        <v/>
      </c>
      <c r="B2312" s="39"/>
      <c r="C2312" s="39"/>
      <c r="D2312" s="39"/>
      <c r="E2312" s="39"/>
      <c r="F2312" s="39"/>
      <c r="G2312" s="39"/>
      <c r="I2312" s="82" t="str">
        <f>IF($AA2309=0,"",IF(LEN(INDEX(Quotes!$AD$9:$AD$258,$AA2309)&amp;"")=0,"",INDEX(Quotes!$AD$9:$AD$258,$AA2309)))</f>
        <v/>
      </c>
      <c r="J2312" s="39"/>
      <c r="K2312" s="39"/>
      <c r="L2312" s="39"/>
      <c r="M2312" s="39"/>
      <c r="N2312" s="39"/>
      <c r="O2312" s="39"/>
      <c r="Q2312" s="82" t="str">
        <f>IF($AA2309=0,"",IF(LEN(INDEX(Quotes!$AF$9:$AF$258,$AA2309)&amp;"")=0,"",INDEX(Quotes!$AF$9:$AF$258,$AA2309)))</f>
        <v/>
      </c>
      <c r="R2312" s="39"/>
      <c r="S2312" s="39"/>
      <c r="T2312" s="39"/>
      <c r="U2312" s="39"/>
      <c r="V2312" s="39"/>
    </row>
    <row r="2313" spans="1:27" ht="21" hidden="1" customHeight="1" x14ac:dyDescent="0.35">
      <c r="A2313" s="48" t="str">
        <f>IF($AA2309=0,"","Reference: "&amp;IF(INDEX(Quotes!$M$9:$M$258,$AA2309)="",INDEX(Quotes!$S$9:$S$258,$AA2309),INDEX(Quotes!$M$9:$M$258,$AA2309)))</f>
        <v/>
      </c>
      <c r="B2313" s="39"/>
      <c r="C2313" s="39"/>
      <c r="D2313" s="39"/>
      <c r="E2313" s="39"/>
      <c r="F2313" s="39"/>
      <c r="G2313" s="39"/>
      <c r="H2313" s="39"/>
      <c r="I2313" s="39"/>
      <c r="J2313" s="39"/>
      <c r="K2313" s="39"/>
      <c r="L2313" s="39"/>
      <c r="M2313" s="39"/>
      <c r="N2313" s="39"/>
      <c r="O2313" s="39"/>
      <c r="P2313" s="39"/>
      <c r="Q2313" s="48" t="str">
        <f>IF($AA2309=0,"",INDEX(Quotes!$E$9:$E$258,$AA2309))</f>
        <v/>
      </c>
      <c r="R2313" s="39"/>
      <c r="S2313" s="39"/>
      <c r="T2313" s="39"/>
      <c r="U2313" s="39"/>
      <c r="V2313" s="39"/>
    </row>
    <row r="2314" spans="1:27" ht="21" hidden="1" customHeight="1" x14ac:dyDescent="0.35">
      <c r="A2314" s="81" t="str">
        <f>IF($AA2309=0,"",IF(INDEX(Quotes!$N$9:$N$258,$AA2309)="","No original link","Original quote"))</f>
        <v/>
      </c>
      <c r="B2314" s="39"/>
      <c r="C2314" s="39"/>
      <c r="D2314" s="39"/>
      <c r="E2314" s="39"/>
      <c r="F2314" s="39"/>
      <c r="G2314" s="39"/>
      <c r="I2314" s="81" t="str">
        <f>IF($AA2309=0,"",IF(INDEX(Quotes!$O$9:$O$258,$AA2309)="","No revised link","Revised quote"))</f>
        <v/>
      </c>
      <c r="J2314" s="39"/>
      <c r="K2314" s="39"/>
      <c r="L2314" s="39"/>
      <c r="M2314" s="39"/>
      <c r="N2314" s="39"/>
      <c r="O2314" s="39"/>
      <c r="Q2314" s="81" t="str">
        <f>IF($AA2309=0,"",HYPERLINK("#'Quotes'!A"&amp;($AA2309+8),"Open quote record"))</f>
        <v/>
      </c>
      <c r="R2314" s="39"/>
      <c r="S2314" s="39"/>
      <c r="T2314" s="39"/>
      <c r="U2314" s="39"/>
      <c r="V2314" s="39"/>
    </row>
    <row r="2315" spans="1:27" ht="21" hidden="1" customHeight="1" x14ac:dyDescent="0.35"/>
    <row r="2316" spans="1:27" hidden="1" x14ac:dyDescent="0.35"/>
    <row r="2317" spans="1:27" hidden="1" x14ac:dyDescent="0.35"/>
    <row r="2318" spans="1:27" hidden="1" x14ac:dyDescent="0.35"/>
    <row r="2319" spans="1:27" hidden="1" x14ac:dyDescent="0.35">
      <c r="A2319" s="67" t="s">
        <v>655</v>
      </c>
      <c r="B2319" s="39"/>
      <c r="C2319" s="39"/>
      <c r="D2319" s="39"/>
      <c r="E2319" s="39"/>
      <c r="F2319" s="39"/>
      <c r="G2319" s="39"/>
      <c r="H2319" s="39"/>
      <c r="I2319" s="39"/>
      <c r="J2319" s="39"/>
      <c r="K2319" s="39"/>
      <c r="L2319" s="39"/>
      <c r="M2319" s="39"/>
      <c r="N2319" s="39"/>
      <c r="O2319" s="39"/>
      <c r="P2319" s="39"/>
      <c r="Q2319" s="39"/>
      <c r="R2319" s="39"/>
      <c r="S2319" s="39"/>
      <c r="T2319" s="39"/>
      <c r="U2319" s="39"/>
      <c r="V2319" s="39"/>
    </row>
    <row r="2320" spans="1:27" ht="29" hidden="1" customHeight="1" x14ac:dyDescent="0.35">
      <c r="A2320" s="84" t="str">
        <f>IF($AA2320=0,"",IF(LEN(INDEX(Quotes!$U$9:$U$258,$AA2320)&amp;"")=0,"",INDEX(Quotes!$U$9:$U$258,$AA2320)))</f>
        <v/>
      </c>
      <c r="B2320" s="39"/>
      <c r="C2320" s="39"/>
      <c r="D2320" s="39"/>
      <c r="E2320" s="39"/>
      <c r="F2320" s="39"/>
      <c r="G2320" s="39"/>
      <c r="H2320" s="39"/>
      <c r="I2320" s="39"/>
      <c r="J2320" s="39"/>
      <c r="K2320" s="85" t="str">
        <f>IF($AA2320=0,"",IF(LEN(INDEX(Quotes!$Z$9:$Z$258,$AA2320)&amp;"")=0,"",INDEX(Quotes!$Z$9:$Z$258,$AA2320)))</f>
        <v/>
      </c>
      <c r="L2320" s="39"/>
      <c r="M2320" s="39"/>
      <c r="N2320" s="39"/>
      <c r="O2320" s="39"/>
      <c r="P2320" s="39"/>
      <c r="Q2320" s="39"/>
      <c r="R2320" s="39"/>
      <c r="S2320" s="39"/>
      <c r="T2320" s="39"/>
      <c r="U2320" s="39"/>
      <c r="V2320" s="39"/>
      <c r="AA2320">
        <f>IFERROR(MATCH(241,Quotes!$AK$9:$AK$258,0),0)</f>
        <v>0</v>
      </c>
    </row>
    <row r="2321" spans="1:27" ht="21" hidden="1" customHeight="1" x14ac:dyDescent="0.35">
      <c r="A2321" s="40" t="str">
        <f>IF($AA2320=0,"",IF(LEN(INDEX(Quotes!$V$9:$V$258,$AA2320)&amp;"")=0,"",INDEX(Quotes!$V$9:$V$258,$AA2320)))</f>
        <v/>
      </c>
      <c r="B2321" s="39"/>
      <c r="C2321" s="39"/>
      <c r="D2321" s="39"/>
      <c r="E2321" s="39"/>
      <c r="F2321" s="39"/>
      <c r="G2321" s="39"/>
      <c r="H2321" s="40" t="str">
        <f>IF($AA2320=0,"",IF(LEN(INDEX(Quotes!$W$9:$W$258,$AA2320)&amp;"")=0,"",INDEX(Quotes!$W$9:$W$258,$AA2320)))</f>
        <v/>
      </c>
      <c r="I2321" s="39"/>
      <c r="J2321" s="39"/>
      <c r="K2321" s="39"/>
      <c r="L2321" s="39"/>
      <c r="M2321" s="39"/>
      <c r="N2321" s="39"/>
      <c r="O2321" s="39"/>
      <c r="P2321" s="39"/>
      <c r="Q2321" s="39"/>
      <c r="R2321" s="77" t="str">
        <f>IF($AA2320=0,"",IF(LEN(INDEX(Quotes!$X$9:$X$258,$AA2320)&amp;"")=0,"",INDEX(Quotes!$X$9:$X$258,$AA2320)))</f>
        <v/>
      </c>
      <c r="S2321" s="39"/>
      <c r="T2321" s="39"/>
      <c r="U2321" s="39"/>
      <c r="V2321" s="39"/>
    </row>
    <row r="2322" spans="1:27" ht="21" hidden="1" customHeight="1" x14ac:dyDescent="0.35">
      <c r="A2322" s="83" t="str">
        <f>IF($AA2320=0,"","ORIGINAL EUR")</f>
        <v/>
      </c>
      <c r="B2322" s="39"/>
      <c r="C2322" s="39"/>
      <c r="D2322" s="39"/>
      <c r="E2322" s="39"/>
      <c r="F2322" s="39"/>
      <c r="G2322" s="39"/>
      <c r="I2322" s="83" t="str">
        <f>IF($AA2320=0,"","LATEST EUR")</f>
        <v/>
      </c>
      <c r="J2322" s="39"/>
      <c r="K2322" s="39"/>
      <c r="L2322" s="39"/>
      <c r="M2322" s="39"/>
      <c r="N2322" s="39"/>
      <c r="O2322" s="39"/>
      <c r="Q2322" s="83" t="str">
        <f>IF($AA2320=0,"","SAVED EUR")</f>
        <v/>
      </c>
      <c r="R2322" s="39"/>
      <c r="S2322" s="39"/>
      <c r="T2322" s="39"/>
      <c r="U2322" s="39"/>
      <c r="V2322" s="39"/>
    </row>
    <row r="2323" spans="1:27" ht="21" hidden="1" customHeight="1" x14ac:dyDescent="0.35">
      <c r="A2323" s="82" t="str">
        <f>IF($AA2320=0,"",IF(LEN(INDEX(Quotes!$AB$9:$AB$258,$AA2320)&amp;"")=0,"",INDEX(Quotes!$AB$9:$AB$258,$AA2320)))</f>
        <v/>
      </c>
      <c r="B2323" s="39"/>
      <c r="C2323" s="39"/>
      <c r="D2323" s="39"/>
      <c r="E2323" s="39"/>
      <c r="F2323" s="39"/>
      <c r="G2323" s="39"/>
      <c r="I2323" s="82" t="str">
        <f>IF($AA2320=0,"",IF(LEN(INDEX(Quotes!$AD$9:$AD$258,$AA2320)&amp;"")=0,"",INDEX(Quotes!$AD$9:$AD$258,$AA2320)))</f>
        <v/>
      </c>
      <c r="J2323" s="39"/>
      <c r="K2323" s="39"/>
      <c r="L2323" s="39"/>
      <c r="M2323" s="39"/>
      <c r="N2323" s="39"/>
      <c r="O2323" s="39"/>
      <c r="Q2323" s="82" t="str">
        <f>IF($AA2320=0,"",IF(LEN(INDEX(Quotes!$AF$9:$AF$258,$AA2320)&amp;"")=0,"",INDEX(Quotes!$AF$9:$AF$258,$AA2320)))</f>
        <v/>
      </c>
      <c r="R2323" s="39"/>
      <c r="S2323" s="39"/>
      <c r="T2323" s="39"/>
      <c r="U2323" s="39"/>
      <c r="V2323" s="39"/>
    </row>
    <row r="2324" spans="1:27" ht="21" hidden="1" customHeight="1" x14ac:dyDescent="0.35">
      <c r="A2324" s="48" t="str">
        <f>IF($AA2320=0,"","Reference: "&amp;IF(INDEX(Quotes!$M$9:$M$258,$AA2320)="",INDEX(Quotes!$S$9:$S$258,$AA2320),INDEX(Quotes!$M$9:$M$258,$AA2320)))</f>
        <v/>
      </c>
      <c r="B2324" s="39"/>
      <c r="C2324" s="39"/>
      <c r="D2324" s="39"/>
      <c r="E2324" s="39"/>
      <c r="F2324" s="39"/>
      <c r="G2324" s="39"/>
      <c r="H2324" s="39"/>
      <c r="I2324" s="39"/>
      <c r="J2324" s="39"/>
      <c r="K2324" s="39"/>
      <c r="L2324" s="39"/>
      <c r="M2324" s="39"/>
      <c r="N2324" s="39"/>
      <c r="O2324" s="39"/>
      <c r="P2324" s="39"/>
      <c r="Q2324" s="48" t="str">
        <f>IF($AA2320=0,"",INDEX(Quotes!$E$9:$E$258,$AA2320))</f>
        <v/>
      </c>
      <c r="R2324" s="39"/>
      <c r="S2324" s="39"/>
      <c r="T2324" s="39"/>
      <c r="U2324" s="39"/>
      <c r="V2324" s="39"/>
    </row>
    <row r="2325" spans="1:27" ht="21" hidden="1" customHeight="1" x14ac:dyDescent="0.35">
      <c r="A2325" s="81" t="str">
        <f>IF($AA2320=0,"",IF(INDEX(Quotes!$N$9:$N$258,$AA2320)="","No original link","Original quote"))</f>
        <v/>
      </c>
      <c r="B2325" s="39"/>
      <c r="C2325" s="39"/>
      <c r="D2325" s="39"/>
      <c r="E2325" s="39"/>
      <c r="F2325" s="39"/>
      <c r="G2325" s="39"/>
      <c r="I2325" s="81" t="str">
        <f>IF($AA2320=0,"",IF(INDEX(Quotes!$O$9:$O$258,$AA2320)="","No revised link","Revised quote"))</f>
        <v/>
      </c>
      <c r="J2325" s="39"/>
      <c r="K2325" s="39"/>
      <c r="L2325" s="39"/>
      <c r="M2325" s="39"/>
      <c r="N2325" s="39"/>
      <c r="O2325" s="39"/>
      <c r="Q2325" s="81" t="str">
        <f>IF($AA2320=0,"",HYPERLINK("#'Quotes'!A"&amp;($AA2320+8),"Open quote record"))</f>
        <v/>
      </c>
      <c r="R2325" s="39"/>
      <c r="S2325" s="39"/>
      <c r="T2325" s="39"/>
      <c r="U2325" s="39"/>
      <c r="V2325" s="39"/>
    </row>
    <row r="2326" spans="1:27" ht="21" hidden="1" customHeight="1" x14ac:dyDescent="0.35"/>
    <row r="2327" spans="1:27" hidden="1" x14ac:dyDescent="0.35"/>
    <row r="2328" spans="1:27" hidden="1" x14ac:dyDescent="0.35"/>
    <row r="2329" spans="1:27" ht="29" hidden="1" customHeight="1" x14ac:dyDescent="0.35">
      <c r="A2329" s="84" t="str">
        <f>IF($AA2329=0,"",IF(LEN(INDEX(Quotes!$U$9:$U$258,$AA2329)&amp;"")=0,"",INDEX(Quotes!$U$9:$U$258,$AA2329)))</f>
        <v/>
      </c>
      <c r="B2329" s="39"/>
      <c r="C2329" s="39"/>
      <c r="D2329" s="39"/>
      <c r="E2329" s="39"/>
      <c r="F2329" s="39"/>
      <c r="G2329" s="39"/>
      <c r="H2329" s="39"/>
      <c r="I2329" s="39"/>
      <c r="J2329" s="39"/>
      <c r="K2329" s="85" t="str">
        <f>IF($AA2329=0,"",IF(LEN(INDEX(Quotes!$Z$9:$Z$258,$AA2329)&amp;"")=0,"",INDEX(Quotes!$Z$9:$Z$258,$AA2329)))</f>
        <v/>
      </c>
      <c r="L2329" s="39"/>
      <c r="M2329" s="39"/>
      <c r="N2329" s="39"/>
      <c r="O2329" s="39"/>
      <c r="P2329" s="39"/>
      <c r="Q2329" s="39"/>
      <c r="R2329" s="39"/>
      <c r="S2329" s="39"/>
      <c r="T2329" s="39"/>
      <c r="U2329" s="39"/>
      <c r="V2329" s="39"/>
      <c r="AA2329">
        <f>IFERROR(MATCH(242,Quotes!$AK$9:$AK$258,0),0)</f>
        <v>0</v>
      </c>
    </row>
    <row r="2330" spans="1:27" ht="21" hidden="1" customHeight="1" x14ac:dyDescent="0.35">
      <c r="A2330" s="40" t="str">
        <f>IF($AA2329=0,"",IF(LEN(INDEX(Quotes!$V$9:$V$258,$AA2329)&amp;"")=0,"",INDEX(Quotes!$V$9:$V$258,$AA2329)))</f>
        <v/>
      </c>
      <c r="B2330" s="39"/>
      <c r="C2330" s="39"/>
      <c r="D2330" s="39"/>
      <c r="E2330" s="39"/>
      <c r="F2330" s="39"/>
      <c r="G2330" s="39"/>
      <c r="H2330" s="40" t="str">
        <f>IF($AA2329=0,"",IF(LEN(INDEX(Quotes!$W$9:$W$258,$AA2329)&amp;"")=0,"",INDEX(Quotes!$W$9:$W$258,$AA2329)))</f>
        <v/>
      </c>
      <c r="I2330" s="39"/>
      <c r="J2330" s="39"/>
      <c r="K2330" s="39"/>
      <c r="L2330" s="39"/>
      <c r="M2330" s="39"/>
      <c r="N2330" s="39"/>
      <c r="O2330" s="39"/>
      <c r="P2330" s="39"/>
      <c r="Q2330" s="39"/>
      <c r="R2330" s="77" t="str">
        <f>IF($AA2329=0,"",IF(LEN(INDEX(Quotes!$X$9:$X$258,$AA2329)&amp;"")=0,"",INDEX(Quotes!$X$9:$X$258,$AA2329)))</f>
        <v/>
      </c>
      <c r="S2330" s="39"/>
      <c r="T2330" s="39"/>
      <c r="U2330" s="39"/>
      <c r="V2330" s="39"/>
    </row>
    <row r="2331" spans="1:27" ht="21" hidden="1" customHeight="1" x14ac:dyDescent="0.35">
      <c r="A2331" s="83" t="str">
        <f>IF($AA2329=0,"","ORIGINAL EUR")</f>
        <v/>
      </c>
      <c r="B2331" s="39"/>
      <c r="C2331" s="39"/>
      <c r="D2331" s="39"/>
      <c r="E2331" s="39"/>
      <c r="F2331" s="39"/>
      <c r="G2331" s="39"/>
      <c r="I2331" s="83" t="str">
        <f>IF($AA2329=0,"","LATEST EUR")</f>
        <v/>
      </c>
      <c r="J2331" s="39"/>
      <c r="K2331" s="39"/>
      <c r="L2331" s="39"/>
      <c r="M2331" s="39"/>
      <c r="N2331" s="39"/>
      <c r="O2331" s="39"/>
      <c r="Q2331" s="83" t="str">
        <f>IF($AA2329=0,"","SAVED EUR")</f>
        <v/>
      </c>
      <c r="R2331" s="39"/>
      <c r="S2331" s="39"/>
      <c r="T2331" s="39"/>
      <c r="U2331" s="39"/>
      <c r="V2331" s="39"/>
    </row>
    <row r="2332" spans="1:27" ht="21" hidden="1" customHeight="1" x14ac:dyDescent="0.35">
      <c r="A2332" s="82" t="str">
        <f>IF($AA2329=0,"",IF(LEN(INDEX(Quotes!$AB$9:$AB$258,$AA2329)&amp;"")=0,"",INDEX(Quotes!$AB$9:$AB$258,$AA2329)))</f>
        <v/>
      </c>
      <c r="B2332" s="39"/>
      <c r="C2332" s="39"/>
      <c r="D2332" s="39"/>
      <c r="E2332" s="39"/>
      <c r="F2332" s="39"/>
      <c r="G2332" s="39"/>
      <c r="I2332" s="82" t="str">
        <f>IF($AA2329=0,"",IF(LEN(INDEX(Quotes!$AD$9:$AD$258,$AA2329)&amp;"")=0,"",INDEX(Quotes!$AD$9:$AD$258,$AA2329)))</f>
        <v/>
      </c>
      <c r="J2332" s="39"/>
      <c r="K2332" s="39"/>
      <c r="L2332" s="39"/>
      <c r="M2332" s="39"/>
      <c r="N2332" s="39"/>
      <c r="O2332" s="39"/>
      <c r="Q2332" s="82" t="str">
        <f>IF($AA2329=0,"",IF(LEN(INDEX(Quotes!$AF$9:$AF$258,$AA2329)&amp;"")=0,"",INDEX(Quotes!$AF$9:$AF$258,$AA2329)))</f>
        <v/>
      </c>
      <c r="R2332" s="39"/>
      <c r="S2332" s="39"/>
      <c r="T2332" s="39"/>
      <c r="U2332" s="39"/>
      <c r="V2332" s="39"/>
    </row>
    <row r="2333" spans="1:27" ht="21" hidden="1" customHeight="1" x14ac:dyDescent="0.35">
      <c r="A2333" s="48" t="str">
        <f>IF($AA2329=0,"","Reference: "&amp;IF(INDEX(Quotes!$M$9:$M$258,$AA2329)="",INDEX(Quotes!$S$9:$S$258,$AA2329),INDEX(Quotes!$M$9:$M$258,$AA2329)))</f>
        <v/>
      </c>
      <c r="B2333" s="39"/>
      <c r="C2333" s="39"/>
      <c r="D2333" s="39"/>
      <c r="E2333" s="39"/>
      <c r="F2333" s="39"/>
      <c r="G2333" s="39"/>
      <c r="H2333" s="39"/>
      <c r="I2333" s="39"/>
      <c r="J2333" s="39"/>
      <c r="K2333" s="39"/>
      <c r="L2333" s="39"/>
      <c r="M2333" s="39"/>
      <c r="N2333" s="39"/>
      <c r="O2333" s="39"/>
      <c r="P2333" s="39"/>
      <c r="Q2333" s="48" t="str">
        <f>IF($AA2329=0,"",INDEX(Quotes!$E$9:$E$258,$AA2329))</f>
        <v/>
      </c>
      <c r="R2333" s="39"/>
      <c r="S2333" s="39"/>
      <c r="T2333" s="39"/>
      <c r="U2333" s="39"/>
      <c r="V2333" s="39"/>
    </row>
    <row r="2334" spans="1:27" ht="21" hidden="1" customHeight="1" x14ac:dyDescent="0.35">
      <c r="A2334" s="81" t="str">
        <f>IF($AA2329=0,"",IF(INDEX(Quotes!$N$9:$N$258,$AA2329)="","No original link","Original quote"))</f>
        <v/>
      </c>
      <c r="B2334" s="39"/>
      <c r="C2334" s="39"/>
      <c r="D2334" s="39"/>
      <c r="E2334" s="39"/>
      <c r="F2334" s="39"/>
      <c r="G2334" s="39"/>
      <c r="I2334" s="81" t="str">
        <f>IF($AA2329=0,"",IF(INDEX(Quotes!$O$9:$O$258,$AA2329)="","No revised link","Revised quote"))</f>
        <v/>
      </c>
      <c r="J2334" s="39"/>
      <c r="K2334" s="39"/>
      <c r="L2334" s="39"/>
      <c r="M2334" s="39"/>
      <c r="N2334" s="39"/>
      <c r="O2334" s="39"/>
      <c r="Q2334" s="81" t="str">
        <f>IF($AA2329=0,"",HYPERLINK("#'Quotes'!A"&amp;($AA2329+8),"Open quote record"))</f>
        <v/>
      </c>
      <c r="R2334" s="39"/>
      <c r="S2334" s="39"/>
      <c r="T2334" s="39"/>
      <c r="U2334" s="39"/>
      <c r="V2334" s="39"/>
    </row>
    <row r="2335" spans="1:27" ht="21" hidden="1" customHeight="1" x14ac:dyDescent="0.35"/>
    <row r="2336" spans="1:27" hidden="1" x14ac:dyDescent="0.35"/>
    <row r="2337" spans="1:27" hidden="1" x14ac:dyDescent="0.35"/>
    <row r="2338" spans="1:27" ht="29" hidden="1" customHeight="1" x14ac:dyDescent="0.35">
      <c r="A2338" s="84" t="str">
        <f>IF($AA2338=0,"",IF(LEN(INDEX(Quotes!$U$9:$U$258,$AA2338)&amp;"")=0,"",INDEX(Quotes!$U$9:$U$258,$AA2338)))</f>
        <v/>
      </c>
      <c r="B2338" s="39"/>
      <c r="C2338" s="39"/>
      <c r="D2338" s="39"/>
      <c r="E2338" s="39"/>
      <c r="F2338" s="39"/>
      <c r="G2338" s="39"/>
      <c r="H2338" s="39"/>
      <c r="I2338" s="39"/>
      <c r="J2338" s="39"/>
      <c r="K2338" s="85" t="str">
        <f>IF($AA2338=0,"",IF(LEN(INDEX(Quotes!$Z$9:$Z$258,$AA2338)&amp;"")=0,"",INDEX(Quotes!$Z$9:$Z$258,$AA2338)))</f>
        <v/>
      </c>
      <c r="L2338" s="39"/>
      <c r="M2338" s="39"/>
      <c r="N2338" s="39"/>
      <c r="O2338" s="39"/>
      <c r="P2338" s="39"/>
      <c r="Q2338" s="39"/>
      <c r="R2338" s="39"/>
      <c r="S2338" s="39"/>
      <c r="T2338" s="39"/>
      <c r="U2338" s="39"/>
      <c r="V2338" s="39"/>
      <c r="AA2338">
        <f>IFERROR(MATCH(243,Quotes!$AK$9:$AK$258,0),0)</f>
        <v>0</v>
      </c>
    </row>
    <row r="2339" spans="1:27" ht="21" hidden="1" customHeight="1" x14ac:dyDescent="0.35">
      <c r="A2339" s="40" t="str">
        <f>IF($AA2338=0,"",IF(LEN(INDEX(Quotes!$V$9:$V$258,$AA2338)&amp;"")=0,"",INDEX(Quotes!$V$9:$V$258,$AA2338)))</f>
        <v/>
      </c>
      <c r="B2339" s="39"/>
      <c r="C2339" s="39"/>
      <c r="D2339" s="39"/>
      <c r="E2339" s="39"/>
      <c r="F2339" s="39"/>
      <c r="G2339" s="39"/>
      <c r="H2339" s="40" t="str">
        <f>IF($AA2338=0,"",IF(LEN(INDEX(Quotes!$W$9:$W$258,$AA2338)&amp;"")=0,"",INDEX(Quotes!$W$9:$W$258,$AA2338)))</f>
        <v/>
      </c>
      <c r="I2339" s="39"/>
      <c r="J2339" s="39"/>
      <c r="K2339" s="39"/>
      <c r="L2339" s="39"/>
      <c r="M2339" s="39"/>
      <c r="N2339" s="39"/>
      <c r="O2339" s="39"/>
      <c r="P2339" s="39"/>
      <c r="Q2339" s="39"/>
      <c r="R2339" s="77" t="str">
        <f>IF($AA2338=0,"",IF(LEN(INDEX(Quotes!$X$9:$X$258,$AA2338)&amp;"")=0,"",INDEX(Quotes!$X$9:$X$258,$AA2338)))</f>
        <v/>
      </c>
      <c r="S2339" s="39"/>
      <c r="T2339" s="39"/>
      <c r="U2339" s="39"/>
      <c r="V2339" s="39"/>
    </row>
    <row r="2340" spans="1:27" ht="21" hidden="1" customHeight="1" x14ac:dyDescent="0.35">
      <c r="A2340" s="83" t="str">
        <f>IF($AA2338=0,"","ORIGINAL EUR")</f>
        <v/>
      </c>
      <c r="B2340" s="39"/>
      <c r="C2340" s="39"/>
      <c r="D2340" s="39"/>
      <c r="E2340" s="39"/>
      <c r="F2340" s="39"/>
      <c r="G2340" s="39"/>
      <c r="I2340" s="83" t="str">
        <f>IF($AA2338=0,"","LATEST EUR")</f>
        <v/>
      </c>
      <c r="J2340" s="39"/>
      <c r="K2340" s="39"/>
      <c r="L2340" s="39"/>
      <c r="M2340" s="39"/>
      <c r="N2340" s="39"/>
      <c r="O2340" s="39"/>
      <c r="Q2340" s="83" t="str">
        <f>IF($AA2338=0,"","SAVED EUR")</f>
        <v/>
      </c>
      <c r="R2340" s="39"/>
      <c r="S2340" s="39"/>
      <c r="T2340" s="39"/>
      <c r="U2340" s="39"/>
      <c r="V2340" s="39"/>
    </row>
    <row r="2341" spans="1:27" ht="21" hidden="1" customHeight="1" x14ac:dyDescent="0.35">
      <c r="A2341" s="82" t="str">
        <f>IF($AA2338=0,"",IF(LEN(INDEX(Quotes!$AB$9:$AB$258,$AA2338)&amp;"")=0,"",INDEX(Quotes!$AB$9:$AB$258,$AA2338)))</f>
        <v/>
      </c>
      <c r="B2341" s="39"/>
      <c r="C2341" s="39"/>
      <c r="D2341" s="39"/>
      <c r="E2341" s="39"/>
      <c r="F2341" s="39"/>
      <c r="G2341" s="39"/>
      <c r="I2341" s="82" t="str">
        <f>IF($AA2338=0,"",IF(LEN(INDEX(Quotes!$AD$9:$AD$258,$AA2338)&amp;"")=0,"",INDEX(Quotes!$AD$9:$AD$258,$AA2338)))</f>
        <v/>
      </c>
      <c r="J2341" s="39"/>
      <c r="K2341" s="39"/>
      <c r="L2341" s="39"/>
      <c r="M2341" s="39"/>
      <c r="N2341" s="39"/>
      <c r="O2341" s="39"/>
      <c r="Q2341" s="82" t="str">
        <f>IF($AA2338=0,"",IF(LEN(INDEX(Quotes!$AF$9:$AF$258,$AA2338)&amp;"")=0,"",INDEX(Quotes!$AF$9:$AF$258,$AA2338)))</f>
        <v/>
      </c>
      <c r="R2341" s="39"/>
      <c r="S2341" s="39"/>
      <c r="T2341" s="39"/>
      <c r="U2341" s="39"/>
      <c r="V2341" s="39"/>
    </row>
    <row r="2342" spans="1:27" ht="21" hidden="1" customHeight="1" x14ac:dyDescent="0.35">
      <c r="A2342" s="48" t="str">
        <f>IF($AA2338=0,"","Reference: "&amp;IF(INDEX(Quotes!$M$9:$M$258,$AA2338)="",INDEX(Quotes!$S$9:$S$258,$AA2338),INDEX(Quotes!$M$9:$M$258,$AA2338)))</f>
        <v/>
      </c>
      <c r="B2342" s="39"/>
      <c r="C2342" s="39"/>
      <c r="D2342" s="39"/>
      <c r="E2342" s="39"/>
      <c r="F2342" s="39"/>
      <c r="G2342" s="39"/>
      <c r="H2342" s="39"/>
      <c r="I2342" s="39"/>
      <c r="J2342" s="39"/>
      <c r="K2342" s="39"/>
      <c r="L2342" s="39"/>
      <c r="M2342" s="39"/>
      <c r="N2342" s="39"/>
      <c r="O2342" s="39"/>
      <c r="P2342" s="39"/>
      <c r="Q2342" s="48" t="str">
        <f>IF($AA2338=0,"",INDEX(Quotes!$E$9:$E$258,$AA2338))</f>
        <v/>
      </c>
      <c r="R2342" s="39"/>
      <c r="S2342" s="39"/>
      <c r="T2342" s="39"/>
      <c r="U2342" s="39"/>
      <c r="V2342" s="39"/>
    </row>
    <row r="2343" spans="1:27" ht="21" hidden="1" customHeight="1" x14ac:dyDescent="0.35">
      <c r="A2343" s="81" t="str">
        <f>IF($AA2338=0,"",IF(INDEX(Quotes!$N$9:$N$258,$AA2338)="","No original link","Original quote"))</f>
        <v/>
      </c>
      <c r="B2343" s="39"/>
      <c r="C2343" s="39"/>
      <c r="D2343" s="39"/>
      <c r="E2343" s="39"/>
      <c r="F2343" s="39"/>
      <c r="G2343" s="39"/>
      <c r="I2343" s="81" t="str">
        <f>IF($AA2338=0,"",IF(INDEX(Quotes!$O$9:$O$258,$AA2338)="","No revised link","Revised quote"))</f>
        <v/>
      </c>
      <c r="J2343" s="39"/>
      <c r="K2343" s="39"/>
      <c r="L2343" s="39"/>
      <c r="M2343" s="39"/>
      <c r="N2343" s="39"/>
      <c r="O2343" s="39"/>
      <c r="Q2343" s="81" t="str">
        <f>IF($AA2338=0,"",HYPERLINK("#'Quotes'!A"&amp;($AA2338+8),"Open quote record"))</f>
        <v/>
      </c>
      <c r="R2343" s="39"/>
      <c r="S2343" s="39"/>
      <c r="T2343" s="39"/>
      <c r="U2343" s="39"/>
      <c r="V2343" s="39"/>
    </row>
    <row r="2344" spans="1:27" ht="21" hidden="1" customHeight="1" x14ac:dyDescent="0.35"/>
    <row r="2345" spans="1:27" hidden="1" x14ac:dyDescent="0.35"/>
    <row r="2346" spans="1:27" hidden="1" x14ac:dyDescent="0.35"/>
    <row r="2347" spans="1:27" ht="29" hidden="1" customHeight="1" x14ac:dyDescent="0.35">
      <c r="A2347" s="84" t="str">
        <f>IF($AA2347=0,"",IF(LEN(INDEX(Quotes!$U$9:$U$258,$AA2347)&amp;"")=0,"",INDEX(Quotes!$U$9:$U$258,$AA2347)))</f>
        <v/>
      </c>
      <c r="B2347" s="39"/>
      <c r="C2347" s="39"/>
      <c r="D2347" s="39"/>
      <c r="E2347" s="39"/>
      <c r="F2347" s="39"/>
      <c r="G2347" s="39"/>
      <c r="H2347" s="39"/>
      <c r="I2347" s="39"/>
      <c r="J2347" s="39"/>
      <c r="K2347" s="85" t="str">
        <f>IF($AA2347=0,"",IF(LEN(INDEX(Quotes!$Z$9:$Z$258,$AA2347)&amp;"")=0,"",INDEX(Quotes!$Z$9:$Z$258,$AA2347)))</f>
        <v/>
      </c>
      <c r="L2347" s="39"/>
      <c r="M2347" s="39"/>
      <c r="N2347" s="39"/>
      <c r="O2347" s="39"/>
      <c r="P2347" s="39"/>
      <c r="Q2347" s="39"/>
      <c r="R2347" s="39"/>
      <c r="S2347" s="39"/>
      <c r="T2347" s="39"/>
      <c r="U2347" s="39"/>
      <c r="V2347" s="39"/>
      <c r="AA2347">
        <f>IFERROR(MATCH(244,Quotes!$AK$9:$AK$258,0),0)</f>
        <v>0</v>
      </c>
    </row>
    <row r="2348" spans="1:27" ht="21" hidden="1" customHeight="1" x14ac:dyDescent="0.35">
      <c r="A2348" s="40" t="str">
        <f>IF($AA2347=0,"",IF(LEN(INDEX(Quotes!$V$9:$V$258,$AA2347)&amp;"")=0,"",INDEX(Quotes!$V$9:$V$258,$AA2347)))</f>
        <v/>
      </c>
      <c r="B2348" s="39"/>
      <c r="C2348" s="39"/>
      <c r="D2348" s="39"/>
      <c r="E2348" s="39"/>
      <c r="F2348" s="39"/>
      <c r="G2348" s="39"/>
      <c r="H2348" s="40" t="str">
        <f>IF($AA2347=0,"",IF(LEN(INDEX(Quotes!$W$9:$W$258,$AA2347)&amp;"")=0,"",INDEX(Quotes!$W$9:$W$258,$AA2347)))</f>
        <v/>
      </c>
      <c r="I2348" s="39"/>
      <c r="J2348" s="39"/>
      <c r="K2348" s="39"/>
      <c r="L2348" s="39"/>
      <c r="M2348" s="39"/>
      <c r="N2348" s="39"/>
      <c r="O2348" s="39"/>
      <c r="P2348" s="39"/>
      <c r="Q2348" s="39"/>
      <c r="R2348" s="77" t="str">
        <f>IF($AA2347=0,"",IF(LEN(INDEX(Quotes!$X$9:$X$258,$AA2347)&amp;"")=0,"",INDEX(Quotes!$X$9:$X$258,$AA2347)))</f>
        <v/>
      </c>
      <c r="S2348" s="39"/>
      <c r="T2348" s="39"/>
      <c r="U2348" s="39"/>
      <c r="V2348" s="39"/>
    </row>
    <row r="2349" spans="1:27" ht="21" hidden="1" customHeight="1" x14ac:dyDescent="0.35">
      <c r="A2349" s="83" t="str">
        <f>IF($AA2347=0,"","ORIGINAL EUR")</f>
        <v/>
      </c>
      <c r="B2349" s="39"/>
      <c r="C2349" s="39"/>
      <c r="D2349" s="39"/>
      <c r="E2349" s="39"/>
      <c r="F2349" s="39"/>
      <c r="G2349" s="39"/>
      <c r="I2349" s="83" t="str">
        <f>IF($AA2347=0,"","LATEST EUR")</f>
        <v/>
      </c>
      <c r="J2349" s="39"/>
      <c r="K2349" s="39"/>
      <c r="L2349" s="39"/>
      <c r="M2349" s="39"/>
      <c r="N2349" s="39"/>
      <c r="O2349" s="39"/>
      <c r="Q2349" s="83" t="str">
        <f>IF($AA2347=0,"","SAVED EUR")</f>
        <v/>
      </c>
      <c r="R2349" s="39"/>
      <c r="S2349" s="39"/>
      <c r="T2349" s="39"/>
      <c r="U2349" s="39"/>
      <c r="V2349" s="39"/>
    </row>
    <row r="2350" spans="1:27" ht="21" hidden="1" customHeight="1" x14ac:dyDescent="0.35">
      <c r="A2350" s="82" t="str">
        <f>IF($AA2347=0,"",IF(LEN(INDEX(Quotes!$AB$9:$AB$258,$AA2347)&amp;"")=0,"",INDEX(Quotes!$AB$9:$AB$258,$AA2347)))</f>
        <v/>
      </c>
      <c r="B2350" s="39"/>
      <c r="C2350" s="39"/>
      <c r="D2350" s="39"/>
      <c r="E2350" s="39"/>
      <c r="F2350" s="39"/>
      <c r="G2350" s="39"/>
      <c r="I2350" s="82" t="str">
        <f>IF($AA2347=0,"",IF(LEN(INDEX(Quotes!$AD$9:$AD$258,$AA2347)&amp;"")=0,"",INDEX(Quotes!$AD$9:$AD$258,$AA2347)))</f>
        <v/>
      </c>
      <c r="J2350" s="39"/>
      <c r="K2350" s="39"/>
      <c r="L2350" s="39"/>
      <c r="M2350" s="39"/>
      <c r="N2350" s="39"/>
      <c r="O2350" s="39"/>
      <c r="Q2350" s="82" t="str">
        <f>IF($AA2347=0,"",IF(LEN(INDEX(Quotes!$AF$9:$AF$258,$AA2347)&amp;"")=0,"",INDEX(Quotes!$AF$9:$AF$258,$AA2347)))</f>
        <v/>
      </c>
      <c r="R2350" s="39"/>
      <c r="S2350" s="39"/>
      <c r="T2350" s="39"/>
      <c r="U2350" s="39"/>
      <c r="V2350" s="39"/>
    </row>
    <row r="2351" spans="1:27" ht="21" hidden="1" customHeight="1" x14ac:dyDescent="0.35">
      <c r="A2351" s="48" t="str">
        <f>IF($AA2347=0,"","Reference: "&amp;IF(INDEX(Quotes!$M$9:$M$258,$AA2347)="",INDEX(Quotes!$S$9:$S$258,$AA2347),INDEX(Quotes!$M$9:$M$258,$AA2347)))</f>
        <v/>
      </c>
      <c r="B2351" s="39"/>
      <c r="C2351" s="39"/>
      <c r="D2351" s="39"/>
      <c r="E2351" s="39"/>
      <c r="F2351" s="39"/>
      <c r="G2351" s="39"/>
      <c r="H2351" s="39"/>
      <c r="I2351" s="39"/>
      <c r="J2351" s="39"/>
      <c r="K2351" s="39"/>
      <c r="L2351" s="39"/>
      <c r="M2351" s="39"/>
      <c r="N2351" s="39"/>
      <c r="O2351" s="39"/>
      <c r="P2351" s="39"/>
      <c r="Q2351" s="48" t="str">
        <f>IF($AA2347=0,"",INDEX(Quotes!$E$9:$E$258,$AA2347))</f>
        <v/>
      </c>
      <c r="R2351" s="39"/>
      <c r="S2351" s="39"/>
      <c r="T2351" s="39"/>
      <c r="U2351" s="39"/>
      <c r="V2351" s="39"/>
    </row>
    <row r="2352" spans="1:27" ht="21" hidden="1" customHeight="1" x14ac:dyDescent="0.35">
      <c r="A2352" s="81" t="str">
        <f>IF($AA2347=0,"",IF(INDEX(Quotes!$N$9:$N$258,$AA2347)="","No original link","Original quote"))</f>
        <v/>
      </c>
      <c r="B2352" s="39"/>
      <c r="C2352" s="39"/>
      <c r="D2352" s="39"/>
      <c r="E2352" s="39"/>
      <c r="F2352" s="39"/>
      <c r="G2352" s="39"/>
      <c r="I2352" s="81" t="str">
        <f>IF($AA2347=0,"",IF(INDEX(Quotes!$O$9:$O$258,$AA2347)="","No revised link","Revised quote"))</f>
        <v/>
      </c>
      <c r="J2352" s="39"/>
      <c r="K2352" s="39"/>
      <c r="L2352" s="39"/>
      <c r="M2352" s="39"/>
      <c r="N2352" s="39"/>
      <c r="O2352" s="39"/>
      <c r="Q2352" s="81" t="str">
        <f>IF($AA2347=0,"",HYPERLINK("#'Quotes'!A"&amp;($AA2347+8),"Open quote record"))</f>
        <v/>
      </c>
      <c r="R2352" s="39"/>
      <c r="S2352" s="39"/>
      <c r="T2352" s="39"/>
      <c r="U2352" s="39"/>
      <c r="V2352" s="39"/>
    </row>
    <row r="2353" spans="1:27" ht="21" hidden="1" customHeight="1" x14ac:dyDescent="0.35"/>
    <row r="2354" spans="1:27" hidden="1" x14ac:dyDescent="0.35"/>
    <row r="2355" spans="1:27" hidden="1" x14ac:dyDescent="0.35"/>
    <row r="2356" spans="1:27" hidden="1" x14ac:dyDescent="0.35"/>
    <row r="2357" spans="1:27" hidden="1" x14ac:dyDescent="0.35">
      <c r="A2357" s="67" t="s">
        <v>655</v>
      </c>
      <c r="B2357" s="39"/>
      <c r="C2357" s="39"/>
      <c r="D2357" s="39"/>
      <c r="E2357" s="39"/>
      <c r="F2357" s="39"/>
      <c r="G2357" s="39"/>
      <c r="H2357" s="39"/>
      <c r="I2357" s="39"/>
      <c r="J2357" s="39"/>
      <c r="K2357" s="39"/>
      <c r="L2357" s="39"/>
      <c r="M2357" s="39"/>
      <c r="N2357" s="39"/>
      <c r="O2357" s="39"/>
      <c r="P2357" s="39"/>
      <c r="Q2357" s="39"/>
      <c r="R2357" s="39"/>
      <c r="S2357" s="39"/>
      <c r="T2357" s="39"/>
      <c r="U2357" s="39"/>
      <c r="V2357" s="39"/>
    </row>
    <row r="2358" spans="1:27" ht="29" hidden="1" customHeight="1" x14ac:dyDescent="0.35">
      <c r="A2358" s="84" t="str">
        <f>IF($AA2358=0,"",IF(LEN(INDEX(Quotes!$U$9:$U$258,$AA2358)&amp;"")=0,"",INDEX(Quotes!$U$9:$U$258,$AA2358)))</f>
        <v/>
      </c>
      <c r="B2358" s="39"/>
      <c r="C2358" s="39"/>
      <c r="D2358" s="39"/>
      <c r="E2358" s="39"/>
      <c r="F2358" s="39"/>
      <c r="G2358" s="39"/>
      <c r="H2358" s="39"/>
      <c r="I2358" s="39"/>
      <c r="J2358" s="39"/>
      <c r="K2358" s="85" t="str">
        <f>IF($AA2358=0,"",IF(LEN(INDEX(Quotes!$Z$9:$Z$258,$AA2358)&amp;"")=0,"",INDEX(Quotes!$Z$9:$Z$258,$AA2358)))</f>
        <v/>
      </c>
      <c r="L2358" s="39"/>
      <c r="M2358" s="39"/>
      <c r="N2358" s="39"/>
      <c r="O2358" s="39"/>
      <c r="P2358" s="39"/>
      <c r="Q2358" s="39"/>
      <c r="R2358" s="39"/>
      <c r="S2358" s="39"/>
      <c r="T2358" s="39"/>
      <c r="U2358" s="39"/>
      <c r="V2358" s="39"/>
      <c r="AA2358">
        <f>IFERROR(MATCH(245,Quotes!$AK$9:$AK$258,0),0)</f>
        <v>0</v>
      </c>
    </row>
    <row r="2359" spans="1:27" ht="21" hidden="1" customHeight="1" x14ac:dyDescent="0.35">
      <c r="A2359" s="40" t="str">
        <f>IF($AA2358=0,"",IF(LEN(INDEX(Quotes!$V$9:$V$258,$AA2358)&amp;"")=0,"",INDEX(Quotes!$V$9:$V$258,$AA2358)))</f>
        <v/>
      </c>
      <c r="B2359" s="39"/>
      <c r="C2359" s="39"/>
      <c r="D2359" s="39"/>
      <c r="E2359" s="39"/>
      <c r="F2359" s="39"/>
      <c r="G2359" s="39"/>
      <c r="H2359" s="40" t="str">
        <f>IF($AA2358=0,"",IF(LEN(INDEX(Quotes!$W$9:$W$258,$AA2358)&amp;"")=0,"",INDEX(Quotes!$W$9:$W$258,$AA2358)))</f>
        <v/>
      </c>
      <c r="I2359" s="39"/>
      <c r="J2359" s="39"/>
      <c r="K2359" s="39"/>
      <c r="L2359" s="39"/>
      <c r="M2359" s="39"/>
      <c r="N2359" s="39"/>
      <c r="O2359" s="39"/>
      <c r="P2359" s="39"/>
      <c r="Q2359" s="39"/>
      <c r="R2359" s="77" t="str">
        <f>IF($AA2358=0,"",IF(LEN(INDEX(Quotes!$X$9:$X$258,$AA2358)&amp;"")=0,"",INDEX(Quotes!$X$9:$X$258,$AA2358)))</f>
        <v/>
      </c>
      <c r="S2359" s="39"/>
      <c r="T2359" s="39"/>
      <c r="U2359" s="39"/>
      <c r="V2359" s="39"/>
    </row>
    <row r="2360" spans="1:27" ht="21" hidden="1" customHeight="1" x14ac:dyDescent="0.35">
      <c r="A2360" s="83" t="str">
        <f>IF($AA2358=0,"","ORIGINAL EUR")</f>
        <v/>
      </c>
      <c r="B2360" s="39"/>
      <c r="C2360" s="39"/>
      <c r="D2360" s="39"/>
      <c r="E2360" s="39"/>
      <c r="F2360" s="39"/>
      <c r="G2360" s="39"/>
      <c r="I2360" s="83" t="str">
        <f>IF($AA2358=0,"","LATEST EUR")</f>
        <v/>
      </c>
      <c r="J2360" s="39"/>
      <c r="K2360" s="39"/>
      <c r="L2360" s="39"/>
      <c r="M2360" s="39"/>
      <c r="N2360" s="39"/>
      <c r="O2360" s="39"/>
      <c r="Q2360" s="83" t="str">
        <f>IF($AA2358=0,"","SAVED EUR")</f>
        <v/>
      </c>
      <c r="R2360" s="39"/>
      <c r="S2360" s="39"/>
      <c r="T2360" s="39"/>
      <c r="U2360" s="39"/>
      <c r="V2360" s="39"/>
    </row>
    <row r="2361" spans="1:27" ht="21" hidden="1" customHeight="1" x14ac:dyDescent="0.35">
      <c r="A2361" s="82" t="str">
        <f>IF($AA2358=0,"",IF(LEN(INDEX(Quotes!$AB$9:$AB$258,$AA2358)&amp;"")=0,"",INDEX(Quotes!$AB$9:$AB$258,$AA2358)))</f>
        <v/>
      </c>
      <c r="B2361" s="39"/>
      <c r="C2361" s="39"/>
      <c r="D2361" s="39"/>
      <c r="E2361" s="39"/>
      <c r="F2361" s="39"/>
      <c r="G2361" s="39"/>
      <c r="I2361" s="82" t="str">
        <f>IF($AA2358=0,"",IF(LEN(INDEX(Quotes!$AD$9:$AD$258,$AA2358)&amp;"")=0,"",INDEX(Quotes!$AD$9:$AD$258,$AA2358)))</f>
        <v/>
      </c>
      <c r="J2361" s="39"/>
      <c r="K2361" s="39"/>
      <c r="L2361" s="39"/>
      <c r="M2361" s="39"/>
      <c r="N2361" s="39"/>
      <c r="O2361" s="39"/>
      <c r="Q2361" s="82" t="str">
        <f>IF($AA2358=0,"",IF(LEN(INDEX(Quotes!$AF$9:$AF$258,$AA2358)&amp;"")=0,"",INDEX(Quotes!$AF$9:$AF$258,$AA2358)))</f>
        <v/>
      </c>
      <c r="R2361" s="39"/>
      <c r="S2361" s="39"/>
      <c r="T2361" s="39"/>
      <c r="U2361" s="39"/>
      <c r="V2361" s="39"/>
    </row>
    <row r="2362" spans="1:27" ht="21" hidden="1" customHeight="1" x14ac:dyDescent="0.35">
      <c r="A2362" s="48" t="str">
        <f>IF($AA2358=0,"","Reference: "&amp;IF(INDEX(Quotes!$M$9:$M$258,$AA2358)="",INDEX(Quotes!$S$9:$S$258,$AA2358),INDEX(Quotes!$M$9:$M$258,$AA2358)))</f>
        <v/>
      </c>
      <c r="B2362" s="39"/>
      <c r="C2362" s="39"/>
      <c r="D2362" s="39"/>
      <c r="E2362" s="39"/>
      <c r="F2362" s="39"/>
      <c r="G2362" s="39"/>
      <c r="H2362" s="39"/>
      <c r="I2362" s="39"/>
      <c r="J2362" s="39"/>
      <c r="K2362" s="39"/>
      <c r="L2362" s="39"/>
      <c r="M2362" s="39"/>
      <c r="N2362" s="39"/>
      <c r="O2362" s="39"/>
      <c r="P2362" s="39"/>
      <c r="Q2362" s="48" t="str">
        <f>IF($AA2358=0,"",INDEX(Quotes!$E$9:$E$258,$AA2358))</f>
        <v/>
      </c>
      <c r="R2362" s="39"/>
      <c r="S2362" s="39"/>
      <c r="T2362" s="39"/>
      <c r="U2362" s="39"/>
      <c r="V2362" s="39"/>
    </row>
    <row r="2363" spans="1:27" ht="21" hidden="1" customHeight="1" x14ac:dyDescent="0.35">
      <c r="A2363" s="81" t="str">
        <f>IF($AA2358=0,"",IF(INDEX(Quotes!$N$9:$N$258,$AA2358)="","No original link","Original quote"))</f>
        <v/>
      </c>
      <c r="B2363" s="39"/>
      <c r="C2363" s="39"/>
      <c r="D2363" s="39"/>
      <c r="E2363" s="39"/>
      <c r="F2363" s="39"/>
      <c r="G2363" s="39"/>
      <c r="I2363" s="81" t="str">
        <f>IF($AA2358=0,"",IF(INDEX(Quotes!$O$9:$O$258,$AA2358)="","No revised link","Revised quote"))</f>
        <v/>
      </c>
      <c r="J2363" s="39"/>
      <c r="K2363" s="39"/>
      <c r="L2363" s="39"/>
      <c r="M2363" s="39"/>
      <c r="N2363" s="39"/>
      <c r="O2363" s="39"/>
      <c r="Q2363" s="81" t="str">
        <f>IF($AA2358=0,"",HYPERLINK("#'Quotes'!A"&amp;($AA2358+8),"Open quote record"))</f>
        <v/>
      </c>
      <c r="R2363" s="39"/>
      <c r="S2363" s="39"/>
      <c r="T2363" s="39"/>
      <c r="U2363" s="39"/>
      <c r="V2363" s="39"/>
    </row>
    <row r="2364" spans="1:27" ht="21" hidden="1" customHeight="1" x14ac:dyDescent="0.35"/>
    <row r="2365" spans="1:27" hidden="1" x14ac:dyDescent="0.35"/>
    <row r="2366" spans="1:27" hidden="1" x14ac:dyDescent="0.35"/>
    <row r="2367" spans="1:27" ht="29" hidden="1" customHeight="1" x14ac:dyDescent="0.35">
      <c r="A2367" s="84" t="str">
        <f>IF($AA2367=0,"",IF(LEN(INDEX(Quotes!$U$9:$U$258,$AA2367)&amp;"")=0,"",INDEX(Quotes!$U$9:$U$258,$AA2367)))</f>
        <v/>
      </c>
      <c r="B2367" s="39"/>
      <c r="C2367" s="39"/>
      <c r="D2367" s="39"/>
      <c r="E2367" s="39"/>
      <c r="F2367" s="39"/>
      <c r="G2367" s="39"/>
      <c r="H2367" s="39"/>
      <c r="I2367" s="39"/>
      <c r="J2367" s="39"/>
      <c r="K2367" s="85" t="str">
        <f>IF($AA2367=0,"",IF(LEN(INDEX(Quotes!$Z$9:$Z$258,$AA2367)&amp;"")=0,"",INDEX(Quotes!$Z$9:$Z$258,$AA2367)))</f>
        <v/>
      </c>
      <c r="L2367" s="39"/>
      <c r="M2367" s="39"/>
      <c r="N2367" s="39"/>
      <c r="O2367" s="39"/>
      <c r="P2367" s="39"/>
      <c r="Q2367" s="39"/>
      <c r="R2367" s="39"/>
      <c r="S2367" s="39"/>
      <c r="T2367" s="39"/>
      <c r="U2367" s="39"/>
      <c r="V2367" s="39"/>
      <c r="AA2367">
        <f>IFERROR(MATCH(246,Quotes!$AK$9:$AK$258,0),0)</f>
        <v>0</v>
      </c>
    </row>
    <row r="2368" spans="1:27" ht="21" hidden="1" customHeight="1" x14ac:dyDescent="0.35">
      <c r="A2368" s="40" t="str">
        <f>IF($AA2367=0,"",IF(LEN(INDEX(Quotes!$V$9:$V$258,$AA2367)&amp;"")=0,"",INDEX(Quotes!$V$9:$V$258,$AA2367)))</f>
        <v/>
      </c>
      <c r="B2368" s="39"/>
      <c r="C2368" s="39"/>
      <c r="D2368" s="39"/>
      <c r="E2368" s="39"/>
      <c r="F2368" s="39"/>
      <c r="G2368" s="39"/>
      <c r="H2368" s="40" t="str">
        <f>IF($AA2367=0,"",IF(LEN(INDEX(Quotes!$W$9:$W$258,$AA2367)&amp;"")=0,"",INDEX(Quotes!$W$9:$W$258,$AA2367)))</f>
        <v/>
      </c>
      <c r="I2368" s="39"/>
      <c r="J2368" s="39"/>
      <c r="K2368" s="39"/>
      <c r="L2368" s="39"/>
      <c r="M2368" s="39"/>
      <c r="N2368" s="39"/>
      <c r="O2368" s="39"/>
      <c r="P2368" s="39"/>
      <c r="Q2368" s="39"/>
      <c r="R2368" s="77" t="str">
        <f>IF($AA2367=0,"",IF(LEN(INDEX(Quotes!$X$9:$X$258,$AA2367)&amp;"")=0,"",INDEX(Quotes!$X$9:$X$258,$AA2367)))</f>
        <v/>
      </c>
      <c r="S2368" s="39"/>
      <c r="T2368" s="39"/>
      <c r="U2368" s="39"/>
      <c r="V2368" s="39"/>
    </row>
    <row r="2369" spans="1:27" ht="21" hidden="1" customHeight="1" x14ac:dyDescent="0.35">
      <c r="A2369" s="83" t="str">
        <f>IF($AA2367=0,"","ORIGINAL EUR")</f>
        <v/>
      </c>
      <c r="B2369" s="39"/>
      <c r="C2369" s="39"/>
      <c r="D2369" s="39"/>
      <c r="E2369" s="39"/>
      <c r="F2369" s="39"/>
      <c r="G2369" s="39"/>
      <c r="I2369" s="83" t="str">
        <f>IF($AA2367=0,"","LATEST EUR")</f>
        <v/>
      </c>
      <c r="J2369" s="39"/>
      <c r="K2369" s="39"/>
      <c r="L2369" s="39"/>
      <c r="M2369" s="39"/>
      <c r="N2369" s="39"/>
      <c r="O2369" s="39"/>
      <c r="Q2369" s="83" t="str">
        <f>IF($AA2367=0,"","SAVED EUR")</f>
        <v/>
      </c>
      <c r="R2369" s="39"/>
      <c r="S2369" s="39"/>
      <c r="T2369" s="39"/>
      <c r="U2369" s="39"/>
      <c r="V2369" s="39"/>
    </row>
    <row r="2370" spans="1:27" ht="21" hidden="1" customHeight="1" x14ac:dyDescent="0.35">
      <c r="A2370" s="82" t="str">
        <f>IF($AA2367=0,"",IF(LEN(INDEX(Quotes!$AB$9:$AB$258,$AA2367)&amp;"")=0,"",INDEX(Quotes!$AB$9:$AB$258,$AA2367)))</f>
        <v/>
      </c>
      <c r="B2370" s="39"/>
      <c r="C2370" s="39"/>
      <c r="D2370" s="39"/>
      <c r="E2370" s="39"/>
      <c r="F2370" s="39"/>
      <c r="G2370" s="39"/>
      <c r="I2370" s="82" t="str">
        <f>IF($AA2367=0,"",IF(LEN(INDEX(Quotes!$AD$9:$AD$258,$AA2367)&amp;"")=0,"",INDEX(Quotes!$AD$9:$AD$258,$AA2367)))</f>
        <v/>
      </c>
      <c r="J2370" s="39"/>
      <c r="K2370" s="39"/>
      <c r="L2370" s="39"/>
      <c r="M2370" s="39"/>
      <c r="N2370" s="39"/>
      <c r="O2370" s="39"/>
      <c r="Q2370" s="82" t="str">
        <f>IF($AA2367=0,"",IF(LEN(INDEX(Quotes!$AF$9:$AF$258,$AA2367)&amp;"")=0,"",INDEX(Quotes!$AF$9:$AF$258,$AA2367)))</f>
        <v/>
      </c>
      <c r="R2370" s="39"/>
      <c r="S2370" s="39"/>
      <c r="T2370" s="39"/>
      <c r="U2370" s="39"/>
      <c r="V2370" s="39"/>
    </row>
    <row r="2371" spans="1:27" ht="21" hidden="1" customHeight="1" x14ac:dyDescent="0.35">
      <c r="A2371" s="48" t="str">
        <f>IF($AA2367=0,"","Reference: "&amp;IF(INDEX(Quotes!$M$9:$M$258,$AA2367)="",INDEX(Quotes!$S$9:$S$258,$AA2367),INDEX(Quotes!$M$9:$M$258,$AA2367)))</f>
        <v/>
      </c>
      <c r="B2371" s="39"/>
      <c r="C2371" s="39"/>
      <c r="D2371" s="39"/>
      <c r="E2371" s="39"/>
      <c r="F2371" s="39"/>
      <c r="G2371" s="39"/>
      <c r="H2371" s="39"/>
      <c r="I2371" s="39"/>
      <c r="J2371" s="39"/>
      <c r="K2371" s="39"/>
      <c r="L2371" s="39"/>
      <c r="M2371" s="39"/>
      <c r="N2371" s="39"/>
      <c r="O2371" s="39"/>
      <c r="P2371" s="39"/>
      <c r="Q2371" s="48" t="str">
        <f>IF($AA2367=0,"",INDEX(Quotes!$E$9:$E$258,$AA2367))</f>
        <v/>
      </c>
      <c r="R2371" s="39"/>
      <c r="S2371" s="39"/>
      <c r="T2371" s="39"/>
      <c r="U2371" s="39"/>
      <c r="V2371" s="39"/>
    </row>
    <row r="2372" spans="1:27" ht="21" hidden="1" customHeight="1" x14ac:dyDescent="0.35">
      <c r="A2372" s="81" t="str">
        <f>IF($AA2367=0,"",IF(INDEX(Quotes!$N$9:$N$258,$AA2367)="","No original link","Original quote"))</f>
        <v/>
      </c>
      <c r="B2372" s="39"/>
      <c r="C2372" s="39"/>
      <c r="D2372" s="39"/>
      <c r="E2372" s="39"/>
      <c r="F2372" s="39"/>
      <c r="G2372" s="39"/>
      <c r="I2372" s="81" t="str">
        <f>IF($AA2367=0,"",IF(INDEX(Quotes!$O$9:$O$258,$AA2367)="","No revised link","Revised quote"))</f>
        <v/>
      </c>
      <c r="J2372" s="39"/>
      <c r="K2372" s="39"/>
      <c r="L2372" s="39"/>
      <c r="M2372" s="39"/>
      <c r="N2372" s="39"/>
      <c r="O2372" s="39"/>
      <c r="Q2372" s="81" t="str">
        <f>IF($AA2367=0,"",HYPERLINK("#'Quotes'!A"&amp;($AA2367+8),"Open quote record"))</f>
        <v/>
      </c>
      <c r="R2372" s="39"/>
      <c r="S2372" s="39"/>
      <c r="T2372" s="39"/>
      <c r="U2372" s="39"/>
      <c r="V2372" s="39"/>
    </row>
    <row r="2373" spans="1:27" ht="21" hidden="1" customHeight="1" x14ac:dyDescent="0.35"/>
    <row r="2374" spans="1:27" hidden="1" x14ac:dyDescent="0.35"/>
    <row r="2375" spans="1:27" hidden="1" x14ac:dyDescent="0.35"/>
    <row r="2376" spans="1:27" ht="29" hidden="1" customHeight="1" x14ac:dyDescent="0.35">
      <c r="A2376" s="84" t="str">
        <f>IF($AA2376=0,"",IF(LEN(INDEX(Quotes!$U$9:$U$258,$AA2376)&amp;"")=0,"",INDEX(Quotes!$U$9:$U$258,$AA2376)))</f>
        <v/>
      </c>
      <c r="B2376" s="39"/>
      <c r="C2376" s="39"/>
      <c r="D2376" s="39"/>
      <c r="E2376" s="39"/>
      <c r="F2376" s="39"/>
      <c r="G2376" s="39"/>
      <c r="H2376" s="39"/>
      <c r="I2376" s="39"/>
      <c r="J2376" s="39"/>
      <c r="K2376" s="85" t="str">
        <f>IF($AA2376=0,"",IF(LEN(INDEX(Quotes!$Z$9:$Z$258,$AA2376)&amp;"")=0,"",INDEX(Quotes!$Z$9:$Z$258,$AA2376)))</f>
        <v/>
      </c>
      <c r="L2376" s="39"/>
      <c r="M2376" s="39"/>
      <c r="N2376" s="39"/>
      <c r="O2376" s="39"/>
      <c r="P2376" s="39"/>
      <c r="Q2376" s="39"/>
      <c r="R2376" s="39"/>
      <c r="S2376" s="39"/>
      <c r="T2376" s="39"/>
      <c r="U2376" s="39"/>
      <c r="V2376" s="39"/>
      <c r="AA2376">
        <f>IFERROR(MATCH(247,Quotes!$AK$9:$AK$258,0),0)</f>
        <v>0</v>
      </c>
    </row>
    <row r="2377" spans="1:27" ht="21" hidden="1" customHeight="1" x14ac:dyDescent="0.35">
      <c r="A2377" s="40" t="str">
        <f>IF($AA2376=0,"",IF(LEN(INDEX(Quotes!$V$9:$V$258,$AA2376)&amp;"")=0,"",INDEX(Quotes!$V$9:$V$258,$AA2376)))</f>
        <v/>
      </c>
      <c r="B2377" s="39"/>
      <c r="C2377" s="39"/>
      <c r="D2377" s="39"/>
      <c r="E2377" s="39"/>
      <c r="F2377" s="39"/>
      <c r="G2377" s="39"/>
      <c r="H2377" s="40" t="str">
        <f>IF($AA2376=0,"",IF(LEN(INDEX(Quotes!$W$9:$W$258,$AA2376)&amp;"")=0,"",INDEX(Quotes!$W$9:$W$258,$AA2376)))</f>
        <v/>
      </c>
      <c r="I2377" s="39"/>
      <c r="J2377" s="39"/>
      <c r="K2377" s="39"/>
      <c r="L2377" s="39"/>
      <c r="M2377" s="39"/>
      <c r="N2377" s="39"/>
      <c r="O2377" s="39"/>
      <c r="P2377" s="39"/>
      <c r="Q2377" s="39"/>
      <c r="R2377" s="77" t="str">
        <f>IF($AA2376=0,"",IF(LEN(INDEX(Quotes!$X$9:$X$258,$AA2376)&amp;"")=0,"",INDEX(Quotes!$X$9:$X$258,$AA2376)))</f>
        <v/>
      </c>
      <c r="S2377" s="39"/>
      <c r="T2377" s="39"/>
      <c r="U2377" s="39"/>
      <c r="V2377" s="39"/>
    </row>
    <row r="2378" spans="1:27" ht="21" hidden="1" customHeight="1" x14ac:dyDescent="0.35">
      <c r="A2378" s="83" t="str">
        <f>IF($AA2376=0,"","ORIGINAL EUR")</f>
        <v/>
      </c>
      <c r="B2378" s="39"/>
      <c r="C2378" s="39"/>
      <c r="D2378" s="39"/>
      <c r="E2378" s="39"/>
      <c r="F2378" s="39"/>
      <c r="G2378" s="39"/>
      <c r="I2378" s="83" t="str">
        <f>IF($AA2376=0,"","LATEST EUR")</f>
        <v/>
      </c>
      <c r="J2378" s="39"/>
      <c r="K2378" s="39"/>
      <c r="L2378" s="39"/>
      <c r="M2378" s="39"/>
      <c r="N2378" s="39"/>
      <c r="O2378" s="39"/>
      <c r="Q2378" s="83" t="str">
        <f>IF($AA2376=0,"","SAVED EUR")</f>
        <v/>
      </c>
      <c r="R2378" s="39"/>
      <c r="S2378" s="39"/>
      <c r="T2378" s="39"/>
      <c r="U2378" s="39"/>
      <c r="V2378" s="39"/>
    </row>
    <row r="2379" spans="1:27" ht="21" hidden="1" customHeight="1" x14ac:dyDescent="0.35">
      <c r="A2379" s="82" t="str">
        <f>IF($AA2376=0,"",IF(LEN(INDEX(Quotes!$AB$9:$AB$258,$AA2376)&amp;"")=0,"",INDEX(Quotes!$AB$9:$AB$258,$AA2376)))</f>
        <v/>
      </c>
      <c r="B2379" s="39"/>
      <c r="C2379" s="39"/>
      <c r="D2379" s="39"/>
      <c r="E2379" s="39"/>
      <c r="F2379" s="39"/>
      <c r="G2379" s="39"/>
      <c r="I2379" s="82" t="str">
        <f>IF($AA2376=0,"",IF(LEN(INDEX(Quotes!$AD$9:$AD$258,$AA2376)&amp;"")=0,"",INDEX(Quotes!$AD$9:$AD$258,$AA2376)))</f>
        <v/>
      </c>
      <c r="J2379" s="39"/>
      <c r="K2379" s="39"/>
      <c r="L2379" s="39"/>
      <c r="M2379" s="39"/>
      <c r="N2379" s="39"/>
      <c r="O2379" s="39"/>
      <c r="Q2379" s="82" t="str">
        <f>IF($AA2376=0,"",IF(LEN(INDEX(Quotes!$AF$9:$AF$258,$AA2376)&amp;"")=0,"",INDEX(Quotes!$AF$9:$AF$258,$AA2376)))</f>
        <v/>
      </c>
      <c r="R2379" s="39"/>
      <c r="S2379" s="39"/>
      <c r="T2379" s="39"/>
      <c r="U2379" s="39"/>
      <c r="V2379" s="39"/>
    </row>
    <row r="2380" spans="1:27" ht="21" hidden="1" customHeight="1" x14ac:dyDescent="0.35">
      <c r="A2380" s="48" t="str">
        <f>IF($AA2376=0,"","Reference: "&amp;IF(INDEX(Quotes!$M$9:$M$258,$AA2376)="",INDEX(Quotes!$S$9:$S$258,$AA2376),INDEX(Quotes!$M$9:$M$258,$AA2376)))</f>
        <v/>
      </c>
      <c r="B2380" s="39"/>
      <c r="C2380" s="39"/>
      <c r="D2380" s="39"/>
      <c r="E2380" s="39"/>
      <c r="F2380" s="39"/>
      <c r="G2380" s="39"/>
      <c r="H2380" s="39"/>
      <c r="I2380" s="39"/>
      <c r="J2380" s="39"/>
      <c r="K2380" s="39"/>
      <c r="L2380" s="39"/>
      <c r="M2380" s="39"/>
      <c r="N2380" s="39"/>
      <c r="O2380" s="39"/>
      <c r="P2380" s="39"/>
      <c r="Q2380" s="48" t="str">
        <f>IF($AA2376=0,"",INDEX(Quotes!$E$9:$E$258,$AA2376))</f>
        <v/>
      </c>
      <c r="R2380" s="39"/>
      <c r="S2380" s="39"/>
      <c r="T2380" s="39"/>
      <c r="U2380" s="39"/>
      <c r="V2380" s="39"/>
    </row>
    <row r="2381" spans="1:27" ht="21" hidden="1" customHeight="1" x14ac:dyDescent="0.35">
      <c r="A2381" s="81" t="str">
        <f>IF($AA2376=0,"",IF(INDEX(Quotes!$N$9:$N$258,$AA2376)="","No original link","Original quote"))</f>
        <v/>
      </c>
      <c r="B2381" s="39"/>
      <c r="C2381" s="39"/>
      <c r="D2381" s="39"/>
      <c r="E2381" s="39"/>
      <c r="F2381" s="39"/>
      <c r="G2381" s="39"/>
      <c r="I2381" s="81" t="str">
        <f>IF($AA2376=0,"",IF(INDEX(Quotes!$O$9:$O$258,$AA2376)="","No revised link","Revised quote"))</f>
        <v/>
      </c>
      <c r="J2381" s="39"/>
      <c r="K2381" s="39"/>
      <c r="L2381" s="39"/>
      <c r="M2381" s="39"/>
      <c r="N2381" s="39"/>
      <c r="O2381" s="39"/>
      <c r="Q2381" s="81" t="str">
        <f>IF($AA2376=0,"",HYPERLINK("#'Quotes'!A"&amp;($AA2376+8),"Open quote record"))</f>
        <v/>
      </c>
      <c r="R2381" s="39"/>
      <c r="S2381" s="39"/>
      <c r="T2381" s="39"/>
      <c r="U2381" s="39"/>
      <c r="V2381" s="39"/>
    </row>
    <row r="2382" spans="1:27" ht="21" hidden="1" customHeight="1" x14ac:dyDescent="0.35"/>
    <row r="2383" spans="1:27" hidden="1" x14ac:dyDescent="0.35"/>
    <row r="2384" spans="1:27" hidden="1" x14ac:dyDescent="0.35"/>
    <row r="2385" spans="1:27" ht="29" hidden="1" customHeight="1" x14ac:dyDescent="0.35">
      <c r="A2385" s="84" t="str">
        <f>IF($AA2385=0,"",IF(LEN(INDEX(Quotes!$U$9:$U$258,$AA2385)&amp;"")=0,"",INDEX(Quotes!$U$9:$U$258,$AA2385)))</f>
        <v/>
      </c>
      <c r="B2385" s="39"/>
      <c r="C2385" s="39"/>
      <c r="D2385" s="39"/>
      <c r="E2385" s="39"/>
      <c r="F2385" s="39"/>
      <c r="G2385" s="39"/>
      <c r="H2385" s="39"/>
      <c r="I2385" s="39"/>
      <c r="J2385" s="39"/>
      <c r="K2385" s="85" t="str">
        <f>IF($AA2385=0,"",IF(LEN(INDEX(Quotes!$Z$9:$Z$258,$AA2385)&amp;"")=0,"",INDEX(Quotes!$Z$9:$Z$258,$AA2385)))</f>
        <v/>
      </c>
      <c r="L2385" s="39"/>
      <c r="M2385" s="39"/>
      <c r="N2385" s="39"/>
      <c r="O2385" s="39"/>
      <c r="P2385" s="39"/>
      <c r="Q2385" s="39"/>
      <c r="R2385" s="39"/>
      <c r="S2385" s="39"/>
      <c r="T2385" s="39"/>
      <c r="U2385" s="39"/>
      <c r="V2385" s="39"/>
      <c r="AA2385">
        <f>IFERROR(MATCH(248,Quotes!$AK$9:$AK$258,0),0)</f>
        <v>0</v>
      </c>
    </row>
    <row r="2386" spans="1:27" ht="21" hidden="1" customHeight="1" x14ac:dyDescent="0.35">
      <c r="A2386" s="40" t="str">
        <f>IF($AA2385=0,"",IF(LEN(INDEX(Quotes!$V$9:$V$258,$AA2385)&amp;"")=0,"",INDEX(Quotes!$V$9:$V$258,$AA2385)))</f>
        <v/>
      </c>
      <c r="B2386" s="39"/>
      <c r="C2386" s="39"/>
      <c r="D2386" s="39"/>
      <c r="E2386" s="39"/>
      <c r="F2386" s="39"/>
      <c r="G2386" s="39"/>
      <c r="H2386" s="40" t="str">
        <f>IF($AA2385=0,"",IF(LEN(INDEX(Quotes!$W$9:$W$258,$AA2385)&amp;"")=0,"",INDEX(Quotes!$W$9:$W$258,$AA2385)))</f>
        <v/>
      </c>
      <c r="I2386" s="39"/>
      <c r="J2386" s="39"/>
      <c r="K2386" s="39"/>
      <c r="L2386" s="39"/>
      <c r="M2386" s="39"/>
      <c r="N2386" s="39"/>
      <c r="O2386" s="39"/>
      <c r="P2386" s="39"/>
      <c r="Q2386" s="39"/>
      <c r="R2386" s="77" t="str">
        <f>IF($AA2385=0,"",IF(LEN(INDEX(Quotes!$X$9:$X$258,$AA2385)&amp;"")=0,"",INDEX(Quotes!$X$9:$X$258,$AA2385)))</f>
        <v/>
      </c>
      <c r="S2386" s="39"/>
      <c r="T2386" s="39"/>
      <c r="U2386" s="39"/>
      <c r="V2386" s="39"/>
    </row>
    <row r="2387" spans="1:27" ht="21" hidden="1" customHeight="1" x14ac:dyDescent="0.35">
      <c r="A2387" s="83" t="str">
        <f>IF($AA2385=0,"","ORIGINAL EUR")</f>
        <v/>
      </c>
      <c r="B2387" s="39"/>
      <c r="C2387" s="39"/>
      <c r="D2387" s="39"/>
      <c r="E2387" s="39"/>
      <c r="F2387" s="39"/>
      <c r="G2387" s="39"/>
      <c r="I2387" s="83" t="str">
        <f>IF($AA2385=0,"","LATEST EUR")</f>
        <v/>
      </c>
      <c r="J2387" s="39"/>
      <c r="K2387" s="39"/>
      <c r="L2387" s="39"/>
      <c r="M2387" s="39"/>
      <c r="N2387" s="39"/>
      <c r="O2387" s="39"/>
      <c r="Q2387" s="83" t="str">
        <f>IF($AA2385=0,"","SAVED EUR")</f>
        <v/>
      </c>
      <c r="R2387" s="39"/>
      <c r="S2387" s="39"/>
      <c r="T2387" s="39"/>
      <c r="U2387" s="39"/>
      <c r="V2387" s="39"/>
    </row>
    <row r="2388" spans="1:27" ht="21" hidden="1" customHeight="1" x14ac:dyDescent="0.35">
      <c r="A2388" s="82" t="str">
        <f>IF($AA2385=0,"",IF(LEN(INDEX(Quotes!$AB$9:$AB$258,$AA2385)&amp;"")=0,"",INDEX(Quotes!$AB$9:$AB$258,$AA2385)))</f>
        <v/>
      </c>
      <c r="B2388" s="39"/>
      <c r="C2388" s="39"/>
      <c r="D2388" s="39"/>
      <c r="E2388" s="39"/>
      <c r="F2388" s="39"/>
      <c r="G2388" s="39"/>
      <c r="I2388" s="82" t="str">
        <f>IF($AA2385=0,"",IF(LEN(INDEX(Quotes!$AD$9:$AD$258,$AA2385)&amp;"")=0,"",INDEX(Quotes!$AD$9:$AD$258,$AA2385)))</f>
        <v/>
      </c>
      <c r="J2388" s="39"/>
      <c r="K2388" s="39"/>
      <c r="L2388" s="39"/>
      <c r="M2388" s="39"/>
      <c r="N2388" s="39"/>
      <c r="O2388" s="39"/>
      <c r="Q2388" s="82" t="str">
        <f>IF($AA2385=0,"",IF(LEN(INDEX(Quotes!$AF$9:$AF$258,$AA2385)&amp;"")=0,"",INDEX(Quotes!$AF$9:$AF$258,$AA2385)))</f>
        <v/>
      </c>
      <c r="R2388" s="39"/>
      <c r="S2388" s="39"/>
      <c r="T2388" s="39"/>
      <c r="U2388" s="39"/>
      <c r="V2388" s="39"/>
    </row>
    <row r="2389" spans="1:27" ht="21" hidden="1" customHeight="1" x14ac:dyDescent="0.35">
      <c r="A2389" s="48" t="str">
        <f>IF($AA2385=0,"","Reference: "&amp;IF(INDEX(Quotes!$M$9:$M$258,$AA2385)="",INDEX(Quotes!$S$9:$S$258,$AA2385),INDEX(Quotes!$M$9:$M$258,$AA2385)))</f>
        <v/>
      </c>
      <c r="B2389" s="39"/>
      <c r="C2389" s="39"/>
      <c r="D2389" s="39"/>
      <c r="E2389" s="39"/>
      <c r="F2389" s="39"/>
      <c r="G2389" s="39"/>
      <c r="H2389" s="39"/>
      <c r="I2389" s="39"/>
      <c r="J2389" s="39"/>
      <c r="K2389" s="39"/>
      <c r="L2389" s="39"/>
      <c r="M2389" s="39"/>
      <c r="N2389" s="39"/>
      <c r="O2389" s="39"/>
      <c r="P2389" s="39"/>
      <c r="Q2389" s="48" t="str">
        <f>IF($AA2385=0,"",INDEX(Quotes!$E$9:$E$258,$AA2385))</f>
        <v/>
      </c>
      <c r="R2389" s="39"/>
      <c r="S2389" s="39"/>
      <c r="T2389" s="39"/>
      <c r="U2389" s="39"/>
      <c r="V2389" s="39"/>
    </row>
    <row r="2390" spans="1:27" ht="21" hidden="1" customHeight="1" x14ac:dyDescent="0.35">
      <c r="A2390" s="81" t="str">
        <f>IF($AA2385=0,"",IF(INDEX(Quotes!$N$9:$N$258,$AA2385)="","No original link","Original quote"))</f>
        <v/>
      </c>
      <c r="B2390" s="39"/>
      <c r="C2390" s="39"/>
      <c r="D2390" s="39"/>
      <c r="E2390" s="39"/>
      <c r="F2390" s="39"/>
      <c r="G2390" s="39"/>
      <c r="I2390" s="81" t="str">
        <f>IF($AA2385=0,"",IF(INDEX(Quotes!$O$9:$O$258,$AA2385)="","No revised link","Revised quote"))</f>
        <v/>
      </c>
      <c r="J2390" s="39"/>
      <c r="K2390" s="39"/>
      <c r="L2390" s="39"/>
      <c r="M2390" s="39"/>
      <c r="N2390" s="39"/>
      <c r="O2390" s="39"/>
      <c r="Q2390" s="81" t="str">
        <f>IF($AA2385=0,"",HYPERLINK("#'Quotes'!A"&amp;($AA2385+8),"Open quote record"))</f>
        <v/>
      </c>
      <c r="R2390" s="39"/>
      <c r="S2390" s="39"/>
      <c r="T2390" s="39"/>
      <c r="U2390" s="39"/>
      <c r="V2390" s="39"/>
    </row>
    <row r="2391" spans="1:27" ht="21" hidden="1" customHeight="1" x14ac:dyDescent="0.35"/>
    <row r="2392" spans="1:27" hidden="1" x14ac:dyDescent="0.35"/>
    <row r="2393" spans="1:27" hidden="1" x14ac:dyDescent="0.35"/>
    <row r="2394" spans="1:27" hidden="1" x14ac:dyDescent="0.35"/>
    <row r="2395" spans="1:27" hidden="1" x14ac:dyDescent="0.35">
      <c r="A2395" s="67" t="s">
        <v>655</v>
      </c>
      <c r="B2395" s="39"/>
      <c r="C2395" s="39"/>
      <c r="D2395" s="39"/>
      <c r="E2395" s="39"/>
      <c r="F2395" s="39"/>
      <c r="G2395" s="39"/>
      <c r="H2395" s="39"/>
      <c r="I2395" s="39"/>
      <c r="J2395" s="39"/>
      <c r="K2395" s="39"/>
      <c r="L2395" s="39"/>
      <c r="M2395" s="39"/>
      <c r="N2395" s="39"/>
      <c r="O2395" s="39"/>
      <c r="P2395" s="39"/>
      <c r="Q2395" s="39"/>
      <c r="R2395" s="39"/>
      <c r="S2395" s="39"/>
      <c r="T2395" s="39"/>
      <c r="U2395" s="39"/>
      <c r="V2395" s="39"/>
    </row>
    <row r="2396" spans="1:27" ht="29" hidden="1" customHeight="1" x14ac:dyDescent="0.35">
      <c r="A2396" s="84" t="str">
        <f>IF($AA2396=0,"",IF(LEN(INDEX(Quotes!$U$9:$U$258,$AA2396)&amp;"")=0,"",INDEX(Quotes!$U$9:$U$258,$AA2396)))</f>
        <v/>
      </c>
      <c r="B2396" s="39"/>
      <c r="C2396" s="39"/>
      <c r="D2396" s="39"/>
      <c r="E2396" s="39"/>
      <c r="F2396" s="39"/>
      <c r="G2396" s="39"/>
      <c r="H2396" s="39"/>
      <c r="I2396" s="39"/>
      <c r="J2396" s="39"/>
      <c r="K2396" s="85" t="str">
        <f>IF($AA2396=0,"",IF(LEN(INDEX(Quotes!$Z$9:$Z$258,$AA2396)&amp;"")=0,"",INDEX(Quotes!$Z$9:$Z$258,$AA2396)))</f>
        <v/>
      </c>
      <c r="L2396" s="39"/>
      <c r="M2396" s="39"/>
      <c r="N2396" s="39"/>
      <c r="O2396" s="39"/>
      <c r="P2396" s="39"/>
      <c r="Q2396" s="39"/>
      <c r="R2396" s="39"/>
      <c r="S2396" s="39"/>
      <c r="T2396" s="39"/>
      <c r="U2396" s="39"/>
      <c r="V2396" s="39"/>
      <c r="AA2396">
        <f>IFERROR(MATCH(249,Quotes!$AK$9:$AK$258,0),0)</f>
        <v>0</v>
      </c>
    </row>
    <row r="2397" spans="1:27" ht="21" hidden="1" customHeight="1" x14ac:dyDescent="0.35">
      <c r="A2397" s="40" t="str">
        <f>IF($AA2396=0,"",IF(LEN(INDEX(Quotes!$V$9:$V$258,$AA2396)&amp;"")=0,"",INDEX(Quotes!$V$9:$V$258,$AA2396)))</f>
        <v/>
      </c>
      <c r="B2397" s="39"/>
      <c r="C2397" s="39"/>
      <c r="D2397" s="39"/>
      <c r="E2397" s="39"/>
      <c r="F2397" s="39"/>
      <c r="G2397" s="39"/>
      <c r="H2397" s="40" t="str">
        <f>IF($AA2396=0,"",IF(LEN(INDEX(Quotes!$W$9:$W$258,$AA2396)&amp;"")=0,"",INDEX(Quotes!$W$9:$W$258,$AA2396)))</f>
        <v/>
      </c>
      <c r="I2397" s="39"/>
      <c r="J2397" s="39"/>
      <c r="K2397" s="39"/>
      <c r="L2397" s="39"/>
      <c r="M2397" s="39"/>
      <c r="N2397" s="39"/>
      <c r="O2397" s="39"/>
      <c r="P2397" s="39"/>
      <c r="Q2397" s="39"/>
      <c r="R2397" s="77" t="str">
        <f>IF($AA2396=0,"",IF(LEN(INDEX(Quotes!$X$9:$X$258,$AA2396)&amp;"")=0,"",INDEX(Quotes!$X$9:$X$258,$AA2396)))</f>
        <v/>
      </c>
      <c r="S2397" s="39"/>
      <c r="T2397" s="39"/>
      <c r="U2397" s="39"/>
      <c r="V2397" s="39"/>
    </row>
    <row r="2398" spans="1:27" ht="21" hidden="1" customHeight="1" x14ac:dyDescent="0.35">
      <c r="A2398" s="83" t="str">
        <f>IF($AA2396=0,"","ORIGINAL EUR")</f>
        <v/>
      </c>
      <c r="B2398" s="39"/>
      <c r="C2398" s="39"/>
      <c r="D2398" s="39"/>
      <c r="E2398" s="39"/>
      <c r="F2398" s="39"/>
      <c r="G2398" s="39"/>
      <c r="I2398" s="83" t="str">
        <f>IF($AA2396=0,"","LATEST EUR")</f>
        <v/>
      </c>
      <c r="J2398" s="39"/>
      <c r="K2398" s="39"/>
      <c r="L2398" s="39"/>
      <c r="M2398" s="39"/>
      <c r="N2398" s="39"/>
      <c r="O2398" s="39"/>
      <c r="Q2398" s="83" t="str">
        <f>IF($AA2396=0,"","SAVED EUR")</f>
        <v/>
      </c>
      <c r="R2398" s="39"/>
      <c r="S2398" s="39"/>
      <c r="T2398" s="39"/>
      <c r="U2398" s="39"/>
      <c r="V2398" s="39"/>
    </row>
    <row r="2399" spans="1:27" ht="21" hidden="1" customHeight="1" x14ac:dyDescent="0.35">
      <c r="A2399" s="82" t="str">
        <f>IF($AA2396=0,"",IF(LEN(INDEX(Quotes!$AB$9:$AB$258,$AA2396)&amp;"")=0,"",INDEX(Quotes!$AB$9:$AB$258,$AA2396)))</f>
        <v/>
      </c>
      <c r="B2399" s="39"/>
      <c r="C2399" s="39"/>
      <c r="D2399" s="39"/>
      <c r="E2399" s="39"/>
      <c r="F2399" s="39"/>
      <c r="G2399" s="39"/>
      <c r="I2399" s="82" t="str">
        <f>IF($AA2396=0,"",IF(LEN(INDEX(Quotes!$AD$9:$AD$258,$AA2396)&amp;"")=0,"",INDEX(Quotes!$AD$9:$AD$258,$AA2396)))</f>
        <v/>
      </c>
      <c r="J2399" s="39"/>
      <c r="K2399" s="39"/>
      <c r="L2399" s="39"/>
      <c r="M2399" s="39"/>
      <c r="N2399" s="39"/>
      <c r="O2399" s="39"/>
      <c r="Q2399" s="82" t="str">
        <f>IF($AA2396=0,"",IF(LEN(INDEX(Quotes!$AF$9:$AF$258,$AA2396)&amp;"")=0,"",INDEX(Quotes!$AF$9:$AF$258,$AA2396)))</f>
        <v/>
      </c>
      <c r="R2399" s="39"/>
      <c r="S2399" s="39"/>
      <c r="T2399" s="39"/>
      <c r="U2399" s="39"/>
      <c r="V2399" s="39"/>
    </row>
    <row r="2400" spans="1:27" ht="21" hidden="1" customHeight="1" x14ac:dyDescent="0.35">
      <c r="A2400" s="48" t="str">
        <f>IF($AA2396=0,"","Reference: "&amp;IF(INDEX(Quotes!$M$9:$M$258,$AA2396)="",INDEX(Quotes!$S$9:$S$258,$AA2396),INDEX(Quotes!$M$9:$M$258,$AA2396)))</f>
        <v/>
      </c>
      <c r="B2400" s="39"/>
      <c r="C2400" s="39"/>
      <c r="D2400" s="39"/>
      <c r="E2400" s="39"/>
      <c r="F2400" s="39"/>
      <c r="G2400" s="39"/>
      <c r="H2400" s="39"/>
      <c r="I2400" s="39"/>
      <c r="J2400" s="39"/>
      <c r="K2400" s="39"/>
      <c r="L2400" s="39"/>
      <c r="M2400" s="39"/>
      <c r="N2400" s="39"/>
      <c r="O2400" s="39"/>
      <c r="P2400" s="39"/>
      <c r="Q2400" s="48" t="str">
        <f>IF($AA2396=0,"",INDEX(Quotes!$E$9:$E$258,$AA2396))</f>
        <v/>
      </c>
      <c r="R2400" s="39"/>
      <c r="S2400" s="39"/>
      <c r="T2400" s="39"/>
      <c r="U2400" s="39"/>
      <c r="V2400" s="39"/>
    </row>
    <row r="2401" spans="1:27" ht="21" hidden="1" customHeight="1" x14ac:dyDescent="0.35">
      <c r="A2401" s="81" t="str">
        <f>IF($AA2396=0,"",IF(INDEX(Quotes!$N$9:$N$258,$AA2396)="","No original link","Original quote"))</f>
        <v/>
      </c>
      <c r="B2401" s="39"/>
      <c r="C2401" s="39"/>
      <c r="D2401" s="39"/>
      <c r="E2401" s="39"/>
      <c r="F2401" s="39"/>
      <c r="G2401" s="39"/>
      <c r="I2401" s="81" t="str">
        <f>IF($AA2396=0,"",IF(INDEX(Quotes!$O$9:$O$258,$AA2396)="","No revised link","Revised quote"))</f>
        <v/>
      </c>
      <c r="J2401" s="39"/>
      <c r="K2401" s="39"/>
      <c r="L2401" s="39"/>
      <c r="M2401" s="39"/>
      <c r="N2401" s="39"/>
      <c r="O2401" s="39"/>
      <c r="Q2401" s="81" t="str">
        <f>IF($AA2396=0,"",HYPERLINK("#'Quotes'!A"&amp;($AA2396+8),"Open quote record"))</f>
        <v/>
      </c>
      <c r="R2401" s="39"/>
      <c r="S2401" s="39"/>
      <c r="T2401" s="39"/>
      <c r="U2401" s="39"/>
      <c r="V2401" s="39"/>
    </row>
    <row r="2402" spans="1:27" ht="21" hidden="1" customHeight="1" x14ac:dyDescent="0.35"/>
    <row r="2403" spans="1:27" hidden="1" x14ac:dyDescent="0.35"/>
    <row r="2404" spans="1:27" hidden="1" x14ac:dyDescent="0.35"/>
    <row r="2405" spans="1:27" ht="29" hidden="1" customHeight="1" x14ac:dyDescent="0.35">
      <c r="A2405" s="84" t="str">
        <f>IF($AA2405=0,"",IF(LEN(INDEX(Quotes!$U$9:$U$258,$AA2405)&amp;"")=0,"",INDEX(Quotes!$U$9:$U$258,$AA2405)))</f>
        <v/>
      </c>
      <c r="B2405" s="39"/>
      <c r="C2405" s="39"/>
      <c r="D2405" s="39"/>
      <c r="E2405" s="39"/>
      <c r="F2405" s="39"/>
      <c r="G2405" s="39"/>
      <c r="H2405" s="39"/>
      <c r="I2405" s="39"/>
      <c r="J2405" s="39"/>
      <c r="K2405" s="85" t="str">
        <f>IF($AA2405=0,"",IF(LEN(INDEX(Quotes!$Z$9:$Z$258,$AA2405)&amp;"")=0,"",INDEX(Quotes!$Z$9:$Z$258,$AA2405)))</f>
        <v/>
      </c>
      <c r="L2405" s="39"/>
      <c r="M2405" s="39"/>
      <c r="N2405" s="39"/>
      <c r="O2405" s="39"/>
      <c r="P2405" s="39"/>
      <c r="Q2405" s="39"/>
      <c r="R2405" s="39"/>
      <c r="S2405" s="39"/>
      <c r="T2405" s="39"/>
      <c r="U2405" s="39"/>
      <c r="V2405" s="39"/>
      <c r="AA2405">
        <f>IFERROR(MATCH(250,Quotes!$AK$9:$AK$258,0),0)</f>
        <v>0</v>
      </c>
    </row>
    <row r="2406" spans="1:27" ht="21" hidden="1" customHeight="1" x14ac:dyDescent="0.35">
      <c r="A2406" s="40" t="str">
        <f>IF($AA2405=0,"",IF(LEN(INDEX(Quotes!$V$9:$V$258,$AA2405)&amp;"")=0,"",INDEX(Quotes!$V$9:$V$258,$AA2405)))</f>
        <v/>
      </c>
      <c r="B2406" s="39"/>
      <c r="C2406" s="39"/>
      <c r="D2406" s="39"/>
      <c r="E2406" s="39"/>
      <c r="F2406" s="39"/>
      <c r="G2406" s="39"/>
      <c r="H2406" s="40" t="str">
        <f>IF($AA2405=0,"",IF(LEN(INDEX(Quotes!$W$9:$W$258,$AA2405)&amp;"")=0,"",INDEX(Quotes!$W$9:$W$258,$AA2405)))</f>
        <v/>
      </c>
      <c r="I2406" s="39"/>
      <c r="J2406" s="39"/>
      <c r="K2406" s="39"/>
      <c r="L2406" s="39"/>
      <c r="M2406" s="39"/>
      <c r="N2406" s="39"/>
      <c r="O2406" s="39"/>
      <c r="P2406" s="39"/>
      <c r="Q2406" s="39"/>
      <c r="R2406" s="77" t="str">
        <f>IF($AA2405=0,"",IF(LEN(INDEX(Quotes!$X$9:$X$258,$AA2405)&amp;"")=0,"",INDEX(Quotes!$X$9:$X$258,$AA2405)))</f>
        <v/>
      </c>
      <c r="S2406" s="39"/>
      <c r="T2406" s="39"/>
      <c r="U2406" s="39"/>
      <c r="V2406" s="39"/>
    </row>
    <row r="2407" spans="1:27" ht="21" hidden="1" customHeight="1" x14ac:dyDescent="0.35">
      <c r="A2407" s="83" t="str">
        <f>IF($AA2405=0,"","ORIGINAL EUR")</f>
        <v/>
      </c>
      <c r="B2407" s="39"/>
      <c r="C2407" s="39"/>
      <c r="D2407" s="39"/>
      <c r="E2407" s="39"/>
      <c r="F2407" s="39"/>
      <c r="G2407" s="39"/>
      <c r="I2407" s="83" t="str">
        <f>IF($AA2405=0,"","LATEST EUR")</f>
        <v/>
      </c>
      <c r="J2407" s="39"/>
      <c r="K2407" s="39"/>
      <c r="L2407" s="39"/>
      <c r="M2407" s="39"/>
      <c r="N2407" s="39"/>
      <c r="O2407" s="39"/>
      <c r="Q2407" s="83" t="str">
        <f>IF($AA2405=0,"","SAVED EUR")</f>
        <v/>
      </c>
      <c r="R2407" s="39"/>
      <c r="S2407" s="39"/>
      <c r="T2407" s="39"/>
      <c r="U2407" s="39"/>
      <c r="V2407" s="39"/>
    </row>
    <row r="2408" spans="1:27" ht="21" hidden="1" customHeight="1" x14ac:dyDescent="0.35">
      <c r="A2408" s="82" t="str">
        <f>IF($AA2405=0,"",IF(LEN(INDEX(Quotes!$AB$9:$AB$258,$AA2405)&amp;"")=0,"",INDEX(Quotes!$AB$9:$AB$258,$AA2405)))</f>
        <v/>
      </c>
      <c r="B2408" s="39"/>
      <c r="C2408" s="39"/>
      <c r="D2408" s="39"/>
      <c r="E2408" s="39"/>
      <c r="F2408" s="39"/>
      <c r="G2408" s="39"/>
      <c r="I2408" s="82" t="str">
        <f>IF($AA2405=0,"",IF(LEN(INDEX(Quotes!$AD$9:$AD$258,$AA2405)&amp;"")=0,"",INDEX(Quotes!$AD$9:$AD$258,$AA2405)))</f>
        <v/>
      </c>
      <c r="J2408" s="39"/>
      <c r="K2408" s="39"/>
      <c r="L2408" s="39"/>
      <c r="M2408" s="39"/>
      <c r="N2408" s="39"/>
      <c r="O2408" s="39"/>
      <c r="Q2408" s="82" t="str">
        <f>IF($AA2405=0,"",IF(LEN(INDEX(Quotes!$AF$9:$AF$258,$AA2405)&amp;"")=0,"",INDEX(Quotes!$AF$9:$AF$258,$AA2405)))</f>
        <v/>
      </c>
      <c r="R2408" s="39"/>
      <c r="S2408" s="39"/>
      <c r="T2408" s="39"/>
      <c r="U2408" s="39"/>
      <c r="V2408" s="39"/>
    </row>
    <row r="2409" spans="1:27" ht="21" hidden="1" customHeight="1" x14ac:dyDescent="0.35">
      <c r="A2409" s="48" t="str">
        <f>IF($AA2405=0,"","Reference: "&amp;IF(INDEX(Quotes!$M$9:$M$258,$AA2405)="",INDEX(Quotes!$S$9:$S$258,$AA2405),INDEX(Quotes!$M$9:$M$258,$AA2405)))</f>
        <v/>
      </c>
      <c r="B2409" s="39"/>
      <c r="C2409" s="39"/>
      <c r="D2409" s="39"/>
      <c r="E2409" s="39"/>
      <c r="F2409" s="39"/>
      <c r="G2409" s="39"/>
      <c r="H2409" s="39"/>
      <c r="I2409" s="39"/>
      <c r="J2409" s="39"/>
      <c r="K2409" s="39"/>
      <c r="L2409" s="39"/>
      <c r="M2409" s="39"/>
      <c r="N2409" s="39"/>
      <c r="O2409" s="39"/>
      <c r="P2409" s="39"/>
      <c r="Q2409" s="48" t="str">
        <f>IF($AA2405=0,"",INDEX(Quotes!$E$9:$E$258,$AA2405))</f>
        <v/>
      </c>
      <c r="R2409" s="39"/>
      <c r="S2409" s="39"/>
      <c r="T2409" s="39"/>
      <c r="U2409" s="39"/>
      <c r="V2409" s="39"/>
    </row>
    <row r="2410" spans="1:27" ht="21" hidden="1" customHeight="1" x14ac:dyDescent="0.35">
      <c r="A2410" s="81" t="str">
        <f>IF($AA2405=0,"",IF(INDEX(Quotes!$N$9:$N$258,$AA2405)="","No original link","Original quote"))</f>
        <v/>
      </c>
      <c r="B2410" s="39"/>
      <c r="C2410" s="39"/>
      <c r="D2410" s="39"/>
      <c r="E2410" s="39"/>
      <c r="F2410" s="39"/>
      <c r="G2410" s="39"/>
      <c r="I2410" s="81" t="str">
        <f>IF($AA2405=0,"",IF(INDEX(Quotes!$O$9:$O$258,$AA2405)="","No revised link","Revised quote"))</f>
        <v/>
      </c>
      <c r="J2410" s="39"/>
      <c r="K2410" s="39"/>
      <c r="L2410" s="39"/>
      <c r="M2410" s="39"/>
      <c r="N2410" s="39"/>
      <c r="O2410" s="39"/>
      <c r="Q2410" s="81" t="str">
        <f>IF($AA2405=0,"",HYPERLINK("#'Quotes'!A"&amp;($AA2405+8),"Open quote record"))</f>
        <v/>
      </c>
      <c r="R2410" s="39"/>
      <c r="S2410" s="39"/>
      <c r="T2410" s="39"/>
      <c r="U2410" s="39"/>
      <c r="V2410" s="39"/>
    </row>
    <row r="2411" spans="1:27" ht="21" customHeight="1" x14ac:dyDescent="0.35"/>
  </sheetData>
  <sheetProtection password="8651" sheet="1" autoFilter="0"/>
  <mergeCells count="4133">
    <mergeCell ref="Q19:V19"/>
    <mergeCell ref="I1154:O1154"/>
    <mergeCell ref="I697:O697"/>
    <mergeCell ref="R600:V600"/>
    <mergeCell ref="K610:V610"/>
    <mergeCell ref="I691:O691"/>
    <mergeCell ref="A765:G765"/>
    <mergeCell ref="A1069:G1069"/>
    <mergeCell ref="Q1232:V1232"/>
    <mergeCell ref="A2122:G2122"/>
    <mergeCell ref="I849:O849"/>
    <mergeCell ref="I2179:O2179"/>
    <mergeCell ref="R2082:V2082"/>
    <mergeCell ref="I270:O270"/>
    <mergeCell ref="A1221:G1221"/>
    <mergeCell ref="Q805:V805"/>
    <mergeCell ref="K979:V979"/>
    <mergeCell ref="Q44:V44"/>
    <mergeCell ref="I1752:O1752"/>
    <mergeCell ref="A2124:G2124"/>
    <mergeCell ref="Q919:V919"/>
    <mergeCell ref="I394:O394"/>
    <mergeCell ref="K552:V552"/>
    <mergeCell ref="H1389:Q1389"/>
    <mergeCell ref="K666:V666"/>
    <mergeCell ref="K1996:V1996"/>
    <mergeCell ref="A2053:V2053"/>
    <mergeCell ref="Q1534:V1534"/>
    <mergeCell ref="Q45:V45"/>
    <mergeCell ref="A129:P129"/>
    <mergeCell ref="K999:V999"/>
    <mergeCell ref="I1384:O1384"/>
    <mergeCell ref="Q63:V63"/>
    <mergeCell ref="A52:G52"/>
    <mergeCell ref="Q72:V72"/>
    <mergeCell ref="A877:G877"/>
    <mergeCell ref="Q943:V943"/>
    <mergeCell ref="I1592:O1592"/>
    <mergeCell ref="R1038:V1038"/>
    <mergeCell ref="K1967:V1967"/>
    <mergeCell ref="A738:G738"/>
    <mergeCell ref="Q2173:V2173"/>
    <mergeCell ref="Q774:V774"/>
    <mergeCell ref="A852:G852"/>
    <mergeCell ref="A343:V343"/>
    <mergeCell ref="Q585:V585"/>
    <mergeCell ref="K637:V637"/>
    <mergeCell ref="H144:Q144"/>
    <mergeCell ref="A144:G144"/>
    <mergeCell ref="A496:J496"/>
    <mergeCell ref="A1207:J1207"/>
    <mergeCell ref="A1287:P1287"/>
    <mergeCell ref="Q1893:V1893"/>
    <mergeCell ref="I1136:O1136"/>
    <mergeCell ref="A364:G364"/>
    <mergeCell ref="A83:G83"/>
    <mergeCell ref="I463:O463"/>
    <mergeCell ref="Q1906:V1906"/>
    <mergeCell ref="Q119:V119"/>
    <mergeCell ref="A810:G810"/>
    <mergeCell ref="Q1449:V1449"/>
    <mergeCell ref="A1565:G1565"/>
    <mergeCell ref="K268:V268"/>
    <mergeCell ref="Q548:V548"/>
    <mergeCell ref="H401:Q401"/>
    <mergeCell ref="I1981:O1981"/>
    <mergeCell ref="A383:G383"/>
    <mergeCell ref="A809:J809"/>
    <mergeCell ref="I1524:O1524"/>
    <mergeCell ref="A1902:J1902"/>
    <mergeCell ref="H1883:Q1883"/>
    <mergeCell ref="I738:O738"/>
    <mergeCell ref="Q518:V518"/>
    <mergeCell ref="I412:O412"/>
    <mergeCell ref="H1532:Q1532"/>
    <mergeCell ref="R953:V953"/>
    <mergeCell ref="A1455:J1455"/>
    <mergeCell ref="A1837:G1837"/>
    <mergeCell ref="Q1004:V1004"/>
    <mergeCell ref="H173:Q173"/>
    <mergeCell ref="I1165:O1165"/>
    <mergeCell ref="I1048:O1048"/>
    <mergeCell ref="A1239:G1239"/>
    <mergeCell ref="H1503:Q1503"/>
    <mergeCell ref="I1600:O1600"/>
    <mergeCell ref="A776:G776"/>
    <mergeCell ref="I107:O107"/>
    <mergeCell ref="A479:G479"/>
    <mergeCell ref="A514:J514"/>
    <mergeCell ref="K1455:V1455"/>
    <mergeCell ref="K2282:V2282"/>
    <mergeCell ref="Q1230:V1230"/>
    <mergeCell ref="Q890:V890"/>
    <mergeCell ref="H1143:Q1143"/>
    <mergeCell ref="A2209:G2209"/>
    <mergeCell ref="K2358:V2358"/>
    <mergeCell ref="A481:G481"/>
    <mergeCell ref="A951:V951"/>
    <mergeCell ref="Q1904:V1904"/>
    <mergeCell ref="A1977:V1977"/>
    <mergeCell ref="A510:G510"/>
    <mergeCell ref="Q2219:V2219"/>
    <mergeCell ref="K239:V239"/>
    <mergeCell ref="Q2333:V2333"/>
    <mergeCell ref="Q861:V861"/>
    <mergeCell ref="A1751:G1751"/>
    <mergeCell ref="H372:Q372"/>
    <mergeCell ref="Q546:V546"/>
    <mergeCell ref="Q1914:V1914"/>
    <mergeCell ref="A534:J534"/>
    <mergeCell ref="A2264:G2264"/>
    <mergeCell ref="R2006:V2006"/>
    <mergeCell ref="R2310:V2310"/>
    <mergeCell ref="A1996:J1996"/>
    <mergeCell ref="A1896:G1896"/>
    <mergeCell ref="A576:P576"/>
    <mergeCell ref="A812:G812"/>
    <mergeCell ref="Q2191:V2191"/>
    <mergeCell ref="Q2334:V2334"/>
    <mergeCell ref="Q717:V717"/>
    <mergeCell ref="A728:P728"/>
    <mergeCell ref="A2058:P2058"/>
    <mergeCell ref="A623:P623"/>
    <mergeCell ref="A641:P641"/>
    <mergeCell ref="A707:G707"/>
    <mergeCell ref="I1238:O1238"/>
    <mergeCell ref="H544:Q544"/>
    <mergeCell ref="Q2135:V2135"/>
    <mergeCell ref="A2286:P2286"/>
    <mergeCell ref="A1592:G1592"/>
    <mergeCell ref="Q1609:V1609"/>
    <mergeCell ref="K2177:V2177"/>
    <mergeCell ref="H1637:Q1637"/>
    <mergeCell ref="A1962:P1962"/>
    <mergeCell ref="A1155:P1155"/>
    <mergeCell ref="A1210:G1210"/>
    <mergeCell ref="A1552:G1552"/>
    <mergeCell ref="R620:V620"/>
    <mergeCell ref="A1981:G1981"/>
    <mergeCell ref="A1666:G1666"/>
    <mergeCell ref="Q1886:V1886"/>
    <mergeCell ref="I2197:O2197"/>
    <mergeCell ref="I1382:O1382"/>
    <mergeCell ref="Q1133:V1133"/>
    <mergeCell ref="A2037:G2037"/>
    <mergeCell ref="A1863:V1863"/>
    <mergeCell ref="A980:G980"/>
    <mergeCell ref="I1999:O1999"/>
    <mergeCell ref="A2073:G2073"/>
    <mergeCell ref="A1629:P1629"/>
    <mergeCell ref="R591:V591"/>
    <mergeCell ref="Q803:V803"/>
    <mergeCell ref="R1617:V1617"/>
    <mergeCell ref="A422:G422"/>
    <mergeCell ref="Q2258:V2258"/>
    <mergeCell ref="A500:P500"/>
    <mergeCell ref="A736:G736"/>
    <mergeCell ref="A858:G858"/>
    <mergeCell ref="A1553:P1553"/>
    <mergeCell ref="I820:O820"/>
    <mergeCell ref="I2150:O2150"/>
    <mergeCell ref="I776:O776"/>
    <mergeCell ref="Q1831:V1831"/>
    <mergeCell ref="A850:G850"/>
    <mergeCell ref="A1192:G1192"/>
    <mergeCell ref="A306:J306"/>
    <mergeCell ref="A1636:J1636"/>
    <mergeCell ref="I1267:O1267"/>
    <mergeCell ref="A449:G449"/>
    <mergeCell ref="I1565:O1565"/>
    <mergeCell ref="I1590:O1590"/>
    <mergeCell ref="A878:G878"/>
    <mergeCell ref="A1967:J1967"/>
    <mergeCell ref="K181:V181"/>
    <mergeCell ref="A573:G573"/>
    <mergeCell ref="Q2361:V2361"/>
    <mergeCell ref="Q574:V574"/>
    <mergeCell ref="K286:V286"/>
    <mergeCell ref="A1893:G1893"/>
    <mergeCell ref="Q147:V147"/>
    <mergeCell ref="Q1477:V1477"/>
    <mergeCell ref="H2216:Q2216"/>
    <mergeCell ref="A1173:P1173"/>
    <mergeCell ref="A1495:G1495"/>
    <mergeCell ref="Q1172:V1172"/>
    <mergeCell ref="I1552:O1552"/>
    <mergeCell ref="Q2265:V2265"/>
    <mergeCell ref="H2330:Q2330"/>
    <mergeCell ref="I1089:O1089"/>
    <mergeCell ref="A525:G525"/>
    <mergeCell ref="A1163:G1163"/>
    <mergeCell ref="A1190:G1190"/>
    <mergeCell ref="I783:O783"/>
    <mergeCell ref="I1125:O1125"/>
    <mergeCell ref="Q1960:V1960"/>
    <mergeCell ref="I364:O364"/>
    <mergeCell ref="Q2304:V2304"/>
    <mergeCell ref="A291:G291"/>
    <mergeCell ref="Q517:V517"/>
    <mergeCell ref="A505:J505"/>
    <mergeCell ref="I136:O136"/>
    <mergeCell ref="A1779:G1779"/>
    <mergeCell ref="I434:O434"/>
    <mergeCell ref="Q669:V669"/>
    <mergeCell ref="I1487:O1487"/>
    <mergeCell ref="Q1999:V1999"/>
    <mergeCell ref="A1561:G1561"/>
    <mergeCell ref="Q212:V212"/>
    <mergeCell ref="Q1238:V1238"/>
    <mergeCell ref="I1618:O1618"/>
    <mergeCell ref="A78:J78"/>
    <mergeCell ref="I1916:O1916"/>
    <mergeCell ref="A2396:J2396"/>
    <mergeCell ref="Q498:V498"/>
    <mergeCell ref="K1066:V1066"/>
    <mergeCell ref="Q158:V158"/>
    <mergeCell ref="H1199:Q1199"/>
    <mergeCell ref="Q2162:V2162"/>
    <mergeCell ref="A277:J277"/>
    <mergeCell ref="A581:J581"/>
    <mergeCell ref="Q2284:V2284"/>
    <mergeCell ref="I206:O206"/>
    <mergeCell ref="I510:O510"/>
    <mergeCell ref="Q2276:V2276"/>
    <mergeCell ref="A1637:G1637"/>
    <mergeCell ref="Q804:V804"/>
    <mergeCell ref="I802:O802"/>
    <mergeCell ref="Q489:V489"/>
    <mergeCell ref="I449:O449"/>
    <mergeCell ref="A42:G42"/>
    <mergeCell ref="I1581:O1581"/>
    <mergeCell ref="I642:O642"/>
    <mergeCell ref="A716:G716"/>
    <mergeCell ref="A2046:G2046"/>
    <mergeCell ref="A259:G259"/>
    <mergeCell ref="Q1032:V1032"/>
    <mergeCell ref="K58:V58"/>
    <mergeCell ref="A450:G450"/>
    <mergeCell ref="Q516:V516"/>
    <mergeCell ref="Q814:V814"/>
    <mergeCell ref="K1084:V1084"/>
    <mergeCell ref="K1426:V1426"/>
    <mergeCell ref="Q972:V972"/>
    <mergeCell ref="A295:J295"/>
    <mergeCell ref="K1540:V1540"/>
    <mergeCell ref="A1932:G1932"/>
    <mergeCell ref="Q1401:V1401"/>
    <mergeCell ref="A1536:G1536"/>
    <mergeCell ref="Q61:V61"/>
    <mergeCell ref="K1294:V1294"/>
    <mergeCell ref="Q974:V974"/>
    <mergeCell ref="A154:J154"/>
    <mergeCell ref="R705:V705"/>
    <mergeCell ref="Q1857:V1857"/>
    <mergeCell ref="A1174:G1174"/>
    <mergeCell ref="H1228:Q1228"/>
    <mergeCell ref="A80:G80"/>
    <mergeCell ref="A438:J438"/>
    <mergeCell ref="Q145:V145"/>
    <mergeCell ref="Q443:V443"/>
    <mergeCell ref="A431:G431"/>
    <mergeCell ref="A22:H22"/>
    <mergeCell ref="A286:J286"/>
    <mergeCell ref="Q183:V183"/>
    <mergeCell ref="I221:O221"/>
    <mergeCell ref="H1979:Q1979"/>
    <mergeCell ref="I215:O215"/>
    <mergeCell ref="I557:O557"/>
    <mergeCell ref="Q2084:V2084"/>
    <mergeCell ref="A1646:G1646"/>
    <mergeCell ref="Q297:V297"/>
    <mergeCell ref="I671:O671"/>
    <mergeCell ref="A745:G745"/>
    <mergeCell ref="I92:O92"/>
    <mergeCell ref="Q1742:V1742"/>
    <mergeCell ref="I168:O168"/>
    <mergeCell ref="A2091:V2091"/>
    <mergeCell ref="A1990:G1990"/>
    <mergeCell ref="H68:Q68"/>
    <mergeCell ref="R32:V32"/>
    <mergeCell ref="Q1572:V1572"/>
    <mergeCell ref="A1650:G1650"/>
    <mergeCell ref="A501:G501"/>
    <mergeCell ref="I1191:O1191"/>
    <mergeCell ref="I1495:O1495"/>
    <mergeCell ref="H801:Q801"/>
    <mergeCell ref="K78:V78"/>
    <mergeCell ref="I1489:O1489"/>
    <mergeCell ref="A1563:G1563"/>
    <mergeCell ref="Q214:V214"/>
    <mergeCell ref="A243:P243"/>
    <mergeCell ref="H1854:Q1854"/>
    <mergeCell ref="A1106:G1106"/>
    <mergeCell ref="A244:G244"/>
    <mergeCell ref="Q1942:V1942"/>
    <mergeCell ref="I2018:O2018"/>
    <mergeCell ref="I2322:O2322"/>
    <mergeCell ref="Q1041:V1041"/>
    <mergeCell ref="R2102:V2102"/>
    <mergeCell ref="A3:V3"/>
    <mergeCell ref="K1891:V1891"/>
    <mergeCell ref="A890:G890"/>
    <mergeCell ref="Q956:V956"/>
    <mergeCell ref="I1192:O1192"/>
    <mergeCell ref="A9:E9"/>
    <mergeCell ref="A374:G374"/>
    <mergeCell ref="A1266:G1266"/>
    <mergeCell ref="I431:O431"/>
    <mergeCell ref="Q1412:V1412"/>
    <mergeCell ref="A803:G803"/>
    <mergeCell ref="K1464:V1464"/>
    <mergeCell ref="Q2226:V2226"/>
    <mergeCell ref="Q1201:V1201"/>
    <mergeCell ref="Q868:V868"/>
    <mergeCell ref="A2085:P2085"/>
    <mergeCell ref="H135:Q135"/>
    <mergeCell ref="A148:G148"/>
    <mergeCell ref="Q311:V311"/>
    <mergeCell ref="H439:Q439"/>
    <mergeCell ref="A1201:G1201"/>
    <mergeCell ref="I1258:O1258"/>
    <mergeCell ref="A1717:G1717"/>
    <mergeCell ref="I2019:O2019"/>
    <mergeCell ref="A1630:G1630"/>
    <mergeCell ref="A310:P310"/>
    <mergeCell ref="A2409:P2409"/>
    <mergeCell ref="R345:V345"/>
    <mergeCell ref="A516:G516"/>
    <mergeCell ref="A1706:G1706"/>
    <mergeCell ref="I1116:O1116"/>
    <mergeCell ref="P4:R4"/>
    <mergeCell ref="A16:V16"/>
    <mergeCell ref="A89:G89"/>
    <mergeCell ref="A1279:G1279"/>
    <mergeCell ref="A1749:V1749"/>
    <mergeCell ref="R2044:V2044"/>
    <mergeCell ref="Q888:V888"/>
    <mergeCell ref="K1037:V1037"/>
    <mergeCell ref="Q1344:V1344"/>
    <mergeCell ref="Q2370:V2370"/>
    <mergeCell ref="A1332:J1332"/>
    <mergeCell ref="Q583:V583"/>
    <mergeCell ref="A248:J248"/>
    <mergeCell ref="Q881:V881"/>
    <mergeCell ref="A242:G242"/>
    <mergeCell ref="I1261:O1261"/>
    <mergeCell ref="I177:O177"/>
    <mergeCell ref="Q2065:V2065"/>
    <mergeCell ref="Q156:V156"/>
    <mergeCell ref="Q1346:V1346"/>
    <mergeCell ref="Q2228:V2228"/>
    <mergeCell ref="Q653:V653"/>
    <mergeCell ref="Q441:V441"/>
    <mergeCell ref="R1532:V1532"/>
    <mergeCell ref="Q232:V232"/>
    <mergeCell ref="Q870:V870"/>
    <mergeCell ref="Q1923:V1923"/>
    <mergeCell ref="A337:P337"/>
    <mergeCell ref="Q601:V601"/>
    <mergeCell ref="K1511:V1511"/>
    <mergeCell ref="A2235:G2235"/>
    <mergeCell ref="A2017:G2017"/>
    <mergeCell ref="A1930:G1930"/>
    <mergeCell ref="K1417:V1417"/>
    <mergeCell ref="A172:J172"/>
    <mergeCell ref="Q1697:V1697"/>
    <mergeCell ref="Q1240:V1240"/>
    <mergeCell ref="Q1970:V1970"/>
    <mergeCell ref="I905:O905"/>
    <mergeCell ref="I1543:O1543"/>
    <mergeCell ref="I1203:O1203"/>
    <mergeCell ref="A1277:G1277"/>
    <mergeCell ref="A2067:P2067"/>
    <mergeCell ref="H971:Q971"/>
    <mergeCell ref="Q661:V661"/>
    <mergeCell ref="A1276:G1276"/>
    <mergeCell ref="A1574:G1574"/>
    <mergeCell ref="A819:G819"/>
    <mergeCell ref="Q1931:V1931"/>
    <mergeCell ref="A648:J648"/>
    <mergeCell ref="A615:G615"/>
    <mergeCell ref="A952:J952"/>
    <mergeCell ref="Q955:V955"/>
    <mergeCell ref="A1071:G1071"/>
    <mergeCell ref="Q2008:V2008"/>
    <mergeCell ref="A1506:P1506"/>
    <mergeCell ref="A2065:G2065"/>
    <mergeCell ref="A794:G794"/>
    <mergeCell ref="I335:O335"/>
    <mergeCell ref="Q2371:V2371"/>
    <mergeCell ref="A1295:G1295"/>
    <mergeCell ref="I1650:O1650"/>
    <mergeCell ref="I1134:O1134"/>
    <mergeCell ref="I501:O501"/>
    <mergeCell ref="A1628:G1628"/>
    <mergeCell ref="A544:G544"/>
    <mergeCell ref="I1563:O1563"/>
    <mergeCell ref="R1588:V1588"/>
    <mergeCell ref="Q2400:V2400"/>
    <mergeCell ref="I829:O829"/>
    <mergeCell ref="Q2381:V2381"/>
    <mergeCell ref="K2253:V2253"/>
    <mergeCell ref="Q2352:V2352"/>
    <mergeCell ref="Q2229:V2229"/>
    <mergeCell ref="A1050:P1050"/>
    <mergeCell ref="Q659:V659"/>
    <mergeCell ref="I1647:O1647"/>
    <mergeCell ref="H915:Q915"/>
    <mergeCell ref="A1867:G1867"/>
    <mergeCell ref="I1945:O1945"/>
    <mergeCell ref="A2019:G2019"/>
    <mergeCell ref="A1562:G1562"/>
    <mergeCell ref="A1483:V1483"/>
    <mergeCell ref="I736:O736"/>
    <mergeCell ref="A592:G592"/>
    <mergeCell ref="I2388:O2388"/>
    <mergeCell ref="I1627:O1627"/>
    <mergeCell ref="H2292:Q2292"/>
    <mergeCell ref="A2190:P2190"/>
    <mergeCell ref="K2338:V2338"/>
    <mergeCell ref="K2215:V2215"/>
    <mergeCell ref="K28:P28"/>
    <mergeCell ref="I1925:O1925"/>
    <mergeCell ref="R41:V41"/>
    <mergeCell ref="A942:G942"/>
    <mergeCell ref="A1408:J1408"/>
    <mergeCell ref="I1961:O1961"/>
    <mergeCell ref="H506:Q506"/>
    <mergeCell ref="K87:V87"/>
    <mergeCell ref="H810:Q810"/>
    <mergeCell ref="Q984:V984"/>
    <mergeCell ref="Q223:V223"/>
    <mergeCell ref="A1135:P1135"/>
    <mergeCell ref="A1371:G1371"/>
    <mergeCell ref="I1656:O1656"/>
    <mergeCell ref="K30:P30"/>
    <mergeCell ref="H962:Q962"/>
    <mergeCell ref="A1675:G1675"/>
    <mergeCell ref="A708:P708"/>
    <mergeCell ref="Q1612:V1612"/>
    <mergeCell ref="A487:G487"/>
    <mergeCell ref="I1628:O1628"/>
    <mergeCell ref="A1065:V1065"/>
    <mergeCell ref="I1201:O1201"/>
    <mergeCell ref="Q1307:V1307"/>
    <mergeCell ref="A1275:G1275"/>
    <mergeCell ref="Q1438:V1438"/>
    <mergeCell ref="A338:G338"/>
    <mergeCell ref="I640:O640"/>
    <mergeCell ref="A680:G680"/>
    <mergeCell ref="Q1450:V1450"/>
    <mergeCell ref="I300:O300"/>
    <mergeCell ref="H1760:Q1760"/>
    <mergeCell ref="A2359:G2359"/>
    <mergeCell ref="Q1010:V1010"/>
    <mergeCell ref="A333:J333"/>
    <mergeCell ref="I1659:O1659"/>
    <mergeCell ref="Q2036:V2036"/>
    <mergeCell ref="I262:O262"/>
    <mergeCell ref="A2027:G2027"/>
    <mergeCell ref="I1989:O1989"/>
    <mergeCell ref="Q539:V539"/>
    <mergeCell ref="K876:V876"/>
    <mergeCell ref="I919:O919"/>
    <mergeCell ref="H980:Q980"/>
    <mergeCell ref="Q1012:V1012"/>
    <mergeCell ref="I2287:O2287"/>
    <mergeCell ref="A329:G329"/>
    <mergeCell ref="H1409:Q1409"/>
    <mergeCell ref="R1094:V1094"/>
    <mergeCell ref="R2187:V2187"/>
    <mergeCell ref="A688:G688"/>
    <mergeCell ref="A2056:G2056"/>
    <mergeCell ref="H1626:Q1626"/>
    <mergeCell ref="A1059:P1059"/>
    <mergeCell ref="Q2295:V2295"/>
    <mergeCell ref="R1143:V1143"/>
    <mergeCell ref="I1276:O1276"/>
    <mergeCell ref="H582:Q582"/>
    <mergeCell ref="I1574:O1574"/>
    <mergeCell ref="A1648:G1648"/>
    <mergeCell ref="R1360:V1360"/>
    <mergeCell ref="Q1868:V1868"/>
    <mergeCell ref="A1229:G1229"/>
    <mergeCell ref="R2321:V2321"/>
    <mergeCell ref="A2389:P2389"/>
    <mergeCell ref="R667:V667"/>
    <mergeCell ref="Q1337:V1337"/>
    <mergeCell ref="A2028:G2028"/>
    <mergeCell ref="A629:G629"/>
    <mergeCell ref="A936:P936"/>
    <mergeCell ref="I1229:O1229"/>
    <mergeCell ref="I197:O197"/>
    <mergeCell ref="H220:Q220"/>
    <mergeCell ref="A1601:G1601"/>
    <mergeCell ref="Q396:V396"/>
    <mergeCell ref="A1286:G1286"/>
    <mergeCell ref="K230:V230"/>
    <mergeCell ref="A1715:G1715"/>
    <mergeCell ref="A2057:G2057"/>
    <mergeCell ref="A25:V25"/>
    <mergeCell ref="K143:V143"/>
    <mergeCell ref="Q1451:V1451"/>
    <mergeCell ref="I184:O184"/>
    <mergeCell ref="Q994:V994"/>
    <mergeCell ref="K1046:V1046"/>
    <mergeCell ref="Q1668:V1668"/>
    <mergeCell ref="A714:G714"/>
    <mergeCell ref="Q907:V907"/>
    <mergeCell ref="K1502:V1502"/>
    <mergeCell ref="Q1782:V1782"/>
    <mergeCell ref="A251:G251"/>
    <mergeCell ref="Q1241:V1241"/>
    <mergeCell ref="R211:V211"/>
    <mergeCell ref="Q1363:V1363"/>
    <mergeCell ref="A713:J713"/>
    <mergeCell ref="A2334:G2334"/>
    <mergeCell ref="Q2380:V2380"/>
    <mergeCell ref="A53:P53"/>
    <mergeCell ref="A411:G411"/>
    <mergeCell ref="A1079:P1079"/>
    <mergeCell ref="A709:G709"/>
    <mergeCell ref="I669:O669"/>
    <mergeCell ref="A1619:G1619"/>
    <mergeCell ref="I1703:O1703"/>
    <mergeCell ref="A1741:G1741"/>
    <mergeCell ref="A1535:P1535"/>
    <mergeCell ref="A932:J932"/>
    <mergeCell ref="A2075:G2075"/>
    <mergeCell ref="A1314:G1314"/>
    <mergeCell ref="Q109:V109"/>
    <mergeCell ref="A1612:G1612"/>
    <mergeCell ref="I1914:O1914"/>
    <mergeCell ref="A325:G325"/>
    <mergeCell ref="Q1306:V1306"/>
    <mergeCell ref="H1380:Q1380"/>
    <mergeCell ref="Q2332:V2332"/>
    <mergeCell ref="Q1735:V1735"/>
    <mergeCell ref="A659:G659"/>
    <mergeCell ref="I716:O716"/>
    <mergeCell ref="A653:G653"/>
    <mergeCell ref="Q54:V54"/>
    <mergeCell ref="A147:P147"/>
    <mergeCell ref="H2187:Q2187"/>
    <mergeCell ref="K2233:V2233"/>
    <mergeCell ref="K219:V219"/>
    <mergeCell ref="Q981:V981"/>
    <mergeCell ref="K1788:V1788"/>
    <mergeCell ref="Q1315:V1315"/>
    <mergeCell ref="Q22:V22"/>
    <mergeCell ref="I2028:O2028"/>
    <mergeCell ref="Q320:V320"/>
    <mergeCell ref="Q1808:V1808"/>
    <mergeCell ref="A319:P319"/>
    <mergeCell ref="A2130:J2130"/>
    <mergeCell ref="Q1381:V1381"/>
    <mergeCell ref="A1046:J1046"/>
    <mergeCell ref="Q1679:V1679"/>
    <mergeCell ref="Q918:V918"/>
    <mergeCell ref="A1160:J1160"/>
    <mergeCell ref="Q1383:V1383"/>
    <mergeCell ref="I355:O355"/>
    <mergeCell ref="A727:G727"/>
    <mergeCell ref="R439:V439"/>
    <mergeCell ref="A914:J914"/>
    <mergeCell ref="A1597:V1597"/>
    <mergeCell ref="Q1839:V1839"/>
    <mergeCell ref="A1156:G1156"/>
    <mergeCell ref="K485:V485"/>
    <mergeCell ref="I566:O566"/>
    <mergeCell ref="A640:G640"/>
    <mergeCell ref="Q621:V621"/>
    <mergeCell ref="R1921:V1921"/>
    <mergeCell ref="A1540:J1540"/>
    <mergeCell ref="I1171:O1171"/>
    <mergeCell ref="Q1089:V1089"/>
    <mergeCell ref="I1469:O1469"/>
    <mergeCell ref="R611:V611"/>
    <mergeCell ref="R915:V915"/>
    <mergeCell ref="I251:O251"/>
    <mergeCell ref="A1086:G1086"/>
    <mergeCell ref="Q2408:V2408"/>
    <mergeCell ref="I995:O995"/>
    <mergeCell ref="I1299:O1299"/>
    <mergeCell ref="H1360:Q1360"/>
    <mergeCell ref="A729:G729"/>
    <mergeCell ref="R1494:V1494"/>
    <mergeCell ref="A1665:G1665"/>
    <mergeCell ref="I574:O574"/>
    <mergeCell ref="H933:Q933"/>
    <mergeCell ref="A946:G946"/>
    <mergeCell ref="A1456:G1456"/>
    <mergeCell ref="A1972:G1972"/>
    <mergeCell ref="Q794:V794"/>
    <mergeCell ref="A679:P679"/>
    <mergeCell ref="I2056:O2056"/>
    <mergeCell ref="G9:K9"/>
    <mergeCell ref="A1238:G1238"/>
    <mergeCell ref="A1790:G1790"/>
    <mergeCell ref="A1108:P1108"/>
    <mergeCell ref="A793:P793"/>
    <mergeCell ref="K970:V970"/>
    <mergeCell ref="I1011:O1011"/>
    <mergeCell ref="H1266:Q1266"/>
    <mergeCell ref="K1873:V1873"/>
    <mergeCell ref="Q1096:V1096"/>
    <mergeCell ref="I584:O584"/>
    <mergeCell ref="Q1734:V1734"/>
    <mergeCell ref="A58:J58"/>
    <mergeCell ref="A1084:J1084"/>
    <mergeCell ref="K2329:V2329"/>
    <mergeCell ref="Q1525:V1525"/>
    <mergeCell ref="I1013:O1013"/>
    <mergeCell ref="I2407:O2407"/>
    <mergeCell ref="A2141:G2141"/>
    <mergeCell ref="Q1308:V1308"/>
    <mergeCell ref="A354:G354"/>
    <mergeCell ref="A153:V153"/>
    <mergeCell ref="A1380:G1380"/>
    <mergeCell ref="A1836:G1836"/>
    <mergeCell ref="R1181:V1181"/>
    <mergeCell ref="I282:O282"/>
    <mergeCell ref="A356:G356"/>
    <mergeCell ref="A1146:P1146"/>
    <mergeCell ref="A1488:P1488"/>
    <mergeCell ref="K2347:V2347"/>
    <mergeCell ref="A2281:V2281"/>
    <mergeCell ref="I1525:O1525"/>
    <mergeCell ref="Q2208:V2208"/>
    <mergeCell ref="R1550:V1550"/>
    <mergeCell ref="Q1020:V1020"/>
    <mergeCell ref="R810:V810"/>
    <mergeCell ref="A1098:G1098"/>
    <mergeCell ref="Q1324:V1324"/>
    <mergeCell ref="H249:Q249"/>
    <mergeCell ref="Q1753:V1753"/>
    <mergeCell ref="R2292:V2292"/>
    <mergeCell ref="Q1019:V1019"/>
    <mergeCell ref="H1731:Q1731"/>
    <mergeCell ref="Q1905:V1905"/>
    <mergeCell ref="I613:O613"/>
    <mergeCell ref="Q1448:V1448"/>
    <mergeCell ref="A451:P451"/>
    <mergeCell ref="A372:G372"/>
    <mergeCell ref="A1477:P1477"/>
    <mergeCell ref="Q460:V460"/>
    <mergeCell ref="A726:G726"/>
    <mergeCell ref="A1752:G1752"/>
    <mergeCell ref="K941:V941"/>
    <mergeCell ref="K2271:V2271"/>
    <mergeCell ref="Q2255:V2255"/>
    <mergeCell ref="H1941:Q1941"/>
    <mergeCell ref="I1849:O1849"/>
    <mergeCell ref="A2343:G2343"/>
    <mergeCell ref="K476:V476"/>
    <mergeCell ref="H1237:Q1237"/>
    <mergeCell ref="I1887:O1887"/>
    <mergeCell ref="A2287:G2287"/>
    <mergeCell ref="A2243:V2243"/>
    <mergeCell ref="A1021:P1021"/>
    <mergeCell ref="Q1325:V1325"/>
    <mergeCell ref="I1323:O1323"/>
    <mergeCell ref="A675:J675"/>
    <mergeCell ref="H2026:Q2026"/>
    <mergeCell ref="A1695:G1695"/>
    <mergeCell ref="Q1146:V1146"/>
    <mergeCell ref="A865:J865"/>
    <mergeCell ref="I765:O765"/>
    <mergeCell ref="I792:O792"/>
    <mergeCell ref="I1818:O1818"/>
    <mergeCell ref="I2122:O2122"/>
    <mergeCell ref="A2196:G2196"/>
    <mergeCell ref="I1221:O1221"/>
    <mergeCell ref="H2102:Q2102"/>
    <mergeCell ref="R1693:V1693"/>
    <mergeCell ref="Q1932:V1932"/>
    <mergeCell ref="K713:V713"/>
    <mergeCell ref="A2347:J2347"/>
    <mergeCell ref="Q1659:V1659"/>
    <mergeCell ref="H1512:Q1512"/>
    <mergeCell ref="Q1951:V1951"/>
    <mergeCell ref="A1920:J1920"/>
    <mergeCell ref="A2198:G2198"/>
    <mergeCell ref="K2244:V2244"/>
    <mergeCell ref="A1303:J1303"/>
    <mergeCell ref="Q554:V554"/>
    <mergeCell ref="Q852:V852"/>
    <mergeCell ref="I2350:O2350"/>
    <mergeCell ref="I653:O653"/>
    <mergeCell ref="H1018:Q1018"/>
    <mergeCell ref="A849:G849"/>
    <mergeCell ref="Q2247:V2247"/>
    <mergeCell ref="I2141:O2141"/>
    <mergeCell ref="H1447:Q1447"/>
    <mergeCell ref="H2348:Q2348"/>
    <mergeCell ref="I823:O823"/>
    <mergeCell ref="A1982:P1982"/>
    <mergeCell ref="I2211:O2211"/>
    <mergeCell ref="I2264:O2264"/>
    <mergeCell ref="Q2286:V2286"/>
    <mergeCell ref="H839:Q839"/>
    <mergeCell ref="A1164:P1164"/>
    <mergeCell ref="A1704:G1704"/>
    <mergeCell ref="H2207:Q2207"/>
    <mergeCell ref="A821:G821"/>
    <mergeCell ref="A1486:G1486"/>
    <mergeCell ref="Q1638:V1638"/>
    <mergeCell ref="R2283:V2283"/>
    <mergeCell ref="A1399:G1399"/>
    <mergeCell ref="K590:V590"/>
    <mergeCell ref="Q1466:V1466"/>
    <mergeCell ref="Q2104:V2104"/>
    <mergeCell ref="H687:Q687"/>
    <mergeCell ref="A1012:P1012"/>
    <mergeCell ref="I2352:O2352"/>
    <mergeCell ref="A2208:G2208"/>
    <mergeCell ref="Q1817:V1817"/>
    <mergeCell ref="Q462:V462"/>
    <mergeCell ref="Q1792:V1792"/>
    <mergeCell ref="R1503:V1503"/>
    <mergeCell ref="A754:G754"/>
    <mergeCell ref="H942:Q942"/>
    <mergeCell ref="Q1118:V1118"/>
    <mergeCell ref="A1807:G1807"/>
    <mergeCell ref="I2065:O2065"/>
    <mergeCell ref="H1371:Q1371"/>
    <mergeCell ref="K952:V952"/>
    <mergeCell ref="A1892:G1892"/>
    <mergeCell ref="Q1203:V1203"/>
    <mergeCell ref="A1945:G1945"/>
    <mergeCell ref="A2245:G2245"/>
    <mergeCell ref="A2342:P2342"/>
    <mergeCell ref="Q2325:V2325"/>
    <mergeCell ref="A2322:G2322"/>
    <mergeCell ref="K2300:V2300"/>
    <mergeCell ref="Q1819:V1819"/>
    <mergeCell ref="A2291:J2291"/>
    <mergeCell ref="A1257:G1257"/>
    <mergeCell ref="A1246:G1246"/>
    <mergeCell ref="R1371:V1371"/>
    <mergeCell ref="Q937:V937"/>
    <mergeCell ref="A2068:G2068"/>
    <mergeCell ref="Q1039:V1039"/>
    <mergeCell ref="A1464:J1464"/>
    <mergeCell ref="A158:P158"/>
    <mergeCell ref="I2258:O2258"/>
    <mergeCell ref="A458:J458"/>
    <mergeCell ref="A1484:J1484"/>
    <mergeCell ref="A1511:J1511"/>
    <mergeCell ref="A1478:G1478"/>
    <mergeCell ref="Q1846:V1846"/>
    <mergeCell ref="I1098:O1098"/>
    <mergeCell ref="I1440:O1440"/>
    <mergeCell ref="Q2153:V2153"/>
    <mergeCell ref="Q2275:V2275"/>
    <mergeCell ref="Q1514:V1514"/>
    <mergeCell ref="A753:G753"/>
    <mergeCell ref="A1051:G1051"/>
    <mergeCell ref="Q1848:V1848"/>
    <mergeCell ref="A1209:G1209"/>
    <mergeCell ref="Q1087:V1087"/>
    <mergeCell ref="A752:G752"/>
    <mergeCell ref="I1467:O1467"/>
    <mergeCell ref="A1507:G1507"/>
    <mergeCell ref="I1010:O1010"/>
    <mergeCell ref="A1778:G1778"/>
    <mergeCell ref="I1004:O1004"/>
    <mergeCell ref="A2112:G2112"/>
    <mergeCell ref="Q1545:V1545"/>
    <mergeCell ref="A856:J856"/>
    <mergeCell ref="Q747:V747"/>
    <mergeCell ref="Q1475:V1475"/>
    <mergeCell ref="Q1773:V1773"/>
    <mergeCell ref="K1768:V1768"/>
    <mergeCell ref="A2160:G2160"/>
    <mergeCell ref="Q376:V376"/>
    <mergeCell ref="A2309:J2309"/>
    <mergeCell ref="A2151:G2151"/>
    <mergeCell ref="A382:J382"/>
    <mergeCell ref="R173:V173"/>
    <mergeCell ref="Q71:V71"/>
    <mergeCell ref="A1882:J1882"/>
    <mergeCell ref="Q745:V745"/>
    <mergeCell ref="A823:G823"/>
    <mergeCell ref="A556:P556"/>
    <mergeCell ref="Q1589:V1589"/>
    <mergeCell ref="Q2227:V2227"/>
    <mergeCell ref="Q1887:V1887"/>
    <mergeCell ref="I2267:O2267"/>
    <mergeCell ref="S9:V9"/>
    <mergeCell ref="A1878:G1878"/>
    <mergeCell ref="A219:J219"/>
    <mergeCell ref="A1123:G1123"/>
    <mergeCell ref="I81:O81"/>
    <mergeCell ref="Q2151:V2151"/>
    <mergeCell ref="I677:O677"/>
    <mergeCell ref="K1958:V1958"/>
    <mergeCell ref="A448:G448"/>
    <mergeCell ref="H316:Q316"/>
    <mergeCell ref="Q146:V146"/>
    <mergeCell ref="Q107:V107"/>
    <mergeCell ref="K125:V125"/>
    <mergeCell ref="Q405:V405"/>
    <mergeCell ref="Q100:V100"/>
    <mergeCell ref="Q434:V434"/>
    <mergeCell ref="S4:V4"/>
    <mergeCell ref="A1581:G1581"/>
    <mergeCell ref="Q1459:V1459"/>
    <mergeCell ref="A820:G820"/>
    <mergeCell ref="Q1801:V1801"/>
    <mergeCell ref="A1515:P1515"/>
    <mergeCell ref="Q402:V402"/>
    <mergeCell ref="I782:O782"/>
    <mergeCell ref="A1118:G1118"/>
    <mergeCell ref="Q727:V727"/>
    <mergeCell ref="A1944:P1944"/>
    <mergeCell ref="A691:G691"/>
    <mergeCell ref="A106:G106"/>
    <mergeCell ref="A1296:G1296"/>
    <mergeCell ref="I2036:O2036"/>
    <mergeCell ref="H1342:Q1342"/>
    <mergeCell ref="K923:V923"/>
    <mergeCell ref="H6:M6"/>
    <mergeCell ref="K1844:V1844"/>
    <mergeCell ref="A1117:P1117"/>
    <mergeCell ref="Q175:V175"/>
    <mergeCell ref="I707:O707"/>
    <mergeCell ref="I1124:O1124"/>
    <mergeCell ref="A1573:P1573"/>
    <mergeCell ref="A1809:G1809"/>
    <mergeCell ref="Q60:V60"/>
    <mergeCell ref="Q358:V358"/>
    <mergeCell ref="A1939:V1939"/>
    <mergeCell ref="I1153:O1153"/>
    <mergeCell ref="I1791:O1791"/>
    <mergeCell ref="A1865:G1865"/>
    <mergeCell ref="Q394:V394"/>
    <mergeCell ref="I159:O159"/>
    <mergeCell ref="A233:G233"/>
    <mergeCell ref="I973:O973"/>
    <mergeCell ref="I764:O764"/>
    <mergeCell ref="Q1058:V1058"/>
    <mergeCell ref="R544:V544"/>
    <mergeCell ref="A1136:G1136"/>
    <mergeCell ref="I1438:O1438"/>
    <mergeCell ref="A1598:J1598"/>
    <mergeCell ref="A235:G235"/>
    <mergeCell ref="I975:O975"/>
    <mergeCell ref="R1000:V1000"/>
    <mergeCell ref="I1133:O1133"/>
    <mergeCell ref="I1431:O1431"/>
    <mergeCell ref="A1505:G1505"/>
    <mergeCell ref="A2295:P2295"/>
    <mergeCell ref="A185:P185"/>
    <mergeCell ref="R573:V573"/>
    <mergeCell ref="A744:G744"/>
    <mergeCell ref="R877:V877"/>
    <mergeCell ref="A764:G764"/>
    <mergeCell ref="H334:Q334"/>
    <mergeCell ref="Q1876:V1876"/>
    <mergeCell ref="Q2199:V2199"/>
    <mergeCell ref="A1864:J1864"/>
    <mergeCell ref="A2168:J2168"/>
    <mergeCell ref="Q387:V387"/>
    <mergeCell ref="I425:O425"/>
    <mergeCell ref="H486:Q486"/>
    <mergeCell ref="Q1413:V1413"/>
    <mergeCell ref="I1478:O1478"/>
    <mergeCell ref="I1793:O1793"/>
    <mergeCell ref="I396:O396"/>
    <mergeCell ref="Q1961:V1961"/>
    <mergeCell ref="A430:G430"/>
    <mergeCell ref="I1449:O1449"/>
    <mergeCell ref="R1474:V1474"/>
    <mergeCell ref="A2400:P2400"/>
    <mergeCell ref="R2348:V2348"/>
    <mergeCell ref="A2179:G2179"/>
    <mergeCell ref="A191:V191"/>
    <mergeCell ref="Q756:V756"/>
    <mergeCell ref="Q887:V887"/>
    <mergeCell ref="Q547:V547"/>
    <mergeCell ref="Q1185:V1185"/>
    <mergeCell ref="K599:V599"/>
    <mergeCell ref="Q1790:V1790"/>
    <mergeCell ref="K2081:V2081"/>
    <mergeCell ref="Q2246:V2246"/>
    <mergeCell ref="A2395:V2395"/>
    <mergeCell ref="H2272:Q2272"/>
    <mergeCell ref="H363:Q363"/>
    <mergeCell ref="A2254:G2254"/>
    <mergeCell ref="I1486:O1486"/>
    <mergeCell ref="A461:G461"/>
    <mergeCell ref="Q831:V831"/>
    <mergeCell ref="H1845:Q1845"/>
    <mergeCell ref="A1591:P1591"/>
    <mergeCell ref="Q1260:V1260"/>
    <mergeCell ref="A678:G678"/>
    <mergeCell ref="K1312:V1312"/>
    <mergeCell ref="A1468:P1468"/>
    <mergeCell ref="K1616:V1616"/>
    <mergeCell ref="A792:G792"/>
    <mergeCell ref="Q1457:V1457"/>
    <mergeCell ref="A96:J96"/>
    <mergeCell ref="A696:G696"/>
    <mergeCell ref="I753:O753"/>
    <mergeCell ref="A1122:J1122"/>
    <mergeCell ref="R2359:V2359"/>
    <mergeCell ref="A2408:G2408"/>
    <mergeCell ref="Q442:V442"/>
    <mergeCell ref="H1456:Q1456"/>
    <mergeCell ref="Q2387:V2387"/>
    <mergeCell ref="A134:J134"/>
    <mergeCell ref="A2324:P2324"/>
    <mergeCell ref="I63:O63"/>
    <mergeCell ref="Q898:V898"/>
    <mergeCell ref="A289:G289"/>
    <mergeCell ref="A115:V115"/>
    <mergeCell ref="Q137:V137"/>
    <mergeCell ref="Q471:V471"/>
    <mergeCell ref="A130:G130"/>
    <mergeCell ref="I90:O90"/>
    <mergeCell ref="A590:J590"/>
    <mergeCell ref="A894:J894"/>
    <mergeCell ref="A956:P956"/>
    <mergeCell ref="K2309:V2309"/>
    <mergeCell ref="A1950:G1950"/>
    <mergeCell ref="I1115:O1115"/>
    <mergeCell ref="K1408:V1408"/>
    <mergeCell ref="A467:J467"/>
    <mergeCell ref="Q595:V595"/>
    <mergeCell ref="R1018:V1018"/>
    <mergeCell ref="A1487:G1487"/>
    <mergeCell ref="Q2170:V2170"/>
    <mergeCell ref="A1127:G1127"/>
    <mergeCell ref="I2229:O2229"/>
    <mergeCell ref="Q832:V832"/>
    <mergeCell ref="Q1885:V1885"/>
    <mergeCell ref="A904:G904"/>
    <mergeCell ref="R1:V2"/>
    <mergeCell ref="I1144:O1144"/>
    <mergeCell ref="A1522:J1522"/>
    <mergeCell ref="A463:G463"/>
    <mergeCell ref="A1489:G1489"/>
    <mergeCell ref="A1516:G1516"/>
    <mergeCell ref="A196:P196"/>
    <mergeCell ref="I1451:O1451"/>
    <mergeCell ref="A1647:G1647"/>
    <mergeCell ref="R1237:V1237"/>
    <mergeCell ref="H1816:Q1816"/>
    <mergeCell ref="R258:V258"/>
    <mergeCell ref="A1445:V1445"/>
    <mergeCell ref="A223:P223"/>
    <mergeCell ref="A763:G763"/>
    <mergeCell ref="K1739:V1739"/>
    <mergeCell ref="K1853:V1853"/>
    <mergeCell ref="Q499:V499"/>
    <mergeCell ref="I118:O118"/>
    <mergeCell ref="A1818:G1818"/>
    <mergeCell ref="K32:P32"/>
    <mergeCell ref="Q1287:V1287"/>
    <mergeCell ref="Q830:V830"/>
    <mergeCell ref="I148:O148"/>
    <mergeCell ref="A660:G660"/>
    <mergeCell ref="H714:Q714"/>
    <mergeCell ref="I622:O622"/>
    <mergeCell ref="K1350:V1350"/>
    <mergeCell ref="I1315:O1315"/>
    <mergeCell ref="A1543:G1543"/>
    <mergeCell ref="Q1391:V1391"/>
    <mergeCell ref="A1388:J1388"/>
    <mergeCell ref="Q424:V424"/>
    <mergeCell ref="I2276:O2276"/>
    <mergeCell ref="Q82:V82"/>
    <mergeCell ref="Q1299:V1299"/>
    <mergeCell ref="Q118:V118"/>
    <mergeCell ref="A2018:G2018"/>
    <mergeCell ref="I157:O157"/>
    <mergeCell ref="Q174:V174"/>
    <mergeCell ref="Q1200:V1200"/>
    <mergeCell ref="I1580:O1580"/>
    <mergeCell ref="Q168:V168"/>
    <mergeCell ref="K467:V467"/>
    <mergeCell ref="Q472:V472"/>
    <mergeCell ref="I548:O548"/>
    <mergeCell ref="A1716:P1716"/>
    <mergeCell ref="I1878:O1878"/>
    <mergeCell ref="Q2218:V2218"/>
    <mergeCell ref="I1051:O1051"/>
    <mergeCell ref="A889:P889"/>
    <mergeCell ref="A1125:G1125"/>
    <mergeCell ref="A2178:G2178"/>
    <mergeCell ref="A1041:P1041"/>
    <mergeCell ref="Q2172:V2172"/>
    <mergeCell ref="A698:G698"/>
    <mergeCell ref="I1078:O1078"/>
    <mergeCell ref="A1152:G1152"/>
    <mergeCell ref="Q1049:V1049"/>
    <mergeCell ref="A21:H21"/>
    <mergeCell ref="K1750:V1750"/>
    <mergeCell ref="H2169:Q2169"/>
    <mergeCell ref="A905:G905"/>
    <mergeCell ref="A1203:G1203"/>
    <mergeCell ref="Q1269:V1269"/>
    <mergeCell ref="A1369:V1369"/>
    <mergeCell ref="I1505:O1505"/>
    <mergeCell ref="I744:O744"/>
    <mergeCell ref="A2371:P2371"/>
    <mergeCell ref="I890:O890"/>
    <mergeCell ref="A31:I31"/>
    <mergeCell ref="A478:G478"/>
    <mergeCell ref="A1116:G1116"/>
    <mergeCell ref="A23:H23"/>
    <mergeCell ref="K2206:V2206"/>
    <mergeCell ref="A252:P252"/>
    <mergeCell ref="I2247:O2247"/>
    <mergeCell ref="I460:O460"/>
    <mergeCell ref="A1145:G1145"/>
    <mergeCell ref="Q1270:V1270"/>
    <mergeCell ref="Q431:V431"/>
    <mergeCell ref="A1294:J1294"/>
    <mergeCell ref="Q545:V545"/>
    <mergeCell ref="A210:J210"/>
    <mergeCell ref="R1845:V1845"/>
    <mergeCell ref="Q843:V843"/>
    <mergeCell ref="A204:G204"/>
    <mergeCell ref="H1284:Q1284"/>
    <mergeCell ref="Q69:V69"/>
    <mergeCell ref="Q2312:V2312"/>
    <mergeCell ref="H468:Q468"/>
    <mergeCell ref="A29:I29"/>
    <mergeCell ref="A1114:G1114"/>
    <mergeCell ref="I1049:O1049"/>
    <mergeCell ref="K1093:V1093"/>
    <mergeCell ref="Q1021:V1021"/>
    <mergeCell ref="A686:J686"/>
    <mergeCell ref="A253:G253"/>
    <mergeCell ref="K134:V134"/>
    <mergeCell ref="R117:V117"/>
    <mergeCell ref="K163:V163"/>
    <mergeCell ref="A159:G159"/>
    <mergeCell ref="A1343:G1343"/>
    <mergeCell ref="A916:G916"/>
    <mergeCell ref="A459:G459"/>
    <mergeCell ref="Q622:V622"/>
    <mergeCell ref="I1002:O1002"/>
    <mergeCell ref="K1435:V1435"/>
    <mergeCell ref="A923:J923"/>
    <mergeCell ref="K1379:V1379"/>
    <mergeCell ref="I54:O54"/>
    <mergeCell ref="A128:G128"/>
    <mergeCell ref="R1418:V1418"/>
    <mergeCell ref="A557:G557"/>
    <mergeCell ref="Q139:V139"/>
    <mergeCell ref="I519:O519"/>
    <mergeCell ref="Q98:V98"/>
    <mergeCell ref="Q1428:V1428"/>
    <mergeCell ref="H1114:Q1114"/>
    <mergeCell ref="K391:V391"/>
    <mergeCell ref="A783:G783"/>
    <mergeCell ref="Q527:V527"/>
    <mergeCell ref="R220:V220"/>
    <mergeCell ref="K105:V105"/>
    <mergeCell ref="I1212:O1212"/>
    <mergeCell ref="I1516:O1516"/>
    <mergeCell ref="A2357:V2357"/>
    <mergeCell ref="H535:Q535"/>
    <mergeCell ref="A1916:G1916"/>
    <mergeCell ref="I1876:O1876"/>
    <mergeCell ref="A586:G586"/>
    <mergeCell ref="A857:G857"/>
    <mergeCell ref="Q1496:V1496"/>
    <mergeCell ref="H448:Q448"/>
    <mergeCell ref="H752:Q752"/>
    <mergeCell ref="Q624:V624"/>
    <mergeCell ref="A1191:G1191"/>
    <mergeCell ref="H1778:Q1778"/>
    <mergeCell ref="I1571:O1571"/>
    <mergeCell ref="K458:V458"/>
    <mergeCell ref="A1943:G1943"/>
    <mergeCell ref="A886:G886"/>
    <mergeCell ref="I213:O213"/>
    <mergeCell ref="H193:Q193"/>
    <mergeCell ref="I926:O926"/>
    <mergeCell ref="Q299:V299"/>
    <mergeCell ref="A609:V609"/>
    <mergeCell ref="I1466:O1466"/>
    <mergeCell ref="H772:Q772"/>
    <mergeCell ref="R1675:V1675"/>
    <mergeCell ref="K1721:V1721"/>
    <mergeCell ref="I1802:O1802"/>
    <mergeCell ref="I1808:O1808"/>
    <mergeCell ref="I1960:O1960"/>
    <mergeCell ref="A1037:J1037"/>
    <mergeCell ref="A2271:J2271"/>
    <mergeCell ref="A270:G270"/>
    <mergeCell ref="A2303:G2303"/>
    <mergeCell ref="I2343:O2343"/>
    <mergeCell ref="G4:I4"/>
    <mergeCell ref="I232:O232"/>
    <mergeCell ref="I870:O870"/>
    <mergeCell ref="Q925:V925"/>
    <mergeCell ref="Q1856:V1856"/>
    <mergeCell ref="R316:V316"/>
    <mergeCell ref="R1342:V1342"/>
    <mergeCell ref="Q1223:V1223"/>
    <mergeCell ref="I1475:O1475"/>
    <mergeCell ref="Q2285:V2285"/>
    <mergeCell ref="A2086:G2086"/>
    <mergeCell ref="R1798:V1798"/>
    <mergeCell ref="Q1551:V1551"/>
    <mergeCell ref="I1589:O1589"/>
    <mergeCell ref="I1931:O1931"/>
    <mergeCell ref="H895:Q895"/>
    <mergeCell ref="A136:G136"/>
    <mergeCell ref="A1162:G1162"/>
    <mergeCell ref="I1963:O1963"/>
    <mergeCell ref="A1839:P1839"/>
    <mergeCell ref="Q2257:V2257"/>
    <mergeCell ref="A1618:G1618"/>
    <mergeCell ref="Q935:V935"/>
    <mergeCell ref="A231:G231"/>
    <mergeCell ref="A206:G206"/>
    <mergeCell ref="A1259:G1259"/>
    <mergeCell ref="A802:G802"/>
    <mergeCell ref="R1085:V1085"/>
    <mergeCell ref="A1988:G1988"/>
    <mergeCell ref="A1684:G1684"/>
    <mergeCell ref="R1056:V1056"/>
    <mergeCell ref="I1969:O1969"/>
    <mergeCell ref="A913:V913"/>
    <mergeCell ref="Q197:V197"/>
    <mergeCell ref="A989:V989"/>
    <mergeCell ref="I1905:O1905"/>
    <mergeCell ref="A2216:G2216"/>
    <mergeCell ref="Q793:V793"/>
    <mergeCell ref="A1103:V1103"/>
    <mergeCell ref="Q1983:V1983"/>
    <mergeCell ref="Q584:V584"/>
    <mergeCell ref="Q1222:V1222"/>
    <mergeCell ref="Q1678:V1678"/>
    <mergeCell ref="K1730:V1730"/>
    <mergeCell ref="A1031:G1031"/>
    <mergeCell ref="H524:Q524"/>
    <mergeCell ref="I651:O651"/>
    <mergeCell ref="A1857:P1857"/>
    <mergeCell ref="A2093:G2093"/>
    <mergeCell ref="I1080:O1080"/>
    <mergeCell ref="I1107:O1107"/>
    <mergeCell ref="A1154:G1154"/>
    <mergeCell ref="R1579:V1579"/>
    <mergeCell ref="I1536:O1536"/>
    <mergeCell ref="A214:P214"/>
    <mergeCell ref="I727:O727"/>
    <mergeCell ref="H1304:Q1304"/>
    <mergeCell ref="A801:G801"/>
    <mergeCell ref="H1608:Q1608"/>
    <mergeCell ref="I488:O488"/>
    <mergeCell ref="R2169:V2169"/>
    <mergeCell ref="I479:O479"/>
    <mergeCell ref="I1031:O1031"/>
    <mergeCell ref="A213:G213"/>
    <mergeCell ref="A2158:G2158"/>
    <mergeCell ref="J18:O18"/>
    <mergeCell ref="A1542:G1542"/>
    <mergeCell ref="H1351:Q1351"/>
    <mergeCell ref="K49:V49"/>
    <mergeCell ref="A205:P205"/>
    <mergeCell ref="A1656:G1656"/>
    <mergeCell ref="A1097:P1097"/>
    <mergeCell ref="A1333:G1333"/>
    <mergeCell ref="A1954:G1954"/>
    <mergeCell ref="H924:Q924"/>
    <mergeCell ref="H2254:Q2254"/>
    <mergeCell ref="A670:P670"/>
    <mergeCell ref="Q1696:V1696"/>
    <mergeCell ref="R29:V29"/>
    <mergeCell ref="Q632:V632"/>
    <mergeCell ref="Q936:V936"/>
    <mergeCell ref="Q1998:V1998"/>
    <mergeCell ref="A1980:G1980"/>
    <mergeCell ref="Q509:V509"/>
    <mergeCell ref="Q640:V640"/>
    <mergeCell ref="I128:O128"/>
    <mergeCell ref="A957:G957"/>
    <mergeCell ref="R31:V31"/>
    <mergeCell ref="A202:G202"/>
    <mergeCell ref="A994:P994"/>
    <mergeCell ref="A1261:G1261"/>
    <mergeCell ref="I1610:O1610"/>
    <mergeCell ref="K800:V800"/>
    <mergeCell ref="I1185:O1185"/>
    <mergeCell ref="H1246:Q1246"/>
    <mergeCell ref="I1695:O1695"/>
    <mergeCell ref="A1769:G1769"/>
    <mergeCell ref="A215:G215"/>
    <mergeCell ref="H1599:Q1599"/>
    <mergeCell ref="A1032:P1032"/>
    <mergeCell ref="R980:V980"/>
    <mergeCell ref="A373:G373"/>
    <mergeCell ref="I61:O61"/>
    <mergeCell ref="I183:O183"/>
    <mergeCell ref="A561:J561"/>
    <mergeCell ref="K1806:V1806"/>
    <mergeCell ref="I490:O490"/>
    <mergeCell ref="A2351:P2351"/>
    <mergeCell ref="I2398:O2398"/>
    <mergeCell ref="R629:V629"/>
    <mergeCell ref="A197:G197"/>
    <mergeCell ref="Q1297:V1297"/>
    <mergeCell ref="A1685:G1685"/>
    <mergeCell ref="A2380:P2380"/>
    <mergeCell ref="Q1411:V1411"/>
    <mergeCell ref="A1258:G1258"/>
    <mergeCell ref="Q1628:V1628"/>
    <mergeCell ref="A1616:J1616"/>
    <mergeCell ref="Q867:V867"/>
    <mergeCell ref="Q1165:V1165"/>
    <mergeCell ref="Q1780:V1780"/>
    <mergeCell ref="I146:O146"/>
    <mergeCell ref="Q2349:V2349"/>
    <mergeCell ref="I602:O602"/>
    <mergeCell ref="A1017:J1017"/>
    <mergeCell ref="A1590:G1590"/>
    <mergeCell ref="A506:G506"/>
    <mergeCell ref="R658:V658"/>
    <mergeCell ref="A829:G829"/>
    <mergeCell ref="Q224:V224"/>
    <mergeCell ref="I604:O604"/>
    <mergeCell ref="H2064:Q2064"/>
    <mergeCell ref="A1810:P1810"/>
    <mergeCell ref="A2369:G2369"/>
    <mergeCell ref="I2303:O2303"/>
    <mergeCell ref="Q280:V280"/>
    <mergeCell ref="I1542:O1542"/>
    <mergeCell ref="K429:V429"/>
    <mergeCell ref="I1840:O1840"/>
    <mergeCell ref="A1914:G1914"/>
    <mergeCell ref="K543:V543"/>
    <mergeCell ref="I1413:O1413"/>
    <mergeCell ref="A971:G971"/>
    <mergeCell ref="Q282:V282"/>
    <mergeCell ref="Q1335:V1335"/>
    <mergeCell ref="K1484:V1484"/>
    <mergeCell ref="Q1764:V1764"/>
    <mergeCell ref="A2275:P2275"/>
    <mergeCell ref="A1848:P1848"/>
    <mergeCell ref="I1308:O1308"/>
    <mergeCell ref="A1042:G1042"/>
    <mergeCell ref="A287:G287"/>
    <mergeCell ref="K371:V371"/>
    <mergeCell ref="R1807:V1807"/>
    <mergeCell ref="Q507:V507"/>
    <mergeCell ref="I887:O887"/>
    <mergeCell ref="Q934:V934"/>
    <mergeCell ref="A77:V77"/>
    <mergeCell ref="Q2220:V2220"/>
    <mergeCell ref="Q1981:V1981"/>
    <mergeCell ref="Q1641:V1641"/>
    <mergeCell ref="H2044:Q2044"/>
    <mergeCell ref="A1844:J1844"/>
    <mergeCell ref="I1913:O1913"/>
    <mergeCell ref="A1230:G1230"/>
    <mergeCell ref="H1219:Q1219"/>
    <mergeCell ref="I194:O194"/>
    <mergeCell ref="R97:V97"/>
    <mergeCell ref="R401:V401"/>
    <mergeCell ref="A566:G566"/>
    <mergeCell ref="H866:Q866"/>
    <mergeCell ref="K447:V447"/>
    <mergeCell ref="I528:O528"/>
    <mergeCell ref="R553:V553"/>
    <mergeCell ref="I650:O650"/>
    <mergeCell ref="A1028:J1028"/>
    <mergeCell ref="A1022:G1022"/>
    <mergeCell ref="Q577:V577"/>
    <mergeCell ref="I957:O957"/>
    <mergeCell ref="H1322:Q1322"/>
    <mergeCell ref="R1883:V1883"/>
    <mergeCell ref="I2010:O2010"/>
    <mergeCell ref="A1703:G1703"/>
    <mergeCell ref="A671:G671"/>
    <mergeCell ref="R1409:V1409"/>
    <mergeCell ref="A1265:J1265"/>
    <mergeCell ref="I175:O175"/>
    <mergeCell ref="I517:O517"/>
    <mergeCell ref="A547:P547"/>
    <mergeCell ref="A326:G326"/>
    <mergeCell ref="I2314:O2314"/>
    <mergeCell ref="A2388:G2388"/>
    <mergeCell ref="R1456:V1456"/>
    <mergeCell ref="I791:O791"/>
    <mergeCell ref="H97:Q97"/>
    <mergeCell ref="Q1326:V1326"/>
    <mergeCell ref="Q869:V869"/>
    <mergeCell ref="Q108:V108"/>
    <mergeCell ref="H2377:Q2377"/>
    <mergeCell ref="A2390:G2390"/>
    <mergeCell ref="A895:G895"/>
    <mergeCell ref="Q1694:V1694"/>
    <mergeCell ref="A1359:J1359"/>
    <mergeCell ref="A27:I27"/>
    <mergeCell ref="Q1992:V1992"/>
    <mergeCell ref="K2262:V2262"/>
    <mergeCell ref="R421:V421"/>
    <mergeCell ref="A1473:J1473"/>
    <mergeCell ref="A661:P661"/>
    <mergeCell ref="R535:V535"/>
    <mergeCell ref="Q603:V603"/>
    <mergeCell ref="I668:O668"/>
    <mergeCell ref="I1858:O1858"/>
    <mergeCell ref="A1040:G1040"/>
    <mergeCell ref="R752:V752"/>
    <mergeCell ref="A279:G279"/>
    <mergeCell ref="A1469:G1469"/>
    <mergeCell ref="R2234:V2234"/>
    <mergeCell ref="A928:G928"/>
    <mergeCell ref="A599:J599"/>
    <mergeCell ref="Q51:V51"/>
    <mergeCell ref="Q349:V349"/>
    <mergeCell ref="Q1402:V1402"/>
    <mergeCell ref="I1782:O1782"/>
    <mergeCell ref="A184:G184"/>
    <mergeCell ref="I241:O241"/>
    <mergeCell ref="R924:V924"/>
    <mergeCell ref="R1228:V1228"/>
    <mergeCell ref="I539:O539"/>
    <mergeCell ref="R2254:V2254"/>
    <mergeCell ref="A613:G613"/>
    <mergeCell ref="H1693:Q1693"/>
    <mergeCell ref="A100:P100"/>
    <mergeCell ref="A336:G336"/>
    <mergeCell ref="I1355:O1355"/>
    <mergeCell ref="H1257:Q1257"/>
    <mergeCell ref="H2149:Q2149"/>
    <mergeCell ref="A308:G308"/>
    <mergeCell ref="A1693:G1693"/>
    <mergeCell ref="A642:G642"/>
    <mergeCell ref="Q251:V251"/>
    <mergeCell ref="I1022:O1022"/>
    <mergeCell ref="A2149:G2149"/>
    <mergeCell ref="R164:V164"/>
    <mergeCell ref="Q1733:V1733"/>
    <mergeCell ref="K210:V210"/>
    <mergeCell ref="K514:V514"/>
    <mergeCell ref="A462:P462"/>
    <mergeCell ref="A1792:P1792"/>
    <mergeCell ref="Q1247:V1247"/>
    <mergeCell ref="K1815:V1815"/>
    <mergeCell ref="A241:G241"/>
    <mergeCell ref="R68:V68"/>
    <mergeCell ref="Q975:V975"/>
    <mergeCell ref="A1420:G1420"/>
    <mergeCell ref="I1040:O1040"/>
    <mergeCell ref="Q2095:V2095"/>
    <mergeCell ref="I2408:O2408"/>
    <mergeCell ref="I621:O621"/>
    <mergeCell ref="Q1334:V1334"/>
    <mergeCell ref="A999:J999"/>
    <mergeCell ref="R1854:V1854"/>
    <mergeCell ref="A993:G993"/>
    <mergeCell ref="H2073:Q2073"/>
    <mergeCell ref="I928:O928"/>
    <mergeCell ref="Q1763:V1763"/>
    <mergeCell ref="A1819:P1819"/>
    <mergeCell ref="A1422:G1422"/>
    <mergeCell ref="A1107:G1107"/>
    <mergeCell ref="A2248:P2248"/>
    <mergeCell ref="K865:V865"/>
    <mergeCell ref="A995:G995"/>
    <mergeCell ref="Q1875:V1875"/>
    <mergeCell ref="R392:V392"/>
    <mergeCell ref="I2312:O2312"/>
    <mergeCell ref="H857:Q857"/>
    <mergeCell ref="K438:V438"/>
    <mergeCell ref="A495:V495"/>
    <mergeCell ref="A1722:G1722"/>
    <mergeCell ref="Q422:V422"/>
    <mergeCell ref="A1627:G1627"/>
    <mergeCell ref="A1925:G1925"/>
    <mergeCell ref="A866:G866"/>
    <mergeCell ref="I2227:O2227"/>
    <mergeCell ref="A110:G110"/>
    <mergeCell ref="A1440:G1440"/>
    <mergeCell ref="A1350:J1350"/>
    <mergeCell ref="Q1345:V1345"/>
    <mergeCell ref="A706:G706"/>
    <mergeCell ref="A1013:G1013"/>
    <mergeCell ref="I1735:O1735"/>
    <mergeCell ref="I1420:O1420"/>
    <mergeCell ref="I336:O336"/>
    <mergeCell ref="A410:G410"/>
    <mergeCell ref="A1740:G1740"/>
    <mergeCell ref="R1892:V1892"/>
    <mergeCell ref="I595:O595"/>
    <mergeCell ref="A669:G669"/>
    <mergeCell ref="A1801:P1801"/>
    <mergeCell ref="K1256:V1256"/>
    <mergeCell ref="I1337:O1337"/>
    <mergeCell ref="A282:G282"/>
    <mergeCell ref="Q652:V652"/>
    <mergeCell ref="A1450:P1450"/>
    <mergeCell ref="Q347:V347"/>
    <mergeCell ref="A1739:J1739"/>
    <mergeCell ref="A1068:G1068"/>
    <mergeCell ref="Q1829:V1829"/>
    <mergeCell ref="Q1288:V1288"/>
    <mergeCell ref="Q375:V375"/>
    <mergeCell ref="R1523:V1523"/>
    <mergeCell ref="Q709:V709"/>
    <mergeCell ref="A781:G781"/>
    <mergeCell ref="Q1278:V1278"/>
    <mergeCell ref="I1039:O1039"/>
    <mergeCell ref="A1267:G1267"/>
    <mergeCell ref="Q20:V20"/>
    <mergeCell ref="Q775:V775"/>
    <mergeCell ref="A875:V875"/>
    <mergeCell ref="Q318:V318"/>
    <mergeCell ref="H1789:Q1789"/>
    <mergeCell ref="A1901:V1901"/>
    <mergeCell ref="Q2105:V2105"/>
    <mergeCell ref="A2094:G2094"/>
    <mergeCell ref="A2015:V2015"/>
    <mergeCell ref="Q470:V470"/>
    <mergeCell ref="Q1800:V1800"/>
    <mergeCell ref="I2180:O2180"/>
    <mergeCell ref="A1362:G1362"/>
    <mergeCell ref="R430:V430"/>
    <mergeCell ref="A771:J771"/>
    <mergeCell ref="Q1830:V1830"/>
    <mergeCell ref="A1153:G1153"/>
    <mergeCell ref="I563:O563"/>
    <mergeCell ref="A121:G121"/>
    <mergeCell ref="Q1060:V1060"/>
    <mergeCell ref="A71:P71"/>
    <mergeCell ref="A307:G307"/>
    <mergeCell ref="A2103:G2103"/>
    <mergeCell ref="K903:V903"/>
    <mergeCell ref="Q90:V90"/>
    <mergeCell ref="Q1779:V1779"/>
    <mergeCell ref="Q2121:V2121"/>
    <mergeCell ref="Q2115:V2115"/>
    <mergeCell ref="Q1658:V1658"/>
    <mergeCell ref="I1096:O1096"/>
    <mergeCell ref="I639:O639"/>
    <mergeCell ref="A1011:G1011"/>
    <mergeCell ref="A177:G177"/>
    <mergeCell ref="A1886:P1886"/>
    <mergeCell ref="Q917:V917"/>
    <mergeCell ref="A335:G335"/>
    <mergeCell ref="A1504:G1504"/>
    <mergeCell ref="R2207:V2207"/>
    <mergeCell ref="Q317:V317"/>
    <mergeCell ref="K885:V885"/>
    <mergeCell ref="Q773:V773"/>
    <mergeCell ref="K1341:V1341"/>
    <mergeCell ref="A2407:G2407"/>
    <mergeCell ref="Q1202:V1202"/>
    <mergeCell ref="I2027:O2027"/>
    <mergeCell ref="Q319:V319"/>
    <mergeCell ref="H1333:Q1333"/>
    <mergeCell ref="K914:V914"/>
    <mergeCell ref="I2325:O2325"/>
    <mergeCell ref="A533:V533"/>
    <mergeCell ref="I2369:O2369"/>
    <mergeCell ref="A2379:G2379"/>
    <mergeCell ref="A2381:G2381"/>
    <mergeCell ref="I1068:O1068"/>
    <mergeCell ref="Q1781:V1781"/>
    <mergeCell ref="A250:G250"/>
    <mergeCell ref="Q2123:V2123"/>
    <mergeCell ref="A2401:G2401"/>
    <mergeCell ref="Q2134:V2134"/>
    <mergeCell ref="R1950:V1950"/>
    <mergeCell ref="I2083:O2083"/>
    <mergeCell ref="Q1430:V1430"/>
    <mergeCell ref="I2390:O2390"/>
    <mergeCell ref="Q973:V973"/>
    <mergeCell ref="I156:O156"/>
    <mergeCell ref="H877:Q877"/>
    <mergeCell ref="Q2077:V2077"/>
    <mergeCell ref="Q563:V563"/>
    <mergeCell ref="I943:O943"/>
    <mergeCell ref="Q1373:V1373"/>
    <mergeCell ref="I1753:O1753"/>
    <mergeCell ref="A2253:J2253"/>
    <mergeCell ref="I992:O992"/>
    <mergeCell ref="A344:J344"/>
    <mergeCell ref="A44:P44"/>
    <mergeCell ref="I1448:O1448"/>
    <mergeCell ref="Q2161:V2161"/>
    <mergeCell ref="A1826:J1826"/>
    <mergeCell ref="R2377:V2377"/>
    <mergeCell ref="A1820:G1820"/>
    <mergeCell ref="I108:O108"/>
    <mergeCell ref="A421:G421"/>
    <mergeCell ref="H2120:Q2120"/>
    <mergeCell ref="A2249:G2249"/>
    <mergeCell ref="I260:O260"/>
    <mergeCell ref="I564:O564"/>
    <mergeCell ref="A638:G638"/>
    <mergeCell ref="A1664:G1664"/>
    <mergeCell ref="I993:O993"/>
    <mergeCell ref="A527:P527"/>
    <mergeCell ref="A1067:G1067"/>
    <mergeCell ref="A2120:G2120"/>
    <mergeCell ref="R135:V135"/>
    <mergeCell ref="H1684:Q1684"/>
    <mergeCell ref="K1265:V1265"/>
    <mergeCell ref="Q488:V488"/>
    <mergeCell ref="I441:O441"/>
    <mergeCell ref="A297:G297"/>
    <mergeCell ref="Q252:V252"/>
    <mergeCell ref="Q366:V366"/>
    <mergeCell ref="Q337:V337"/>
    <mergeCell ref="Q671:V671"/>
    <mergeCell ref="Q1761:V1761"/>
    <mergeCell ref="A1426:J1426"/>
    <mergeCell ref="I165:O165"/>
    <mergeCell ref="A120:P120"/>
    <mergeCell ref="A181:J181"/>
    <mergeCell ref="I250:O250"/>
    <mergeCell ref="A2054:J2054"/>
    <mergeCell ref="I1095:O1095"/>
    <mergeCell ref="A1431:G1431"/>
    <mergeCell ref="K2092:V2092"/>
    <mergeCell ref="K1008:V1008"/>
    <mergeCell ref="I1393:O1393"/>
    <mergeCell ref="A1467:G1467"/>
    <mergeCell ref="Q1173:V1173"/>
    <mergeCell ref="A1004:G1004"/>
    <mergeCell ref="Q404:V404"/>
    <mergeCell ref="Q746:V746"/>
    <mergeCell ref="A1787:V1787"/>
    <mergeCell ref="R1029:V1029"/>
    <mergeCell ref="A155:G155"/>
    <mergeCell ref="A175:G175"/>
    <mergeCell ref="Q1601:V1601"/>
    <mergeCell ref="A1679:G1679"/>
    <mergeCell ref="Q1392:V1392"/>
    <mergeCell ref="Q1715:V1715"/>
    <mergeCell ref="A954:G954"/>
    <mergeCell ref="Q1837:V1837"/>
    <mergeCell ref="H1561:Q1561"/>
    <mergeCell ref="A2084:G2084"/>
    <mergeCell ref="A1307:P1307"/>
    <mergeCell ref="A1381:G1381"/>
    <mergeCell ref="A2131:G2131"/>
    <mergeCell ref="Q1268:V1268"/>
    <mergeCell ref="K1075:V1075"/>
    <mergeCell ref="Q1802:V1802"/>
    <mergeCell ref="A848:G848"/>
    <mergeCell ref="A1364:G1364"/>
    <mergeCell ref="I242:O242"/>
    <mergeCell ref="A1421:P1421"/>
    <mergeCell ref="A316:G316"/>
    <mergeCell ref="A1342:G1342"/>
    <mergeCell ref="A2083:G2083"/>
    <mergeCell ref="I499:O499"/>
    <mergeCell ref="R524:V524"/>
    <mergeCell ref="Q1336:V1336"/>
    <mergeCell ref="A355:G355"/>
    <mergeCell ref="Q1467:V1467"/>
    <mergeCell ref="I955:O955"/>
    <mergeCell ref="I937:O937"/>
    <mergeCell ref="Q2114:V2114"/>
    <mergeCell ref="R962:V962"/>
    <mergeCell ref="A1133:G1133"/>
    <mergeCell ref="Q715:V715"/>
    <mergeCell ref="Q707:V707"/>
    <mergeCell ref="A1838:G1838"/>
    <mergeCell ref="Q1515:V1515"/>
    <mergeCell ref="A1077:G1077"/>
    <mergeCell ref="A519:G519"/>
    <mergeCell ref="A2350:G2350"/>
    <mergeCell ref="H1713:Q1713"/>
    <mergeCell ref="Q384:V384"/>
    <mergeCell ref="A49:J49"/>
    <mergeCell ref="A2195:J2195"/>
    <mergeCell ref="Q691:V691"/>
    <mergeCell ref="Q718:V718"/>
    <mergeCell ref="A79:G79"/>
    <mergeCell ref="A869:P869"/>
    <mergeCell ref="Q1147:V1147"/>
    <mergeCell ref="Q2200:V2200"/>
    <mergeCell ref="A1219:G1219"/>
    <mergeCell ref="Q386:V386"/>
    <mergeCell ref="Q413:V413"/>
    <mergeCell ref="A442:P442"/>
    <mergeCell ref="Q1439:V1439"/>
    <mergeCell ref="Q2331:V2331"/>
    <mergeCell ref="I1362:O1362"/>
    <mergeCell ref="A2191:G2191"/>
    <mergeCell ref="Q842:V842"/>
    <mergeCell ref="I935:O935"/>
    <mergeCell ref="A1435:J1435"/>
    <mergeCell ref="I1364:O1364"/>
    <mergeCell ref="R1389:V1389"/>
    <mergeCell ref="I1391:O1391"/>
    <mergeCell ref="I110:O110"/>
    <mergeCell ref="A424:P424"/>
    <mergeCell ref="A622:G622"/>
    <mergeCell ref="A109:P109"/>
    <mergeCell ref="I1163:O1163"/>
    <mergeCell ref="I706:O706"/>
    <mergeCell ref="I402:O402"/>
    <mergeCell ref="A2338:J2338"/>
    <mergeCell ref="I1077:O1077"/>
    <mergeCell ref="Q2132:V2132"/>
    <mergeCell ref="A1797:J1797"/>
    <mergeCell ref="Q127:V127"/>
    <mergeCell ref="I805:O805"/>
    <mergeCell ref="A2207:G2207"/>
    <mergeCell ref="Q784:V784"/>
    <mergeCell ref="H743:Q743"/>
    <mergeCell ref="A574:G574"/>
    <mergeCell ref="A1269:P1269"/>
    <mergeCell ref="Q2160:V2160"/>
    <mergeCell ref="Q908:V908"/>
    <mergeCell ref="A2294:G2294"/>
    <mergeCell ref="H2131:Q2131"/>
    <mergeCell ref="R144:V144"/>
    <mergeCell ref="A1331:V1331"/>
    <mergeCell ref="Q812:V812"/>
    <mergeCell ref="A2333:P2333"/>
    <mergeCell ref="A782:G782"/>
    <mergeCell ref="A1080:G1080"/>
    <mergeCell ref="A2133:G2133"/>
    <mergeCell ref="Q1602:V1602"/>
    <mergeCell ref="A477:G477"/>
    <mergeCell ref="K561:V561"/>
    <mergeCell ref="A1237:G1237"/>
    <mergeCell ref="H1105:Q1105"/>
    <mergeCell ref="A538:P538"/>
    <mergeCell ref="H2158:Q2158"/>
    <mergeCell ref="R486:V486"/>
    <mergeCell ref="A774:G774"/>
    <mergeCell ref="A880:P880"/>
    <mergeCell ref="I45:O45"/>
    <mergeCell ref="A119:G119"/>
    <mergeCell ref="A1449:G1449"/>
    <mergeCell ref="I1411:O1411"/>
    <mergeCell ref="I1533:O1533"/>
    <mergeCell ref="A1922:G1922"/>
    <mergeCell ref="A548:G548"/>
    <mergeCell ref="R1313:V1313"/>
    <mergeCell ref="A281:P281"/>
    <mergeCell ref="A585:P585"/>
    <mergeCell ref="A1144:G1144"/>
    <mergeCell ref="Q2256:V2256"/>
    <mergeCell ref="I1106:O1106"/>
    <mergeCell ref="I1744:O1744"/>
    <mergeCell ref="A1451:G1451"/>
    <mergeCell ref="A1793:G1793"/>
    <mergeCell ref="R886:V886"/>
    <mergeCell ref="R1190:V1190"/>
    <mergeCell ref="I2173:O2173"/>
    <mergeCell ref="A1609:G1609"/>
    <mergeCell ref="R2216:V2216"/>
    <mergeCell ref="I774:O774"/>
    <mergeCell ref="H1655:Q1655"/>
    <mergeCell ref="K1236:V1236"/>
    <mergeCell ref="A1907:G1907"/>
    <mergeCell ref="H1769:Q1769"/>
    <mergeCell ref="H2111:Q2111"/>
    <mergeCell ref="A447:J447"/>
    <mergeCell ref="A1407:V1407"/>
    <mergeCell ref="I376:O376"/>
    <mergeCell ref="Q1211:V1211"/>
    <mergeCell ref="A876:J876"/>
    <mergeCell ref="J4:L4"/>
    <mergeCell ref="Q2274:V2274"/>
    <mergeCell ref="A743:G743"/>
    <mergeCell ref="I1884:O1884"/>
    <mergeCell ref="A2262:J2262"/>
    <mergeCell ref="Q1513:V1513"/>
    <mergeCell ref="Q1855:V1855"/>
    <mergeCell ref="H307:Q307"/>
    <mergeCell ref="Q785:V785"/>
    <mergeCell ref="I861:O861"/>
    <mergeCell ref="A1172:G1172"/>
    <mergeCell ref="Q1811:V1811"/>
    <mergeCell ref="I2191:O2191"/>
    <mergeCell ref="Q1847:V1847"/>
    <mergeCell ref="R1333:V1333"/>
    <mergeCell ref="I1457:O1457"/>
    <mergeCell ref="H763:Q763"/>
    <mergeCell ref="A1829:G1829"/>
    <mergeCell ref="A509:P509"/>
    <mergeCell ref="A1401:P1401"/>
    <mergeCell ref="I1764:O1764"/>
    <mergeCell ref="R1789:V1789"/>
    <mergeCell ref="A1960:G1960"/>
    <mergeCell ref="A2258:G2258"/>
    <mergeCell ref="I1922:O1922"/>
    <mergeCell ref="A965:P965"/>
    <mergeCell ref="K1835:V1835"/>
    <mergeCell ref="I2220:O2220"/>
    <mergeCell ref="A82:P82"/>
    <mergeCell ref="Q2000:V2000"/>
    <mergeCell ref="A1831:G1831"/>
    <mergeCell ref="Q1239:V1239"/>
    <mergeCell ref="I288:O288"/>
    <mergeCell ref="K67:V67"/>
    <mergeCell ref="Q525:V525"/>
    <mergeCell ref="A791:G791"/>
    <mergeCell ref="Q954:V954"/>
    <mergeCell ref="A1089:G1089"/>
    <mergeCell ref="A63:G63"/>
    <mergeCell ref="Q860:V860"/>
    <mergeCell ref="Q1498:V1498"/>
    <mergeCell ref="A1304:G1304"/>
    <mergeCell ref="Q99:V99"/>
    <mergeCell ref="I1847:O1847"/>
    <mergeCell ref="I60:O60"/>
    <mergeCell ref="A92:G92"/>
    <mergeCell ref="I174:O174"/>
    <mergeCell ref="A2224:J2224"/>
    <mergeCell ref="I472:O472"/>
    <mergeCell ref="A546:G546"/>
    <mergeCell ref="Q2189:V2189"/>
    <mergeCell ref="I1677:O1677"/>
    <mergeCell ref="R1979:V1979"/>
    <mergeCell ref="A2177:J2177"/>
    <mergeCell ref="Q1732:V1732"/>
    <mergeCell ref="A1533:G1533"/>
    <mergeCell ref="Q700:V700"/>
    <mergeCell ref="Q1726:V1726"/>
    <mergeCell ref="Q2030:V2030"/>
    <mergeCell ref="I2106:O2106"/>
    <mergeCell ref="I2182:O2182"/>
    <mergeCell ref="A1029:G1029"/>
    <mergeCell ref="A2167:V2167"/>
    <mergeCell ref="A2043:J2043"/>
    <mergeCell ref="Q2302:V2302"/>
    <mergeCell ref="H781:Q781"/>
    <mergeCell ref="A571:V571"/>
    <mergeCell ref="Q813:V813"/>
    <mergeCell ref="Q1866:V1866"/>
    <mergeCell ref="A163:J163"/>
    <mergeCell ref="Q1458:V1458"/>
    <mergeCell ref="I1838:O1838"/>
    <mergeCell ref="A1078:G1078"/>
    <mergeCell ref="K1712:V1712"/>
    <mergeCell ref="K2054:V2054"/>
    <mergeCell ref="Q1429:V1429"/>
    <mergeCell ref="I279:O279"/>
    <mergeCell ref="A1673:V1673"/>
    <mergeCell ref="A991:G991"/>
    <mergeCell ref="A1438:G1438"/>
    <mergeCell ref="A1220:G1220"/>
    <mergeCell ref="R506:V506"/>
    <mergeCell ref="A1465:G1465"/>
    <mergeCell ref="I1820:O1820"/>
    <mergeCell ref="A1002:G1002"/>
    <mergeCell ref="Q1109:V1109"/>
    <mergeCell ref="A1942:G1942"/>
    <mergeCell ref="H1550:Q1550"/>
    <mergeCell ref="K789:V789"/>
    <mergeCell ref="A1115:G1115"/>
    <mergeCell ref="A2001:G2001"/>
    <mergeCell ref="I432:O432"/>
    <mergeCell ref="I1904:O1904"/>
    <mergeCell ref="I2246:O2246"/>
    <mergeCell ref="A2276:G2276"/>
    <mergeCell ref="H1427:Q1427"/>
    <mergeCell ref="D4:F4"/>
    <mergeCell ref="K847:V847"/>
    <mergeCell ref="Q70:V70"/>
    <mergeCell ref="Q2313:V2313"/>
    <mergeCell ref="Q744:V744"/>
    <mergeCell ref="A1875:G1875"/>
    <mergeCell ref="Q526:V526"/>
    <mergeCell ref="Q222:V222"/>
    <mergeCell ref="A61:G61"/>
    <mergeCell ref="A88:G88"/>
    <mergeCell ref="I906:O906"/>
    <mergeCell ref="I145:O145"/>
    <mergeCell ref="Q1164:V1164"/>
    <mergeCell ref="A523:J523"/>
    <mergeCell ref="I443:O443"/>
    <mergeCell ref="I1932:O1932"/>
    <mergeCell ref="A517:G517"/>
    <mergeCell ref="Q737:V737"/>
    <mergeCell ref="A87:J87"/>
    <mergeCell ref="A54:G54"/>
    <mergeCell ref="A979:J979"/>
    <mergeCell ref="A1999:G1999"/>
    <mergeCell ref="Q528:V528"/>
    <mergeCell ref="Q851:V851"/>
    <mergeCell ref="A90:G90"/>
    <mergeCell ref="A212:G212"/>
    <mergeCell ref="I470:O470"/>
    <mergeCell ref="A1800:G1800"/>
    <mergeCell ref="R1760:V1760"/>
    <mergeCell ref="A1931:G1931"/>
    <mergeCell ref="H848:Q848"/>
    <mergeCell ref="A2229:G2229"/>
    <mergeCell ref="A2305:G2305"/>
    <mergeCell ref="H383:Q383"/>
    <mergeCell ref="R1398:V1398"/>
    <mergeCell ref="R857:V857"/>
    <mergeCell ref="I1829:O1829"/>
    <mergeCell ref="Q121:V121"/>
    <mergeCell ref="R971:V971"/>
    <mergeCell ref="A1788:J1788"/>
    <mergeCell ref="H410:Q410"/>
    <mergeCell ref="I2294:O2294"/>
    <mergeCell ref="K420:V420"/>
    <mergeCell ref="Q1182:V1182"/>
    <mergeCell ref="K1473:V1473"/>
    <mergeCell ref="I1831:O1831"/>
    <mergeCell ref="Q2068:V2068"/>
    <mergeCell ref="H2196:Q2196"/>
    <mergeCell ref="A632:P632"/>
    <mergeCell ref="A1626:G1626"/>
    <mergeCell ref="A1802:G1802"/>
    <mergeCell ref="Q2001:V2001"/>
    <mergeCell ref="K771:V771"/>
    <mergeCell ref="A460:G460"/>
    <mergeCell ref="R2111:V2111"/>
    <mergeCell ref="Q811:V811"/>
    <mergeCell ref="A612:G612"/>
    <mergeCell ref="I1875:O1875"/>
    <mergeCell ref="Q594:V594"/>
    <mergeCell ref="R1655:V1655"/>
    <mergeCell ref="A2247:G2247"/>
    <mergeCell ref="A156:G156"/>
    <mergeCell ref="A1970:G1970"/>
    <mergeCell ref="I2255:O2255"/>
    <mergeCell ref="Q2372:V2372"/>
    <mergeCell ref="R2330:V2330"/>
    <mergeCell ref="A961:J961"/>
    <mergeCell ref="Q755:V755"/>
    <mergeCell ref="Q1184:V1184"/>
    <mergeCell ref="R59:V59"/>
    <mergeCell ref="Q450:V450"/>
    <mergeCell ref="I830:O830"/>
    <mergeCell ref="Q1640:V1640"/>
    <mergeCell ref="I69:O69"/>
    <mergeCell ref="K1692:V1692"/>
    <mergeCell ref="Q879:V879"/>
    <mergeCell ref="I367:O367"/>
    <mergeCell ref="I1733:O1733"/>
    <mergeCell ref="A903:J903"/>
    <mergeCell ref="A232:G232"/>
    <mergeCell ref="H1161:Q1161"/>
    <mergeCell ref="A2233:J2233"/>
    <mergeCell ref="Q452:V452"/>
    <mergeCell ref="A603:P603"/>
    <mergeCell ref="I832:O832"/>
    <mergeCell ref="R1295:V1295"/>
    <mergeCell ref="I2162:O2162"/>
    <mergeCell ref="A1714:G1714"/>
    <mergeCell ref="I1428:O1428"/>
    <mergeCell ref="H734:Q734"/>
    <mergeCell ref="Q2238:V2238"/>
    <mergeCell ref="Q261:V261"/>
    <mergeCell ref="H1275:Q1275"/>
    <mergeCell ref="K856:V856"/>
    <mergeCell ref="Q1314:V1314"/>
    <mergeCell ref="Q1591:V1591"/>
    <mergeCell ref="Q2296:V2296"/>
    <mergeCell ref="Q897:V897"/>
    <mergeCell ref="Q1535:V1535"/>
    <mergeCell ref="Q1562:V1562"/>
    <mergeCell ref="A885:J885"/>
    <mergeCell ref="K2130:V2130"/>
    <mergeCell ref="I814:O814"/>
    <mergeCell ref="Q1353:V1353"/>
    <mergeCell ref="R839:V839"/>
    <mergeCell ref="Q1869:V1869"/>
    <mergeCell ref="A1341:J1341"/>
    <mergeCell ref="Q592:V592"/>
    <mergeCell ref="I972:O972"/>
    <mergeCell ref="H278:Q278"/>
    <mergeCell ref="I1270:O1270"/>
    <mergeCell ref="A1344:G1344"/>
    <mergeCell ref="Q899:V899"/>
    <mergeCell ref="Q1564:V1564"/>
    <mergeCell ref="I545:O545"/>
    <mergeCell ref="A881:G881"/>
    <mergeCell ref="I843:O843"/>
    <mergeCell ref="H1181:Q1181"/>
    <mergeCell ref="A602:G602"/>
    <mergeCell ref="Q1279:V1279"/>
    <mergeCell ref="Q1583:V1583"/>
    <mergeCell ref="Q822:V822"/>
    <mergeCell ref="I2217:O2217"/>
    <mergeCell ref="Q2171:V2171"/>
    <mergeCell ref="Q357:V357"/>
    <mergeCell ref="K648:V648"/>
    <mergeCell ref="I1790:O1790"/>
    <mergeCell ref="A1412:P1412"/>
    <mergeCell ref="I2285:O2285"/>
    <mergeCell ref="R50:V50"/>
    <mergeCell ref="I2095:O2095"/>
    <mergeCell ref="A497:G497"/>
    <mergeCell ref="K1131:V1131"/>
    <mergeCell ref="A1181:G1181"/>
    <mergeCell ref="Q1953:V1953"/>
    <mergeCell ref="I546:O546"/>
    <mergeCell ref="I1572:O1572"/>
    <mergeCell ref="A157:G157"/>
    <mergeCell ref="A2102:G2102"/>
    <mergeCell ref="A983:P983"/>
    <mergeCell ref="I2379:O2379"/>
    <mergeCell ref="I1923:O1923"/>
    <mergeCell ref="A1997:G1997"/>
    <mergeCell ref="A604:G604"/>
    <mergeCell ref="A2301:G2301"/>
    <mergeCell ref="A631:G631"/>
    <mergeCell ref="A508:G508"/>
    <mergeCell ref="A2331:G2331"/>
    <mergeCell ref="I1496:O1496"/>
    <mergeCell ref="I1800:O1800"/>
    <mergeCell ref="A970:J970"/>
    <mergeCell ref="A1874:G1874"/>
    <mergeCell ref="Q2037:V2037"/>
    <mergeCell ref="R942:V942"/>
    <mergeCell ref="K818:V818"/>
    <mergeCell ref="I1952:O1952"/>
    <mergeCell ref="A221:G221"/>
    <mergeCell ref="I498:O498"/>
    <mergeCell ref="A1231:P1231"/>
    <mergeCell ref="I1970:O1970"/>
    <mergeCell ref="A595:G595"/>
    <mergeCell ref="A1683:J1683"/>
    <mergeCell ref="A1763:P1763"/>
    <mergeCell ref="R1637:V1637"/>
    <mergeCell ref="Q1390:V1390"/>
    <mergeCell ref="Q2028:V2028"/>
    <mergeCell ref="A39:V39"/>
    <mergeCell ref="Q1611:V1611"/>
    <mergeCell ref="Q1934:V1934"/>
    <mergeCell ref="Q850:V850"/>
    <mergeCell ref="A1521:V1521"/>
    <mergeCell ref="Q1725:V1725"/>
    <mergeCell ref="A1825:V1825"/>
    <mergeCell ref="Q964:V964"/>
    <mergeCell ref="I1344:O1344"/>
    <mergeCell ref="Q423:V423"/>
    <mergeCell ref="A1906:P1906"/>
    <mergeCell ref="A2008:G2008"/>
    <mergeCell ref="Q537:V537"/>
    <mergeCell ref="I917:O917"/>
    <mergeCell ref="H819:Q819"/>
    <mergeCell ref="I72:O72"/>
    <mergeCell ref="Q1867:V1867"/>
    <mergeCell ref="K344:V344"/>
    <mergeCell ref="Q165:V165"/>
    <mergeCell ref="H155:Q155"/>
    <mergeCell ref="H79:Q79"/>
    <mergeCell ref="Q52:V52"/>
    <mergeCell ref="A1325:P1325"/>
    <mergeCell ref="R933:V933"/>
    <mergeCell ref="A72:G72"/>
    <mergeCell ref="A1979:G1979"/>
    <mergeCell ref="A62:P62"/>
    <mergeCell ref="K1569:V1569"/>
    <mergeCell ref="I555:O555"/>
    <mergeCell ref="Q2122:V2122"/>
    <mergeCell ref="K1142:V1142"/>
    <mergeCell ref="I2399:O2399"/>
    <mergeCell ref="I612:O612"/>
    <mergeCell ref="I1638:O1638"/>
    <mergeCell ref="I1942:O1942"/>
    <mergeCell ref="A984:G984"/>
    <mergeCell ref="A2010:G2010"/>
    <mergeCell ref="Q2236:V2236"/>
    <mergeCell ref="A2314:G2314"/>
    <mergeCell ref="A717:P717"/>
    <mergeCell ref="I1855:O1855"/>
    <mergeCell ref="A2352:G2352"/>
    <mergeCell ref="K742:V742"/>
    <mergeCell ref="I2153:O2153"/>
    <mergeCell ref="I2189:O2189"/>
    <mergeCell ref="K2224:V2224"/>
    <mergeCell ref="A2045:G2045"/>
    <mergeCell ref="K315:V315"/>
    <mergeCell ref="A1363:P1363"/>
    <mergeCell ref="A1284:G1284"/>
    <mergeCell ref="R1751:V1751"/>
    <mergeCell ref="A1713:G1713"/>
    <mergeCell ref="K1797:V1797"/>
    <mergeCell ref="K2101:V2101"/>
    <mergeCell ref="I2381:O2381"/>
    <mergeCell ref="R1827:V1827"/>
    <mergeCell ref="Q1724:V1724"/>
    <mergeCell ref="Q963:V963"/>
    <mergeCell ref="Q2410:V2410"/>
    <mergeCell ref="Q1649:V1649"/>
    <mergeCell ref="A348:P348"/>
    <mergeCell ref="Q565:V565"/>
    <mergeCell ref="A1010:G1010"/>
    <mergeCell ref="A2036:G2036"/>
    <mergeCell ref="A127:G127"/>
    <mergeCell ref="A249:G249"/>
    <mergeCell ref="I1268:O1268"/>
    <mergeCell ref="I1998:O1998"/>
    <mergeCell ref="A2134:P2134"/>
    <mergeCell ref="R410:V410"/>
    <mergeCell ref="R714:V714"/>
    <mergeCell ref="A2370:G2370"/>
    <mergeCell ref="A1913:G1913"/>
    <mergeCell ref="R2196:V2196"/>
    <mergeCell ref="A555:G555"/>
    <mergeCell ref="A1608:G1608"/>
    <mergeCell ref="I2323:O2323"/>
    <mergeCell ref="H1295:Q1295"/>
    <mergeCell ref="A2358:J2358"/>
    <mergeCell ref="I536:O536"/>
    <mergeCell ref="I1866:O1866"/>
    <mergeCell ref="R1769:V1769"/>
    <mergeCell ref="K1645:V1645"/>
    <mergeCell ref="Q2378:V2378"/>
    <mergeCell ref="A918:P918"/>
    <mergeCell ref="R2272:V2272"/>
    <mergeCell ref="Q290:V290"/>
    <mergeCell ref="Q1980:V1980"/>
    <mergeCell ref="A837:V837"/>
    <mergeCell ref="Q1305:V1305"/>
    <mergeCell ref="R79:V79"/>
    <mergeCell ref="K400:V400"/>
    <mergeCell ref="R1836:V1836"/>
    <mergeCell ref="Q1022:V1022"/>
    <mergeCell ref="Q2409:V2409"/>
    <mergeCell ref="A429:J429"/>
    <mergeCell ref="A2398:G2398"/>
    <mergeCell ref="Q195:V195"/>
    <mergeCell ref="A1236:J1236"/>
    <mergeCell ref="Q487:V487"/>
    <mergeCell ref="I867:O867"/>
    <mergeCell ref="Q309:V309"/>
    <mergeCell ref="A425:G425"/>
    <mergeCell ref="Q1677:V1677"/>
    <mergeCell ref="I1742:O1742"/>
    <mergeCell ref="Q916:V916"/>
    <mergeCell ref="I1296:O1296"/>
    <mergeCell ref="R307:V307"/>
    <mergeCell ref="I981:O981"/>
    <mergeCell ref="H287:Q287"/>
    <mergeCell ref="A1668:G1668"/>
    <mergeCell ref="A269:G269"/>
    <mergeCell ref="A489:P489"/>
    <mergeCell ref="A725:G725"/>
    <mergeCell ref="A1241:G1241"/>
    <mergeCell ref="A2055:G2055"/>
    <mergeCell ref="A262:G262"/>
    <mergeCell ref="Q2076:V2076"/>
    <mergeCell ref="R383:V383"/>
    <mergeCell ref="A554:G554"/>
    <mergeCell ref="A1374:P1374"/>
    <mergeCell ref="A1610:G1610"/>
    <mergeCell ref="I2370:O2370"/>
    <mergeCell ref="I583:O583"/>
    <mergeCell ref="I577:O577"/>
    <mergeCell ref="I881:O881"/>
    <mergeCell ref="A955:G955"/>
    <mergeCell ref="H2035:Q2035"/>
    <mergeCell ref="A2348:G2348"/>
    <mergeCell ref="A194:G194"/>
    <mergeCell ref="A1384:G1384"/>
    <mergeCell ref="A2361:G2361"/>
    <mergeCell ref="A2319:V2319"/>
    <mergeCell ref="A1324:G1324"/>
    <mergeCell ref="A1750:J1750"/>
    <mergeCell ref="I349:O349"/>
    <mergeCell ref="I1679:O1679"/>
    <mergeCell ref="K1882:V1882"/>
    <mergeCell ref="Q1743:V1743"/>
    <mergeCell ref="Q1249:V1249"/>
    <mergeCell ref="A1541:G1541"/>
    <mergeCell ref="A1730:J1730"/>
    <mergeCell ref="Q1285:V1285"/>
    <mergeCell ref="H1988:Q1988"/>
    <mergeCell ref="H1208:Q1208"/>
    <mergeCell ref="A1337:G1337"/>
    <mergeCell ref="I2331:O2331"/>
    <mergeCell ref="A1070:P1070"/>
    <mergeCell ref="K1218:V1218"/>
    <mergeCell ref="Q1603:V1603"/>
    <mergeCell ref="I1641:O1641"/>
    <mergeCell ref="A1571:G1571"/>
    <mergeCell ref="Q840:V840"/>
    <mergeCell ref="H1579:Q1579"/>
    <mergeCell ref="R2263:V2263"/>
    <mergeCell ref="R1722:V1722"/>
    <mergeCell ref="Q1619:V1619"/>
    <mergeCell ref="Q205:V205"/>
    <mergeCell ref="A941:J941"/>
    <mergeCell ref="A593:G593"/>
    <mergeCell ref="A1323:G1323"/>
    <mergeCell ref="I2226:O2226"/>
    <mergeCell ref="Q945:V945"/>
    <mergeCell ref="A365:G365"/>
    <mergeCell ref="Q735:V735"/>
    <mergeCell ref="Q272:V272"/>
    <mergeCell ref="Q2217:V2217"/>
    <mergeCell ref="A381:V381"/>
    <mergeCell ref="Q1754:V1754"/>
    <mergeCell ref="A2064:G2064"/>
    <mergeCell ref="Q1375:V1375"/>
    <mergeCell ref="Q1971:V1971"/>
    <mergeCell ref="R819:V819"/>
    <mergeCell ref="Q432:V432"/>
    <mergeCell ref="Q1762:V1762"/>
    <mergeCell ref="A420:J420"/>
    <mergeCell ref="Q1001:V1001"/>
    <mergeCell ref="I526:O526"/>
    <mergeCell ref="I868:O868"/>
    <mergeCell ref="H1646:Q1646"/>
    <mergeCell ref="I1894:O1894"/>
    <mergeCell ref="A1968:G1968"/>
    <mergeCell ref="A842:P842"/>
    <mergeCell ref="A1382:G1382"/>
    <mergeCell ref="H1570:Q1570"/>
    <mergeCell ref="A499:G499"/>
    <mergeCell ref="A4:C4"/>
    <mergeCell ref="Q859:V859"/>
    <mergeCell ref="I1239:O1239"/>
    <mergeCell ref="H2017:Q2017"/>
    <mergeCell ref="I478:O478"/>
    <mergeCell ref="A2105:P2105"/>
    <mergeCell ref="A334:G334"/>
    <mergeCell ref="R801:V801"/>
    <mergeCell ref="I1353:O1353"/>
    <mergeCell ref="I812:O812"/>
    <mergeCell ref="I934:O934"/>
    <mergeCell ref="H240:Q240"/>
    <mergeCell ref="A1312:J1312"/>
    <mergeCell ref="A668:G668"/>
    <mergeCell ref="A1306:G1306"/>
    <mergeCell ref="I1241:O1241"/>
    <mergeCell ref="H258:Q258"/>
    <mergeCell ref="I51:O51"/>
    <mergeCell ref="H1740:Q1740"/>
    <mergeCell ref="A1753:G1753"/>
    <mergeCell ref="A1019:G1019"/>
    <mergeCell ref="K33:P33"/>
    <mergeCell ref="A413:P413"/>
    <mergeCell ref="R477:V477"/>
    <mergeCell ref="A650:G650"/>
    <mergeCell ref="A1676:G1676"/>
    <mergeCell ref="Q2046:V2046"/>
    <mergeCell ref="Q259:V259"/>
    <mergeCell ref="K523:V523"/>
    <mergeCell ref="K827:V827"/>
    <mergeCell ref="I908:O908"/>
    <mergeCell ref="I127:O127"/>
    <mergeCell ref="Q2311:V2311"/>
    <mergeCell ref="A1639:G1639"/>
    <mergeCell ref="A1674:J1674"/>
    <mergeCell ref="Q2009:V2009"/>
    <mergeCell ref="Q1248:V1248"/>
    <mergeCell ref="Q327:V327"/>
    <mergeCell ref="Q631:V631"/>
    <mergeCell ref="Q1361:V1361"/>
    <mergeCell ref="Q2113:V2113"/>
    <mergeCell ref="Q335:V335"/>
    <mergeCell ref="A2332:G2332"/>
    <mergeCell ref="R1266:V1266"/>
    <mergeCell ref="A1768:J1768"/>
    <mergeCell ref="I507:O507"/>
    <mergeCell ref="I1837:O1837"/>
    <mergeCell ref="Q1317:V1317"/>
    <mergeCell ref="I1697:O1697"/>
    <mergeCell ref="A2150:G2150"/>
    <mergeCell ref="A363:G363"/>
    <mergeCell ref="A2313:P2313"/>
    <mergeCell ref="A1419:G1419"/>
    <mergeCell ref="Q2058:V2058"/>
    <mergeCell ref="A387:G387"/>
    <mergeCell ref="Q2144:V2144"/>
    <mergeCell ref="A386:P386"/>
    <mergeCell ref="I1306:O1306"/>
    <mergeCell ref="A2135:G2135"/>
    <mergeCell ref="A1868:P1868"/>
    <mergeCell ref="R448:V448"/>
    <mergeCell ref="A2172:P2172"/>
    <mergeCell ref="A621:G621"/>
    <mergeCell ref="A1635:V1635"/>
    <mergeCell ref="I2293:O2293"/>
    <mergeCell ref="A1308:G1308"/>
    <mergeCell ref="A1212:G1212"/>
    <mergeCell ref="Q1582:V1582"/>
    <mergeCell ref="A1701:J1701"/>
    <mergeCell ref="A2005:J2005"/>
    <mergeCell ref="A1057:G1057"/>
    <mergeCell ref="Q1250:V1250"/>
    <mergeCell ref="A1429:G1429"/>
    <mergeCell ref="Q1277:V1277"/>
    <mergeCell ref="Q1554:V1554"/>
    <mergeCell ref="Q2010:V2010"/>
    <mergeCell ref="A485:J485"/>
    <mergeCell ref="A1141:V1141"/>
    <mergeCell ref="Q1706:V1706"/>
    <mergeCell ref="A2007:G2007"/>
    <mergeCell ref="Q2048:V2048"/>
    <mergeCell ref="A992:G992"/>
    <mergeCell ref="A677:G677"/>
    <mergeCell ref="R1275:V1275"/>
    <mergeCell ref="A1777:J1777"/>
    <mergeCell ref="I1352:O1352"/>
    <mergeCell ref="Q1752:V1752"/>
    <mergeCell ref="A1184:P1184"/>
    <mergeCell ref="A1211:P1211"/>
    <mergeCell ref="A1640:P1640"/>
    <mergeCell ref="A1876:G1876"/>
    <mergeCell ref="A2180:G2180"/>
    <mergeCell ref="Q728:V728"/>
    <mergeCell ref="Q1286:V1286"/>
    <mergeCell ref="A860:P860"/>
    <mergeCell ref="A1202:P1202"/>
    <mergeCell ref="Q2273:V2273"/>
    <mergeCell ref="M10:Q12"/>
    <mergeCell ref="A260:G260"/>
    <mergeCell ref="A564:G564"/>
    <mergeCell ref="I1621:O1621"/>
    <mergeCell ref="A2211:G2211"/>
    <mergeCell ref="I222:O222"/>
    <mergeCell ref="R2093:V2093"/>
    <mergeCell ref="Q1086:V1086"/>
    <mergeCell ref="A751:J751"/>
    <mergeCell ref="K1654:V1654"/>
    <mergeCell ref="I2008:O2008"/>
    <mergeCell ref="Q300:V300"/>
    <mergeCell ref="A2082:G2082"/>
    <mergeCell ref="K1227:V1227"/>
    <mergeCell ref="Q414:V414"/>
    <mergeCell ref="Q1088:V1088"/>
    <mergeCell ref="A2048:G2048"/>
    <mergeCell ref="Q403:V403"/>
    <mergeCell ref="A799:V799"/>
    <mergeCell ref="Q726:V726"/>
    <mergeCell ref="A391:J391"/>
    <mergeCell ref="A1721:J1721"/>
    <mergeCell ref="I298:O298"/>
    <mergeCell ref="A345:G345"/>
    <mergeCell ref="I320:O320"/>
    <mergeCell ref="A40:J40"/>
    <mergeCell ref="A67:J67"/>
    <mergeCell ref="A257:J257"/>
    <mergeCell ref="Q1620:V1620"/>
    <mergeCell ref="R468:V468"/>
    <mergeCell ref="A639:G639"/>
    <mergeCell ref="I2361:O2361"/>
    <mergeCell ref="A2199:P2199"/>
    <mergeCell ref="A229:V229"/>
    <mergeCell ref="Q1107:V1107"/>
    <mergeCell ref="Q2133:V2133"/>
    <mergeCell ref="R1646:V1646"/>
    <mergeCell ref="Q346:V346"/>
    <mergeCell ref="Q688:V688"/>
    <mergeCell ref="Q1399:V1399"/>
    <mergeCell ref="Q1714:V1714"/>
    <mergeCell ref="I1779:O1779"/>
    <mergeCell ref="H1085:Q1085"/>
    <mergeCell ref="Q1828:V1828"/>
    <mergeCell ref="I2208:O2208"/>
    <mergeCell ref="Q356:V356"/>
    <mergeCell ref="R1219:V1219"/>
    <mergeCell ref="H658:Q658"/>
    <mergeCell ref="Q2045:V2045"/>
    <mergeCell ref="Q2143:V2143"/>
    <mergeCell ref="A1466:G1466"/>
    <mergeCell ref="Q633:V633"/>
    <mergeCell ref="A1808:G1808"/>
    <mergeCell ref="A434:G434"/>
    <mergeCell ref="A1047:G1047"/>
    <mergeCell ref="Q1686:V1686"/>
    <mergeCell ref="I2066:O2066"/>
    <mergeCell ref="I1305:O1305"/>
    <mergeCell ref="H611:Q611"/>
    <mergeCell ref="I1603:O1603"/>
    <mergeCell ref="A1161:G1161"/>
    <mergeCell ref="Q328:V328"/>
    <mergeCell ref="Q2142:V2142"/>
    <mergeCell ref="Q2343:V2343"/>
    <mergeCell ref="I1020:O1020"/>
    <mergeCell ref="I1324:O1324"/>
    <mergeCell ref="Q43:V43"/>
    <mergeCell ref="A737:P737"/>
    <mergeCell ref="I1476:O1476"/>
    <mergeCell ref="A1550:G1550"/>
    <mergeCell ref="I715:O715"/>
    <mergeCell ref="I1019:O1019"/>
    <mergeCell ref="H325:Q325"/>
    <mergeCell ref="A1087:G1087"/>
    <mergeCell ref="A1391:G1391"/>
    <mergeCell ref="K2367:V2367"/>
    <mergeCell ref="R459:V459"/>
    <mergeCell ref="A630:G630"/>
    <mergeCell ref="R1351:V1351"/>
    <mergeCell ref="A1853:J1853"/>
    <mergeCell ref="I592:O592"/>
    <mergeCell ref="H790:Q790"/>
    <mergeCell ref="K1397:V1397"/>
    <mergeCell ref="A2096:P2096"/>
    <mergeCell ref="Q1127:V1127"/>
    <mergeCell ref="A1095:G1095"/>
    <mergeCell ref="I2074:O2074"/>
    <mergeCell ref="H354:Q354"/>
    <mergeCell ref="K961:V961"/>
    <mergeCell ref="A1393:G1393"/>
    <mergeCell ref="I1381:O1381"/>
    <mergeCell ref="H345:Q345"/>
    <mergeCell ref="A1413:G1413"/>
    <mergeCell ref="I1704:O1704"/>
    <mergeCell ref="Q2190:V2190"/>
    <mergeCell ref="Q480:V480"/>
    <mergeCell ref="R1541:V1541"/>
    <mergeCell ref="A10:E12"/>
    <mergeCell ref="A790:G790"/>
    <mergeCell ref="Q2188:V2188"/>
    <mergeCell ref="Q374:V374"/>
    <mergeCell ref="K1607:V1607"/>
    <mergeCell ref="I318:O318"/>
    <mergeCell ref="A392:G392"/>
    <mergeCell ref="A818:J818"/>
    <mergeCell ref="A1418:G1418"/>
    <mergeCell ref="K1180:V1180"/>
    <mergeCell ref="Q367:V367"/>
    <mergeCell ref="I747:O747"/>
    <mergeCell ref="Q1460:V1460"/>
    <mergeCell ref="A45:G45"/>
    <mergeCell ref="H182:Q182"/>
    <mergeCell ref="K192:V192"/>
    <mergeCell ref="I1761:O1761"/>
    <mergeCell ref="H1067:Q1067"/>
    <mergeCell ref="I2059:O2059"/>
    <mergeCell ref="A2139:J2139"/>
    <mergeCell ref="Q662:V662"/>
    <mergeCell ref="I660:O660"/>
    <mergeCell ref="Q186:V186"/>
    <mergeCell ref="I954:O954"/>
    <mergeCell ref="A258:G258"/>
    <mergeCell ref="A1448:G1448"/>
    <mergeCell ref="Q1030:V1030"/>
    <mergeCell ref="I1410:O1410"/>
    <mergeCell ref="A1782:G1782"/>
    <mergeCell ref="A1659:G1659"/>
    <mergeCell ref="A36:V37"/>
    <mergeCell ref="A898:P898"/>
    <mergeCell ref="A1134:G1134"/>
    <mergeCell ref="Q1354:V1354"/>
    <mergeCell ref="A1457:G1457"/>
    <mergeCell ref="I1419:O1419"/>
    <mergeCell ref="R1626:V1626"/>
    <mergeCell ref="H725:Q725"/>
    <mergeCell ref="I1717:O1717"/>
    <mergeCell ref="H2055:Q2055"/>
    <mergeCell ref="H2093:Q2093"/>
    <mergeCell ref="A2106:G2106"/>
    <mergeCell ref="A471:P471"/>
    <mergeCell ref="I1429:O1429"/>
    <mergeCell ref="H296:Q296"/>
    <mergeCell ref="I387:O387"/>
    <mergeCell ref="A687:G687"/>
    <mergeCell ref="Q1057:V1057"/>
    <mergeCell ref="K1321:V1321"/>
    <mergeCell ref="K1625:V1625"/>
    <mergeCell ref="I1706:O1706"/>
    <mergeCell ref="Q1486:V1486"/>
    <mergeCell ref="K1777:V1777"/>
    <mergeCell ref="Q1059:V1059"/>
    <mergeCell ref="A409:J409"/>
    <mergeCell ref="Q298:V298"/>
    <mergeCell ref="A376:G376"/>
    <mergeCell ref="I879:O879"/>
    <mergeCell ref="A1379:J1379"/>
    <mergeCell ref="Q1116:V1116"/>
    <mergeCell ref="R1930:V1930"/>
    <mergeCell ref="A735:G735"/>
    <mergeCell ref="I373:O373"/>
    <mergeCell ref="Q1183:V1183"/>
    <mergeCell ref="A1514:G1514"/>
    <mergeCell ref="Q1884:V1884"/>
    <mergeCell ref="K2148:V2148"/>
    <mergeCell ref="A2304:P2304"/>
    <mergeCell ref="R582:V582"/>
    <mergeCell ref="I244:O244"/>
    <mergeCell ref="Q1771:V1771"/>
    <mergeCell ref="A1132:G1132"/>
    <mergeCell ref="R1599:V1599"/>
    <mergeCell ref="A1887:G1887"/>
    <mergeCell ref="I2151:O2151"/>
    <mergeCell ref="I1390:O1390"/>
    <mergeCell ref="I1732:O1732"/>
    <mergeCell ref="A2110:J2110"/>
    <mergeCell ref="I358:O358"/>
    <mergeCell ref="A705:G705"/>
    <mergeCell ref="I1846:O1846"/>
    <mergeCell ref="H1152:Q1152"/>
    <mergeCell ref="A2218:G2218"/>
    <mergeCell ref="H269:Q269"/>
    <mergeCell ref="A594:P594"/>
    <mergeCell ref="A2206:J2206"/>
    <mergeCell ref="I2135:O2135"/>
    <mergeCell ref="A405:G405"/>
    <mergeCell ref="Q1657:V1657"/>
    <mergeCell ref="I785:O785"/>
    <mergeCell ref="A1589:G1589"/>
    <mergeCell ref="A813:P813"/>
    <mergeCell ref="A734:G734"/>
    <mergeCell ref="A1049:G1049"/>
    <mergeCell ref="Q364:V364"/>
    <mergeCell ref="Q668:V668"/>
    <mergeCell ref="Q365:V365"/>
    <mergeCell ref="I745:O745"/>
    <mergeCell ref="H1865:Q1865"/>
    <mergeCell ref="I101:O101"/>
    <mergeCell ref="I405:O405"/>
    <mergeCell ref="I1458:O1458"/>
    <mergeCell ref="A1611:P1611"/>
    <mergeCell ref="A1532:G1532"/>
    <mergeCell ref="Q699:V699"/>
    <mergeCell ref="A1958:J1958"/>
    <mergeCell ref="A2170:G2170"/>
    <mergeCell ref="A1725:P1725"/>
    <mergeCell ref="A1961:G1961"/>
    <mergeCell ref="K154:V154"/>
    <mergeCell ref="Q289:V289"/>
    <mergeCell ref="A619:J619"/>
    <mergeCell ref="Q1770:V1770"/>
    <mergeCell ref="R1161:V1161"/>
    <mergeCell ref="H573:Q573"/>
    <mergeCell ref="H1029:Q1029"/>
    <mergeCell ref="I1551:O1551"/>
    <mergeCell ref="A1383:P1383"/>
    <mergeCell ref="K1531:V1531"/>
    <mergeCell ref="A1687:P1687"/>
    <mergeCell ref="Q1261:V1261"/>
    <mergeCell ref="A1923:G1923"/>
    <mergeCell ref="A742:J742"/>
    <mergeCell ref="A838:J838"/>
    <mergeCell ref="Q412:V412"/>
    <mergeCell ref="Q754:V754"/>
    <mergeCell ref="A174:G174"/>
    <mergeCell ref="A472:G472"/>
    <mergeCell ref="I1162:O1162"/>
    <mergeCell ref="I2104:O2104"/>
    <mergeCell ref="I1343:O1343"/>
    <mergeCell ref="A1298:P1298"/>
    <mergeCell ref="A927:P927"/>
    <mergeCell ref="A1953:P1953"/>
    <mergeCell ref="A402:G402"/>
    <mergeCell ref="K1978:V1978"/>
    <mergeCell ref="K2005:V2005"/>
    <mergeCell ref="I689:O689"/>
    <mergeCell ref="A1189:J1189"/>
    <mergeCell ref="A1645:J1645"/>
    <mergeCell ref="Q896:V896"/>
    <mergeCell ref="A762:J762"/>
    <mergeCell ref="Q1194:V1194"/>
    <mergeCell ref="H1056:Q1056"/>
    <mergeCell ref="A830:G830"/>
    <mergeCell ref="Q385:V385"/>
    <mergeCell ref="Q1050:V1050"/>
    <mergeCell ref="A400:J400"/>
    <mergeCell ref="I925:O925"/>
    <mergeCell ref="R1246:V1246"/>
    <mergeCell ref="A1534:G1534"/>
    <mergeCell ref="A1199:G1199"/>
    <mergeCell ref="Q841:V841"/>
    <mergeCell ref="R354:V354"/>
    <mergeCell ref="Q234:V234"/>
    <mergeCell ref="I235:O235"/>
    <mergeCell ref="A222:G222"/>
    <mergeCell ref="Q2086:V2086"/>
    <mergeCell ref="I2401:O2401"/>
    <mergeCell ref="A1959:G1959"/>
    <mergeCell ref="Q1126:V1126"/>
    <mergeCell ref="Q2179:V2179"/>
    <mergeCell ref="A476:J476"/>
    <mergeCell ref="A2220:G2220"/>
    <mergeCell ref="I2332:O2332"/>
    <mergeCell ref="A1218:J1218"/>
    <mergeCell ref="Q469:V469"/>
    <mergeCell ref="Q1799:V1799"/>
    <mergeCell ref="Q767:V767"/>
    <mergeCell ref="I1147:O1147"/>
    <mergeCell ref="A1817:G1817"/>
    <mergeCell ref="A1056:G1056"/>
    <mergeCell ref="A2246:G2246"/>
    <mergeCell ref="A1512:G1512"/>
    <mergeCell ref="A1941:G1941"/>
    <mergeCell ref="A822:P822"/>
    <mergeCell ref="A1058:G1058"/>
    <mergeCell ref="A601:G601"/>
    <mergeCell ref="K724:V724"/>
    <mergeCell ref="I1109:O1109"/>
    <mergeCell ref="H1132:Q1132"/>
    <mergeCell ref="A1183:G1183"/>
    <mergeCell ref="Q2181:V2181"/>
    <mergeCell ref="K2025:V2025"/>
    <mergeCell ref="Q1125:V1125"/>
    <mergeCell ref="Q1688:V1688"/>
    <mergeCell ref="Q690:V690"/>
    <mergeCell ref="Q1581:V1581"/>
    <mergeCell ref="K1388:V1388"/>
    <mergeCell ref="Q2150:V2150"/>
    <mergeCell ref="A19:H19"/>
    <mergeCell ref="Q83:V83"/>
    <mergeCell ref="A772:G772"/>
    <mergeCell ref="A13:E13"/>
    <mergeCell ref="Q1136:V1136"/>
    <mergeCell ref="I1372:O1372"/>
    <mergeCell ref="A1744:G1744"/>
    <mergeCell ref="A1027:V1027"/>
    <mergeCell ref="Q1565:V1565"/>
    <mergeCell ref="Q1723:V1723"/>
    <mergeCell ref="A2173:G2173"/>
    <mergeCell ref="Q2021:V2021"/>
    <mergeCell ref="Q1144:V1144"/>
    <mergeCell ref="Q2197:V2197"/>
    <mergeCell ref="A1873:J1873"/>
    <mergeCell ref="Q1296:V1296"/>
    <mergeCell ref="Q1600:V1600"/>
    <mergeCell ref="A827:J827"/>
    <mergeCell ref="I756:O756"/>
    <mergeCell ref="A1904:G1904"/>
    <mergeCell ref="A2026:G2026"/>
    <mergeCell ref="K2119:V2119"/>
    <mergeCell ref="A1983:G1983"/>
    <mergeCell ref="Q2019:V2019"/>
    <mergeCell ref="I1361:O1361"/>
    <mergeCell ref="H667:Q667"/>
    <mergeCell ref="I329:O329"/>
    <mergeCell ref="A1232:G1232"/>
    <mergeCell ref="A1503:G1503"/>
    <mergeCell ref="Q670:V670"/>
    <mergeCell ref="Q697:V697"/>
    <mergeCell ref="I2103:O2103"/>
    <mergeCell ref="Q80:V80"/>
    <mergeCell ref="A919:G919"/>
    <mergeCell ref="Q1894:V1894"/>
    <mergeCell ref="I1513:O1513"/>
    <mergeCell ref="I1817:O1817"/>
    <mergeCell ref="Q2323:V2323"/>
    <mergeCell ref="H1123:Q1123"/>
    <mergeCell ref="A832:G832"/>
    <mergeCell ref="I1811:O1811"/>
    <mergeCell ref="A1649:P1649"/>
    <mergeCell ref="Q536:V536"/>
    <mergeCell ref="A565:P565"/>
    <mergeCell ref="A1885:G1885"/>
    <mergeCell ref="A98:G98"/>
    <mergeCell ref="R1257:V1257"/>
    <mergeCell ref="A1428:G1428"/>
    <mergeCell ref="A396:G396"/>
    <mergeCell ref="A1854:G1854"/>
    <mergeCell ref="I2209:O2209"/>
    <mergeCell ref="A915:G915"/>
    <mergeCell ref="I811:O811"/>
    <mergeCell ref="Q1621:V1621"/>
    <mergeCell ref="A584:G584"/>
    <mergeCell ref="R296:V296"/>
    <mergeCell ref="I423:O423"/>
    <mergeCell ref="A261:P261"/>
    <mergeCell ref="Q1592:V1592"/>
    <mergeCell ref="A1987:J1987"/>
    <mergeCell ref="H2321:Q2321"/>
    <mergeCell ref="Q1896:V1896"/>
    <mergeCell ref="R325:V325"/>
    <mergeCell ref="A800:J800"/>
    <mergeCell ref="A2341:G2341"/>
    <mergeCell ref="H696:Q696"/>
    <mergeCell ref="A1884:G1884"/>
    <mergeCell ref="Q1925:V1925"/>
    <mergeCell ref="Q138:V138"/>
    <mergeCell ref="I1058:O1058"/>
    <mergeCell ref="A861:G861"/>
    <mergeCell ref="H2178:Q2178"/>
    <mergeCell ref="K619:V619"/>
    <mergeCell ref="I1514:O1514"/>
    <mergeCell ref="A1588:G1588"/>
    <mergeCell ref="K733:V733"/>
    <mergeCell ref="Q1495:V1495"/>
    <mergeCell ref="Q463:V463"/>
    <mergeCell ref="I1087:O1087"/>
    <mergeCell ref="K306:V306"/>
    <mergeCell ref="H2082:Q2082"/>
    <mergeCell ref="Q1497:V1497"/>
    <mergeCell ref="R372:V372"/>
    <mergeCell ref="Q440:V440"/>
    <mergeCell ref="A847:J847"/>
    <mergeCell ref="Q738:V738"/>
    <mergeCell ref="A1711:V1711"/>
    <mergeCell ref="Q1192:V1192"/>
    <mergeCell ref="A2325:G2325"/>
    <mergeCell ref="I2170:O2170"/>
    <mergeCell ref="R2073:V2073"/>
    <mergeCell ref="A1560:J1560"/>
    <mergeCell ref="Q1231:V1231"/>
    <mergeCell ref="Q2324:V2324"/>
    <mergeCell ref="K257:V257"/>
    <mergeCell ref="K1283:V1283"/>
    <mergeCell ref="I42:O42"/>
    <mergeCell ref="A553:G553"/>
    <mergeCell ref="I1232:O1232"/>
    <mergeCell ref="H1474:Q1474"/>
    <mergeCell ref="A545:G545"/>
    <mergeCell ref="A887:G887"/>
    <mergeCell ref="I52:O52"/>
    <mergeCell ref="Q765:V765"/>
    <mergeCell ref="A126:G126"/>
    <mergeCell ref="A843:G843"/>
    <mergeCell ref="I1145:O1145"/>
    <mergeCell ref="A1185:G1185"/>
    <mergeCell ref="Q1526:V1526"/>
    <mergeCell ref="R1608:V1608"/>
    <mergeCell ref="I1741:O1741"/>
    <mergeCell ref="I166:O166"/>
    <mergeCell ref="H1047:Q1047"/>
    <mergeCell ref="A240:G240"/>
    <mergeCell ref="Q1221:V1221"/>
    <mergeCell ref="A1299:G1299"/>
    <mergeCell ref="A117:G117"/>
    <mergeCell ref="A945:P945"/>
    <mergeCell ref="A1143:G1143"/>
    <mergeCell ref="A1249:P1249"/>
    <mergeCell ref="A1485:G1485"/>
    <mergeCell ref="Q1267:V1267"/>
    <mergeCell ref="Q1590:V1590"/>
    <mergeCell ref="Q206:V206"/>
    <mergeCell ref="Q510:V510"/>
    <mergeCell ref="R363:V363"/>
    <mergeCell ref="A1270:G1270"/>
    <mergeCell ref="I422:O422"/>
    <mergeCell ref="R27:V27"/>
    <mergeCell ref="K40:V40"/>
    <mergeCell ref="Q802:V802"/>
    <mergeCell ref="A2360:G2360"/>
    <mergeCell ref="A1678:P1678"/>
    <mergeCell ref="H2406:Q2406"/>
    <mergeCell ref="A1599:G1599"/>
    <mergeCell ref="H106:Q106"/>
    <mergeCell ref="Q1210:V1210"/>
    <mergeCell ref="Q1552:V1552"/>
    <mergeCell ref="Q791:V791"/>
    <mergeCell ref="K1359:V1359"/>
    <mergeCell ref="Q1666:V1666"/>
    <mergeCell ref="I70:O70"/>
    <mergeCell ref="Q905:V905"/>
    <mergeCell ref="I1285:O1285"/>
    <mergeCell ref="H591:Q591"/>
    <mergeCell ref="I1583:O1583"/>
    <mergeCell ref="Q1212:V1212"/>
    <mergeCell ref="R725:V725"/>
    <mergeCell ref="R2055:V2055"/>
    <mergeCell ref="A1227:J1227"/>
    <mergeCell ref="Q478:V478"/>
    <mergeCell ref="I858:O858"/>
    <mergeCell ref="I2188:O2188"/>
    <mergeCell ref="H164:Q164"/>
    <mergeCell ref="Q2266:V2266"/>
    <mergeCell ref="I2341:O2341"/>
    <mergeCell ref="I1182:O1182"/>
    <mergeCell ref="A1525:G1525"/>
    <mergeCell ref="A966:G966"/>
    <mergeCell ref="A211:G211"/>
    <mergeCell ref="Q2264:V2264"/>
    <mergeCell ref="H1950:Q1950"/>
    <mergeCell ref="A366:P366"/>
    <mergeCell ref="A1392:P1392"/>
    <mergeCell ref="A1696:P1696"/>
    <mergeCell ref="Q2152:V2152"/>
    <mergeCell ref="A145:G145"/>
    <mergeCell ref="A2255:G2255"/>
    <mergeCell ref="A139:G139"/>
    <mergeCell ref="I403:O403"/>
    <mergeCell ref="A443:G443"/>
    <mergeCell ref="H1523:Q1523"/>
    <mergeCell ref="A723:V723"/>
    <mergeCell ref="I1885:O1885"/>
    <mergeCell ref="A1963:G1963"/>
    <mergeCell ref="I98:O98"/>
    <mergeCell ref="A470:G470"/>
    <mergeCell ref="A1200:G1200"/>
    <mergeCell ref="K1446:V1446"/>
    <mergeCell ref="A1523:G1523"/>
    <mergeCell ref="A1602:P1602"/>
    <mergeCell ref="A1952:G1952"/>
    <mergeCell ref="R676:V676"/>
    <mergeCell ref="I899:O899"/>
    <mergeCell ref="Q2038:V2038"/>
    <mergeCell ref="Q736:V736"/>
    <mergeCell ref="I1230:O1230"/>
    <mergeCell ref="I2218:O2218"/>
    <mergeCell ref="I2256:O2256"/>
    <mergeCell ref="I916:O916"/>
    <mergeCell ref="K695:V695"/>
    <mergeCell ref="A1527:G1527"/>
    <mergeCell ref="A2283:G2283"/>
    <mergeCell ref="H1874:Q1874"/>
    <mergeCell ref="I729:O729"/>
    <mergeCell ref="I414:O414"/>
    <mergeCell ref="A1256:J1256"/>
    <mergeCell ref="A1620:P1620"/>
    <mergeCell ref="A1856:G1856"/>
    <mergeCell ref="A69:G69"/>
    <mergeCell ref="H904:Q904"/>
    <mergeCell ref="A367:G367"/>
    <mergeCell ref="A2285:G2285"/>
    <mergeCell ref="A2076:P2076"/>
    <mergeCell ref="A498:G498"/>
    <mergeCell ref="A183:G183"/>
    <mergeCell ref="A1551:G1551"/>
    <mergeCell ref="A34:I34"/>
    <mergeCell ref="A2284:G2284"/>
    <mergeCell ref="A814:G814"/>
    <mergeCell ref="A2219:P2219"/>
    <mergeCell ref="A972:G972"/>
    <mergeCell ref="A1998:G1998"/>
    <mergeCell ref="I137:O137"/>
    <mergeCell ref="Q120:V120"/>
    <mergeCell ref="I1828:O1828"/>
    <mergeCell ref="A1459:P1459"/>
    <mergeCell ref="A193:G193"/>
    <mergeCell ref="Q136:V136"/>
    <mergeCell ref="A135:G135"/>
    <mergeCell ref="I1856:O1856"/>
    <mergeCell ref="A1921:G1921"/>
    <mergeCell ref="H1485:Q1485"/>
    <mergeCell ref="A1989:G1989"/>
    <mergeCell ref="Q2363:V2363"/>
    <mergeCell ref="I2284:O2284"/>
    <mergeCell ref="Q576:V576"/>
    <mergeCell ref="I195:O195"/>
    <mergeCell ref="R2064:V2064"/>
    <mergeCell ref="K2110:V2110"/>
    <mergeCell ref="Q271:V271"/>
    <mergeCell ref="A268:J268"/>
    <mergeCell ref="A572:J572"/>
    <mergeCell ref="R1123:V1123"/>
    <mergeCell ref="A1625:J1625"/>
    <mergeCell ref="H562:Q562"/>
    <mergeCell ref="K1169:V1169"/>
    <mergeCell ref="Q1174:V1174"/>
    <mergeCell ref="I1554:O1554"/>
    <mergeCell ref="Q2066:V2066"/>
    <mergeCell ref="R696:V696"/>
    <mergeCell ref="Q273:V273"/>
    <mergeCell ref="A867:G867"/>
    <mergeCell ref="Q449:V449"/>
    <mergeCell ref="A1165:G1165"/>
    <mergeCell ref="Q1639:V1639"/>
    <mergeCell ref="Q2350:V2350"/>
    <mergeCell ref="I2265:O2265"/>
    <mergeCell ref="A667:G667"/>
    <mergeCell ref="R1684:V1684"/>
    <mergeCell ref="Q348:V348"/>
    <mergeCell ref="A439:G439"/>
    <mergeCell ref="I794:O794"/>
    <mergeCell ref="A868:G868"/>
    <mergeCell ref="A591:G591"/>
    <mergeCell ref="A224:G224"/>
    <mergeCell ref="A2293:G2293"/>
    <mergeCell ref="I1951:O1951"/>
    <mergeCell ref="Q243:V243"/>
    <mergeCell ref="A305:V305"/>
    <mergeCell ref="R2035:V2035"/>
    <mergeCell ref="Q2029:V2029"/>
    <mergeCell ref="Q242:V242"/>
    <mergeCell ref="R2149:V2149"/>
    <mergeCell ref="A239:J239"/>
    <mergeCell ref="H1588:Q1588"/>
    <mergeCell ref="H231:Q231"/>
    <mergeCell ref="I1223:O1223"/>
    <mergeCell ref="R2158:V2158"/>
    <mergeCell ref="I139:O139"/>
    <mergeCell ref="H705:Q705"/>
    <mergeCell ref="A1570:G1570"/>
    <mergeCell ref="K1055:V1055"/>
    <mergeCell ref="K704:V704"/>
    <mergeCell ref="A1096:G1096"/>
    <mergeCell ref="Q944:V944"/>
    <mergeCell ref="Q1162:V1162"/>
    <mergeCell ref="R2140:V2140"/>
    <mergeCell ref="A1641:G1641"/>
    <mergeCell ref="Q1685:V1685"/>
    <mergeCell ref="I1346:O1346"/>
    <mergeCell ref="A1697:G1697"/>
    <mergeCell ref="A1430:P1430"/>
    <mergeCell ref="I1127:O1127"/>
    <mergeCell ref="R1152:V1152"/>
    <mergeCell ref="Q878:V878"/>
    <mergeCell ref="R2178:V2178"/>
    <mergeCell ref="A562:G562"/>
    <mergeCell ref="I2311:O2311"/>
    <mergeCell ref="H1617:Q1617"/>
    <mergeCell ref="K1198:V1198"/>
    <mergeCell ref="H1921:Q1921"/>
    <mergeCell ref="A896:G896"/>
    <mergeCell ref="A651:G651"/>
    <mergeCell ref="A2226:G2226"/>
    <mergeCell ref="Q1618:V1618"/>
    <mergeCell ref="A1245:J1245"/>
    <mergeCell ref="K2186:V2186"/>
    <mergeCell ref="Q1916:V1916"/>
    <mergeCell ref="R1713:V1713"/>
    <mergeCell ref="Q2047:V2047"/>
    <mergeCell ref="I897:O897"/>
    <mergeCell ref="A2182:G2182"/>
    <mergeCell ref="A1397:J1397"/>
    <mergeCell ref="K1759:V1759"/>
    <mergeCell ref="I1326:O1326"/>
    <mergeCell ref="H1892:Q1892"/>
    <mergeCell ref="Q1924:V1924"/>
    <mergeCell ref="A1274:J1274"/>
    <mergeCell ref="Q1163:V1163"/>
    <mergeCell ref="K2195:V2195"/>
    <mergeCell ref="Q2056:V2056"/>
    <mergeCell ref="A695:J695"/>
    <mergeCell ref="R1132:V1132"/>
    <mergeCell ref="Q2075:V2075"/>
    <mergeCell ref="A1436:G1436"/>
    <mergeCell ref="A2063:J2063"/>
    <mergeCell ref="I662:O662"/>
    <mergeCell ref="Q1648:V1648"/>
    <mergeCell ref="A1009:G1009"/>
    <mergeCell ref="R2406:V2406"/>
    <mergeCell ref="I964:O964"/>
    <mergeCell ref="A2097:G2097"/>
    <mergeCell ref="A1038:G1038"/>
    <mergeCell ref="A2368:G2368"/>
    <mergeCell ref="I203:O203"/>
    <mergeCell ref="Q1258:V1258"/>
    <mergeCell ref="R106:V106"/>
    <mergeCell ref="K1826:V1826"/>
    <mergeCell ref="A575:G575"/>
    <mergeCell ref="A610:J610"/>
    <mergeCell ref="H1959:Q1959"/>
    <mergeCell ref="I537:O537"/>
    <mergeCell ref="A690:P690"/>
    <mergeCell ref="A375:P375"/>
    <mergeCell ref="A611:G611"/>
    <mergeCell ref="I966:O966"/>
    <mergeCell ref="A804:P804"/>
    <mergeCell ref="A2397:G2397"/>
    <mergeCell ref="R763:V763"/>
    <mergeCell ref="R1816:V1816"/>
    <mergeCell ref="Q660:V660"/>
    <mergeCell ref="I896:O896"/>
    <mergeCell ref="H202:Q202"/>
    <mergeCell ref="K809:V809"/>
    <mergeCell ref="I1194:O1194"/>
    <mergeCell ref="A1268:G1268"/>
    <mergeCell ref="Q1431:V1431"/>
    <mergeCell ref="R2245:V2245"/>
    <mergeCell ref="A507:G507"/>
    <mergeCell ref="I2378:O2378"/>
    <mergeCell ref="A805:G805"/>
    <mergeCell ref="A6:F6"/>
    <mergeCell ref="A583:G583"/>
    <mergeCell ref="A577:G577"/>
    <mergeCell ref="I1183:O1183"/>
    <mergeCell ref="I2236:O2236"/>
    <mergeCell ref="A1033:G1033"/>
    <mergeCell ref="A278:G278"/>
    <mergeCell ref="A2363:G2363"/>
    <mergeCell ref="A2399:G2399"/>
    <mergeCell ref="A1638:G1638"/>
    <mergeCell ref="Q221:V221"/>
    <mergeCell ref="K2157:V2157"/>
    <mergeCell ref="Q215:V215"/>
    <mergeCell ref="Q650:V650"/>
    <mergeCell ref="Q1703:V1703"/>
    <mergeCell ref="I982:O982"/>
    <mergeCell ref="Q2159:V2159"/>
    <mergeCell ref="A1694:G1694"/>
    <mergeCell ref="A1992:G1992"/>
    <mergeCell ref="R34:V34"/>
    <mergeCell ref="Q1705:V1705"/>
    <mergeCell ref="Q1922:V1922"/>
    <mergeCell ref="Q1400:V1400"/>
    <mergeCell ref="Q1704:V1704"/>
    <mergeCell ref="I1780:O1780"/>
    <mergeCell ref="A2292:G2292"/>
    <mergeCell ref="A937:G937"/>
    <mergeCell ref="A182:G182"/>
    <mergeCell ref="R334:V334"/>
    <mergeCell ref="I1317:O1317"/>
    <mergeCell ref="I440:O440"/>
    <mergeCell ref="A296:G296"/>
    <mergeCell ref="Q2360:V2360"/>
    <mergeCell ref="Q244:V244"/>
    <mergeCell ref="I624:O624"/>
    <mergeCell ref="I309:O309"/>
    <mergeCell ref="I1335:O1335"/>
    <mergeCell ref="Q2390:V2390"/>
    <mergeCell ref="Q1933:V1933"/>
    <mergeCell ref="R781:V781"/>
    <mergeCell ref="Q2362:V2362"/>
    <mergeCell ref="Q2085:V2085"/>
    <mergeCell ref="A1712:J1712"/>
    <mergeCell ref="R1114:V1114"/>
    <mergeCell ref="I311:O311"/>
    <mergeCell ref="H676:Q676"/>
    <mergeCell ref="H1702:Q1702"/>
    <mergeCell ref="I1247:O1247"/>
    <mergeCell ref="H553:Q553"/>
    <mergeCell ref="Q2057:V2057"/>
    <mergeCell ref="A981:G981"/>
    <mergeCell ref="I2097:O2097"/>
    <mergeCell ref="A299:P299"/>
    <mergeCell ref="A2349:G2349"/>
    <mergeCell ref="A2092:J2092"/>
    <mergeCell ref="Q1343:V1343"/>
    <mergeCell ref="A1008:J1008"/>
    <mergeCell ref="I1723:O1723"/>
    <mergeCell ref="A328:P328"/>
    <mergeCell ref="Q689:V689"/>
    <mergeCell ref="A1354:P1354"/>
    <mergeCell ref="A1579:G1579"/>
    <mergeCell ref="Q2074:V2074"/>
    <mergeCell ref="Q262:V262"/>
    <mergeCell ref="Q508:V508"/>
    <mergeCell ref="Q184:V184"/>
    <mergeCell ref="Q1374:V1374"/>
    <mergeCell ref="Q613:V613"/>
    <mergeCell ref="A1830:P1830"/>
    <mergeCell ref="J20:O20"/>
    <mergeCell ref="A906:G906"/>
    <mergeCell ref="A637:J637"/>
    <mergeCell ref="Q1069:V1069"/>
    <mergeCell ref="Q308:V308"/>
    <mergeCell ref="A1066:J1066"/>
    <mergeCell ref="A1370:J1370"/>
    <mergeCell ref="A32:I32"/>
    <mergeCell ref="Q615:V615"/>
    <mergeCell ref="J22:O22"/>
    <mergeCell ref="A385:G385"/>
    <mergeCell ref="Q166:V166"/>
    <mergeCell ref="Q130:V130"/>
    <mergeCell ref="R193:V193"/>
    <mergeCell ref="K362:V362"/>
    <mergeCell ref="A518:P518"/>
    <mergeCell ref="A60:G60"/>
    <mergeCell ref="A50:G50"/>
    <mergeCell ref="K34:P34"/>
    <mergeCell ref="K29:P29"/>
    <mergeCell ref="K31:P31"/>
    <mergeCell ref="A68:G68"/>
    <mergeCell ref="A33:I33"/>
    <mergeCell ref="Q21:V21"/>
    <mergeCell ref="A137:G137"/>
    <mergeCell ref="Q776:V776"/>
    <mergeCell ref="I1156:O1156"/>
    <mergeCell ref="Q129:V129"/>
    <mergeCell ref="A59:G59"/>
    <mergeCell ref="A766:P766"/>
    <mergeCell ref="Q1372:V1372"/>
    <mergeCell ref="I43:O43"/>
    <mergeCell ref="A1458:G1458"/>
    <mergeCell ref="A315:J315"/>
    <mergeCell ref="A1039:G1039"/>
    <mergeCell ref="A220:G220"/>
    <mergeCell ref="R687:V687"/>
    <mergeCell ref="R2017:V2017"/>
    <mergeCell ref="A1410:G1410"/>
    <mergeCell ref="H126:Q126"/>
    <mergeCell ref="Q1630:V1630"/>
    <mergeCell ref="K1929:V1929"/>
    <mergeCell ref="A676:G676"/>
    <mergeCell ref="K1303:V1303"/>
    <mergeCell ref="Q279:V279"/>
    <mergeCell ref="I698:O698"/>
    <mergeCell ref="A1198:J1198"/>
    <mergeCell ref="K496:V496"/>
    <mergeCell ref="A582:G582"/>
    <mergeCell ref="I291:O291"/>
    <mergeCell ref="I659:O659"/>
    <mergeCell ref="Q1171:V1171"/>
    <mergeCell ref="K1189:V1189"/>
    <mergeCell ref="Q1469:V1469"/>
    <mergeCell ref="A1493:J1493"/>
    <mergeCell ref="Q1042:V1042"/>
    <mergeCell ref="K1104:V1104"/>
    <mergeCell ref="Q291:V291"/>
    <mergeCell ref="A1260:P1260"/>
    <mergeCell ref="Q2401:V2401"/>
    <mergeCell ref="Q310:V310"/>
    <mergeCell ref="Q614:V614"/>
    <mergeCell ref="A2121:G2121"/>
    <mergeCell ref="Q1676:V1676"/>
    <mergeCell ref="I1286:O1286"/>
    <mergeCell ref="A1360:G1360"/>
    <mergeCell ref="A1474:G1474"/>
    <mergeCell ref="I859:O859"/>
    <mergeCell ref="A933:G933"/>
    <mergeCell ref="I2372:O2372"/>
    <mergeCell ref="I1288:O1288"/>
    <mergeCell ref="A1126:P1126"/>
    <mergeCell ref="R734:V734"/>
    <mergeCell ref="A899:G899"/>
    <mergeCell ref="H953:Q953"/>
    <mergeCell ref="H2283:Q2283"/>
    <mergeCell ref="A699:P699"/>
    <mergeCell ref="R848:V848"/>
    <mergeCell ref="A2029:P2029"/>
    <mergeCell ref="I2349:O2349"/>
    <mergeCell ref="Q326:V326"/>
    <mergeCell ref="A2181:P2181"/>
    <mergeCell ref="Q1516:V1516"/>
    <mergeCell ref="A1761:G1761"/>
    <mergeCell ref="A2059:G2059"/>
    <mergeCell ref="A1000:G1000"/>
    <mergeCell ref="A2330:G2330"/>
    <mergeCell ref="Q1155:V1155"/>
    <mergeCell ref="A1255:V1255"/>
    <mergeCell ref="Q2097:V2097"/>
    <mergeCell ref="Q698:V698"/>
    <mergeCell ref="A2406:G2406"/>
    <mergeCell ref="A934:G934"/>
    <mergeCell ref="Q1298:V1298"/>
    <mergeCell ref="A1692:J1692"/>
    <mergeCell ref="A1048:G1048"/>
    <mergeCell ref="A2074:G2074"/>
    <mergeCell ref="Q966:V966"/>
    <mergeCell ref="R790:V790"/>
    <mergeCell ref="Q23:V23"/>
    <mergeCell ref="Q2027:V2027"/>
    <mergeCell ref="A324:J324"/>
    <mergeCell ref="Q995:V995"/>
    <mergeCell ref="A318:G318"/>
    <mergeCell ref="H1398:Q1398"/>
    <mergeCell ref="A2263:G2263"/>
    <mergeCell ref="Q1818:V1818"/>
    <mergeCell ref="I280:O280"/>
    <mergeCell ref="A780:J780"/>
    <mergeCell ref="Q329:V329"/>
    <mergeCell ref="I709:O709"/>
    <mergeCell ref="I1762:O1762"/>
    <mergeCell ref="A761:V761"/>
    <mergeCell ref="I1001:O1001"/>
    <mergeCell ref="Q1003:V1003"/>
    <mergeCell ref="A353:J353"/>
    <mergeCell ref="A320:G320"/>
    <mergeCell ref="R904:V904"/>
    <mergeCell ref="A347:G347"/>
    <mergeCell ref="A1373:G1373"/>
    <mergeCell ref="A1835:J1835"/>
    <mergeCell ref="A2066:G2066"/>
    <mergeCell ref="A1603:G1603"/>
    <mergeCell ref="G10:K12"/>
    <mergeCell ref="A51:G51"/>
    <mergeCell ref="A349:G349"/>
    <mergeCell ref="A620:G620"/>
    <mergeCell ref="R772:V772"/>
    <mergeCell ref="I1666:O1666"/>
    <mergeCell ref="I2273:O2273"/>
    <mergeCell ref="H211:Q211"/>
    <mergeCell ref="A1076:G1076"/>
    <mergeCell ref="Q1440:V1440"/>
    <mergeCell ref="I1334:O1334"/>
    <mergeCell ref="I2387:O2387"/>
    <mergeCell ref="K1274:V1274"/>
    <mergeCell ref="I575:O575"/>
    <mergeCell ref="A649:G649"/>
    <mergeCell ref="A1439:P1439"/>
    <mergeCell ref="Q1013:V1013"/>
    <mergeCell ref="Q556:V556"/>
    <mergeCell ref="I2121:O2121"/>
    <mergeCell ref="A2186:J2186"/>
    <mergeCell ref="I2115:O2115"/>
    <mergeCell ref="Q2198:V2198"/>
    <mergeCell ref="A2189:G2189"/>
    <mergeCell ref="H1000:Q1000"/>
    <mergeCell ref="K277:V277"/>
    <mergeCell ref="A433:P433"/>
    <mergeCell ref="K581:V581"/>
    <mergeCell ref="A1526:P1526"/>
    <mergeCell ref="I1688:O1688"/>
    <mergeCell ref="I1992:O1992"/>
    <mergeCell ref="A1305:G1305"/>
    <mergeCell ref="A1427:G1427"/>
    <mergeCell ref="A1:Q2"/>
    <mergeCell ref="A1895:P1895"/>
    <mergeCell ref="A1735:G1735"/>
    <mergeCell ref="I631:O631"/>
    <mergeCell ref="I1657:O1657"/>
    <mergeCell ref="A1131:J1131"/>
    <mergeCell ref="Q260:V260"/>
    <mergeCell ref="K1493:V1493"/>
    <mergeCell ref="Q42:V42"/>
    <mergeCell ref="Q680:V680"/>
    <mergeCell ref="I1060:O1060"/>
    <mergeCell ref="Q716:V716"/>
    <mergeCell ref="R202:V202"/>
    <mergeCell ref="A704:J704"/>
    <mergeCell ref="A2034:J2034"/>
    <mergeCell ref="Q253:V253"/>
    <mergeCell ref="I633:O633"/>
    <mergeCell ref="K248:V248"/>
    <mergeCell ref="Q1145:V1145"/>
    <mergeCell ref="I1686:O1686"/>
    <mergeCell ref="R1988:V1988"/>
    <mergeCell ref="Q411:V411"/>
    <mergeCell ref="Q1741:V1741"/>
    <mergeCell ref="A1849:G1849"/>
    <mergeCell ref="R231:V231"/>
    <mergeCell ref="A1094:G1094"/>
    <mergeCell ref="A1759:J1759"/>
    <mergeCell ref="A2030:G2030"/>
    <mergeCell ref="R1561:V1561"/>
    <mergeCell ref="A700:G700"/>
    <mergeCell ref="I1694:O1694"/>
    <mergeCell ref="A1732:G1732"/>
    <mergeCell ref="Q2399:V2399"/>
    <mergeCell ref="Q729:V729"/>
    <mergeCell ref="Q612:V612"/>
    <mergeCell ref="R1912:V1912"/>
    <mergeCell ref="I2045:O2045"/>
    <mergeCell ref="A1475:G1475"/>
    <mergeCell ref="Q2094:V2094"/>
    <mergeCell ref="I944:O944"/>
    <mergeCell ref="A1018:G1018"/>
    <mergeCell ref="R1485:V1485"/>
    <mergeCell ref="H1465:Q1465"/>
    <mergeCell ref="I2159:O2159"/>
    <mergeCell ref="I347:O347"/>
    <mergeCell ref="I1373:O1373"/>
    <mergeCell ref="A1447:G1447"/>
    <mergeCell ref="Q1667:V1667"/>
    <mergeCell ref="H1038:Q1038"/>
    <mergeCell ref="A1903:G1903"/>
    <mergeCell ref="K1636:V1636"/>
    <mergeCell ref="I2021:O2021"/>
    <mergeCell ref="A2095:G2095"/>
    <mergeCell ref="Q1772:V1772"/>
    <mergeCell ref="A775:P775"/>
    <mergeCell ref="H2359:Q2359"/>
    <mergeCell ref="A1334:G1334"/>
    <mergeCell ref="A2257:P2257"/>
    <mergeCell ref="A1702:G1702"/>
    <mergeCell ref="A1949:J1949"/>
    <mergeCell ref="I2302:O2302"/>
    <mergeCell ref="A1105:G1105"/>
    <mergeCell ref="A2386:G2386"/>
    <mergeCell ref="Q2293:V2293"/>
    <mergeCell ref="M9:Q9"/>
    <mergeCell ref="K1663:V1663"/>
    <mergeCell ref="Q1078:V1078"/>
    <mergeCell ref="I374:O374"/>
    <mergeCell ref="Q1209:V1209"/>
    <mergeCell ref="K2320:V2320"/>
    <mergeCell ref="Q1507:V1507"/>
    <mergeCell ref="Q1543:V1543"/>
    <mergeCell ref="A1531:J1531"/>
    <mergeCell ref="Q782:V782"/>
    <mergeCell ref="Q2112:V2112"/>
    <mergeCell ref="Q1080:V1080"/>
    <mergeCell ref="A441:G441"/>
    <mergeCell ref="I1460:O1460"/>
    <mergeCell ref="Q1536:V1536"/>
    <mergeCell ref="I2363:O2363"/>
    <mergeCell ref="Q196:V196"/>
    <mergeCell ref="Q2141:V2141"/>
    <mergeCell ref="A1773:G1773"/>
    <mergeCell ref="H1827:Q1827"/>
    <mergeCell ref="Q393:V393"/>
    <mergeCell ref="I773:O773"/>
    <mergeCell ref="A1151:J1151"/>
    <mergeCell ref="I2133:O2133"/>
    <mergeCell ref="A1607:J1607"/>
    <mergeCell ref="Q858:V858"/>
    <mergeCell ref="I346:O346"/>
    <mergeCell ref="Q1156:V1156"/>
    <mergeCell ref="Q2209:V2209"/>
    <mergeCell ref="A718:G718"/>
    <mergeCell ref="Q395:V395"/>
    <mergeCell ref="A1180:J1180"/>
    <mergeCell ref="H2368:Q2368"/>
    <mergeCell ref="A784:P784"/>
    <mergeCell ref="A1020:G1020"/>
    <mergeCell ref="A2152:P2152"/>
    <mergeCell ref="I1402:O1402"/>
    <mergeCell ref="A1240:P1240"/>
    <mergeCell ref="A1476:G1476"/>
    <mergeCell ref="A2266:P2266"/>
    <mergeCell ref="A715:G715"/>
    <mergeCell ref="A1905:G1905"/>
    <mergeCell ref="H2397:Q2397"/>
    <mergeCell ref="A1171:G1171"/>
    <mergeCell ref="H2386:Q2386"/>
    <mergeCell ref="A1147:G1147"/>
    <mergeCell ref="Q1316:V1316"/>
    <mergeCell ref="A2101:J2101"/>
    <mergeCell ref="Q1352:V1352"/>
    <mergeCell ref="Q1990:V1990"/>
    <mergeCell ref="Q1650:V1650"/>
    <mergeCell ref="Q1229:V1229"/>
    <mergeCell ref="Q1533:V1533"/>
    <mergeCell ref="I1609:O1609"/>
    <mergeCell ref="A1978:J1978"/>
    <mergeCell ref="I1907:O1907"/>
    <mergeCell ref="Q1563:V1563"/>
    <mergeCell ref="A2274:G2274"/>
    <mergeCell ref="A1497:P1497"/>
    <mergeCell ref="A1855:G1855"/>
    <mergeCell ref="A785:G785"/>
    <mergeCell ref="I1726:O1726"/>
    <mergeCell ref="A1564:P1564"/>
    <mergeCell ref="Q1695:V1695"/>
    <mergeCell ref="A2256:G2256"/>
    <mergeCell ref="H638:Q638"/>
    <mergeCell ref="K1245:V1245"/>
    <mergeCell ref="H1664:Q1664"/>
    <mergeCell ref="A689:G689"/>
    <mergeCell ref="A2227:G2227"/>
    <mergeCell ref="A828:G828"/>
    <mergeCell ref="Q1124:V1124"/>
    <mergeCell ref="I1773:O1773"/>
    <mergeCell ref="A1847:G1847"/>
    <mergeCell ref="A1969:G1969"/>
    <mergeCell ref="Q1553:V1553"/>
    <mergeCell ref="I2124:O2124"/>
    <mergeCell ref="Q849:V849"/>
    <mergeCell ref="R1570:V1570"/>
    <mergeCell ref="Q1323:V1323"/>
    <mergeCell ref="H1009:Q1009"/>
    <mergeCell ref="R2026:V2026"/>
    <mergeCell ref="Q2103:V2103"/>
    <mergeCell ref="Q1071:V1071"/>
    <mergeCell ref="I2068:O2068"/>
    <mergeCell ref="A1496:G1496"/>
    <mergeCell ref="H1494:Q1494"/>
    <mergeCell ref="I2238:O2238"/>
    <mergeCell ref="Q2210:V2210"/>
    <mergeCell ref="K990:V990"/>
    <mergeCell ref="A2215:J2215"/>
    <mergeCell ref="A2114:P2114"/>
    <mergeCell ref="A2044:G2044"/>
    <mergeCell ref="K2063:V2063"/>
    <mergeCell ref="A2228:P2228"/>
    <mergeCell ref="A1858:G1858"/>
    <mergeCell ref="I1400:O1400"/>
    <mergeCell ref="A1929:J1929"/>
    <mergeCell ref="A1912:G1912"/>
    <mergeCell ref="A685:V685"/>
    <mergeCell ref="A2153:G2153"/>
    <mergeCell ref="Q2180:V2180"/>
    <mergeCell ref="K657:V657"/>
    <mergeCell ref="Q1419:V1419"/>
    <mergeCell ref="K1987:V1987"/>
    <mergeCell ref="Q1717:V1717"/>
    <mergeCell ref="A2132:G2132"/>
    <mergeCell ref="Q1809:V1809"/>
    <mergeCell ref="I1297:O1297"/>
    <mergeCell ref="R1322:V1322"/>
    <mergeCell ref="R743:V743"/>
    <mergeCell ref="I700:O700"/>
    <mergeCell ref="A1827:G1827"/>
    <mergeCell ref="R895:V895"/>
    <mergeCell ref="R1199:V1199"/>
    <mergeCell ref="A1933:P1933"/>
    <mergeCell ref="I2030:O2030"/>
    <mergeCell ref="A2104:G2104"/>
    <mergeCell ref="I1943:O1943"/>
    <mergeCell ref="K1864:V1864"/>
    <mergeCell ref="Q1410:V1410"/>
    <mergeCell ref="A1075:J1075"/>
    <mergeCell ref="Q983:V983"/>
    <mergeCell ref="A1621:G1621"/>
    <mergeCell ref="I1200:O1200"/>
    <mergeCell ref="I1504:O1504"/>
    <mergeCell ref="A1336:P1336"/>
    <mergeCell ref="A1572:G1572"/>
    <mergeCell ref="K116:V116"/>
    <mergeCell ref="A1840:G1840"/>
    <mergeCell ref="A1085:G1085"/>
    <mergeCell ref="I1685:O1685"/>
    <mergeCell ref="H991:Q991"/>
    <mergeCell ref="K572:V572"/>
    <mergeCell ref="K1598:V1598"/>
    <mergeCell ref="A658:G658"/>
    <mergeCell ref="Q91:V91"/>
    <mergeCell ref="Q821:V821"/>
    <mergeCell ref="Q425:V425"/>
    <mergeCell ref="A1578:J1578"/>
    <mergeCell ref="I317:O317"/>
    <mergeCell ref="Q1907:V1907"/>
    <mergeCell ref="A2217:G2217"/>
    <mergeCell ref="A1798:G1798"/>
    <mergeCell ref="A101:G101"/>
    <mergeCell ref="Q593:V593"/>
    <mergeCell ref="R866:V866"/>
    <mergeCell ref="I1069:O1069"/>
    <mergeCell ref="I1799:O1799"/>
    <mergeCell ref="A2171:G2171"/>
    <mergeCell ref="Q1915:V1915"/>
    <mergeCell ref="A384:G384"/>
    <mergeCell ref="Q1154:V1154"/>
    <mergeCell ref="A515:G515"/>
    <mergeCell ref="A1142:J1142"/>
    <mergeCell ref="A1866:G1866"/>
    <mergeCell ref="H1436:Q1436"/>
    <mergeCell ref="A1104:J1104"/>
    <mergeCell ref="A789:J789"/>
    <mergeCell ref="A2157:J2157"/>
    <mergeCell ref="A81:G81"/>
    <mergeCell ref="Q451:V451"/>
    <mergeCell ref="A1411:G1411"/>
    <mergeCell ref="A907:P907"/>
    <mergeCell ref="Q880:V880"/>
    <mergeCell ref="A1770:G1770"/>
    <mergeCell ref="A230:J230"/>
    <mergeCell ref="K932:V932"/>
    <mergeCell ref="A143:J143"/>
    <mergeCell ref="A2081:J2081"/>
    <mergeCell ref="A280:G280"/>
    <mergeCell ref="I119:O119"/>
    <mergeCell ref="Q642:V642"/>
    <mergeCell ref="I130:O130"/>
    <mergeCell ref="K2291:V2291"/>
    <mergeCell ref="Q148:V148"/>
    <mergeCell ref="Q1478:V1478"/>
    <mergeCell ref="A1182:G1182"/>
    <mergeCell ref="Q764:V764"/>
    <mergeCell ref="R88:V88"/>
    <mergeCell ref="A164:G164"/>
    <mergeCell ref="I1209:O1209"/>
    <mergeCell ref="H515:Q515"/>
    <mergeCell ref="K96:V96"/>
    <mergeCell ref="K1122:V1122"/>
    <mergeCell ref="I1507:O1507"/>
    <mergeCell ref="Q1744:V1744"/>
    <mergeCell ref="R649:V649"/>
    <mergeCell ref="K1578:V1578"/>
    <mergeCell ref="A953:G953"/>
    <mergeCell ref="A1743:P1743"/>
    <mergeCell ref="A2267:G2267"/>
    <mergeCell ref="M13:Q13"/>
    <mergeCell ref="K2405:V2405"/>
    <mergeCell ref="A1502:J1502"/>
    <mergeCell ref="Q753:V753"/>
    <mergeCell ref="Q1051:V1051"/>
    <mergeCell ref="A70:G70"/>
    <mergeCell ref="Q2235:V2235"/>
    <mergeCell ref="A526:G526"/>
    <mergeCell ref="I1545:O1545"/>
    <mergeCell ref="H117:Q117"/>
    <mergeCell ref="I365:O365"/>
    <mergeCell ref="A1498:G1498"/>
    <mergeCell ref="H2339:Q2339"/>
    <mergeCell ref="A99:G99"/>
    <mergeCell ref="I1118:O1118"/>
    <mergeCell ref="A2225:G2225"/>
    <mergeCell ref="A528:G528"/>
    <mergeCell ref="R240:V240"/>
    <mergeCell ref="A1345:P1345"/>
    <mergeCell ref="H1912:Q1912"/>
    <mergeCell ref="I2160:O2160"/>
    <mergeCell ref="R2386:V2386"/>
    <mergeCell ref="A1124:G1124"/>
    <mergeCell ref="K1370:V1370"/>
    <mergeCell ref="I1277:O1277"/>
    <mergeCell ref="A1351:G1351"/>
    <mergeCell ref="Q270:V270"/>
    <mergeCell ref="K838:V838"/>
    <mergeCell ref="I1980:O1980"/>
    <mergeCell ref="I83:O83"/>
    <mergeCell ref="A311:G311"/>
    <mergeCell ref="Q159:V159"/>
    <mergeCell ref="Q167:V167"/>
    <mergeCell ref="Q1193:V1193"/>
    <mergeCell ref="A1293:V1293"/>
    <mergeCell ref="I1896:O1896"/>
    <mergeCell ref="K1701:V1701"/>
    <mergeCell ref="H477:Q477"/>
    <mergeCell ref="I385:O385"/>
    <mergeCell ref="R1740:V1740"/>
    <mergeCell ref="A1816:G1816"/>
    <mergeCell ref="A879:G879"/>
    <mergeCell ref="H2263:Q2263"/>
    <mergeCell ref="Q461:V461"/>
    <mergeCell ref="I2171:O2171"/>
    <mergeCell ref="A300:G300"/>
    <mergeCell ref="A2047:P2047"/>
    <mergeCell ref="A539:G539"/>
    <mergeCell ref="I841:O841"/>
    <mergeCell ref="A1705:P1705"/>
    <mergeCell ref="A811:G811"/>
    <mergeCell ref="A1109:G1109"/>
    <mergeCell ref="K686:V686"/>
    <mergeCell ref="I1071:O1071"/>
    <mergeCell ref="A1655:G1655"/>
    <mergeCell ref="A1223:G1223"/>
    <mergeCell ref="A419:V419"/>
    <mergeCell ref="Q1991:V1991"/>
    <mergeCell ref="R1076:V1076"/>
    <mergeCell ref="Q829:V829"/>
    <mergeCell ref="I2132:O2132"/>
    <mergeCell ref="A358:G358"/>
    <mergeCell ref="A1846:G1846"/>
    <mergeCell ref="Q338:V338"/>
    <mergeCell ref="Q2305:V2305"/>
    <mergeCell ref="Q1544:V1544"/>
    <mergeCell ref="A468:G468"/>
    <mergeCell ref="I525:O525"/>
    <mergeCell ref="A974:P974"/>
    <mergeCell ref="Q1580:V1580"/>
    <mergeCell ref="A2296:G2296"/>
    <mergeCell ref="Q1878:V1878"/>
    <mergeCell ref="A897:G897"/>
    <mergeCell ref="I99:O99"/>
    <mergeCell ref="A166:G166"/>
    <mergeCell ref="A201:J201"/>
    <mergeCell ref="Q965:V965"/>
    <mergeCell ref="A1934:G1934"/>
    <mergeCell ref="Q1489:V1489"/>
    <mergeCell ref="A614:P614"/>
    <mergeCell ref="I1869:O1869"/>
    <mergeCell ref="A535:G535"/>
    <mergeCell ref="H1930:Q1930"/>
    <mergeCell ref="H2234:Q2234"/>
    <mergeCell ref="I384:O384"/>
    <mergeCell ref="R287:V287"/>
    <mergeCell ref="I1437:O1437"/>
    <mergeCell ref="A2009:P2009"/>
    <mergeCell ref="A452:G452"/>
    <mergeCell ref="Q678:V678"/>
    <mergeCell ref="A756:G756"/>
    <mergeCell ref="H1836:Q1836"/>
    <mergeCell ref="A2161:P2161"/>
    <mergeCell ref="Q792:V792"/>
    <mergeCell ref="A908:G908"/>
    <mergeCell ref="I2198:O2198"/>
    <mergeCell ref="K201:V201"/>
    <mergeCell ref="A1208:G1208"/>
    <mergeCell ref="Q519:V519"/>
    <mergeCell ref="Q823:V823"/>
    <mergeCell ref="Q1849:V1849"/>
    <mergeCell ref="Q62:V62"/>
    <mergeCell ref="H1076:Q1076"/>
    <mergeCell ref="K353:V353"/>
    <mergeCell ref="Q1115:V1115"/>
    <mergeCell ref="K1683:V1683"/>
    <mergeCell ref="Q2007:V2007"/>
    <mergeCell ref="I80:O80"/>
    <mergeCell ref="A2238:G2238"/>
    <mergeCell ref="I411:O411"/>
    <mergeCell ref="A1734:P1734"/>
    <mergeCell ref="A1513:G1513"/>
    <mergeCell ref="A1915:P1915"/>
    <mergeCell ref="A1811:G1811"/>
    <mergeCell ref="I1893:O1893"/>
    <mergeCell ref="K780:V780"/>
    <mergeCell ref="Q1647:V1647"/>
    <mergeCell ref="Q1945:V1945"/>
    <mergeCell ref="K1940:V1940"/>
    <mergeCell ref="A1663:J1663"/>
    <mergeCell ref="A357:P357"/>
    <mergeCell ref="K382:V382"/>
    <mergeCell ref="H459:Q459"/>
    <mergeCell ref="Q1963:V1963"/>
    <mergeCell ref="Q176:V176"/>
    <mergeCell ref="A563:G563"/>
    <mergeCell ref="I821:O821"/>
    <mergeCell ref="Q1954:V1954"/>
    <mergeCell ref="A18:H18"/>
    <mergeCell ref="K1017:V1017"/>
    <mergeCell ref="A1409:G1409"/>
    <mergeCell ref="A168:G168"/>
    <mergeCell ref="Q538:V538"/>
    <mergeCell ref="I1210:O1210"/>
    <mergeCell ref="Q2020:V2020"/>
    <mergeCell ref="K2072:V2072"/>
    <mergeCell ref="H59:Q59"/>
    <mergeCell ref="Q233:V233"/>
    <mergeCell ref="Q1259:V1259"/>
    <mergeCell ref="I1639:O1639"/>
    <mergeCell ref="Q2237:V2237"/>
    <mergeCell ref="A1283:J1283"/>
    <mergeCell ref="Q1476:V1476"/>
    <mergeCell ref="I326:O326"/>
    <mergeCell ref="H1541:Q1541"/>
    <mergeCell ref="A1587:J1587"/>
    <mergeCell ref="A2016:J2016"/>
    <mergeCell ref="Q1810:V1810"/>
    <mergeCell ref="Q235:V235"/>
    <mergeCell ref="H88:Q88"/>
    <mergeCell ref="I1668:O1668"/>
    <mergeCell ref="R562:V562"/>
    <mergeCell ref="A393:G393"/>
    <mergeCell ref="A1285:G1285"/>
    <mergeCell ref="I450:O450"/>
    <mergeCell ref="Q1505:V1505"/>
    <mergeCell ref="A524:G524"/>
    <mergeCell ref="R991:V991"/>
    <mergeCell ref="A1583:G1583"/>
    <mergeCell ref="A1316:P1316"/>
    <mergeCell ref="K2396:V2396"/>
    <mergeCell ref="Q889:V889"/>
    <mergeCell ref="H1903:Q1903"/>
    <mergeCell ref="I481:O481"/>
    <mergeCell ref="A1580:G1580"/>
    <mergeCell ref="Q1944:V1944"/>
    <mergeCell ref="Q157:V157"/>
    <mergeCell ref="Q1487:V1487"/>
    <mergeCell ref="I1867:O1867"/>
    <mergeCell ref="Q2379:V2379"/>
    <mergeCell ref="Q586:V586"/>
    <mergeCell ref="R1009:V1009"/>
    <mergeCell ref="A840:G840"/>
    <mergeCell ref="Q1952:V1952"/>
    <mergeCell ref="I1562:O1562"/>
    <mergeCell ref="R1465:V1465"/>
    <mergeCell ref="Q1191:V1191"/>
    <mergeCell ref="A1940:J1940"/>
    <mergeCell ref="A2329:J2329"/>
    <mergeCell ref="Q1117:V1117"/>
    <mergeCell ref="A1353:G1353"/>
    <mergeCell ref="A1869:G1869"/>
    <mergeCell ref="Q1573:V1573"/>
    <mergeCell ref="A234:P234"/>
    <mergeCell ref="R182:V182"/>
    <mergeCell ref="I554:O554"/>
    <mergeCell ref="I852:O852"/>
    <mergeCell ref="I735:O735"/>
    <mergeCell ref="A926:G926"/>
    <mergeCell ref="R638:V638"/>
    <mergeCell ref="A1113:J1113"/>
    <mergeCell ref="R1664:V1664"/>
    <mergeCell ref="A2311:G2311"/>
    <mergeCell ref="I1422:O1422"/>
    <mergeCell ref="A2006:G2006"/>
    <mergeCell ref="A2310:G2310"/>
    <mergeCell ref="A97:G97"/>
    <mergeCell ref="I452:O452"/>
    <mergeCell ref="A2340:G2340"/>
    <mergeCell ref="A290:P290"/>
    <mergeCell ref="A1883:G1883"/>
    <mergeCell ref="A2312:G2312"/>
    <mergeCell ref="A125:J125"/>
    <mergeCell ref="A2035:G2035"/>
    <mergeCell ref="A2339:G2339"/>
    <mergeCell ref="R1380:V1380"/>
    <mergeCell ref="A165:G165"/>
    <mergeCell ref="I1042:O1042"/>
    <mergeCell ref="A1355:G1355"/>
    <mergeCell ref="A600:G600"/>
    <mergeCell ref="R1067:V1067"/>
    <mergeCell ref="A1569:J1569"/>
    <mergeCell ref="Q820:V820"/>
    <mergeCell ref="I308:O308"/>
    <mergeCell ref="R2120:V2120"/>
    <mergeCell ref="A2169:G2169"/>
    <mergeCell ref="K1113:V1113"/>
    <mergeCell ref="I1498:O1498"/>
    <mergeCell ref="A173:G173"/>
    <mergeCell ref="R1731:V1731"/>
    <mergeCell ref="Q575:V575"/>
    <mergeCell ref="H828:Q828"/>
    <mergeCell ref="K409:V409"/>
    <mergeCell ref="A1951:G1951"/>
    <mergeCell ref="Q2398:V2398"/>
    <mergeCell ref="A2367:J2367"/>
    <mergeCell ref="I2410:O2410"/>
    <mergeCell ref="A2321:G2321"/>
    <mergeCell ref="Q1031:V1031"/>
    <mergeCell ref="R2368:V2368"/>
    <mergeCell ref="A423:G423"/>
    <mergeCell ref="H1807:Q1807"/>
    <mergeCell ref="A108:G108"/>
    <mergeCell ref="A2234:G2234"/>
    <mergeCell ref="A537:G537"/>
    <mergeCell ref="R249:V249"/>
    <mergeCell ref="A118:G118"/>
    <mergeCell ref="K295:V295"/>
    <mergeCell ref="I680:O680"/>
    <mergeCell ref="Q2389:V2389"/>
    <mergeCell ref="Q602:V602"/>
    <mergeCell ref="H1170:Q1170"/>
    <mergeCell ref="K751:V751"/>
    <mergeCell ref="A2000:P2000"/>
    <mergeCell ref="A2236:G2236"/>
    <mergeCell ref="R278:V278"/>
    <mergeCell ref="Q490:V490"/>
    <mergeCell ref="R1304:V1304"/>
    <mergeCell ref="K324:V324"/>
    <mergeCell ref="Q604:V604"/>
    <mergeCell ref="Q946:V946"/>
    <mergeCell ref="Q1972:V1972"/>
    <mergeCell ref="Q185:V185"/>
    <mergeCell ref="Q177:V177"/>
    <mergeCell ref="Q1665:V1665"/>
    <mergeCell ref="Q2303:V2303"/>
    <mergeCell ref="A2410:G2410"/>
    <mergeCell ref="I516:O516"/>
    <mergeCell ref="Q1571:V1571"/>
    <mergeCell ref="K2139:V2139"/>
    <mergeCell ref="A2320:J2320"/>
    <mergeCell ref="A888:G888"/>
    <mergeCell ref="K2168:V2168"/>
    <mergeCell ref="I2249:O2249"/>
    <mergeCell ref="I850:O850"/>
    <mergeCell ref="A1003:P1003"/>
    <mergeCell ref="A924:G924"/>
    <mergeCell ref="A1228:G1228"/>
    <mergeCell ref="I89:O89"/>
    <mergeCell ref="I393:O393"/>
    <mergeCell ref="A1654:J1654"/>
    <mergeCell ref="Q630:V630"/>
    <mergeCell ref="I1279:O1279"/>
    <mergeCell ref="R1778:V1778"/>
    <mergeCell ref="A1194:G1194"/>
    <mergeCell ref="A917:G917"/>
    <mergeCell ref="Q203:V203"/>
    <mergeCell ref="A2362:P2362"/>
    <mergeCell ref="A1346:G1346"/>
    <mergeCell ref="Q1716:V1716"/>
    <mergeCell ref="I2340:O2340"/>
    <mergeCell ref="A925:G925"/>
    <mergeCell ref="Q2342:V2342"/>
    <mergeCell ref="Q555:V555"/>
    <mergeCell ref="A1772:P1772"/>
    <mergeCell ref="A552:J552"/>
    <mergeCell ref="A647:V647"/>
    <mergeCell ref="I461:O461"/>
    <mergeCell ref="A2302:G2302"/>
    <mergeCell ref="I2296:O2296"/>
    <mergeCell ref="H2225:Q2225"/>
    <mergeCell ref="I803:O803"/>
    <mergeCell ref="A1667:P1667"/>
    <mergeCell ref="H1798:Q1798"/>
    <mergeCell ref="A2123:P2123"/>
    <mergeCell ref="R1702:V1702"/>
    <mergeCell ref="A1754:P1754"/>
    <mergeCell ref="I1983:O1983"/>
    <mergeCell ref="A203:G203"/>
    <mergeCell ref="A1559:V1559"/>
    <mergeCell ref="A309:G309"/>
    <mergeCell ref="A1677:G1677"/>
    <mergeCell ref="I878:O878"/>
    <mergeCell ref="A1250:G1250"/>
    <mergeCell ref="A1554:G1554"/>
    <mergeCell ref="I1934:O1934"/>
    <mergeCell ref="A2300:J2300"/>
    <mergeCell ref="Q2294:V2294"/>
    <mergeCell ref="A2282:J2282"/>
    <mergeCell ref="A2265:G2265"/>
    <mergeCell ref="A2272:G2272"/>
    <mergeCell ref="I718:O718"/>
    <mergeCell ref="I1771:O1771"/>
    <mergeCell ref="A1924:P1924"/>
    <mergeCell ref="A1845:G1845"/>
    <mergeCell ref="A362:J362"/>
    <mergeCell ref="I2200:O2200"/>
    <mergeCell ref="H1751:Q1751"/>
    <mergeCell ref="A2038:P2038"/>
    <mergeCell ref="I271:O271"/>
    <mergeCell ref="A2385:J2385"/>
    <mergeCell ref="H430:Q430"/>
    <mergeCell ref="A755:P755"/>
    <mergeCell ref="Q481:V481"/>
    <mergeCell ref="Q2388:V2388"/>
    <mergeCell ref="Q1033:V1033"/>
    <mergeCell ref="Q1969:V1969"/>
    <mergeCell ref="Q1629:V1629"/>
    <mergeCell ref="I1248:O1248"/>
    <mergeCell ref="A2077:G2077"/>
    <mergeCell ref="A1322:G1322"/>
    <mergeCell ref="Q2083:V2083"/>
    <mergeCell ref="I487:O487"/>
    <mergeCell ref="A982:G982"/>
    <mergeCell ref="Q1542:V1542"/>
    <mergeCell ref="A1742:G1742"/>
    <mergeCell ref="A859:G859"/>
    <mergeCell ref="R1903:V1903"/>
    <mergeCell ref="Q1989:V1989"/>
    <mergeCell ref="Q957:V957"/>
    <mergeCell ref="Q2287:V2287"/>
    <mergeCell ref="Q500:V500"/>
    <mergeCell ref="A432:G432"/>
    <mergeCell ref="I1172:O1172"/>
    <mergeCell ref="A1762:G1762"/>
    <mergeCell ref="Q1982:V1982"/>
    <mergeCell ref="I1724:O1724"/>
    <mergeCell ref="Q2314:V2314"/>
    <mergeCell ref="K2043:V2043"/>
    <mergeCell ref="A2205:V2205"/>
    <mergeCell ref="I1174:O1174"/>
    <mergeCell ref="A1248:G1248"/>
    <mergeCell ref="A2405:J2405"/>
    <mergeCell ref="M4:O4"/>
    <mergeCell ref="A1321:J1321"/>
    <mergeCell ref="Q1656:V1656"/>
    <mergeCell ref="A1315:G1315"/>
    <mergeCell ref="K1949:V1949"/>
    <mergeCell ref="I1250:O1250"/>
    <mergeCell ref="I2334:O2334"/>
    <mergeCell ref="A1088:P1088"/>
    <mergeCell ref="A2377:G2377"/>
    <mergeCell ref="H2245:Q2245"/>
    <mergeCell ref="A652:P652"/>
    <mergeCell ref="K1522:V1522"/>
    <mergeCell ref="A1780:G1780"/>
    <mergeCell ref="A1317:G1317"/>
    <mergeCell ref="Q1687:V1687"/>
    <mergeCell ref="Q288:V288"/>
    <mergeCell ref="Q926:V926"/>
    <mergeCell ref="A2143:P2143"/>
    <mergeCell ref="Q1382:V1382"/>
    <mergeCell ref="A2378:G2378"/>
    <mergeCell ref="K333:V333"/>
    <mergeCell ref="Q928:V928"/>
    <mergeCell ref="A1617:G1617"/>
    <mergeCell ref="Q194:V194"/>
    <mergeCell ref="K762:V762"/>
    <mergeCell ref="Q1384:V1384"/>
    <mergeCell ref="R1105:V1105"/>
    <mergeCell ref="A490:G490"/>
    <mergeCell ref="K1151:V1151"/>
    <mergeCell ref="Q1913:V1913"/>
    <mergeCell ref="Q433:V433"/>
    <mergeCell ref="R2397:V2397"/>
    <mergeCell ref="Q623:V623"/>
    <mergeCell ref="Q927:V927"/>
    <mergeCell ref="I2360:O2360"/>
    <mergeCell ref="A1375:G1375"/>
    <mergeCell ref="J21:O21"/>
    <mergeCell ref="A1247:G1247"/>
    <mergeCell ref="A2273:G2273"/>
    <mergeCell ref="A1545:G1545"/>
    <mergeCell ref="A486:G486"/>
    <mergeCell ref="I2235:O2235"/>
    <mergeCell ref="A146:G146"/>
    <mergeCell ref="Q1524:V1524"/>
    <mergeCell ref="Q641:V641"/>
    <mergeCell ref="J23:O23"/>
    <mergeCell ref="Q1858:V1858"/>
    <mergeCell ref="Q1097:V1097"/>
    <mergeCell ref="Q336:V336"/>
    <mergeCell ref="A1582:P1582"/>
    <mergeCell ref="A1361:G1361"/>
    <mergeCell ref="Q213:V213"/>
    <mergeCell ref="I289:O289"/>
    <mergeCell ref="I593:O593"/>
    <mergeCell ref="A28:I28"/>
    <mergeCell ref="Q101:V101"/>
    <mergeCell ref="Q128:V128"/>
    <mergeCell ref="I508:O508"/>
    <mergeCell ref="I1534:O1534"/>
    <mergeCell ref="A2129:V2129"/>
    <mergeCell ref="A1390:G1390"/>
    <mergeCell ref="Q557:V557"/>
    <mergeCell ref="Q1610:V1610"/>
    <mergeCell ref="A30:I30"/>
    <mergeCell ref="R1874:V1874"/>
    <mergeCell ref="A2072:J2072"/>
    <mergeCell ref="Q1627:V1627"/>
    <mergeCell ref="I2007:O2007"/>
    <mergeCell ref="A401:G401"/>
    <mergeCell ref="K27:P27"/>
    <mergeCell ref="A1335:G1335"/>
    <mergeCell ref="R1047:V1047"/>
    <mergeCell ref="A1549:J1549"/>
    <mergeCell ref="A186:G186"/>
    <mergeCell ref="I2057:O2057"/>
    <mergeCell ref="A1764:G1764"/>
    <mergeCell ref="A1791:G1791"/>
    <mergeCell ref="A1030:G1030"/>
    <mergeCell ref="H600:Q600"/>
    <mergeCell ref="Q639:V639"/>
    <mergeCell ref="K1549:V1549"/>
    <mergeCell ref="I1630:O1630"/>
    <mergeCell ref="H1968:Q1968"/>
    <mergeCell ref="A963:G963"/>
    <mergeCell ref="Q2039:V2039"/>
    <mergeCell ref="R1865:V1865"/>
    <mergeCell ref="A2025:J2025"/>
    <mergeCell ref="A935:G935"/>
    <mergeCell ref="I1954:O1954"/>
    <mergeCell ref="I1220:O1220"/>
    <mergeCell ref="A851:P851"/>
    <mergeCell ref="I963:O963"/>
    <mergeCell ref="I1601:O1601"/>
    <mergeCell ref="A1093:J1093"/>
    <mergeCell ref="I1619:O1619"/>
    <mergeCell ref="R33:V33"/>
    <mergeCell ref="R155:V155"/>
    <mergeCell ref="I2075:O2075"/>
    <mergeCell ref="I1314:O1314"/>
    <mergeCell ref="Q2369:V2369"/>
    <mergeCell ref="H620:Q620"/>
    <mergeCell ref="A666:J666"/>
    <mergeCell ref="I1612:O1612"/>
    <mergeCell ref="A1686:G1686"/>
    <mergeCell ref="Q2124:V2124"/>
    <mergeCell ref="I1770:O1770"/>
    <mergeCell ref="A2148:J2148"/>
    <mergeCell ref="Q373:V373"/>
    <mergeCell ref="Q2341:V2341"/>
    <mergeCell ref="A2142:G2142"/>
    <mergeCell ref="H497:Q497"/>
    <mergeCell ref="I2077:O2077"/>
    <mergeCell ref="H649:Q649"/>
    <mergeCell ref="A662:G662"/>
    <mergeCell ref="A1688:G1688"/>
    <mergeCell ref="R1427:V1427"/>
    <mergeCell ref="A395:P395"/>
    <mergeCell ref="I1648:O1648"/>
    <mergeCell ref="I1990:O1990"/>
    <mergeCell ref="R1436:V1436"/>
    <mergeCell ref="A1911:J1911"/>
    <mergeCell ref="Q2340:V2340"/>
    <mergeCell ref="Q204:V204"/>
    <mergeCell ref="A192:J192"/>
    <mergeCell ref="I121:O121"/>
    <mergeCell ref="A195:G195"/>
    <mergeCell ref="Q2018:V2018"/>
    <mergeCell ref="A2372:G2372"/>
    <mergeCell ref="A973:G973"/>
    <mergeCell ref="I1030:O1030"/>
    <mergeCell ref="A1402:G1402"/>
    <mergeCell ref="Q1468:V1468"/>
    <mergeCell ref="Q1011:V1011"/>
    <mergeCell ref="A975:G975"/>
    <mergeCell ref="Q706:V706"/>
    <mergeCell ref="A371:J371"/>
    <mergeCell ref="Q1048:V1048"/>
    <mergeCell ref="A1806:J1806"/>
    <mergeCell ref="A2188:G2188"/>
    <mergeCell ref="Q1355:V1355"/>
    <mergeCell ref="Q1040:V1040"/>
    <mergeCell ref="R28:V28"/>
    <mergeCell ref="A2144:G2144"/>
    <mergeCell ref="A1389:G1389"/>
    <mergeCell ref="A288:G288"/>
    <mergeCell ref="K534:V534"/>
    <mergeCell ref="K1587:V1587"/>
    <mergeCell ref="K1902:V1902"/>
    <mergeCell ref="I888:O888"/>
    <mergeCell ref="H2006:Q2006"/>
    <mergeCell ref="A272:P272"/>
    <mergeCell ref="A1723:G1723"/>
    <mergeCell ref="Q1943:V1943"/>
    <mergeCell ref="A2021:G2021"/>
    <mergeCell ref="A964:G964"/>
    <mergeCell ref="R515:V515"/>
    <mergeCell ref="A346:G346"/>
    <mergeCell ref="Q566:V566"/>
    <mergeCell ref="I946:O946"/>
    <mergeCell ref="H2310:Q2310"/>
    <mergeCell ref="R30:V30"/>
    <mergeCell ref="K1160:V1160"/>
    <mergeCell ref="A1217:V1217"/>
    <mergeCell ref="J19:O19"/>
    <mergeCell ref="Q1068:V1068"/>
    <mergeCell ref="I586:O586"/>
    <mergeCell ref="R1941:V1941"/>
    <mergeCell ref="Q1838:V1838"/>
    <mergeCell ref="A2376:J2376"/>
    <mergeCell ref="H421:Q421"/>
    <mergeCell ref="A746:P746"/>
    <mergeCell ref="K894:V894"/>
    <mergeCell ref="A944:G944"/>
    <mergeCell ref="H1313:Q1313"/>
    <mergeCell ref="K1920:V1920"/>
    <mergeCell ref="I2001:O2001"/>
    <mergeCell ref="R1447:V1447"/>
    <mergeCell ref="I2305:O2305"/>
    <mergeCell ref="K2376:V2376"/>
    <mergeCell ref="A105:J105"/>
    <mergeCell ref="H886:Q886"/>
    <mergeCell ref="I186:O186"/>
    <mergeCell ref="Q1755:V1755"/>
    <mergeCell ref="Q2059:V2059"/>
    <mergeCell ref="Q1002:V1002"/>
    <mergeCell ref="A990:J990"/>
    <mergeCell ref="Q241:V241"/>
    <mergeCell ref="Q2211:V2211"/>
    <mergeCell ref="Q564:V564"/>
    <mergeCell ref="I615:O615"/>
    <mergeCell ref="Q2351:V2351"/>
    <mergeCell ref="O6:V6"/>
    <mergeCell ref="I253:O253"/>
    <mergeCell ref="A91:P91"/>
    <mergeCell ref="A327:G327"/>
    <mergeCell ref="I688:O688"/>
    <mergeCell ref="A1657:G1657"/>
    <mergeCell ref="I1399:O1399"/>
    <mergeCell ref="A2119:J2119"/>
    <mergeCell ref="A1060:G1060"/>
    <mergeCell ref="H2140:Q2140"/>
    <mergeCell ref="A1771:G1771"/>
    <mergeCell ref="A2113:G2113"/>
    <mergeCell ref="I2048:O2048"/>
    <mergeCell ref="A1352:G1352"/>
    <mergeCell ref="A633:G633"/>
    <mergeCell ref="A2140:G2140"/>
    <mergeCell ref="A747:G747"/>
    <mergeCell ref="A2115:G2115"/>
    <mergeCell ref="R1208:V1208"/>
    <mergeCell ref="A480:P480"/>
    <mergeCell ref="R1512:V1512"/>
    <mergeCell ref="K505:V505"/>
    <mergeCell ref="A167:P167"/>
    <mergeCell ref="A403:G403"/>
    <mergeCell ref="G13:K13"/>
    <mergeCell ref="Q281:V281"/>
    <mergeCell ref="A1193:P1193"/>
    <mergeCell ref="A962:G962"/>
    <mergeCell ref="I212:O212"/>
    <mergeCell ref="A457:V457"/>
    <mergeCell ref="A41:G41"/>
    <mergeCell ref="S10:V12"/>
    <mergeCell ref="I204:O204"/>
    <mergeCell ref="Q2067:V2067"/>
    <mergeCell ref="I356:O356"/>
    <mergeCell ref="A20:H20"/>
    <mergeCell ref="A469:G469"/>
    <mergeCell ref="A773:G773"/>
    <mergeCell ref="Q651:V651"/>
    <mergeCell ref="A767:G767"/>
    <mergeCell ref="Q993:V993"/>
    <mergeCell ref="A1799:G1799"/>
    <mergeCell ref="I2084:O2084"/>
    <mergeCell ref="I678:O678"/>
    <mergeCell ref="Q1488:V1488"/>
    <mergeCell ref="I338:O338"/>
    <mergeCell ref="A176:P176"/>
    <mergeCell ref="Q89:V89"/>
    <mergeCell ref="A412:G412"/>
    <mergeCell ref="I469:O469"/>
    <mergeCell ref="A1544:P1544"/>
    <mergeCell ref="Q53:V53"/>
    <mergeCell ref="A317:G317"/>
    <mergeCell ref="A2020:P2020"/>
    <mergeCell ref="A1417:J1417"/>
    <mergeCell ref="R1968:V1968"/>
    <mergeCell ref="A1781:P1781"/>
    <mergeCell ref="Q355:V355"/>
    <mergeCell ref="H41:Q41"/>
    <mergeCell ref="H1094:Q1094"/>
    <mergeCell ref="I601:O601"/>
    <mergeCell ref="A1313:G1313"/>
    <mergeCell ref="A1288:G1288"/>
    <mergeCell ref="I1676:O1676"/>
    <mergeCell ref="A2387:G2387"/>
    <mergeCell ref="I224:O224"/>
    <mergeCell ref="A298:G298"/>
    <mergeCell ref="Q1095:V1095"/>
    <mergeCell ref="Q1070:V1070"/>
    <mergeCell ref="Q1393:V1393"/>
    <mergeCell ref="A414:G414"/>
    <mergeCell ref="I2046:O2046"/>
    <mergeCell ref="I259:O259"/>
    <mergeCell ref="H1675:Q1675"/>
    <mergeCell ref="R2225:V2225"/>
    <mergeCell ref="A1222:P1222"/>
    <mergeCell ref="R828:V828"/>
    <mergeCell ref="R1170:V1170"/>
    <mergeCell ref="A271:G271"/>
    <mergeCell ref="A1001:G1001"/>
    <mergeCell ref="I2113:O2113"/>
    <mergeCell ref="A2187:G2187"/>
    <mergeCell ref="A1971:P1971"/>
    <mergeCell ref="A724:J724"/>
    <mergeCell ref="Q2249:V2249"/>
    <mergeCell ref="Q992:V992"/>
    <mergeCell ref="K1560:V1560"/>
    <mergeCell ref="Q1840:V1840"/>
    <mergeCell ref="Q2182:V2182"/>
    <mergeCell ref="R269:V269"/>
    <mergeCell ref="Q783:V783"/>
    <mergeCell ref="A1179:V1179"/>
    <mergeCell ref="Q1421:V1421"/>
    <mergeCell ref="K2016:V2016"/>
    <mergeCell ref="Q1877:V1877"/>
    <mergeCell ref="Q1420:V1420"/>
    <mergeCell ref="I233:O233"/>
    <mergeCell ref="I1259:O1259"/>
    <mergeCell ref="A733:J733"/>
    <mergeCell ref="R1284:V1284"/>
    <mergeCell ref="I1715:O1715"/>
    <mergeCell ref="A1789:G1789"/>
    <mergeCell ref="A273:G273"/>
    <mergeCell ref="I2144:O2144"/>
    <mergeCell ref="A1326:G1326"/>
    <mergeCell ref="K1207:V1207"/>
    <mergeCell ref="A697:G697"/>
    <mergeCell ref="I754:O754"/>
    <mergeCell ref="A488:G488"/>
    <mergeCell ref="Q708:V708"/>
    <mergeCell ref="I327:O327"/>
    <mergeCell ref="A2237:P2237"/>
    <mergeCell ref="I297:O297"/>
    <mergeCell ref="Q1422:V1422"/>
    <mergeCell ref="H629:Q629"/>
    <mergeCell ref="A1494:G1494"/>
    <mergeCell ref="A267:V267"/>
    <mergeCell ref="I1665:O1665"/>
    <mergeCell ref="I726:O726"/>
    <mergeCell ref="I1972:O1972"/>
    <mergeCell ref="A1733:G1733"/>
    <mergeCell ref="I1714:O1714"/>
    <mergeCell ref="A2210:P2210"/>
    <mergeCell ref="A2162:G2162"/>
    <mergeCell ref="A657:J657"/>
    <mergeCell ref="H1997:Q1997"/>
    <mergeCell ref="R2131:V2131"/>
    <mergeCell ref="I273:O273"/>
    <mergeCell ref="R2301:V2301"/>
    <mergeCell ref="A1446:J1446"/>
    <mergeCell ref="R1959:V1959"/>
    <mergeCell ref="R1997:V1997"/>
    <mergeCell ref="A1828:G1828"/>
    <mergeCell ref="I2094:O2094"/>
    <mergeCell ref="I1033:O1033"/>
    <mergeCell ref="I1375:O1375"/>
    <mergeCell ref="K675:V675"/>
    <mergeCell ref="A831:P831"/>
    <mergeCell ref="Q1437:V1437"/>
    <mergeCell ref="I2086:O2086"/>
    <mergeCell ref="A2039:G2039"/>
    <mergeCell ref="A404:P404"/>
    <mergeCell ref="A2159:G2159"/>
    <mergeCell ref="A1460:G1460"/>
    <mergeCell ref="A1731:G1731"/>
    <mergeCell ref="I1809:O1809"/>
    <mergeCell ref="I2142:O2142"/>
    <mergeCell ref="H2301:Q2301"/>
    <mergeCell ref="A943:G943"/>
    <mergeCell ref="Q1106:V1106"/>
    <mergeCell ref="K1674:V1674"/>
    <mergeCell ref="I1755:O1755"/>
    <mergeCell ref="A1372:G1372"/>
    <mergeCell ref="Q1098:V1098"/>
    <mergeCell ref="Q1220:V1220"/>
    <mergeCell ref="Q501:V501"/>
    <mergeCell ref="Q1527:V1527"/>
    <mergeCell ref="Q1108:V1108"/>
    <mergeCell ref="A1278:P1278"/>
    <mergeCell ref="H1722:Q1722"/>
    <mergeCell ref="R2339:V2339"/>
    <mergeCell ref="Q2407:V2407"/>
    <mergeCell ref="A394:G394"/>
    <mergeCell ref="S13:V13"/>
    <mergeCell ref="K1028:V1028"/>
    <mergeCell ref="K1332:V1332"/>
    <mergeCell ref="A1724:G1724"/>
    <mergeCell ref="K2385:V2385"/>
    <mergeCell ref="A1760:G1760"/>
    <mergeCell ref="A543:J543"/>
    <mergeCell ref="A1297:G1297"/>
    <mergeCell ref="Q92:V92"/>
    <mergeCell ref="Q766:V766"/>
    <mergeCell ref="Q1276:V1276"/>
    <mergeCell ref="A1726:G1726"/>
    <mergeCell ref="A116:J116"/>
    <mergeCell ref="Q1574:V1574"/>
    <mergeCell ref="Q2096:V2096"/>
    <mergeCell ref="Q1362:V1362"/>
    <mergeCell ref="Q2248:V2248"/>
    <mergeCell ref="Q1153:V1153"/>
    <mergeCell ref="Q1791:V1791"/>
    <mergeCell ref="I1527:O1527"/>
    <mergeCell ref="A1755:G1755"/>
    <mergeCell ref="A1815:J1815"/>
    <mergeCell ref="A2197:G2197"/>
    <mergeCell ref="Q1364:V1364"/>
    <mergeCell ref="A2244:J2244"/>
    <mergeCell ref="A1600:G1600"/>
    <mergeCell ref="Q1793:V1793"/>
    <mergeCell ref="Q1820:V1820"/>
    <mergeCell ref="A839:G839"/>
    <mergeCell ref="A2323:G2323"/>
    <mergeCell ref="I2037:O2037"/>
    <mergeCell ref="A2111:G2111"/>
    <mergeCell ref="A536:G536"/>
    <mergeCell ref="R126:V126"/>
    <mergeCell ref="Q906:V906"/>
    <mergeCell ref="A628:J628"/>
    <mergeCell ref="K172:V172"/>
    <mergeCell ref="A870:G870"/>
    <mergeCell ref="A2200:G2200"/>
    <mergeCell ref="Q479:V479"/>
    <mergeCell ref="K628:V628"/>
    <mergeCell ref="I2039:O2039"/>
    <mergeCell ref="A1877:P1877"/>
    <mergeCell ref="A624:G624"/>
    <mergeCell ref="A1169:J1169"/>
    <mergeCell ref="Q1504:V1504"/>
    <mergeCell ref="H1190:Q1190"/>
    <mergeCell ref="A1170:G1170"/>
    <mergeCell ref="Q1077:V1077"/>
    <mergeCell ref="Q2322:V2322"/>
    <mergeCell ref="A1398:G1398"/>
    <mergeCell ref="K2034:V2034"/>
    <mergeCell ref="Q982:V982"/>
    <mergeCell ref="K1911:V1911"/>
    <mergeCell ref="I840:O840"/>
    <mergeCell ref="Q1895:V1895"/>
    <mergeCell ref="Q1134:V1134"/>
    <mergeCell ref="Q677:V677"/>
    <mergeCell ref="I1057:O1057"/>
    <mergeCell ref="A1400:G1400"/>
    <mergeCell ref="Q2106:V2106"/>
    <mergeCell ref="Q18:V18"/>
    <mergeCell ref="Q2267:V2267"/>
    <mergeCell ref="Q1506:V1506"/>
    <mergeCell ref="I2274:O2274"/>
    <mergeCell ref="Q1962:V1962"/>
    <mergeCell ref="A1991:P1991"/>
    <mergeCell ref="A1524:G1524"/>
    <mergeCell ref="Q1079:V1079"/>
    <mergeCell ref="A440:G440"/>
    <mergeCell ref="I767:O767"/>
    <mergeCell ref="A841:G841"/>
    <mergeCell ref="A1658:P1658"/>
    <mergeCell ref="A1055:J1055"/>
    <mergeCell ref="A1894:G1894"/>
    <mergeCell ref="A107:G107"/>
    <mergeCell ref="A1437:G1437"/>
    <mergeCell ref="I984:O984"/>
    <mergeCell ref="A43:G43"/>
    <mergeCell ref="Q81:V81"/>
    <mergeCell ref="R497:V497"/>
    <mergeCell ref="A1891:J1891"/>
    <mergeCell ref="Q250:V250"/>
    <mergeCell ref="I630:O630"/>
    <mergeCell ref="Q110:V110"/>
    <mergeCell ref="Q679:V679"/>
    <mergeCell ref="I1086:O1086"/>
    <mergeCell ref="I2112:O2112"/>
    <mergeCell ref="H50:Q50"/>
    <mergeCell ref="H392:Q392"/>
    <mergeCell ref="H1418:Q1418"/>
    <mergeCell ref="Q1135:V1135"/>
    <mergeCell ref="A138:P138"/>
  </mergeCells>
  <hyperlinks>
    <hyperlink ref="A4" location="'Overview'!A1" display="Overview" xr:uid="{00000000-0004-0000-0700-000000000000}"/>
    <hyperlink ref="D4" location="'Jobs'!A1" display="Jobs" xr:uid="{00000000-0004-0000-0700-000001000000}"/>
    <hyperlink ref="G4" location="'Suppliers'!A1" display="Suppliers" xr:uid="{00000000-0004-0000-0700-000002000000}"/>
    <hyperlink ref="J4" location="'Budget'!A1" display="Budget" xr:uid="{00000000-0004-0000-0700-000003000000}"/>
    <hyperlink ref="M4" location="'Quotes'!A1" display="Quotes" xr:uid="{00000000-0004-0000-0700-000004000000}"/>
    <hyperlink ref="P4" location="'Print Summary'!A1" display="Print summary" xr:uid="{00000000-0004-0000-0700-000005000000}"/>
    <hyperlink ref="S4" location="'Read Me'!A1" display="Guide / setup" xr:uid="{00000000-0004-0000-0700-000006000000}"/>
    <hyperlink ref="A6" location="'Budget'!A1" display="BACK TO BUDGET" xr:uid="{00000000-0004-0000-0700-000007000000}"/>
    <hyperlink ref="H6" location="'Suppliers'!A1" display="CONTACT DIRECTORY" xr:uid="{00000000-0004-0000-0700-000008000000}"/>
    <hyperlink ref="A45" r:id="rId1" display="https://stena.sharepoint.com/:b:/r/sites/KERRY/Shared Documents/Dry dock 2027/Specification items/3103.01/Qoute/Quotation_7078856.pdf?d=wb457e4885dda4f86b03d64a9b32e5e34&amp;csf=1&amp;web=1&amp;e=AIu7S6" xr:uid="{00000000-0004-0000-0700-000009000000}"/>
    <hyperlink ref="A54" r:id="rId2" display="C:\Users\mikkelr\Stena\Kerry - Documents\Dry dock 2027\Specification items\1001.02 Corrosion prevention anodes\Quote\6082705 Salg - tilbud 16572.pdf" xr:uid="{00000000-0004-0000-0700-00000A000000}"/>
    <hyperlink ref="A63" r:id="rId3" display="https://stena.sharepoint.com/:b:/r/sites/KERRY/Shared Documents/Dry dock 2027/Specification items/3812.01 Stabilizers/Q3432026 KER.pdf?d=wfae0e3e6b37442c0a41207b07117bb82&amp;csf=1&amp;web=1&amp;e=puS2v6" xr:uid="{00000000-0004-0000-0700-00000B000000}"/>
    <hyperlink ref="A72" r:id="rId4" display="https://stena.sharepoint.com/:b:/r/sites/KERRY/Shared Documents/Dry dock 2027/Specification items/3811.01 Bow thrusters overhaul/Quote service/0004258303_0_0.pdf?d=w7d517b2ab93847399ada98fdb3257796&amp;csf=1&amp;web=1&amp;e=7bNjnt" xr:uid="{00000000-0004-0000-0700-00000C000000}"/>
    <hyperlink ref="A83" r:id="rId5" display="https://stena.sharepoint.com/:b:/r/sites/KERRY/Shared Documents/Dry dock 2027/Specification items/1303.01 Steering gears overhaul/Quotes/Neuver Service Quotation.pdf?d=w1562006030c147e6a4a87bc306e55bbe&amp;csf=1&amp;web=1&amp;e=teFGol" xr:uid="{00000000-0004-0000-0700-00000D000000}"/>
    <hyperlink ref="A92" r:id="rId6" display="https://stena.sharepoint.com/:b:/r/sites/KERRY/Shared Documents/Dry dock 2027/Specification items/3811.01 Bow thrusters overhaul/Quote shaft seal including gear housing/0004258302_0_0.pdf?d=we50bc6d8a2e049bc9b4d88e461669632&amp;csf=1&amp;web=1&amp;e=IYkDBR" xr:uid="{00000000-0004-0000-0700-00000E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rowBreaks count="63" manualBreakCount="63">
    <brk id="38" max="16383" man="1"/>
    <brk id="76" max="16383" man="1"/>
    <brk id="114" max="16383" man="1"/>
    <brk id="152" max="16383" man="1"/>
    <brk id="190" max="16383" man="1"/>
    <brk id="228" max="16383" man="1"/>
    <brk id="266" max="16383" man="1"/>
    <brk id="304" max="16383" man="1"/>
    <brk id="342" max="16383" man="1"/>
    <brk id="380" max="16383" man="1"/>
    <brk id="418" max="16383" man="1"/>
    <brk id="456" max="16383" man="1"/>
    <brk id="494" max="16383" man="1"/>
    <brk id="532" max="16383" man="1"/>
    <brk id="570" max="16383" man="1"/>
    <brk id="608" max="16383" man="1"/>
    <brk id="646" max="16383" man="1"/>
    <brk id="684" max="16383" man="1"/>
    <brk id="722" max="16383" man="1"/>
    <brk id="760" max="16383" man="1"/>
    <brk id="798" max="16383" man="1"/>
    <brk id="836" max="16383" man="1"/>
    <brk id="874" max="16383" man="1"/>
    <brk id="912" max="16383" man="1"/>
    <brk id="950" max="16383" man="1"/>
    <brk id="988" max="16383" man="1"/>
    <brk id="1026" max="16383" man="1"/>
    <brk id="1064" max="16383" man="1"/>
    <brk id="1102" max="16383" man="1"/>
    <brk id="1140" max="16383" man="1"/>
    <brk id="1178" max="16383" man="1"/>
    <brk id="1216" max="16383" man="1"/>
    <brk id="1254" max="16383" man="1"/>
    <brk id="1292" max="16383" man="1"/>
    <brk id="1330" max="16383" man="1"/>
    <brk id="1368" max="16383" man="1"/>
    <brk id="1406" max="16383" man="1"/>
    <brk id="1444" max="16383" man="1"/>
    <brk id="1482" max="16383" man="1"/>
    <brk id="1520" max="16383" man="1"/>
    <brk id="1558" max="16383" man="1"/>
    <brk id="1596" max="16383" man="1"/>
    <brk id="1634" max="16383" man="1"/>
    <brk id="1672" max="16383" man="1"/>
    <brk id="1710" max="16383" man="1"/>
    <brk id="1748" max="16383" man="1"/>
    <brk id="1786" max="16383" man="1"/>
    <brk id="1824" max="16383" man="1"/>
    <brk id="1862" max="16383" man="1"/>
    <brk id="1900" max="16383" man="1"/>
    <brk id="1938" max="16383" man="1"/>
    <brk id="1976" max="16383" man="1"/>
    <brk id="2014" max="16383" man="1"/>
    <brk id="2052" max="16383" man="1"/>
    <brk id="2090" max="16383" man="1"/>
    <brk id="2128" max="16383" man="1"/>
    <brk id="2166" max="16383" man="1"/>
    <brk id="2204" max="16383" man="1"/>
    <brk id="2242" max="16383" man="1"/>
    <brk id="2280" max="16383" man="1"/>
    <brk id="2318" max="16383" man="1"/>
    <brk id="2356" max="16383" man="1"/>
    <brk id="2394"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087F8C"/>
    <pageSetUpPr fitToPage="1"/>
  </sheetPr>
  <dimension ref="A1:AA90"/>
  <sheetViews>
    <sheetView showGridLines="0" zoomScale="90" workbookViewId="0">
      <pane ySplit="7" topLeftCell="A8" activePane="bottomLeft" state="frozen"/>
      <selection pane="bottomLeft"/>
    </sheetView>
  </sheetViews>
  <sheetFormatPr defaultRowHeight="14.5" x14ac:dyDescent="0.35"/>
  <cols>
    <col min="1" max="22" width="9.26953125" customWidth="1"/>
    <col min="27" max="27" width="13" hidden="1" customWidth="1"/>
  </cols>
  <sheetData>
    <row r="1" spans="1:27" ht="27" customHeight="1" x14ac:dyDescent="0.35">
      <c r="A1" s="50" t="s">
        <v>656</v>
      </c>
      <c r="B1" s="39"/>
      <c r="C1" s="39"/>
      <c r="D1" s="39"/>
      <c r="E1" s="39"/>
      <c r="F1" s="39"/>
      <c r="G1" s="39"/>
      <c r="H1" s="39"/>
      <c r="I1" s="39"/>
      <c r="J1" s="39"/>
      <c r="K1" s="39"/>
      <c r="L1" s="39"/>
      <c r="M1" s="39"/>
      <c r="N1" s="39"/>
      <c r="O1" s="39"/>
      <c r="P1" s="39"/>
      <c r="Q1" s="39"/>
      <c r="R1" s="55" t="s">
        <v>1</v>
      </c>
      <c r="S1" s="39"/>
      <c r="T1" s="39"/>
      <c r="U1" s="39"/>
      <c r="V1" s="39"/>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tr">
        <f>IFERROR(LEFT(E11,FIND(" | ",E11)-1),"")</f>
        <v>1001.01</v>
      </c>
    </row>
    <row r="3" spans="1:27" ht="21" customHeight="1" x14ac:dyDescent="0.35">
      <c r="A3" s="48" t="s">
        <v>657</v>
      </c>
      <c r="B3" s="39"/>
      <c r="C3" s="39"/>
      <c r="D3" s="39"/>
      <c r="E3" s="39"/>
      <c r="F3" s="39"/>
      <c r="G3" s="39"/>
      <c r="H3" s="39"/>
      <c r="I3" s="39"/>
      <c r="J3" s="39"/>
      <c r="K3" s="39"/>
      <c r="L3" s="39"/>
      <c r="M3" s="39"/>
      <c r="N3" s="39"/>
      <c r="O3" s="39"/>
      <c r="P3" s="39"/>
      <c r="Q3" s="39"/>
      <c r="R3" s="39"/>
      <c r="S3" s="39"/>
      <c r="T3" s="39"/>
      <c r="U3" s="39"/>
      <c r="V3" s="39"/>
      <c r="AA3">
        <f>IFERROR(MATCH(AA2,Jobs!$A$9:$A$258,0),0)</f>
        <v>1</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7" ht="10" customHeight="1" x14ac:dyDescent="0.35">
      <c r="A5" s="8"/>
      <c r="B5" s="8"/>
      <c r="C5" s="8"/>
      <c r="D5" s="8"/>
      <c r="E5" s="8"/>
      <c r="F5" s="8"/>
      <c r="G5" s="8"/>
      <c r="H5" s="8"/>
      <c r="I5" s="8"/>
      <c r="J5" s="8"/>
      <c r="K5" s="8"/>
      <c r="L5" s="8"/>
      <c r="M5" s="8"/>
      <c r="N5" s="8"/>
      <c r="O5" s="8"/>
      <c r="P5" s="8"/>
      <c r="Q5" s="8"/>
      <c r="R5" s="8"/>
      <c r="S5" s="8"/>
      <c r="T5" s="8"/>
      <c r="U5" s="8"/>
      <c r="V5" s="8"/>
    </row>
    <row r="6" spans="1:27" ht="30" customHeight="1" x14ac:dyDescent="0.35">
      <c r="A6" s="45" t="s">
        <v>658</v>
      </c>
      <c r="B6" s="39"/>
      <c r="C6" s="39"/>
      <c r="D6" s="39"/>
      <c r="E6" s="39"/>
      <c r="F6" s="39"/>
      <c r="G6" s="8"/>
      <c r="H6" s="45" t="s">
        <v>659</v>
      </c>
      <c r="I6" s="39"/>
      <c r="J6" s="39"/>
      <c r="K6" s="39"/>
      <c r="L6" s="39"/>
      <c r="M6" s="39"/>
      <c r="N6" s="8"/>
      <c r="O6" s="61" t="s">
        <v>660</v>
      </c>
      <c r="P6" s="39"/>
      <c r="Q6" s="39"/>
      <c r="R6" s="39"/>
      <c r="S6" s="39"/>
      <c r="T6" s="39"/>
      <c r="U6" s="39"/>
      <c r="V6" s="39"/>
    </row>
    <row r="7" spans="1:27" ht="11" customHeight="1" x14ac:dyDescent="0.35">
      <c r="A7" s="8"/>
      <c r="B7" s="8"/>
      <c r="C7" s="8"/>
      <c r="D7" s="8"/>
      <c r="E7" s="8"/>
      <c r="F7" s="8"/>
      <c r="G7" s="8"/>
      <c r="H7" s="8"/>
      <c r="I7" s="8"/>
      <c r="J7" s="8"/>
      <c r="K7" s="8"/>
      <c r="L7" s="8"/>
      <c r="M7" s="8"/>
      <c r="N7" s="8"/>
      <c r="O7" s="8"/>
      <c r="P7" s="8"/>
      <c r="Q7" s="8"/>
      <c r="R7" s="8"/>
      <c r="S7" s="8"/>
      <c r="T7" s="8"/>
      <c r="U7" s="8"/>
      <c r="V7" s="8"/>
    </row>
    <row r="8" spans="1:27" ht="22" customHeight="1" x14ac:dyDescent="0.35">
      <c r="A8" s="8"/>
      <c r="B8" s="8"/>
      <c r="C8" s="8"/>
      <c r="D8" s="8"/>
      <c r="E8" s="8"/>
      <c r="F8" s="8"/>
      <c r="G8" s="8"/>
      <c r="H8" s="8"/>
      <c r="I8" s="8"/>
      <c r="J8" s="8"/>
      <c r="K8" s="8"/>
      <c r="L8" s="8"/>
      <c r="M8" s="8"/>
      <c r="N8" s="8"/>
      <c r="O8" s="8"/>
      <c r="P8" s="8"/>
      <c r="Q8" s="8"/>
      <c r="R8" s="8"/>
      <c r="S8" s="8"/>
      <c r="T8" s="8"/>
      <c r="U8" s="8"/>
      <c r="V8" s="8"/>
    </row>
    <row r="9" spans="1:27" ht="22" customHeight="1" x14ac:dyDescent="0.35">
      <c r="A9" s="54" t="s">
        <v>661</v>
      </c>
      <c r="B9" s="39"/>
      <c r="C9" s="39"/>
      <c r="D9" s="39"/>
      <c r="E9" s="39"/>
      <c r="F9" s="39"/>
      <c r="G9" s="39"/>
      <c r="H9" s="39"/>
      <c r="I9" s="39"/>
      <c r="J9" s="39"/>
      <c r="K9" s="39"/>
      <c r="L9" s="39"/>
      <c r="M9" s="39"/>
      <c r="N9" s="39"/>
      <c r="O9" s="39"/>
      <c r="P9" s="39"/>
      <c r="Q9" s="39"/>
      <c r="R9" s="39"/>
      <c r="S9" s="39"/>
      <c r="T9" s="39"/>
      <c r="U9" s="39"/>
      <c r="V9" s="39"/>
    </row>
    <row r="10" spans="1:27" ht="22" customHeight="1" x14ac:dyDescent="0.35">
      <c r="A10" s="8"/>
      <c r="B10" s="8"/>
      <c r="C10" s="8"/>
      <c r="D10" s="8"/>
      <c r="E10" s="8"/>
      <c r="F10" s="8"/>
      <c r="G10" s="8"/>
      <c r="H10" s="8"/>
      <c r="I10" s="8"/>
      <c r="J10" s="8"/>
      <c r="K10" s="8"/>
      <c r="L10" s="8"/>
      <c r="M10" s="8"/>
      <c r="N10" s="8"/>
      <c r="O10" s="8"/>
      <c r="P10" s="8"/>
      <c r="Q10" s="8"/>
      <c r="R10" s="8"/>
      <c r="S10" s="8"/>
      <c r="T10" s="8"/>
      <c r="U10" s="8"/>
      <c r="V10" s="8"/>
    </row>
    <row r="11" spans="1:27" ht="22" customHeight="1" x14ac:dyDescent="0.35">
      <c r="A11" s="92" t="s">
        <v>662</v>
      </c>
      <c r="B11" s="39"/>
      <c r="C11" s="39"/>
      <c r="D11" s="39"/>
      <c r="E11" s="73" t="s">
        <v>663</v>
      </c>
      <c r="F11" s="39"/>
      <c r="G11" s="39"/>
      <c r="H11" s="39"/>
      <c r="I11" s="39"/>
      <c r="J11" s="39"/>
      <c r="K11" s="39"/>
      <c r="L11" s="39"/>
      <c r="M11" s="39"/>
      <c r="N11" s="39"/>
      <c r="O11" s="39"/>
      <c r="P11" s="39"/>
      <c r="Q11" s="39"/>
      <c r="R11" s="39"/>
      <c r="S11" s="39"/>
      <c r="T11" s="39"/>
      <c r="U11" s="39"/>
      <c r="V11" s="39"/>
    </row>
    <row r="12" spans="1:27" ht="22" customHeight="1" x14ac:dyDescent="0.35">
      <c r="A12" s="39"/>
      <c r="B12" s="39"/>
      <c r="C12" s="39"/>
      <c r="D12" s="39"/>
      <c r="E12" s="74"/>
      <c r="F12" s="74"/>
      <c r="G12" s="74"/>
      <c r="H12" s="74"/>
      <c r="I12" s="74"/>
      <c r="J12" s="74"/>
      <c r="K12" s="74"/>
      <c r="L12" s="74"/>
      <c r="M12" s="74"/>
      <c r="N12" s="74"/>
      <c r="O12" s="74"/>
      <c r="P12" s="74"/>
      <c r="Q12" s="74"/>
      <c r="R12" s="74"/>
      <c r="S12" s="74"/>
      <c r="T12" s="74"/>
      <c r="U12" s="74"/>
      <c r="V12" s="74"/>
    </row>
    <row r="13" spans="1:27" ht="22" customHeight="1" x14ac:dyDescent="0.35">
      <c r="A13" s="8"/>
      <c r="B13" s="8"/>
      <c r="C13" s="8"/>
      <c r="D13" s="8"/>
      <c r="E13" s="8"/>
      <c r="F13" s="8"/>
      <c r="G13" s="8"/>
      <c r="H13" s="8"/>
      <c r="I13" s="8"/>
      <c r="J13" s="8"/>
      <c r="K13" s="8"/>
      <c r="L13" s="8"/>
      <c r="M13" s="8"/>
      <c r="N13" s="8"/>
      <c r="O13" s="8"/>
      <c r="P13" s="8"/>
      <c r="Q13" s="8"/>
      <c r="R13" s="8"/>
      <c r="S13" s="8"/>
      <c r="T13" s="8"/>
      <c r="U13" s="8"/>
      <c r="V13" s="8"/>
    </row>
    <row r="14" spans="1:27" ht="22" customHeight="1" x14ac:dyDescent="0.35">
      <c r="A14" s="8"/>
      <c r="B14" s="8"/>
      <c r="C14" s="8"/>
      <c r="D14" s="8"/>
      <c r="E14" s="8"/>
      <c r="F14" s="8"/>
      <c r="G14" s="8"/>
      <c r="H14" s="8"/>
      <c r="I14" s="8"/>
      <c r="J14" s="8"/>
      <c r="K14" s="8"/>
      <c r="L14" s="8"/>
      <c r="M14" s="8"/>
      <c r="N14" s="8"/>
      <c r="O14" s="8"/>
      <c r="P14" s="8"/>
      <c r="Q14" s="8"/>
      <c r="R14" s="8"/>
      <c r="S14" s="8"/>
      <c r="T14" s="8"/>
      <c r="U14" s="8"/>
      <c r="V14" s="8"/>
    </row>
    <row r="15" spans="1:27" ht="22" customHeight="1" x14ac:dyDescent="0.35">
      <c r="A15" s="92" t="s">
        <v>57</v>
      </c>
      <c r="B15" s="39"/>
      <c r="C15" s="39"/>
      <c r="D15" s="39"/>
      <c r="E15" s="91" t="str">
        <f>IF($AA$3=0,"",IF(LEN(INDEX(Jobs!$C$9:$C$258,$AA$3)&amp;"")=0,"",INDEX(Jobs!$C$9:$C$258,$AA$3)))</f>
        <v>Hull</v>
      </c>
      <c r="F15" s="39"/>
      <c r="G15" s="39"/>
      <c r="H15" s="39"/>
      <c r="I15" s="39"/>
      <c r="J15" s="39"/>
      <c r="K15" s="39"/>
      <c r="L15" s="39"/>
      <c r="M15" s="39"/>
      <c r="N15" s="39"/>
      <c r="O15" s="39"/>
      <c r="P15" s="39"/>
      <c r="Q15" s="39"/>
      <c r="R15" s="39"/>
      <c r="S15" s="39"/>
      <c r="T15" s="39"/>
      <c r="U15" s="39"/>
      <c r="V15" s="39"/>
    </row>
    <row r="16" spans="1:27" ht="22" customHeight="1" x14ac:dyDescent="0.35">
      <c r="A16" s="39"/>
      <c r="B16" s="39"/>
      <c r="C16" s="39"/>
      <c r="D16" s="39"/>
      <c r="E16" s="39"/>
      <c r="F16" s="39"/>
      <c r="G16" s="39"/>
      <c r="H16" s="39"/>
      <c r="I16" s="39"/>
      <c r="J16" s="39"/>
      <c r="K16" s="39"/>
      <c r="L16" s="39"/>
      <c r="M16" s="39"/>
      <c r="N16" s="39"/>
      <c r="O16" s="39"/>
      <c r="P16" s="39"/>
      <c r="Q16" s="39"/>
      <c r="R16" s="39"/>
      <c r="S16" s="39"/>
      <c r="T16" s="39"/>
      <c r="U16" s="39"/>
      <c r="V16" s="39"/>
    </row>
    <row r="17" spans="1:22" ht="22" customHeight="1" x14ac:dyDescent="0.35">
      <c r="A17" s="92" t="s">
        <v>664</v>
      </c>
      <c r="B17" s="39"/>
      <c r="C17" s="39"/>
      <c r="D17" s="39"/>
      <c r="E17" s="91" t="str">
        <f>IF($AA$3=0,"",IF(LEN(INDEX(Jobs!$D$9:$D$258,$AA$3)&amp;"")=0,"",INDEX(Jobs!$D$9:$D$258,$AA$3)))</f>
        <v>Draft</v>
      </c>
      <c r="F17" s="39"/>
      <c r="G17" s="39"/>
      <c r="H17" s="39"/>
      <c r="I17" s="39"/>
      <c r="J17" s="39"/>
      <c r="K17" s="39"/>
      <c r="L17" s="39"/>
      <c r="M17" s="39"/>
      <c r="N17" s="39"/>
      <c r="O17" s="39"/>
      <c r="P17" s="39"/>
      <c r="Q17" s="39"/>
      <c r="R17" s="39"/>
      <c r="S17" s="39"/>
      <c r="T17" s="39"/>
      <c r="U17" s="39"/>
      <c r="V17" s="39"/>
    </row>
    <row r="18" spans="1:22" ht="22" customHeight="1" x14ac:dyDescent="0.35">
      <c r="A18" s="39"/>
      <c r="B18" s="39"/>
      <c r="C18" s="39"/>
      <c r="D18" s="39"/>
      <c r="E18" s="39"/>
      <c r="F18" s="39"/>
      <c r="G18" s="39"/>
      <c r="H18" s="39"/>
      <c r="I18" s="39"/>
      <c r="J18" s="39"/>
      <c r="K18" s="39"/>
      <c r="L18" s="39"/>
      <c r="M18" s="39"/>
      <c r="N18" s="39"/>
      <c r="O18" s="39"/>
      <c r="P18" s="39"/>
      <c r="Q18" s="39"/>
      <c r="R18" s="39"/>
      <c r="S18" s="39"/>
      <c r="T18" s="39"/>
      <c r="U18" s="39"/>
      <c r="V18" s="39"/>
    </row>
    <row r="19" spans="1:22" ht="22" customHeight="1" x14ac:dyDescent="0.35">
      <c r="A19" s="92" t="s">
        <v>665</v>
      </c>
      <c r="B19" s="39"/>
      <c r="C19" s="39"/>
      <c r="D19" s="39"/>
      <c r="E19" s="91" t="str">
        <f>IF($AA$3=0,"",IF(LEN(INDEX(Jobs!$P$9:$P$258,$AA$3)&amp;"")=0,"",INDEX(Jobs!$P$9:$P$258,$AA$3)))</f>
        <v/>
      </c>
      <c r="F19" s="39"/>
      <c r="G19" s="39"/>
      <c r="H19" s="39"/>
      <c r="I19" s="39"/>
      <c r="J19" s="39"/>
      <c r="K19" s="39"/>
      <c r="L19" s="39"/>
      <c r="M19" s="39"/>
      <c r="N19" s="39"/>
      <c r="O19" s="39"/>
      <c r="P19" s="39"/>
      <c r="Q19" s="39"/>
      <c r="R19" s="39"/>
      <c r="S19" s="39"/>
      <c r="T19" s="39"/>
      <c r="U19" s="39"/>
      <c r="V19" s="39"/>
    </row>
    <row r="20" spans="1:22" ht="22" customHeight="1" x14ac:dyDescent="0.35">
      <c r="A20" s="39"/>
      <c r="B20" s="39"/>
      <c r="C20" s="39"/>
      <c r="D20" s="39"/>
      <c r="E20" s="39"/>
      <c r="F20" s="39"/>
      <c r="G20" s="39"/>
      <c r="H20" s="39"/>
      <c r="I20" s="39"/>
      <c r="J20" s="39"/>
      <c r="K20" s="39"/>
      <c r="L20" s="39"/>
      <c r="M20" s="39"/>
      <c r="N20" s="39"/>
      <c r="O20" s="39"/>
      <c r="P20" s="39"/>
      <c r="Q20" s="39"/>
      <c r="R20" s="39"/>
      <c r="S20" s="39"/>
      <c r="T20" s="39"/>
      <c r="U20" s="39"/>
      <c r="V20" s="39"/>
    </row>
    <row r="21" spans="1:22" ht="22" customHeight="1" x14ac:dyDescent="0.35">
      <c r="A21" s="8"/>
      <c r="B21" s="8"/>
      <c r="C21" s="8"/>
      <c r="D21" s="8"/>
      <c r="E21" s="8"/>
      <c r="F21" s="8"/>
      <c r="G21" s="8"/>
      <c r="H21" s="8"/>
      <c r="I21" s="8"/>
      <c r="J21" s="8"/>
      <c r="K21" s="8"/>
      <c r="L21" s="8"/>
      <c r="M21" s="8"/>
      <c r="N21" s="8"/>
      <c r="O21" s="8"/>
      <c r="P21" s="8"/>
      <c r="Q21" s="8"/>
      <c r="R21" s="8"/>
      <c r="S21" s="8"/>
      <c r="T21" s="8"/>
      <c r="U21" s="8"/>
      <c r="V21" s="8"/>
    </row>
    <row r="22" spans="1:22" ht="22" customHeight="1" x14ac:dyDescent="0.35">
      <c r="A22" s="8"/>
      <c r="B22" s="8"/>
      <c r="C22" s="8"/>
      <c r="D22" s="8"/>
      <c r="E22" s="8"/>
      <c r="F22" s="8"/>
      <c r="G22" s="8"/>
      <c r="H22" s="8"/>
      <c r="I22" s="8"/>
      <c r="J22" s="8"/>
      <c r="K22" s="8"/>
      <c r="L22" s="8"/>
      <c r="M22" s="8"/>
      <c r="N22" s="8"/>
      <c r="O22" s="8"/>
      <c r="P22" s="8"/>
      <c r="Q22" s="8"/>
      <c r="R22" s="8"/>
      <c r="S22" s="8"/>
      <c r="T22" s="8"/>
      <c r="U22" s="8"/>
      <c r="V22" s="8"/>
    </row>
    <row r="23" spans="1:22" ht="22" customHeight="1" x14ac:dyDescent="0.35">
      <c r="A23" s="93" t="s">
        <v>666</v>
      </c>
      <c r="B23" s="39"/>
      <c r="C23" s="39"/>
      <c r="D23" s="39"/>
      <c r="E23" s="39"/>
      <c r="F23" s="39"/>
      <c r="G23" s="39"/>
      <c r="H23" s="39"/>
      <c r="I23" s="39"/>
      <c r="J23" s="39"/>
      <c r="K23" s="8"/>
      <c r="L23" s="57" t="s">
        <v>667</v>
      </c>
      <c r="M23" s="39"/>
      <c r="N23" s="39"/>
      <c r="O23" s="39"/>
      <c r="P23" s="39"/>
      <c r="Q23" s="39"/>
      <c r="R23" s="39"/>
      <c r="S23" s="39"/>
      <c r="T23" s="39"/>
      <c r="U23" s="39"/>
      <c r="V23" s="39"/>
    </row>
    <row r="24" spans="1:22" ht="22" customHeight="1" x14ac:dyDescent="0.35">
      <c r="A24" s="39"/>
      <c r="B24" s="39"/>
      <c r="C24" s="39"/>
      <c r="D24" s="39"/>
      <c r="E24" s="39"/>
      <c r="F24" s="39"/>
      <c r="G24" s="39"/>
      <c r="H24" s="39"/>
      <c r="I24" s="39"/>
      <c r="J24" s="39"/>
      <c r="K24" s="8"/>
      <c r="L24" s="39"/>
      <c r="M24" s="39"/>
      <c r="N24" s="39"/>
      <c r="O24" s="39"/>
      <c r="P24" s="39"/>
      <c r="Q24" s="39"/>
      <c r="R24" s="39"/>
      <c r="S24" s="39"/>
      <c r="T24" s="39"/>
      <c r="U24" s="39"/>
      <c r="V24" s="39"/>
    </row>
    <row r="25" spans="1:22" ht="22" customHeight="1" x14ac:dyDescent="0.35">
      <c r="A25" s="39"/>
      <c r="B25" s="39"/>
      <c r="C25" s="39"/>
      <c r="D25" s="39"/>
      <c r="E25" s="39"/>
      <c r="F25" s="39"/>
      <c r="G25" s="39"/>
      <c r="H25" s="39"/>
      <c r="I25" s="39"/>
      <c r="J25" s="39"/>
      <c r="K25" s="8"/>
      <c r="L25" s="39"/>
      <c r="M25" s="39"/>
      <c r="N25" s="39"/>
      <c r="O25" s="39"/>
      <c r="P25" s="39"/>
      <c r="Q25" s="39"/>
      <c r="R25" s="39"/>
      <c r="S25" s="39"/>
      <c r="T25" s="39"/>
      <c r="U25" s="39"/>
      <c r="V25" s="39"/>
    </row>
    <row r="26" spans="1:22" ht="22" customHeight="1" x14ac:dyDescent="0.35">
      <c r="A26" s="8"/>
      <c r="B26" s="8"/>
      <c r="C26" s="8"/>
      <c r="D26" s="8"/>
      <c r="E26" s="8"/>
      <c r="F26" s="8"/>
      <c r="G26" s="8"/>
      <c r="H26" s="8"/>
      <c r="I26" s="8"/>
      <c r="J26" s="8"/>
      <c r="K26" s="8"/>
      <c r="L26" s="8"/>
      <c r="M26" s="8"/>
      <c r="N26" s="8"/>
      <c r="O26" s="8"/>
      <c r="P26" s="8"/>
      <c r="Q26" s="8"/>
      <c r="R26" s="8"/>
      <c r="S26" s="8"/>
      <c r="T26" s="8"/>
      <c r="U26" s="8"/>
      <c r="V26" s="8"/>
    </row>
    <row r="27" spans="1:22" ht="22" customHeight="1" x14ac:dyDescent="0.35">
      <c r="A27" s="8"/>
      <c r="B27" s="8"/>
      <c r="C27" s="8"/>
      <c r="D27" s="8"/>
      <c r="E27" s="8"/>
      <c r="F27" s="8"/>
      <c r="G27" s="8"/>
      <c r="H27" s="8"/>
      <c r="I27" s="8"/>
      <c r="J27" s="8"/>
      <c r="K27" s="8"/>
      <c r="L27" s="8"/>
      <c r="M27" s="8"/>
      <c r="N27" s="8"/>
      <c r="O27" s="8"/>
      <c r="P27" s="8"/>
      <c r="Q27" s="8"/>
      <c r="R27" s="8"/>
      <c r="S27" s="8"/>
      <c r="T27" s="8"/>
      <c r="U27" s="8"/>
      <c r="V27" s="8"/>
    </row>
    <row r="28" spans="1:22" ht="22" customHeight="1" x14ac:dyDescent="0.35">
      <c r="A28" s="54" t="s">
        <v>668</v>
      </c>
      <c r="B28" s="39"/>
      <c r="C28" s="39"/>
      <c r="D28" s="39"/>
      <c r="E28" s="39"/>
      <c r="F28" s="39"/>
      <c r="G28" s="39"/>
      <c r="H28" s="39"/>
      <c r="I28" s="39"/>
      <c r="J28" s="39"/>
      <c r="K28" s="39"/>
      <c r="L28" s="39"/>
      <c r="M28" s="39"/>
      <c r="N28" s="39"/>
      <c r="O28" s="39"/>
      <c r="P28" s="39"/>
      <c r="Q28" s="39"/>
      <c r="R28" s="39"/>
      <c r="S28" s="39"/>
      <c r="T28" s="39"/>
      <c r="U28" s="39"/>
      <c r="V28" s="39"/>
    </row>
    <row r="29" spans="1:22" ht="22" customHeight="1" x14ac:dyDescent="0.35">
      <c r="A29" s="8"/>
      <c r="B29" s="8"/>
      <c r="C29" s="8"/>
      <c r="D29" s="8"/>
      <c r="E29" s="8"/>
      <c r="F29" s="8"/>
      <c r="G29" s="8"/>
      <c r="H29" s="8"/>
      <c r="I29" s="8"/>
      <c r="J29" s="8"/>
      <c r="K29" s="8"/>
      <c r="L29" s="8"/>
      <c r="M29" s="8"/>
      <c r="N29" s="8"/>
      <c r="O29" s="8"/>
      <c r="P29" s="8"/>
      <c r="Q29" s="8"/>
      <c r="R29" s="8"/>
      <c r="S29" s="8"/>
      <c r="T29" s="8"/>
      <c r="U29" s="8"/>
      <c r="V29" s="8"/>
    </row>
    <row r="30" spans="1:22" ht="22" customHeight="1" x14ac:dyDescent="0.35">
      <c r="A30" s="91" t="s">
        <v>669</v>
      </c>
      <c r="B30" s="39"/>
      <c r="C30" s="39"/>
      <c r="D30" s="39"/>
      <c r="E30" s="39"/>
      <c r="F30" s="39"/>
      <c r="G30" s="39"/>
      <c r="H30" s="39"/>
      <c r="I30" s="39"/>
      <c r="J30" s="39"/>
      <c r="K30" s="8"/>
      <c r="L30" s="91" t="s">
        <v>670</v>
      </c>
      <c r="M30" s="39"/>
      <c r="N30" s="39"/>
      <c r="O30" s="39"/>
      <c r="P30" s="39"/>
      <c r="Q30" s="39"/>
      <c r="R30" s="39"/>
      <c r="S30" s="39"/>
      <c r="T30" s="39"/>
      <c r="U30" s="39"/>
      <c r="V30" s="39"/>
    </row>
    <row r="31" spans="1:22" ht="22" customHeight="1" x14ac:dyDescent="0.35">
      <c r="A31" s="39"/>
      <c r="B31" s="39"/>
      <c r="C31" s="39"/>
      <c r="D31" s="39"/>
      <c r="E31" s="39"/>
      <c r="F31" s="39"/>
      <c r="G31" s="39"/>
      <c r="H31" s="39"/>
      <c r="I31" s="39"/>
      <c r="J31" s="39"/>
      <c r="K31" s="8"/>
      <c r="L31" s="39"/>
      <c r="M31" s="39"/>
      <c r="N31" s="39"/>
      <c r="O31" s="39"/>
      <c r="P31" s="39"/>
      <c r="Q31" s="39"/>
      <c r="R31" s="39"/>
      <c r="S31" s="39"/>
      <c r="T31" s="39"/>
      <c r="U31" s="39"/>
      <c r="V31" s="39"/>
    </row>
    <row r="32" spans="1:22" ht="22" customHeight="1" x14ac:dyDescent="0.35">
      <c r="A32" s="39"/>
      <c r="B32" s="39"/>
      <c r="C32" s="39"/>
      <c r="D32" s="39"/>
      <c r="E32" s="39"/>
      <c r="F32" s="39"/>
      <c r="G32" s="39"/>
      <c r="H32" s="39"/>
      <c r="I32" s="39"/>
      <c r="J32" s="39"/>
      <c r="K32" s="8"/>
      <c r="L32" s="39"/>
      <c r="M32" s="39"/>
      <c r="N32" s="39"/>
      <c r="O32" s="39"/>
      <c r="P32" s="39"/>
      <c r="Q32" s="39"/>
      <c r="R32" s="39"/>
      <c r="S32" s="39"/>
      <c r="T32" s="39"/>
      <c r="U32" s="39"/>
      <c r="V32" s="39"/>
    </row>
    <row r="33" spans="1:22" ht="22" customHeight="1" x14ac:dyDescent="0.35">
      <c r="A33" s="39"/>
      <c r="B33" s="39"/>
      <c r="C33" s="39"/>
      <c r="D33" s="39"/>
      <c r="E33" s="39"/>
      <c r="F33" s="39"/>
      <c r="G33" s="39"/>
      <c r="H33" s="39"/>
      <c r="I33" s="39"/>
      <c r="J33" s="39"/>
      <c r="K33" s="8"/>
      <c r="L33" s="39"/>
      <c r="M33" s="39"/>
      <c r="N33" s="39"/>
      <c r="O33" s="39"/>
      <c r="P33" s="39"/>
      <c r="Q33" s="39"/>
      <c r="R33" s="39"/>
      <c r="S33" s="39"/>
      <c r="T33" s="39"/>
      <c r="U33" s="39"/>
      <c r="V33" s="39"/>
    </row>
    <row r="34" spans="1:22" ht="22" customHeight="1" x14ac:dyDescent="0.35">
      <c r="A34" s="39"/>
      <c r="B34" s="39"/>
      <c r="C34" s="39"/>
      <c r="D34" s="39"/>
      <c r="E34" s="39"/>
      <c r="F34" s="39"/>
      <c r="G34" s="39"/>
      <c r="H34" s="39"/>
      <c r="I34" s="39"/>
      <c r="J34" s="39"/>
      <c r="K34" s="8"/>
      <c r="L34" s="39"/>
      <c r="M34" s="39"/>
      <c r="N34" s="39"/>
      <c r="O34" s="39"/>
      <c r="P34" s="39"/>
      <c r="Q34" s="39"/>
      <c r="R34" s="39"/>
      <c r="S34" s="39"/>
      <c r="T34" s="39"/>
      <c r="U34" s="39"/>
      <c r="V34" s="39"/>
    </row>
    <row r="35" spans="1:22" ht="22" customHeight="1" x14ac:dyDescent="0.35">
      <c r="A35" s="8"/>
      <c r="B35" s="8"/>
      <c r="C35" s="8"/>
      <c r="D35" s="8"/>
      <c r="E35" s="8"/>
      <c r="F35" s="8"/>
      <c r="G35" s="8"/>
      <c r="H35" s="8"/>
      <c r="I35" s="8"/>
      <c r="J35" s="8"/>
      <c r="K35" s="8"/>
      <c r="L35" s="8"/>
      <c r="M35" s="8"/>
      <c r="N35" s="8"/>
      <c r="O35" s="8"/>
      <c r="P35" s="8"/>
      <c r="Q35" s="8"/>
      <c r="R35" s="8"/>
      <c r="S35" s="8"/>
      <c r="T35" s="8"/>
      <c r="U35" s="8"/>
      <c r="V35" s="8"/>
    </row>
    <row r="36" spans="1:22" ht="22" customHeight="1" x14ac:dyDescent="0.35">
      <c r="A36" s="8"/>
      <c r="B36" s="8"/>
      <c r="C36" s="8"/>
      <c r="D36" s="8"/>
      <c r="E36" s="8"/>
      <c r="F36" s="8"/>
      <c r="G36" s="8"/>
      <c r="H36" s="8"/>
      <c r="I36" s="8"/>
      <c r="J36" s="8"/>
      <c r="K36" s="8"/>
      <c r="L36" s="8"/>
      <c r="M36" s="8"/>
      <c r="N36" s="8"/>
      <c r="O36" s="8"/>
      <c r="P36" s="8"/>
      <c r="Q36" s="8"/>
      <c r="R36" s="8"/>
      <c r="S36" s="8"/>
      <c r="T36" s="8"/>
      <c r="U36" s="8"/>
      <c r="V36" s="8"/>
    </row>
    <row r="37" spans="1:22" ht="22" customHeight="1" x14ac:dyDescent="0.35">
      <c r="A37" s="8"/>
      <c r="B37" s="8"/>
      <c r="C37" s="8"/>
      <c r="D37" s="8"/>
      <c r="E37" s="8"/>
      <c r="F37" s="8"/>
      <c r="G37" s="8"/>
      <c r="H37" s="8"/>
      <c r="I37" s="8"/>
      <c r="J37" s="8"/>
      <c r="K37" s="8"/>
      <c r="L37" s="8"/>
      <c r="M37" s="8"/>
      <c r="N37" s="8"/>
      <c r="O37" s="8"/>
      <c r="P37" s="8"/>
      <c r="Q37" s="8"/>
      <c r="R37" s="8"/>
      <c r="S37" s="8"/>
      <c r="T37" s="8"/>
      <c r="U37" s="8"/>
      <c r="V37" s="8"/>
    </row>
    <row r="38" spans="1:22" ht="22" customHeight="1" x14ac:dyDescent="0.35">
      <c r="A38" s="8"/>
      <c r="B38" s="8"/>
      <c r="C38" s="8"/>
      <c r="D38" s="8"/>
      <c r="E38" s="8"/>
      <c r="F38" s="8"/>
      <c r="G38" s="8"/>
      <c r="H38" s="8"/>
      <c r="I38" s="8"/>
      <c r="J38" s="8"/>
      <c r="K38" s="8"/>
      <c r="L38" s="8"/>
      <c r="M38" s="8"/>
      <c r="N38" s="8"/>
      <c r="O38" s="8"/>
      <c r="P38" s="8"/>
      <c r="Q38" s="8"/>
      <c r="R38" s="8"/>
      <c r="S38" s="8"/>
      <c r="T38" s="8"/>
      <c r="U38" s="8"/>
      <c r="V38" s="8"/>
    </row>
    <row r="39" spans="1:22" ht="22" customHeight="1" x14ac:dyDescent="0.35">
      <c r="A39" s="8"/>
      <c r="B39" s="8"/>
      <c r="C39" s="8"/>
      <c r="D39" s="8"/>
      <c r="E39" s="8"/>
      <c r="F39" s="8"/>
      <c r="G39" s="8"/>
      <c r="H39" s="8"/>
      <c r="I39" s="8"/>
      <c r="J39" s="8"/>
      <c r="K39" s="8"/>
      <c r="L39" s="8"/>
      <c r="M39" s="8"/>
      <c r="N39" s="8"/>
      <c r="O39" s="8"/>
      <c r="P39" s="8"/>
      <c r="Q39" s="8"/>
      <c r="R39" s="8"/>
      <c r="S39" s="8"/>
      <c r="T39" s="8"/>
      <c r="U39" s="8"/>
      <c r="V39" s="8"/>
    </row>
    <row r="40" spans="1:22" ht="22" customHeight="1" x14ac:dyDescent="0.35">
      <c r="A40" s="8"/>
      <c r="B40" s="8"/>
      <c r="C40" s="8"/>
      <c r="D40" s="8"/>
      <c r="E40" s="8"/>
      <c r="F40" s="8"/>
      <c r="G40" s="8"/>
      <c r="H40" s="8"/>
      <c r="I40" s="8"/>
      <c r="J40" s="8"/>
      <c r="K40" s="8"/>
      <c r="L40" s="8"/>
      <c r="M40" s="8"/>
      <c r="N40" s="8"/>
      <c r="O40" s="8"/>
      <c r="P40" s="8"/>
      <c r="Q40" s="8"/>
      <c r="R40" s="8"/>
      <c r="S40" s="8"/>
      <c r="T40" s="8"/>
      <c r="U40" s="8"/>
      <c r="V40" s="8"/>
    </row>
    <row r="41" spans="1:22" ht="22" customHeight="1" x14ac:dyDescent="0.35">
      <c r="A41" s="8"/>
      <c r="B41" s="8"/>
      <c r="C41" s="8"/>
      <c r="D41" s="8"/>
      <c r="E41" s="8"/>
      <c r="F41" s="8"/>
      <c r="G41" s="8"/>
      <c r="H41" s="8"/>
      <c r="I41" s="8"/>
      <c r="J41" s="8"/>
      <c r="K41" s="8"/>
      <c r="L41" s="8"/>
      <c r="M41" s="8"/>
      <c r="N41" s="8"/>
      <c r="O41" s="8"/>
      <c r="P41" s="8"/>
      <c r="Q41" s="8"/>
      <c r="R41" s="8"/>
      <c r="S41" s="8"/>
      <c r="T41" s="8"/>
      <c r="U41" s="8"/>
      <c r="V41" s="8"/>
    </row>
    <row r="42" spans="1:22" ht="22" customHeight="1" x14ac:dyDescent="0.35">
      <c r="A42" s="8"/>
      <c r="B42" s="8"/>
      <c r="C42" s="8"/>
      <c r="D42" s="8"/>
      <c r="E42" s="8"/>
      <c r="F42" s="8"/>
      <c r="G42" s="8"/>
      <c r="H42" s="8"/>
      <c r="I42" s="8"/>
      <c r="J42" s="8"/>
      <c r="K42" s="8"/>
      <c r="L42" s="8"/>
      <c r="M42" s="8"/>
      <c r="N42" s="8"/>
      <c r="O42" s="8"/>
      <c r="P42" s="8"/>
      <c r="Q42" s="8"/>
      <c r="R42" s="8"/>
      <c r="S42" s="8"/>
      <c r="T42" s="8"/>
      <c r="U42" s="8"/>
      <c r="V42" s="8"/>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8"/>
      <c r="B45" s="8"/>
      <c r="C45" s="8"/>
      <c r="D45" s="8"/>
      <c r="E45" s="8"/>
      <c r="F45" s="8"/>
      <c r="G45" s="8"/>
      <c r="H45" s="8"/>
      <c r="I45" s="8"/>
      <c r="J45" s="8"/>
      <c r="K45" s="8"/>
      <c r="L45" s="8"/>
      <c r="M45" s="8"/>
      <c r="N45" s="8"/>
      <c r="O45" s="8"/>
      <c r="P45" s="8"/>
      <c r="Q45" s="8"/>
      <c r="R45" s="8"/>
      <c r="S45" s="8"/>
      <c r="T45" s="8"/>
      <c r="U45" s="8"/>
      <c r="V45" s="8"/>
    </row>
    <row r="46" spans="1:22" ht="22" customHeight="1" x14ac:dyDescent="0.35">
      <c r="A46" s="8"/>
      <c r="B46" s="8"/>
      <c r="C46" s="8"/>
      <c r="D46" s="8"/>
      <c r="E46" s="8"/>
      <c r="F46" s="8"/>
      <c r="G46" s="8"/>
      <c r="H46" s="8"/>
      <c r="I46" s="8"/>
      <c r="J46" s="8"/>
      <c r="K46" s="8"/>
      <c r="L46" s="8"/>
      <c r="M46" s="8"/>
      <c r="N46" s="8"/>
      <c r="O46" s="8"/>
      <c r="P46" s="8"/>
      <c r="Q46" s="8"/>
      <c r="R46" s="8"/>
      <c r="S46" s="8"/>
      <c r="T46" s="8"/>
      <c r="U46" s="8"/>
      <c r="V46" s="8"/>
    </row>
    <row r="47" spans="1:22" ht="22" customHeight="1" x14ac:dyDescent="0.35">
      <c r="A47" s="8"/>
      <c r="B47" s="8"/>
      <c r="C47" s="8"/>
      <c r="D47" s="8"/>
      <c r="E47" s="8"/>
      <c r="F47" s="8"/>
      <c r="G47" s="8"/>
      <c r="H47" s="8"/>
      <c r="I47" s="8"/>
      <c r="J47" s="8"/>
      <c r="K47" s="8"/>
      <c r="L47" s="8"/>
      <c r="M47" s="8"/>
      <c r="N47" s="8"/>
      <c r="O47" s="8"/>
      <c r="P47" s="8"/>
      <c r="Q47" s="8"/>
      <c r="R47" s="8"/>
      <c r="S47" s="8"/>
      <c r="T47" s="8"/>
      <c r="U47" s="8"/>
      <c r="V47" s="8"/>
    </row>
    <row r="48" spans="1:22" ht="22" customHeight="1" x14ac:dyDescent="0.35">
      <c r="A48" s="8"/>
      <c r="B48" s="8"/>
      <c r="C48" s="8"/>
      <c r="D48" s="8"/>
      <c r="E48" s="8"/>
      <c r="F48" s="8"/>
      <c r="G48" s="8"/>
      <c r="H48" s="8"/>
      <c r="I48" s="8"/>
      <c r="J48" s="8"/>
      <c r="K48" s="8"/>
      <c r="L48" s="8"/>
      <c r="M48" s="8"/>
      <c r="N48" s="8"/>
      <c r="O48" s="8"/>
      <c r="P48" s="8"/>
      <c r="Q48" s="8"/>
      <c r="R48" s="8"/>
      <c r="S48" s="8"/>
      <c r="T48" s="8"/>
      <c r="U48" s="8"/>
      <c r="V48" s="8"/>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8"/>
      <c r="B52" s="8"/>
      <c r="C52" s="8"/>
      <c r="D52" s="8"/>
      <c r="E52" s="8"/>
      <c r="F52" s="8"/>
      <c r="G52" s="8"/>
      <c r="H52" s="8"/>
      <c r="I52" s="8"/>
      <c r="J52" s="8"/>
      <c r="K52" s="8"/>
      <c r="L52" s="8"/>
      <c r="M52" s="8"/>
      <c r="N52" s="8"/>
      <c r="O52" s="8"/>
      <c r="P52" s="8"/>
      <c r="Q52" s="8"/>
      <c r="R52" s="8"/>
      <c r="S52" s="8"/>
      <c r="T52" s="8"/>
      <c r="U52" s="8"/>
      <c r="V52" s="8"/>
    </row>
    <row r="53" spans="1:22" ht="22" customHeight="1" x14ac:dyDescent="0.35">
      <c r="A53" s="8"/>
      <c r="B53" s="8"/>
      <c r="C53" s="8"/>
      <c r="D53" s="8"/>
      <c r="E53" s="8"/>
      <c r="F53" s="8"/>
      <c r="G53" s="8"/>
      <c r="H53" s="8"/>
      <c r="I53" s="8"/>
      <c r="J53" s="8"/>
      <c r="K53" s="8"/>
      <c r="L53" s="8"/>
      <c r="M53" s="8"/>
      <c r="N53" s="8"/>
      <c r="O53" s="8"/>
      <c r="P53" s="8"/>
      <c r="Q53" s="8"/>
      <c r="R53" s="8"/>
      <c r="S53" s="8"/>
      <c r="T53" s="8"/>
      <c r="U53" s="8"/>
      <c r="V53" s="8"/>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27">
    <mergeCell ref="O6:V6"/>
    <mergeCell ref="J4:L4"/>
    <mergeCell ref="A23:J25"/>
    <mergeCell ref="A28:V28"/>
    <mergeCell ref="S4:V4"/>
    <mergeCell ref="D4:F4"/>
    <mergeCell ref="G4:I4"/>
    <mergeCell ref="A9:V9"/>
    <mergeCell ref="A4:C4"/>
    <mergeCell ref="E17:V18"/>
    <mergeCell ref="A17:D18"/>
    <mergeCell ref="A30:J34"/>
    <mergeCell ref="M4:O4"/>
    <mergeCell ref="E19:V20"/>
    <mergeCell ref="R1:V2"/>
    <mergeCell ref="L23:V25"/>
    <mergeCell ref="P4:R4"/>
    <mergeCell ref="A19:D20"/>
    <mergeCell ref="A1:Q2"/>
    <mergeCell ref="L30:V34"/>
    <mergeCell ref="E15:V16"/>
    <mergeCell ref="E11:V12"/>
    <mergeCell ref="A6:F6"/>
    <mergeCell ref="A15:D16"/>
    <mergeCell ref="A3:V3"/>
    <mergeCell ref="A11:D12"/>
    <mergeCell ref="H6:M6"/>
  </mergeCells>
  <dataValidations count="1">
    <dataValidation type="list" allowBlank="1" showErrorMessage="1" errorTitle="Check this entry" error="Use a value from the shared list." sqref="E11" xr:uid="{00000000-0002-0000-0800-000000000000}">
      <formula1>lstPilotJobs</formula1>
    </dataValidation>
  </dataValidations>
  <hyperlinks>
    <hyperlink ref="A4" location="'Overview'!A1" display="Overview" xr:uid="{00000000-0004-0000-0800-000000000000}"/>
    <hyperlink ref="D4" location="'Jobs'!A1" display="Jobs" xr:uid="{00000000-0004-0000-0800-000001000000}"/>
    <hyperlink ref="G4" location="'Suppliers'!A1" display="Suppliers" xr:uid="{00000000-0004-0000-0800-000002000000}"/>
    <hyperlink ref="J4" location="'Budget'!A1" display="Budget" xr:uid="{00000000-0004-0000-0800-000003000000}"/>
    <hyperlink ref="M4" location="'Quotes'!A1" display="Quotes" xr:uid="{00000000-0004-0000-0800-000004000000}"/>
    <hyperlink ref="P4" location="'Print Summary'!A1" display="Print summary" xr:uid="{00000000-0004-0000-0800-000005000000}"/>
    <hyperlink ref="S4" location="'Read Me'!A1" display="Guide / setup" xr:uid="{00000000-0004-0000-0800-000006000000}"/>
    <hyperlink ref="A6" location="'Jobs'!A1" display="BACK TO JOB REGISTER" xr:uid="{00000000-0004-0000-0800-000007000000}"/>
    <hyperlink ref="H6" location="'Overview'!A1" display="BACK TO OVERVIEW" xr:uid="{00000000-0004-0000-0800-000008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87F8C"/>
    <pageSetUpPr fitToPage="1"/>
  </sheetPr>
  <dimension ref="A1:AA90"/>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671</v>
      </c>
      <c r="B1" s="39"/>
      <c r="C1" s="39"/>
      <c r="D1" s="39"/>
      <c r="E1" s="39"/>
      <c r="F1" s="39"/>
      <c r="G1" s="39"/>
      <c r="H1" s="39"/>
      <c r="I1" s="39"/>
      <c r="J1" s="39"/>
      <c r="K1" s="39"/>
      <c r="L1" s="39"/>
      <c r="M1" s="39"/>
      <c r="N1" s="39"/>
      <c r="O1" s="39"/>
      <c r="P1" s="39"/>
      <c r="Q1" s="39"/>
      <c r="R1" s="55" t="s">
        <v>1</v>
      </c>
      <c r="S1" s="39"/>
      <c r="T1" s="39"/>
      <c r="U1" s="39"/>
      <c r="V1" s="39"/>
      <c r="AA1" t="s">
        <v>672</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246</v>
      </c>
    </row>
    <row r="3" spans="1:27" ht="21" customHeight="1" x14ac:dyDescent="0.35">
      <c r="A3" s="48" t="s">
        <v>673</v>
      </c>
      <c r="B3" s="39"/>
      <c r="C3" s="39"/>
      <c r="D3" s="39"/>
      <c r="E3" s="39"/>
      <c r="F3" s="39"/>
      <c r="G3" s="39"/>
      <c r="H3" s="39"/>
      <c r="I3" s="39"/>
      <c r="J3" s="39"/>
      <c r="K3" s="39"/>
      <c r="L3" s="39"/>
      <c r="M3" s="39"/>
      <c r="N3" s="39"/>
      <c r="O3" s="39"/>
      <c r="P3" s="39"/>
      <c r="Q3" s="39"/>
      <c r="R3" s="39"/>
      <c r="S3" s="39"/>
      <c r="T3" s="39"/>
      <c r="U3" s="39"/>
      <c r="V3" s="39"/>
      <c r="AA3" t="s">
        <v>249</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7" ht="10" customHeight="1" x14ac:dyDescent="0.35">
      <c r="A5" s="8"/>
      <c r="B5" s="8"/>
      <c r="C5" s="8"/>
      <c r="D5" s="8"/>
      <c r="E5" s="8"/>
      <c r="F5" s="8"/>
      <c r="G5" s="8"/>
      <c r="H5" s="8"/>
      <c r="I5" s="8"/>
      <c r="J5" s="8"/>
      <c r="K5" s="8"/>
      <c r="L5" s="8"/>
      <c r="M5" s="8"/>
      <c r="N5" s="8"/>
      <c r="O5" s="8"/>
      <c r="P5" s="8"/>
      <c r="Q5" s="8"/>
      <c r="R5" s="8"/>
      <c r="S5" s="8"/>
      <c r="T5" s="8"/>
      <c r="U5" s="8"/>
      <c r="V5" s="8"/>
    </row>
    <row r="6" spans="1:27" ht="30" customHeight="1" x14ac:dyDescent="0.35">
      <c r="A6" s="45" t="s">
        <v>658</v>
      </c>
      <c r="B6" s="39"/>
      <c r="C6" s="39"/>
      <c r="D6" s="39"/>
      <c r="E6" s="39"/>
      <c r="F6" s="39"/>
      <c r="G6" s="8"/>
      <c r="H6" s="68" t="s">
        <v>23</v>
      </c>
      <c r="I6" s="39"/>
      <c r="J6" s="39"/>
      <c r="K6" s="39"/>
      <c r="L6" s="8"/>
      <c r="M6" s="95" t="s">
        <v>246</v>
      </c>
      <c r="N6" s="39"/>
      <c r="O6" s="39"/>
      <c r="P6" s="39"/>
      <c r="Q6" s="39"/>
      <c r="R6" s="39"/>
      <c r="S6" s="39"/>
      <c r="T6" s="39"/>
      <c r="U6" s="39"/>
      <c r="V6" s="39"/>
    </row>
    <row r="7" spans="1:27" ht="11" customHeight="1" x14ac:dyDescent="0.35">
      <c r="A7" s="8"/>
      <c r="B7" s="8"/>
      <c r="C7" s="8"/>
      <c r="D7" s="8"/>
      <c r="E7" s="8"/>
      <c r="F7" s="8"/>
      <c r="G7" s="8"/>
      <c r="H7" s="8"/>
      <c r="I7" s="8"/>
      <c r="J7" s="8"/>
      <c r="K7" s="8"/>
      <c r="L7" s="8"/>
      <c r="M7" s="8"/>
      <c r="N7" s="8"/>
      <c r="O7" s="8"/>
      <c r="P7" s="8"/>
      <c r="Q7" s="8"/>
      <c r="R7" s="8"/>
      <c r="S7" s="8"/>
      <c r="T7" s="8"/>
      <c r="U7" s="8"/>
      <c r="V7" s="8"/>
    </row>
    <row r="8" spans="1:27" ht="22" customHeight="1" x14ac:dyDescent="0.35">
      <c r="A8" s="8"/>
      <c r="B8" s="8"/>
      <c r="C8" s="8"/>
      <c r="D8" s="8"/>
      <c r="E8" s="8"/>
      <c r="F8" s="8"/>
      <c r="G8" s="8"/>
      <c r="H8" s="8"/>
      <c r="I8" s="8"/>
      <c r="J8" s="8"/>
      <c r="K8" s="8"/>
      <c r="L8" s="8"/>
      <c r="M8" s="8"/>
      <c r="N8" s="8"/>
      <c r="O8" s="8"/>
      <c r="P8" s="8"/>
      <c r="Q8" s="8"/>
      <c r="R8" s="8"/>
      <c r="S8" s="8"/>
      <c r="T8" s="8"/>
      <c r="U8" s="8"/>
      <c r="V8" s="8"/>
    </row>
    <row r="9" spans="1:27" ht="22" customHeight="1" x14ac:dyDescent="0.35">
      <c r="A9" s="54" t="s">
        <v>674</v>
      </c>
      <c r="B9" s="39"/>
      <c r="C9" s="39"/>
      <c r="D9" s="39"/>
      <c r="E9" s="39"/>
      <c r="F9" s="39"/>
      <c r="G9" s="39"/>
      <c r="H9" s="39"/>
      <c r="I9" s="39"/>
      <c r="J9" s="39"/>
      <c r="K9" s="39"/>
      <c r="L9" s="8"/>
      <c r="M9" s="54" t="s">
        <v>675</v>
      </c>
      <c r="N9" s="39"/>
      <c r="O9" s="39"/>
      <c r="P9" s="39"/>
      <c r="Q9" s="39"/>
      <c r="R9" s="39"/>
      <c r="S9" s="39"/>
      <c r="T9" s="39"/>
      <c r="U9" s="39"/>
      <c r="V9" s="39"/>
    </row>
    <row r="10" spans="1:27" ht="22" customHeight="1" x14ac:dyDescent="0.35">
      <c r="A10" s="8"/>
      <c r="B10" s="8"/>
      <c r="C10" s="8"/>
      <c r="D10" s="8"/>
      <c r="E10" s="8"/>
      <c r="F10" s="8"/>
      <c r="G10" s="8"/>
      <c r="H10" s="8"/>
      <c r="I10" s="8"/>
      <c r="J10" s="8"/>
      <c r="K10" s="8"/>
      <c r="L10" s="8"/>
      <c r="M10" s="8"/>
      <c r="N10" s="8"/>
      <c r="O10" s="8"/>
      <c r="P10" s="8"/>
      <c r="Q10" s="8"/>
      <c r="R10" s="8"/>
      <c r="S10" s="8"/>
      <c r="T10" s="8"/>
      <c r="U10" s="8"/>
      <c r="V10" s="8"/>
    </row>
    <row r="11" spans="1:27" ht="22" customHeight="1" x14ac:dyDescent="0.35">
      <c r="A11" s="68" t="s">
        <v>676</v>
      </c>
      <c r="B11" s="39"/>
      <c r="C11" s="39"/>
      <c r="D11" s="73" t="s">
        <v>677</v>
      </c>
      <c r="E11" s="74"/>
      <c r="F11" s="74"/>
      <c r="G11" s="74"/>
      <c r="H11" s="74"/>
      <c r="I11" s="74"/>
      <c r="J11" s="74"/>
      <c r="K11" s="74"/>
      <c r="L11" s="8"/>
      <c r="M11" s="68" t="s">
        <v>472</v>
      </c>
      <c r="N11" s="39"/>
      <c r="O11" s="39"/>
      <c r="P11" s="73" t="s">
        <v>514</v>
      </c>
      <c r="Q11" s="39"/>
      <c r="R11" s="39"/>
      <c r="S11" s="39"/>
      <c r="T11" s="39"/>
      <c r="U11" s="39"/>
      <c r="V11" s="39"/>
    </row>
    <row r="12" spans="1:27" ht="22" customHeight="1" x14ac:dyDescent="0.35">
      <c r="A12" s="8"/>
      <c r="B12" s="8"/>
      <c r="C12" s="8"/>
      <c r="D12" s="8"/>
      <c r="E12" s="8"/>
      <c r="F12" s="8"/>
      <c r="G12" s="8"/>
      <c r="H12" s="8"/>
      <c r="I12" s="8"/>
      <c r="J12" s="8"/>
      <c r="K12" s="8"/>
      <c r="L12" s="8"/>
      <c r="M12" s="8"/>
      <c r="N12" s="8"/>
      <c r="O12" s="8"/>
      <c r="P12" s="74"/>
      <c r="Q12" s="74"/>
      <c r="R12" s="74"/>
      <c r="S12" s="74"/>
      <c r="T12" s="74"/>
      <c r="U12" s="74"/>
      <c r="V12" s="74"/>
    </row>
    <row r="13" spans="1:27" ht="22" customHeight="1" x14ac:dyDescent="0.35">
      <c r="A13" s="68" t="s">
        <v>678</v>
      </c>
      <c r="B13" s="39"/>
      <c r="C13" s="39"/>
      <c r="D13" s="73"/>
      <c r="E13" s="39"/>
      <c r="F13" s="39"/>
      <c r="G13" s="39"/>
      <c r="H13" s="39"/>
      <c r="I13" s="39"/>
      <c r="J13" s="39"/>
      <c r="K13" s="39"/>
      <c r="L13" s="8"/>
      <c r="M13" s="8"/>
      <c r="N13" s="8"/>
      <c r="O13" s="8"/>
      <c r="P13" s="8"/>
      <c r="Q13" s="8"/>
      <c r="R13" s="8"/>
      <c r="S13" s="8"/>
      <c r="T13" s="8"/>
      <c r="U13" s="8"/>
      <c r="V13" s="8"/>
    </row>
    <row r="14" spans="1:27" ht="22" customHeight="1" x14ac:dyDescent="0.35">
      <c r="A14" s="8"/>
      <c r="B14" s="8"/>
      <c r="C14" s="8"/>
      <c r="D14" s="74"/>
      <c r="E14" s="74"/>
      <c r="F14" s="74"/>
      <c r="G14" s="74"/>
      <c r="H14" s="74"/>
      <c r="I14" s="74"/>
      <c r="J14" s="74"/>
      <c r="K14" s="74"/>
      <c r="L14" s="8"/>
      <c r="M14" s="68" t="s">
        <v>473</v>
      </c>
      <c r="N14" s="39"/>
      <c r="O14" s="39"/>
      <c r="P14" s="73" t="s">
        <v>87</v>
      </c>
      <c r="Q14" s="74"/>
      <c r="R14" s="74"/>
      <c r="S14" s="74"/>
      <c r="T14" s="74"/>
      <c r="U14" s="74"/>
      <c r="V14" s="74"/>
    </row>
    <row r="15" spans="1:27" ht="22" customHeight="1" x14ac:dyDescent="0.35">
      <c r="A15" s="8"/>
      <c r="B15" s="8"/>
      <c r="C15" s="8"/>
      <c r="D15" s="8"/>
      <c r="E15" s="8"/>
      <c r="F15" s="8"/>
      <c r="G15" s="8"/>
      <c r="H15" s="8"/>
      <c r="I15" s="8"/>
      <c r="J15" s="8"/>
      <c r="K15" s="8"/>
      <c r="L15" s="8"/>
      <c r="M15" s="8"/>
      <c r="N15" s="8"/>
      <c r="O15" s="8"/>
      <c r="P15" s="8"/>
      <c r="Q15" s="8"/>
      <c r="R15" s="8"/>
      <c r="S15" s="8"/>
      <c r="T15" s="8"/>
      <c r="U15" s="8"/>
      <c r="V15" s="8"/>
    </row>
    <row r="16" spans="1:27" ht="22" customHeight="1" x14ac:dyDescent="0.35">
      <c r="A16" s="68" t="s">
        <v>677</v>
      </c>
      <c r="B16" s="39"/>
      <c r="C16" s="39"/>
      <c r="D16" s="73"/>
      <c r="E16" s="39"/>
      <c r="F16" s="39"/>
      <c r="G16" s="39"/>
      <c r="H16" s="39"/>
      <c r="I16" s="39"/>
      <c r="J16" s="39"/>
      <c r="K16" s="39"/>
      <c r="L16" s="8"/>
      <c r="M16" s="68" t="s">
        <v>476</v>
      </c>
      <c r="N16" s="39"/>
      <c r="O16" s="39"/>
      <c r="P16" s="73" t="s">
        <v>516</v>
      </c>
      <c r="Q16" s="74"/>
      <c r="R16" s="74"/>
      <c r="S16" s="74"/>
      <c r="T16" s="74"/>
      <c r="U16" s="74"/>
      <c r="V16" s="74"/>
    </row>
    <row r="17" spans="1:22" ht="22" customHeight="1" x14ac:dyDescent="0.35">
      <c r="A17" s="8"/>
      <c r="B17" s="8"/>
      <c r="C17" s="8"/>
      <c r="D17" s="74"/>
      <c r="E17" s="74"/>
      <c r="F17" s="74"/>
      <c r="G17" s="74"/>
      <c r="H17" s="74"/>
      <c r="I17" s="74"/>
      <c r="J17" s="74"/>
      <c r="K17" s="74"/>
      <c r="L17" s="8"/>
      <c r="M17" s="8"/>
      <c r="N17" s="8"/>
      <c r="O17" s="8"/>
      <c r="P17" s="8"/>
      <c r="Q17" s="8"/>
      <c r="R17" s="8"/>
      <c r="S17" s="8"/>
      <c r="T17" s="8"/>
      <c r="U17" s="8"/>
      <c r="V17" s="8"/>
    </row>
    <row r="18" spans="1:22" ht="22" customHeight="1" x14ac:dyDescent="0.35">
      <c r="A18" s="8"/>
      <c r="B18" s="8"/>
      <c r="C18" s="8"/>
      <c r="D18" s="8"/>
      <c r="E18" s="8"/>
      <c r="F18" s="8"/>
      <c r="G18" s="8"/>
      <c r="H18" s="8"/>
      <c r="I18" s="8"/>
      <c r="J18" s="8"/>
      <c r="K18" s="8"/>
      <c r="L18" s="8"/>
      <c r="M18" s="68" t="s">
        <v>474</v>
      </c>
      <c r="N18" s="39"/>
      <c r="O18" s="39"/>
      <c r="P18" s="97"/>
      <c r="Q18" s="74"/>
      <c r="R18" s="74"/>
      <c r="S18" s="74"/>
      <c r="T18" s="74"/>
      <c r="U18" s="74"/>
      <c r="V18" s="74"/>
    </row>
    <row r="19" spans="1:22" ht="22" customHeight="1" x14ac:dyDescent="0.35">
      <c r="A19" s="8"/>
      <c r="B19" s="8"/>
      <c r="C19" s="8"/>
      <c r="D19" s="8"/>
      <c r="E19" s="8"/>
      <c r="F19" s="8"/>
      <c r="G19" s="8"/>
      <c r="H19" s="8"/>
      <c r="I19" s="8"/>
      <c r="J19" s="8"/>
      <c r="K19" s="8"/>
      <c r="L19" s="8"/>
      <c r="M19" s="8"/>
      <c r="N19" s="8"/>
      <c r="O19" s="8"/>
      <c r="P19" s="8"/>
      <c r="Q19" s="8"/>
      <c r="R19" s="8"/>
      <c r="S19" s="8"/>
      <c r="T19" s="8"/>
      <c r="U19" s="8"/>
      <c r="V19" s="8"/>
    </row>
    <row r="20" spans="1:22" ht="22" customHeight="1" x14ac:dyDescent="0.35">
      <c r="A20" s="68" t="s">
        <v>679</v>
      </c>
      <c r="B20" s="39"/>
      <c r="C20" s="39"/>
      <c r="D20" s="73"/>
      <c r="E20" s="39"/>
      <c r="F20" s="39"/>
      <c r="G20" s="39"/>
      <c r="H20" s="39"/>
      <c r="I20" s="39"/>
      <c r="J20" s="39"/>
      <c r="K20" s="39"/>
      <c r="L20" s="8"/>
      <c r="M20" s="68" t="s">
        <v>680</v>
      </c>
      <c r="N20" s="39"/>
      <c r="O20" s="39"/>
      <c r="P20" s="97"/>
      <c r="Q20" s="74"/>
      <c r="R20" s="74"/>
      <c r="S20" s="74"/>
      <c r="T20" s="74"/>
      <c r="U20" s="74"/>
      <c r="V20" s="74"/>
    </row>
    <row r="21" spans="1:22" ht="22" customHeight="1" x14ac:dyDescent="0.35">
      <c r="A21" s="8"/>
      <c r="B21" s="8"/>
      <c r="C21" s="8"/>
      <c r="D21" s="74"/>
      <c r="E21" s="74"/>
      <c r="F21" s="74"/>
      <c r="G21" s="74"/>
      <c r="H21" s="74"/>
      <c r="I21" s="74"/>
      <c r="J21" s="74"/>
      <c r="K21" s="74"/>
      <c r="L21" s="8"/>
      <c r="M21" s="8"/>
      <c r="N21" s="8"/>
      <c r="O21" s="8"/>
      <c r="P21" s="8"/>
      <c r="Q21" s="8"/>
      <c r="R21" s="8"/>
      <c r="S21" s="8"/>
      <c r="T21" s="8"/>
      <c r="U21" s="8"/>
      <c r="V21" s="8"/>
    </row>
    <row r="22" spans="1:22" ht="22" customHeight="1" x14ac:dyDescent="0.35">
      <c r="A22" s="8"/>
      <c r="B22" s="8"/>
      <c r="C22" s="8"/>
      <c r="D22" s="8"/>
      <c r="E22" s="8"/>
      <c r="F22" s="8"/>
      <c r="G22" s="8"/>
      <c r="H22" s="8"/>
      <c r="I22" s="8"/>
      <c r="J22" s="8"/>
      <c r="K22" s="8"/>
      <c r="L22" s="8"/>
      <c r="M22" s="8"/>
      <c r="N22" s="8"/>
      <c r="O22" s="8"/>
      <c r="P22" s="8"/>
      <c r="Q22" s="8"/>
      <c r="R22" s="8"/>
      <c r="S22" s="8"/>
      <c r="T22" s="8"/>
      <c r="U22" s="8"/>
      <c r="V22" s="8"/>
    </row>
    <row r="23" spans="1:22" ht="22" customHeight="1" x14ac:dyDescent="0.35">
      <c r="A23" s="68" t="s">
        <v>345</v>
      </c>
      <c r="B23" s="39"/>
      <c r="C23" s="39"/>
      <c r="D23" s="73"/>
      <c r="E23" s="39"/>
      <c r="F23" s="39"/>
      <c r="G23" s="39"/>
      <c r="H23" s="39"/>
      <c r="I23" s="39"/>
      <c r="J23" s="39"/>
      <c r="K23" s="39"/>
      <c r="L23" s="8"/>
      <c r="M23" s="68" t="s">
        <v>486</v>
      </c>
      <c r="N23" s="39"/>
      <c r="O23" s="39"/>
      <c r="P23" s="73"/>
      <c r="Q23" s="39"/>
      <c r="R23" s="39"/>
      <c r="S23" s="39"/>
      <c r="T23" s="39"/>
      <c r="U23" s="39"/>
      <c r="V23" s="39"/>
    </row>
    <row r="24" spans="1:22" ht="22" customHeight="1" x14ac:dyDescent="0.35">
      <c r="A24" s="8"/>
      <c r="B24" s="8"/>
      <c r="C24" s="8"/>
      <c r="D24" s="74"/>
      <c r="E24" s="74"/>
      <c r="F24" s="74"/>
      <c r="G24" s="74"/>
      <c r="H24" s="74"/>
      <c r="I24" s="74"/>
      <c r="J24" s="74"/>
      <c r="K24" s="74"/>
      <c r="L24" s="8"/>
      <c r="M24" s="8"/>
      <c r="N24" s="8"/>
      <c r="O24" s="8"/>
      <c r="P24" s="74"/>
      <c r="Q24" s="74"/>
      <c r="R24" s="74"/>
      <c r="S24" s="74"/>
      <c r="T24" s="74"/>
      <c r="U24" s="74"/>
      <c r="V24" s="74"/>
    </row>
    <row r="25" spans="1:22" ht="22" customHeight="1" x14ac:dyDescent="0.35">
      <c r="A25" s="8"/>
      <c r="B25" s="8"/>
      <c r="C25" s="8"/>
      <c r="D25" s="8"/>
      <c r="E25" s="8"/>
      <c r="F25" s="8"/>
      <c r="G25" s="8"/>
      <c r="H25" s="8"/>
      <c r="I25" s="8"/>
      <c r="J25" s="8"/>
      <c r="K25" s="8"/>
      <c r="L25" s="8"/>
      <c r="M25" s="8"/>
      <c r="N25" s="8"/>
      <c r="O25" s="8"/>
      <c r="P25" s="8"/>
      <c r="Q25" s="8"/>
      <c r="R25" s="8"/>
      <c r="S25" s="8"/>
      <c r="T25" s="8"/>
      <c r="U25" s="8"/>
      <c r="V25" s="8"/>
    </row>
    <row r="26" spans="1:22" ht="22" customHeight="1" x14ac:dyDescent="0.35">
      <c r="A26" s="68" t="s">
        <v>681</v>
      </c>
      <c r="B26" s="39"/>
      <c r="C26" s="39"/>
      <c r="D26" s="73"/>
      <c r="E26" s="74"/>
      <c r="F26" s="74"/>
      <c r="G26" s="74"/>
      <c r="H26" s="74"/>
      <c r="I26" s="74"/>
      <c r="J26" s="74"/>
      <c r="K26" s="74"/>
      <c r="L26" s="8"/>
      <c r="M26" s="8"/>
      <c r="N26" s="8"/>
      <c r="O26" s="8"/>
      <c r="P26" s="8"/>
      <c r="Q26" s="8"/>
      <c r="R26" s="8"/>
      <c r="S26" s="8"/>
      <c r="T26" s="8"/>
      <c r="U26" s="8"/>
      <c r="V26" s="8"/>
    </row>
    <row r="27" spans="1:22" ht="22" customHeight="1" x14ac:dyDescent="0.35">
      <c r="A27" s="8"/>
      <c r="B27" s="8"/>
      <c r="C27" s="8"/>
      <c r="D27" s="8"/>
      <c r="E27" s="8"/>
      <c r="F27" s="8"/>
      <c r="G27" s="8"/>
      <c r="H27" s="8"/>
      <c r="I27" s="8"/>
      <c r="J27" s="8"/>
      <c r="K27" s="8"/>
      <c r="L27" s="8"/>
      <c r="M27" s="68" t="s">
        <v>87</v>
      </c>
      <c r="N27" s="39"/>
      <c r="O27" s="39"/>
      <c r="P27" s="94"/>
      <c r="Q27" s="74"/>
      <c r="R27" s="74"/>
      <c r="S27" s="74"/>
      <c r="T27" s="74"/>
      <c r="U27" s="74"/>
      <c r="V27" s="74"/>
    </row>
    <row r="28" spans="1:22" ht="22" customHeight="1" x14ac:dyDescent="0.35">
      <c r="A28" s="68" t="s">
        <v>348</v>
      </c>
      <c r="B28" s="39"/>
      <c r="C28" s="39"/>
      <c r="D28" s="73"/>
      <c r="E28" s="39"/>
      <c r="F28" s="39"/>
      <c r="G28" s="39"/>
      <c r="H28" s="39"/>
      <c r="I28" s="39"/>
      <c r="J28" s="39"/>
      <c r="K28" s="39"/>
      <c r="L28" s="8"/>
      <c r="M28" s="8"/>
      <c r="N28" s="8"/>
      <c r="O28" s="8"/>
      <c r="P28" s="8"/>
      <c r="Q28" s="8"/>
      <c r="R28" s="8"/>
      <c r="S28" s="8"/>
      <c r="T28" s="8"/>
      <c r="U28" s="8"/>
      <c r="V28" s="8"/>
    </row>
    <row r="29" spans="1:22" ht="22" customHeight="1" x14ac:dyDescent="0.35">
      <c r="A29" s="8"/>
      <c r="B29" s="8"/>
      <c r="C29" s="8"/>
      <c r="D29" s="74"/>
      <c r="E29" s="74"/>
      <c r="F29" s="74"/>
      <c r="G29" s="74"/>
      <c r="H29" s="74"/>
      <c r="I29" s="74"/>
      <c r="J29" s="74"/>
      <c r="K29" s="74"/>
      <c r="L29" s="8"/>
      <c r="M29" s="68" t="s">
        <v>484</v>
      </c>
      <c r="N29" s="39"/>
      <c r="O29" s="39"/>
      <c r="P29" s="94"/>
      <c r="Q29" s="74"/>
      <c r="R29" s="74"/>
      <c r="S29" s="74"/>
      <c r="T29" s="74"/>
      <c r="U29" s="74"/>
      <c r="V29" s="74"/>
    </row>
    <row r="30" spans="1:22" ht="22" customHeight="1" x14ac:dyDescent="0.35">
      <c r="A30" s="8"/>
      <c r="B30" s="8"/>
      <c r="C30" s="8"/>
      <c r="D30" s="8"/>
      <c r="E30" s="8"/>
      <c r="F30" s="8"/>
      <c r="G30" s="8"/>
      <c r="H30" s="8"/>
      <c r="I30" s="8"/>
      <c r="J30" s="8"/>
      <c r="K30" s="8"/>
      <c r="L30" s="8"/>
      <c r="M30" s="8"/>
      <c r="N30" s="8"/>
      <c r="O30" s="8"/>
      <c r="P30" s="8"/>
      <c r="Q30" s="8"/>
      <c r="R30" s="8"/>
      <c r="S30" s="8"/>
      <c r="T30" s="8"/>
      <c r="U30" s="8"/>
      <c r="V30" s="8"/>
    </row>
    <row r="31" spans="1:22" ht="22" customHeight="1" x14ac:dyDescent="0.35">
      <c r="A31" s="68" t="s">
        <v>682</v>
      </c>
      <c r="B31" s="39"/>
      <c r="C31" s="39"/>
      <c r="D31" s="99"/>
      <c r="E31" s="74"/>
      <c r="F31" s="74"/>
      <c r="G31" s="74"/>
      <c r="H31" s="74"/>
      <c r="I31" s="74"/>
      <c r="J31" s="74"/>
      <c r="K31" s="74"/>
      <c r="L31" s="8"/>
      <c r="M31" s="68" t="s">
        <v>485</v>
      </c>
      <c r="N31" s="39"/>
      <c r="O31" s="39"/>
      <c r="P31" s="94"/>
      <c r="Q31" s="74"/>
      <c r="R31" s="74"/>
      <c r="S31" s="74"/>
      <c r="T31" s="74"/>
      <c r="U31" s="74"/>
      <c r="V31" s="74"/>
    </row>
    <row r="32" spans="1:22" ht="22" customHeight="1" x14ac:dyDescent="0.35">
      <c r="A32" s="8"/>
      <c r="B32" s="8"/>
      <c r="C32" s="8"/>
      <c r="D32" s="8"/>
      <c r="E32" s="8"/>
      <c r="F32" s="8"/>
      <c r="G32" s="8"/>
      <c r="H32" s="8"/>
      <c r="I32" s="8"/>
      <c r="J32" s="8"/>
      <c r="K32" s="8"/>
      <c r="L32" s="8"/>
      <c r="M32" s="8"/>
      <c r="N32" s="8"/>
      <c r="O32" s="8"/>
      <c r="P32" s="8"/>
      <c r="Q32" s="8"/>
      <c r="R32" s="8"/>
      <c r="S32" s="8"/>
      <c r="T32" s="8"/>
      <c r="U32" s="8"/>
      <c r="V32" s="8"/>
    </row>
    <row r="33" spans="1:22" ht="22" customHeight="1" x14ac:dyDescent="0.35">
      <c r="A33" s="68" t="s">
        <v>350</v>
      </c>
      <c r="B33" s="39"/>
      <c r="C33" s="39"/>
      <c r="D33" s="73"/>
      <c r="E33" s="74"/>
      <c r="F33" s="74"/>
      <c r="G33" s="74"/>
      <c r="H33" s="74"/>
      <c r="I33" s="74"/>
      <c r="J33" s="74"/>
      <c r="K33" s="74"/>
      <c r="L33" s="8"/>
      <c r="M33" s="8"/>
      <c r="N33" s="8"/>
      <c r="O33" s="8"/>
      <c r="P33" s="8"/>
      <c r="Q33" s="8"/>
      <c r="R33" s="8"/>
      <c r="S33" s="8"/>
      <c r="T33" s="8"/>
      <c r="U33" s="8"/>
      <c r="V33" s="8"/>
    </row>
    <row r="34" spans="1:22" ht="22" customHeight="1" x14ac:dyDescent="0.35">
      <c r="A34" s="8"/>
      <c r="B34" s="8"/>
      <c r="C34" s="8"/>
      <c r="D34" s="8"/>
      <c r="E34" s="8"/>
      <c r="F34" s="8"/>
      <c r="G34" s="8"/>
      <c r="H34" s="8"/>
      <c r="I34" s="8"/>
      <c r="J34" s="8"/>
      <c r="K34" s="8"/>
      <c r="L34" s="8"/>
      <c r="M34" s="98" t="s">
        <v>683</v>
      </c>
      <c r="N34" s="39"/>
      <c r="O34" s="39"/>
      <c r="P34" s="39"/>
      <c r="Q34" s="39"/>
      <c r="R34" s="39"/>
      <c r="S34" s="39"/>
      <c r="T34" s="39"/>
      <c r="U34" s="39"/>
      <c r="V34" s="39"/>
    </row>
    <row r="35" spans="1:22" ht="22" customHeight="1" x14ac:dyDescent="0.35">
      <c r="A35" s="8"/>
      <c r="B35" s="8"/>
      <c r="C35" s="8"/>
      <c r="D35" s="8"/>
      <c r="E35" s="8"/>
      <c r="F35" s="8"/>
      <c r="G35" s="8"/>
      <c r="H35" s="8"/>
      <c r="I35" s="8"/>
      <c r="J35" s="8"/>
      <c r="K35" s="8"/>
      <c r="L35" s="8"/>
      <c r="M35" s="96"/>
      <c r="N35" s="39"/>
      <c r="O35" s="39"/>
      <c r="P35" s="39"/>
      <c r="Q35" s="39"/>
      <c r="R35" s="39"/>
      <c r="S35" s="39"/>
      <c r="T35" s="39"/>
      <c r="U35" s="39"/>
      <c r="V35" s="39"/>
    </row>
    <row r="36" spans="1:22" ht="22" customHeight="1" x14ac:dyDescent="0.35">
      <c r="A36" s="98" t="s">
        <v>684</v>
      </c>
      <c r="B36" s="39"/>
      <c r="C36" s="39"/>
      <c r="D36" s="39"/>
      <c r="E36" s="39"/>
      <c r="F36" s="39"/>
      <c r="G36" s="39"/>
      <c r="H36" s="39"/>
      <c r="I36" s="39"/>
      <c r="J36" s="39"/>
      <c r="K36" s="39"/>
      <c r="L36" s="8"/>
      <c r="M36" s="39"/>
      <c r="N36" s="39"/>
      <c r="O36" s="39"/>
      <c r="P36" s="39"/>
      <c r="Q36" s="39"/>
      <c r="R36" s="39"/>
      <c r="S36" s="39"/>
      <c r="T36" s="39"/>
      <c r="U36" s="39"/>
      <c r="V36" s="39"/>
    </row>
    <row r="37" spans="1:22" ht="22" customHeight="1" x14ac:dyDescent="0.35">
      <c r="A37" s="96"/>
      <c r="B37" s="39"/>
      <c r="C37" s="39"/>
      <c r="D37" s="39"/>
      <c r="E37" s="39"/>
      <c r="F37" s="39"/>
      <c r="G37" s="39"/>
      <c r="H37" s="39"/>
      <c r="I37" s="39"/>
      <c r="J37" s="39"/>
      <c r="K37" s="39"/>
      <c r="L37" s="8"/>
      <c r="M37" s="74"/>
      <c r="N37" s="74"/>
      <c r="O37" s="74"/>
      <c r="P37" s="74"/>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685</v>
      </c>
      <c r="N39" s="39"/>
      <c r="O39" s="39"/>
      <c r="P39" s="39"/>
      <c r="Q39" s="39"/>
      <c r="R39" s="39"/>
      <c r="S39" s="39"/>
      <c r="T39" s="39"/>
      <c r="U39" s="39"/>
      <c r="V39" s="39"/>
    </row>
    <row r="40" spans="1:22" ht="22" customHeight="1" x14ac:dyDescent="0.35">
      <c r="A40" s="39"/>
      <c r="B40" s="39"/>
      <c r="C40" s="39"/>
      <c r="D40" s="39"/>
      <c r="E40" s="39"/>
      <c r="F40" s="39"/>
      <c r="G40" s="39"/>
      <c r="H40" s="39"/>
      <c r="I40" s="39"/>
      <c r="J40" s="39"/>
      <c r="K40" s="39"/>
      <c r="L40" s="8"/>
      <c r="M40" s="96"/>
      <c r="N40" s="39"/>
      <c r="O40" s="39"/>
      <c r="P40" s="39"/>
      <c r="Q40" s="39"/>
      <c r="R40" s="39"/>
      <c r="S40" s="39"/>
      <c r="T40" s="39"/>
      <c r="U40" s="39"/>
      <c r="V40" s="39"/>
    </row>
    <row r="41" spans="1:22" ht="22" customHeight="1" x14ac:dyDescent="0.35">
      <c r="A41" s="39"/>
      <c r="B41" s="39"/>
      <c r="C41" s="39"/>
      <c r="D41" s="39"/>
      <c r="E41" s="39"/>
      <c r="F41" s="39"/>
      <c r="G41" s="39"/>
      <c r="H41" s="39"/>
      <c r="I41" s="39"/>
      <c r="J41" s="39"/>
      <c r="K41" s="39"/>
      <c r="L41" s="8"/>
      <c r="M41" s="39"/>
      <c r="N41" s="39"/>
      <c r="O41" s="39"/>
      <c r="P41" s="39"/>
      <c r="Q41" s="39"/>
      <c r="R41" s="39"/>
      <c r="S41" s="39"/>
      <c r="T41" s="39"/>
      <c r="U41" s="39"/>
      <c r="V41" s="39"/>
    </row>
    <row r="42" spans="1:22" ht="22" customHeight="1" x14ac:dyDescent="0.35">
      <c r="A42" s="74"/>
      <c r="B42" s="74"/>
      <c r="C42" s="74"/>
      <c r="D42" s="74"/>
      <c r="E42" s="74"/>
      <c r="F42" s="74"/>
      <c r="G42" s="74"/>
      <c r="H42" s="74"/>
      <c r="I42" s="74"/>
      <c r="J42" s="74"/>
      <c r="K42" s="74"/>
      <c r="L42" s="8"/>
      <c r="M42" s="74"/>
      <c r="N42" s="74"/>
      <c r="O42" s="74"/>
      <c r="P42" s="74"/>
      <c r="Q42" s="74"/>
      <c r="R42" s="74"/>
      <c r="S42" s="74"/>
      <c r="T42" s="74"/>
      <c r="U42" s="74"/>
      <c r="V42" s="74"/>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54" t="s">
        <v>686</v>
      </c>
      <c r="B44" s="39"/>
      <c r="C44" s="39"/>
      <c r="D44" s="39"/>
      <c r="E44" s="39"/>
      <c r="F44" s="39"/>
      <c r="G44" s="39"/>
      <c r="H44" s="39"/>
      <c r="I44" s="39"/>
      <c r="J44" s="39"/>
      <c r="K44" s="39"/>
      <c r="L44" s="8"/>
      <c r="M44" s="54" t="s">
        <v>687</v>
      </c>
      <c r="N44" s="39"/>
      <c r="O44" s="39"/>
      <c r="P44" s="39"/>
      <c r="Q44" s="39"/>
      <c r="R44" s="39"/>
      <c r="S44" s="39"/>
      <c r="T44" s="39"/>
      <c r="U44" s="39"/>
      <c r="V44" s="39"/>
    </row>
    <row r="45" spans="1:22" ht="22" customHeight="1" x14ac:dyDescent="0.35">
      <c r="A45" s="96"/>
      <c r="B45" s="39"/>
      <c r="C45" s="39"/>
      <c r="D45" s="39"/>
      <c r="E45" s="39"/>
      <c r="F45" s="39"/>
      <c r="G45" s="39"/>
      <c r="H45" s="39"/>
      <c r="I45" s="39"/>
      <c r="J45" s="39"/>
      <c r="K45" s="39"/>
      <c r="L45" s="8"/>
      <c r="M45" s="96"/>
      <c r="N45" s="39"/>
      <c r="O45" s="39"/>
      <c r="P45" s="39"/>
      <c r="Q45" s="39"/>
      <c r="R45" s="39"/>
      <c r="S45" s="39"/>
      <c r="T45" s="39"/>
      <c r="U45" s="39"/>
      <c r="V45" s="39"/>
    </row>
    <row r="46" spans="1:22" ht="22" customHeight="1" x14ac:dyDescent="0.35">
      <c r="A46" s="39"/>
      <c r="B46" s="39"/>
      <c r="C46" s="39"/>
      <c r="D46" s="39"/>
      <c r="E46" s="39"/>
      <c r="F46" s="39"/>
      <c r="G46" s="39"/>
      <c r="H46" s="39"/>
      <c r="I46" s="39"/>
      <c r="J46" s="39"/>
      <c r="K46" s="39"/>
      <c r="L46" s="8"/>
      <c r="M46" s="39"/>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39"/>
      <c r="N47" s="39"/>
      <c r="O47" s="39"/>
      <c r="P47" s="39"/>
      <c r="Q47" s="39"/>
      <c r="R47" s="39"/>
      <c r="S47" s="39"/>
      <c r="T47" s="39"/>
      <c r="U47" s="39"/>
      <c r="V47" s="39"/>
    </row>
    <row r="48" spans="1:22" ht="22" customHeight="1" x14ac:dyDescent="0.35">
      <c r="A48" s="39"/>
      <c r="B48" s="39"/>
      <c r="C48" s="39"/>
      <c r="D48" s="39"/>
      <c r="E48" s="39"/>
      <c r="F48" s="39"/>
      <c r="G48" s="39"/>
      <c r="H48" s="39"/>
      <c r="I48" s="39"/>
      <c r="J48" s="39"/>
      <c r="K48" s="39"/>
      <c r="L48" s="8"/>
      <c r="M48" s="39"/>
      <c r="N48" s="39"/>
      <c r="O48" s="39"/>
      <c r="P48" s="39"/>
      <c r="Q48" s="39"/>
      <c r="R48" s="39"/>
      <c r="S48" s="39"/>
      <c r="T48" s="39"/>
      <c r="U48" s="39"/>
      <c r="V48" s="39"/>
    </row>
    <row r="49" spans="1:22" ht="22" customHeight="1" x14ac:dyDescent="0.35">
      <c r="A49" s="74"/>
      <c r="B49" s="74"/>
      <c r="C49" s="74"/>
      <c r="D49" s="74"/>
      <c r="E49" s="74"/>
      <c r="F49" s="74"/>
      <c r="G49" s="74"/>
      <c r="H49" s="74"/>
      <c r="I49" s="74"/>
      <c r="J49" s="74"/>
      <c r="K49" s="74"/>
      <c r="L49" s="8"/>
      <c r="M49" s="74"/>
      <c r="N49" s="74"/>
      <c r="O49" s="74"/>
      <c r="P49" s="74"/>
      <c r="Q49" s="74"/>
      <c r="R49" s="74"/>
      <c r="S49" s="74"/>
      <c r="T49" s="74"/>
      <c r="U49" s="74"/>
      <c r="V49" s="74"/>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93" t="s">
        <v>688</v>
      </c>
      <c r="B52" s="39"/>
      <c r="C52" s="39"/>
      <c r="D52" s="39"/>
      <c r="E52" s="39"/>
      <c r="F52" s="39"/>
      <c r="G52" s="39"/>
      <c r="H52" s="39"/>
      <c r="I52" s="39"/>
      <c r="J52" s="39"/>
      <c r="K52" s="39"/>
      <c r="L52" s="8"/>
      <c r="M52" s="57" t="s">
        <v>689</v>
      </c>
      <c r="N52" s="39"/>
      <c r="O52" s="39"/>
      <c r="P52" s="39"/>
      <c r="Q52" s="39"/>
      <c r="R52" s="39"/>
      <c r="S52" s="39"/>
      <c r="T52" s="39"/>
      <c r="U52" s="39"/>
      <c r="V52" s="39"/>
    </row>
    <row r="53" spans="1:22" ht="22" customHeight="1" x14ac:dyDescent="0.35">
      <c r="A53" s="39"/>
      <c r="B53" s="39"/>
      <c r="C53" s="39"/>
      <c r="D53" s="39"/>
      <c r="E53" s="39"/>
      <c r="F53" s="39"/>
      <c r="G53" s="39"/>
      <c r="H53" s="39"/>
      <c r="I53" s="39"/>
      <c r="J53" s="39"/>
      <c r="K53" s="39"/>
      <c r="L53" s="8"/>
      <c r="M53" s="39"/>
      <c r="N53" s="39"/>
      <c r="O53" s="39"/>
      <c r="P53" s="39"/>
      <c r="Q53" s="39"/>
      <c r="R53" s="39"/>
      <c r="S53" s="39"/>
      <c r="T53" s="39"/>
      <c r="U53" s="39"/>
      <c r="V53" s="39"/>
    </row>
    <row r="54" spans="1:22" ht="22" customHeight="1" x14ac:dyDescent="0.35">
      <c r="A54" s="39"/>
      <c r="B54" s="39"/>
      <c r="C54" s="39"/>
      <c r="D54" s="39"/>
      <c r="E54" s="39"/>
      <c r="F54" s="39"/>
      <c r="G54" s="39"/>
      <c r="H54" s="39"/>
      <c r="I54" s="39"/>
      <c r="J54" s="39"/>
      <c r="K54" s="39"/>
      <c r="L54" s="8"/>
      <c r="M54" s="39"/>
      <c r="N54" s="39"/>
      <c r="O54" s="39"/>
      <c r="P54" s="39"/>
      <c r="Q54" s="39"/>
      <c r="R54" s="39"/>
      <c r="S54" s="39"/>
      <c r="T54" s="39"/>
      <c r="U54" s="39"/>
      <c r="V54" s="39"/>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63">
    <mergeCell ref="A52:K54"/>
    <mergeCell ref="D16:K17"/>
    <mergeCell ref="A37:K42"/>
    <mergeCell ref="M45:V49"/>
    <mergeCell ref="M18:O18"/>
    <mergeCell ref="P23:V24"/>
    <mergeCell ref="M52:V54"/>
    <mergeCell ref="P31:V31"/>
    <mergeCell ref="D23:K24"/>
    <mergeCell ref="A31:C31"/>
    <mergeCell ref="M40:V42"/>
    <mergeCell ref="A44:K44"/>
    <mergeCell ref="P18:V18"/>
    <mergeCell ref="A36:K36"/>
    <mergeCell ref="M16:O16"/>
    <mergeCell ref="D31:K31"/>
    <mergeCell ref="A26:C26"/>
    <mergeCell ref="M34:V34"/>
    <mergeCell ref="D26:K26"/>
    <mergeCell ref="A33:C33"/>
    <mergeCell ref="M27:O27"/>
    <mergeCell ref="S4:V4"/>
    <mergeCell ref="A23:C23"/>
    <mergeCell ref="D11:K11"/>
    <mergeCell ref="D4:F4"/>
    <mergeCell ref="G4:I4"/>
    <mergeCell ref="D20:K21"/>
    <mergeCell ref="P29:V29"/>
    <mergeCell ref="D33:K33"/>
    <mergeCell ref="M31:O31"/>
    <mergeCell ref="J4:L4"/>
    <mergeCell ref="D28:K29"/>
    <mergeCell ref="M11:O11"/>
    <mergeCell ref="D13:K14"/>
    <mergeCell ref="A45:K49"/>
    <mergeCell ref="A4:C4"/>
    <mergeCell ref="P20:V20"/>
    <mergeCell ref="A20:C20"/>
    <mergeCell ref="M44:V44"/>
    <mergeCell ref="M14:O14"/>
    <mergeCell ref="A28:C28"/>
    <mergeCell ref="M29:O29"/>
    <mergeCell ref="A13:C13"/>
    <mergeCell ref="M23:O23"/>
    <mergeCell ref="M9:V9"/>
    <mergeCell ref="A16:C16"/>
    <mergeCell ref="M4:O4"/>
    <mergeCell ref="M39:V39"/>
    <mergeCell ref="H6:K6"/>
    <mergeCell ref="M35:V37"/>
    <mergeCell ref="R1:V2"/>
    <mergeCell ref="P4:R4"/>
    <mergeCell ref="A1:Q2"/>
    <mergeCell ref="A11:C11"/>
    <mergeCell ref="P27:V27"/>
    <mergeCell ref="A6:F6"/>
    <mergeCell ref="M6:V6"/>
    <mergeCell ref="A3:V3"/>
    <mergeCell ref="M20:O20"/>
    <mergeCell ref="P16:V16"/>
    <mergeCell ref="A9:K9"/>
    <mergeCell ref="P11:V12"/>
    <mergeCell ref="P14:V14"/>
  </mergeCells>
  <dataValidations count="7">
    <dataValidation type="list" allowBlank="1" showErrorMessage="1" errorTitle="Check this entry" error="Use a value from the shared list." sqref="D11" xr:uid="{00000000-0002-0000-0900-000000000000}">
      <formula1>lstPilotModes</formula1>
    </dataValidation>
    <dataValidation type="list" allowBlank="1" showErrorMessage="1" errorTitle="Check this entry" error="Use a value from the shared list." sqref="D13" xr:uid="{00000000-0002-0000-0900-000001000000}">
      <formula1>lstPilotSuppliers</formula1>
    </dataValidation>
    <dataValidation type="list" allowBlank="1" showErrorMessage="1" errorTitle="Check this entry" error="Use a value from the shared list." sqref="D16" xr:uid="{00000000-0002-0000-0900-000002000000}">
      <formula1>lstPilotContacts</formula1>
    </dataValidation>
    <dataValidation type="list" allowBlank="1" showErrorMessage="1" errorTitle="Check this entry" error="Use a value from the shared list." sqref="P14" xr:uid="{00000000-0002-0000-0900-000003000000}">
      <formula1>lstQuoteStatus</formula1>
    </dataValidation>
    <dataValidation type="list" allowBlank="1" showErrorMessage="1" errorTitle="Check this entry" error="Use a value from the shared list." sqref="P16" xr:uid="{00000000-0002-0000-0900-000004000000}">
      <formula1>lstCurrency</formula1>
    </dataValidation>
    <dataValidation type="decimal" operator="greaterThanOrEqual" allowBlank="1" showErrorMessage="1" errorTitle="Check this entry" error="Enter a valid date or a non-negative number, as applicable." sqref="P18 P20" xr:uid="{00000000-0002-0000-0900-000005000000}">
      <formula1>0</formula1>
    </dataValidation>
    <dataValidation type="date" allowBlank="1" showErrorMessage="1" errorTitle="Check this entry" error="Enter a valid date or a non-negative number, as applicable." sqref="P27 P31 P29" xr:uid="{00000000-0002-0000-0900-000007000000}">
      <formula1>DATE(2000,1,1)</formula1>
      <formula2>DATE(2100,12,31)</formula2>
    </dataValidation>
  </dataValidations>
  <hyperlinks>
    <hyperlink ref="A4" location="'Overview'!A1" display="Overview" xr:uid="{00000000-0004-0000-0900-000000000000}"/>
    <hyperlink ref="D4" location="'Jobs'!A1" display="Jobs" xr:uid="{00000000-0004-0000-0900-000001000000}"/>
    <hyperlink ref="G4" location="'Suppliers'!A1" display="Suppliers" xr:uid="{00000000-0004-0000-0900-000002000000}"/>
    <hyperlink ref="J4" location="'Budget'!A1" display="Budget" xr:uid="{00000000-0004-0000-0900-000003000000}"/>
    <hyperlink ref="M4" location="'Quotes'!A1" display="Quotes" xr:uid="{00000000-0004-0000-0900-000004000000}"/>
    <hyperlink ref="P4" location="'Print Summary'!A1" display="Print summary" xr:uid="{00000000-0004-0000-0900-000005000000}"/>
    <hyperlink ref="S4" location="'Read Me'!A1" display="Guide / setup" xr:uid="{00000000-0004-0000-0900-000006000000}"/>
    <hyperlink ref="A6" location="'Jobs'!A1" display="BACK TO JOB REGISTER" xr:uid="{00000000-0004-0000-0900-000007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87F8C"/>
    <pageSetUpPr fitToPage="1"/>
  </sheetPr>
  <dimension ref="A1:V90"/>
  <sheetViews>
    <sheetView showGridLines="0" zoomScale="90" workbookViewId="0">
      <pane ySplit="7" topLeftCell="A8" activePane="bottomLeft" state="frozen"/>
      <selection pane="bottomLeft"/>
    </sheetView>
  </sheetViews>
  <sheetFormatPr defaultRowHeight="14.5" x14ac:dyDescent="0.35"/>
  <cols>
    <col min="1" max="22" width="9.26953125" customWidth="1"/>
  </cols>
  <sheetData>
    <row r="1" spans="1:22" ht="27" customHeight="1" x14ac:dyDescent="0.35">
      <c r="A1" s="50" t="s">
        <v>690</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691</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45" t="s">
        <v>8</v>
      </c>
      <c r="Q4" s="39"/>
      <c r="R4" s="39"/>
      <c r="S4" s="53"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53" t="s">
        <v>692</v>
      </c>
      <c r="B6" s="39"/>
      <c r="C6" s="39"/>
      <c r="D6" s="39"/>
      <c r="E6" s="39"/>
      <c r="F6" s="39"/>
      <c r="G6" s="8"/>
      <c r="H6" s="45" t="s">
        <v>693</v>
      </c>
      <c r="I6" s="39"/>
      <c r="J6" s="39"/>
      <c r="K6" s="39"/>
      <c r="L6" s="39"/>
      <c r="M6" s="39"/>
      <c r="N6" s="8"/>
      <c r="O6" s="45" t="s">
        <v>694</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54" t="s">
        <v>695</v>
      </c>
      <c r="B9" s="39"/>
      <c r="C9" s="39"/>
      <c r="D9" s="39"/>
      <c r="E9" s="39"/>
      <c r="F9" s="39"/>
      <c r="G9" s="39"/>
      <c r="H9" s="39"/>
      <c r="I9" s="39"/>
      <c r="J9" s="39"/>
      <c r="K9" s="39"/>
      <c r="L9" s="39"/>
      <c r="M9" s="39"/>
      <c r="N9" s="39"/>
      <c r="O9" s="39"/>
      <c r="P9" s="39"/>
      <c r="Q9" s="39"/>
      <c r="R9" s="39"/>
      <c r="S9" s="39"/>
      <c r="T9" s="39"/>
      <c r="U9" s="39"/>
      <c r="V9" s="39"/>
    </row>
    <row r="10" spans="1:22" ht="22" customHeight="1" x14ac:dyDescent="0.35">
      <c r="A10" s="8"/>
      <c r="B10" s="8"/>
      <c r="C10" s="8"/>
      <c r="D10" s="8"/>
      <c r="E10" s="8"/>
      <c r="F10" s="8"/>
      <c r="G10" s="8"/>
      <c r="H10" s="8"/>
      <c r="I10" s="8"/>
      <c r="J10" s="8"/>
      <c r="K10" s="8"/>
      <c r="L10" s="8"/>
      <c r="M10" s="8"/>
      <c r="N10" s="8"/>
      <c r="O10" s="8"/>
      <c r="P10" s="8"/>
      <c r="Q10" s="8"/>
      <c r="R10" s="8"/>
      <c r="S10" s="8"/>
      <c r="T10" s="8"/>
      <c r="U10" s="8"/>
      <c r="V10" s="8"/>
    </row>
    <row r="11" spans="1:22" ht="22" customHeight="1" x14ac:dyDescent="0.35">
      <c r="A11" s="104" t="s">
        <v>696</v>
      </c>
      <c r="B11" s="39"/>
      <c r="C11" s="39"/>
      <c r="D11" s="39"/>
      <c r="E11" s="39"/>
      <c r="F11" s="39"/>
      <c r="G11" s="8"/>
      <c r="H11" s="8"/>
      <c r="I11" s="104" t="s">
        <v>697</v>
      </c>
      <c r="J11" s="39"/>
      <c r="K11" s="39"/>
      <c r="L11" s="39"/>
      <c r="M11" s="39"/>
      <c r="N11" s="39"/>
      <c r="O11" s="8"/>
      <c r="P11" s="8"/>
      <c r="Q11" s="104" t="s">
        <v>698</v>
      </c>
      <c r="R11" s="39"/>
      <c r="S11" s="39"/>
      <c r="T11" s="39"/>
      <c r="U11" s="39"/>
      <c r="V11" s="39"/>
    </row>
    <row r="12" spans="1:22" ht="22" customHeight="1" x14ac:dyDescent="0.35">
      <c r="A12" s="103" t="s">
        <v>699</v>
      </c>
      <c r="B12" s="39"/>
      <c r="C12" s="39"/>
      <c r="D12" s="39"/>
      <c r="E12" s="39"/>
      <c r="F12" s="39"/>
      <c r="G12" s="8"/>
      <c r="H12" s="8"/>
      <c r="I12" s="103" t="s">
        <v>700</v>
      </c>
      <c r="J12" s="39"/>
      <c r="K12" s="39"/>
      <c r="L12" s="39"/>
      <c r="M12" s="39"/>
      <c r="N12" s="39"/>
      <c r="O12" s="8"/>
      <c r="P12" s="8"/>
      <c r="Q12" s="103" t="s">
        <v>701</v>
      </c>
      <c r="R12" s="39"/>
      <c r="S12" s="39"/>
      <c r="T12" s="39"/>
      <c r="U12" s="39"/>
      <c r="V12" s="39"/>
    </row>
    <row r="13" spans="1:22" ht="22" customHeight="1" x14ac:dyDescent="0.35">
      <c r="A13" s="39"/>
      <c r="B13" s="39"/>
      <c r="C13" s="39"/>
      <c r="D13" s="39"/>
      <c r="E13" s="39"/>
      <c r="F13" s="39"/>
      <c r="G13" s="8"/>
      <c r="H13" s="8"/>
      <c r="I13" s="39"/>
      <c r="J13" s="39"/>
      <c r="K13" s="39"/>
      <c r="L13" s="39"/>
      <c r="M13" s="39"/>
      <c r="N13" s="39"/>
      <c r="O13" s="8"/>
      <c r="P13" s="8"/>
      <c r="Q13" s="39"/>
      <c r="R13" s="39"/>
      <c r="S13" s="39"/>
      <c r="T13" s="39"/>
      <c r="U13" s="39"/>
      <c r="V13" s="39"/>
    </row>
    <row r="14" spans="1:22" ht="22" customHeight="1" x14ac:dyDescent="0.35">
      <c r="A14" s="57" t="s">
        <v>702</v>
      </c>
      <c r="B14" s="39"/>
      <c r="C14" s="39"/>
      <c r="D14" s="39"/>
      <c r="E14" s="39"/>
      <c r="F14" s="39"/>
      <c r="G14" s="8"/>
      <c r="H14" s="8"/>
      <c r="I14" s="57" t="s">
        <v>703</v>
      </c>
      <c r="J14" s="39"/>
      <c r="K14" s="39"/>
      <c r="L14" s="39"/>
      <c r="M14" s="39"/>
      <c r="N14" s="39"/>
      <c r="O14" s="8"/>
      <c r="P14" s="8"/>
      <c r="Q14" s="57" t="s">
        <v>704</v>
      </c>
      <c r="R14" s="39"/>
      <c r="S14" s="39"/>
      <c r="T14" s="39"/>
      <c r="U14" s="39"/>
      <c r="V14" s="39"/>
    </row>
    <row r="15" spans="1:22" ht="22" customHeight="1" x14ac:dyDescent="0.35">
      <c r="A15" s="39"/>
      <c r="B15" s="39"/>
      <c r="C15" s="39"/>
      <c r="D15" s="39"/>
      <c r="E15" s="39"/>
      <c r="F15" s="39"/>
      <c r="G15" s="8"/>
      <c r="H15" s="8"/>
      <c r="I15" s="39"/>
      <c r="J15" s="39"/>
      <c r="K15" s="39"/>
      <c r="L15" s="39"/>
      <c r="M15" s="39"/>
      <c r="N15" s="39"/>
      <c r="O15" s="8"/>
      <c r="P15" s="8"/>
      <c r="Q15" s="39"/>
      <c r="R15" s="39"/>
      <c r="S15" s="39"/>
      <c r="T15" s="39"/>
      <c r="U15" s="39"/>
      <c r="V15" s="39"/>
    </row>
    <row r="16" spans="1:22" ht="22" customHeight="1" x14ac:dyDescent="0.35">
      <c r="A16" s="39"/>
      <c r="B16" s="39"/>
      <c r="C16" s="39"/>
      <c r="D16" s="39"/>
      <c r="E16" s="39"/>
      <c r="F16" s="39"/>
      <c r="G16" s="8"/>
      <c r="H16" s="8"/>
      <c r="I16" s="39"/>
      <c r="J16" s="39"/>
      <c r="K16" s="39"/>
      <c r="L16" s="39"/>
      <c r="M16" s="39"/>
      <c r="N16" s="39"/>
      <c r="O16" s="8"/>
      <c r="P16" s="8"/>
      <c r="Q16" s="39"/>
      <c r="R16" s="39"/>
      <c r="S16" s="39"/>
      <c r="T16" s="39"/>
      <c r="U16" s="39"/>
      <c r="V16" s="39"/>
    </row>
    <row r="17" spans="1:22" ht="22" customHeight="1" x14ac:dyDescent="0.35">
      <c r="A17" s="39"/>
      <c r="B17" s="39"/>
      <c r="C17" s="39"/>
      <c r="D17" s="39"/>
      <c r="E17" s="39"/>
      <c r="F17" s="39"/>
      <c r="G17" s="8"/>
      <c r="H17" s="8"/>
      <c r="I17" s="39"/>
      <c r="J17" s="39"/>
      <c r="K17" s="39"/>
      <c r="L17" s="39"/>
      <c r="M17" s="39"/>
      <c r="N17" s="39"/>
      <c r="O17" s="8"/>
      <c r="P17" s="8"/>
      <c r="Q17" s="39"/>
      <c r="R17" s="39"/>
      <c r="S17" s="39"/>
      <c r="T17" s="39"/>
      <c r="U17" s="39"/>
      <c r="V17" s="39"/>
    </row>
    <row r="18" spans="1:22" ht="22" customHeight="1" x14ac:dyDescent="0.35">
      <c r="A18" s="8"/>
      <c r="B18" s="8"/>
      <c r="C18" s="8"/>
      <c r="D18" s="8"/>
      <c r="E18" s="8"/>
      <c r="F18" s="8"/>
      <c r="G18" s="8"/>
      <c r="H18" s="8"/>
      <c r="I18" s="8"/>
      <c r="J18" s="8"/>
      <c r="K18" s="8"/>
      <c r="L18" s="8"/>
      <c r="M18" s="8"/>
      <c r="N18" s="8"/>
      <c r="O18" s="8"/>
      <c r="P18" s="8"/>
      <c r="Q18" s="8"/>
      <c r="R18" s="8"/>
      <c r="S18" s="8"/>
      <c r="T18" s="8"/>
      <c r="U18" s="8"/>
      <c r="V18" s="8"/>
    </row>
    <row r="19" spans="1:22" ht="22" customHeight="1" x14ac:dyDescent="0.35">
      <c r="A19" s="8"/>
      <c r="B19" s="8"/>
      <c r="C19" s="8"/>
      <c r="D19" s="8"/>
      <c r="E19" s="8"/>
      <c r="F19" s="8"/>
      <c r="G19" s="8"/>
      <c r="H19" s="8"/>
      <c r="I19" s="8"/>
      <c r="J19" s="8"/>
      <c r="K19" s="8"/>
      <c r="L19" s="8"/>
      <c r="M19" s="8"/>
      <c r="N19" s="8"/>
      <c r="O19" s="8"/>
      <c r="P19" s="8"/>
      <c r="Q19" s="8"/>
      <c r="R19" s="8"/>
      <c r="S19" s="8"/>
      <c r="T19" s="8"/>
      <c r="U19" s="8"/>
      <c r="V19" s="8"/>
    </row>
    <row r="20" spans="1:22" ht="22" customHeight="1" x14ac:dyDescent="0.35">
      <c r="A20" s="54" t="s">
        <v>705</v>
      </c>
      <c r="B20" s="39"/>
      <c r="C20" s="39"/>
      <c r="D20" s="39"/>
      <c r="E20" s="39"/>
      <c r="F20" s="39"/>
      <c r="G20" s="39"/>
      <c r="H20" s="39"/>
      <c r="I20" s="39"/>
      <c r="J20" s="39"/>
      <c r="K20" s="39"/>
      <c r="L20" s="39"/>
      <c r="M20" s="39"/>
      <c r="N20" s="39"/>
      <c r="O20" s="39"/>
      <c r="P20" s="39"/>
      <c r="Q20" s="39"/>
      <c r="R20" s="39"/>
      <c r="S20" s="39"/>
      <c r="T20" s="39"/>
      <c r="U20" s="39"/>
      <c r="V20" s="39"/>
    </row>
    <row r="21" spans="1:22" ht="22" customHeight="1" x14ac:dyDescent="0.35">
      <c r="A21" s="8"/>
      <c r="B21" s="8"/>
      <c r="C21" s="8"/>
      <c r="D21" s="8"/>
      <c r="E21" s="8"/>
      <c r="F21" s="8"/>
      <c r="G21" s="8"/>
      <c r="H21" s="8"/>
      <c r="I21" s="8"/>
      <c r="J21" s="8"/>
      <c r="K21" s="8"/>
      <c r="L21" s="8"/>
      <c r="M21" s="8"/>
      <c r="N21" s="8"/>
      <c r="O21" s="8"/>
      <c r="P21" s="8"/>
      <c r="Q21" s="8"/>
      <c r="R21" s="8"/>
      <c r="S21" s="8"/>
      <c r="T21" s="8"/>
      <c r="U21" s="8"/>
      <c r="V21" s="8"/>
    </row>
    <row r="22" spans="1:22" ht="22" customHeight="1" x14ac:dyDescent="0.35">
      <c r="A22" s="91" t="s">
        <v>706</v>
      </c>
      <c r="B22" s="39"/>
      <c r="C22" s="39"/>
      <c r="D22" s="39"/>
      <c r="E22" s="39"/>
      <c r="F22" s="39"/>
      <c r="G22" s="39"/>
      <c r="H22" s="39"/>
      <c r="I22" s="39"/>
      <c r="J22" s="39"/>
      <c r="K22" s="8"/>
      <c r="L22" s="91" t="s">
        <v>707</v>
      </c>
      <c r="M22" s="39"/>
      <c r="N22" s="39"/>
      <c r="O22" s="39"/>
      <c r="P22" s="39"/>
      <c r="Q22" s="39"/>
      <c r="R22" s="39"/>
      <c r="S22" s="39"/>
      <c r="T22" s="39"/>
      <c r="U22" s="39"/>
      <c r="V22" s="39"/>
    </row>
    <row r="23" spans="1:22" ht="22" customHeight="1" x14ac:dyDescent="0.35">
      <c r="A23" s="39"/>
      <c r="B23" s="39"/>
      <c r="C23" s="39"/>
      <c r="D23" s="39"/>
      <c r="E23" s="39"/>
      <c r="F23" s="39"/>
      <c r="G23" s="39"/>
      <c r="H23" s="39"/>
      <c r="I23" s="39"/>
      <c r="J23" s="39"/>
      <c r="K23" s="8"/>
      <c r="L23" s="39"/>
      <c r="M23" s="39"/>
      <c r="N23" s="39"/>
      <c r="O23" s="39"/>
      <c r="P23" s="39"/>
      <c r="Q23" s="39"/>
      <c r="R23" s="39"/>
      <c r="S23" s="39"/>
      <c r="T23" s="39"/>
      <c r="U23" s="39"/>
      <c r="V23" s="39"/>
    </row>
    <row r="24" spans="1:22" ht="22" customHeight="1" x14ac:dyDescent="0.35">
      <c r="A24" s="39"/>
      <c r="B24" s="39"/>
      <c r="C24" s="39"/>
      <c r="D24" s="39"/>
      <c r="E24" s="39"/>
      <c r="F24" s="39"/>
      <c r="G24" s="39"/>
      <c r="H24" s="39"/>
      <c r="I24" s="39"/>
      <c r="J24" s="39"/>
      <c r="K24" s="8"/>
      <c r="L24" s="39"/>
      <c r="M24" s="39"/>
      <c r="N24" s="39"/>
      <c r="O24" s="39"/>
      <c r="P24" s="39"/>
      <c r="Q24" s="39"/>
      <c r="R24" s="39"/>
      <c r="S24" s="39"/>
      <c r="T24" s="39"/>
      <c r="U24" s="39"/>
      <c r="V24" s="39"/>
    </row>
    <row r="25" spans="1:22" ht="22" customHeight="1" x14ac:dyDescent="0.35">
      <c r="A25" s="39"/>
      <c r="B25" s="39"/>
      <c r="C25" s="39"/>
      <c r="D25" s="39"/>
      <c r="E25" s="39"/>
      <c r="F25" s="39"/>
      <c r="G25" s="39"/>
      <c r="H25" s="39"/>
      <c r="I25" s="39"/>
      <c r="J25" s="39"/>
      <c r="K25" s="8"/>
      <c r="L25" s="39"/>
      <c r="M25" s="39"/>
      <c r="N25" s="39"/>
      <c r="O25" s="39"/>
      <c r="P25" s="39"/>
      <c r="Q25" s="39"/>
      <c r="R25" s="39"/>
      <c r="S25" s="39"/>
      <c r="T25" s="39"/>
      <c r="U25" s="39"/>
      <c r="V25" s="39"/>
    </row>
    <row r="26" spans="1:22" ht="22" customHeight="1" x14ac:dyDescent="0.35">
      <c r="A26" s="39"/>
      <c r="B26" s="39"/>
      <c r="C26" s="39"/>
      <c r="D26" s="39"/>
      <c r="E26" s="39"/>
      <c r="F26" s="39"/>
      <c r="G26" s="39"/>
      <c r="H26" s="39"/>
      <c r="I26" s="39"/>
      <c r="J26" s="39"/>
      <c r="K26" s="8"/>
      <c r="L26" s="39"/>
      <c r="M26" s="39"/>
      <c r="N26" s="39"/>
      <c r="O26" s="39"/>
      <c r="P26" s="39"/>
      <c r="Q26" s="39"/>
      <c r="R26" s="39"/>
      <c r="S26" s="39"/>
      <c r="T26" s="39"/>
      <c r="U26" s="39"/>
      <c r="V26" s="39"/>
    </row>
    <row r="27" spans="1:22" ht="22" customHeight="1" x14ac:dyDescent="0.35">
      <c r="A27" s="8"/>
      <c r="B27" s="8"/>
      <c r="C27" s="8"/>
      <c r="D27" s="8"/>
      <c r="E27" s="8"/>
      <c r="F27" s="8"/>
      <c r="G27" s="8"/>
      <c r="H27" s="8"/>
      <c r="I27" s="8"/>
      <c r="J27" s="8"/>
      <c r="K27" s="8"/>
      <c r="L27" s="8"/>
      <c r="M27" s="8"/>
      <c r="N27" s="8"/>
      <c r="O27" s="8"/>
      <c r="P27" s="8"/>
      <c r="Q27" s="8"/>
      <c r="R27" s="8"/>
      <c r="S27" s="8"/>
      <c r="T27" s="8"/>
      <c r="U27" s="8"/>
      <c r="V27" s="8"/>
    </row>
    <row r="28" spans="1:22" ht="22" customHeight="1" x14ac:dyDescent="0.35">
      <c r="A28" s="101" t="s">
        <v>708</v>
      </c>
      <c r="B28" s="39"/>
      <c r="C28" s="39"/>
      <c r="D28" s="39"/>
      <c r="E28" s="39"/>
      <c r="F28" s="39"/>
      <c r="G28" s="39"/>
      <c r="H28" s="39"/>
      <c r="I28" s="39"/>
      <c r="J28" s="39"/>
      <c r="K28" s="39"/>
      <c r="L28" s="39"/>
      <c r="M28" s="39"/>
      <c r="N28" s="39"/>
      <c r="O28" s="39"/>
      <c r="P28" s="39"/>
      <c r="Q28" s="39"/>
      <c r="R28" s="39"/>
      <c r="S28" s="39"/>
      <c r="T28" s="39"/>
      <c r="U28" s="39"/>
      <c r="V28" s="39"/>
    </row>
    <row r="29" spans="1:22" ht="22" customHeight="1" x14ac:dyDescent="0.35">
      <c r="A29" s="39"/>
      <c r="B29" s="39"/>
      <c r="C29" s="39"/>
      <c r="D29" s="39"/>
      <c r="E29" s="39"/>
      <c r="F29" s="39"/>
      <c r="G29" s="39"/>
      <c r="H29" s="39"/>
      <c r="I29" s="39"/>
      <c r="J29" s="39"/>
      <c r="K29" s="39"/>
      <c r="L29" s="39"/>
      <c r="M29" s="39"/>
      <c r="N29" s="39"/>
      <c r="O29" s="39"/>
      <c r="P29" s="39"/>
      <c r="Q29" s="39"/>
      <c r="R29" s="39"/>
      <c r="S29" s="39"/>
      <c r="T29" s="39"/>
      <c r="U29" s="39"/>
      <c r="V29" s="39"/>
    </row>
    <row r="30" spans="1:22" ht="22" customHeight="1" x14ac:dyDescent="0.35">
      <c r="A30" s="39"/>
      <c r="B30" s="39"/>
      <c r="C30" s="39"/>
      <c r="D30" s="39"/>
      <c r="E30" s="39"/>
      <c r="F30" s="39"/>
      <c r="G30" s="39"/>
      <c r="H30" s="39"/>
      <c r="I30" s="39"/>
      <c r="J30" s="39"/>
      <c r="K30" s="39"/>
      <c r="L30" s="39"/>
      <c r="M30" s="39"/>
      <c r="N30" s="39"/>
      <c r="O30" s="39"/>
      <c r="P30" s="39"/>
      <c r="Q30" s="39"/>
      <c r="R30" s="39"/>
      <c r="S30" s="39"/>
      <c r="T30" s="39"/>
      <c r="U30" s="39"/>
      <c r="V30" s="39"/>
    </row>
    <row r="31" spans="1:22" ht="22" customHeight="1" x14ac:dyDescent="0.35">
      <c r="A31" s="8"/>
      <c r="B31" s="8"/>
      <c r="C31" s="8"/>
      <c r="D31" s="8"/>
      <c r="E31" s="8"/>
      <c r="F31" s="8"/>
      <c r="G31" s="8"/>
      <c r="H31" s="8"/>
      <c r="I31" s="8"/>
      <c r="J31" s="8"/>
      <c r="K31" s="8"/>
      <c r="L31" s="8"/>
      <c r="M31" s="8"/>
      <c r="N31" s="8"/>
      <c r="O31" s="8"/>
      <c r="P31" s="8"/>
      <c r="Q31" s="8"/>
      <c r="R31" s="8"/>
      <c r="S31" s="8"/>
      <c r="T31" s="8"/>
      <c r="U31" s="8"/>
      <c r="V31" s="8"/>
    </row>
    <row r="32" spans="1:22" ht="22" customHeight="1" x14ac:dyDescent="0.35">
      <c r="A32" s="8"/>
      <c r="B32" s="8"/>
      <c r="C32" s="8"/>
      <c r="D32" s="8"/>
      <c r="E32" s="8"/>
      <c r="F32" s="8"/>
      <c r="G32" s="8"/>
      <c r="H32" s="8"/>
      <c r="I32" s="8"/>
      <c r="J32" s="8"/>
      <c r="K32" s="8"/>
      <c r="L32" s="8"/>
      <c r="M32" s="8"/>
      <c r="N32" s="8"/>
      <c r="O32" s="8"/>
      <c r="P32" s="8"/>
      <c r="Q32" s="8"/>
      <c r="R32" s="8"/>
      <c r="S32" s="8"/>
      <c r="T32" s="8"/>
      <c r="U32" s="8"/>
      <c r="V32" s="8"/>
    </row>
    <row r="33" spans="1:22" ht="22" customHeight="1" x14ac:dyDescent="0.35">
      <c r="A33" s="54" t="s">
        <v>709</v>
      </c>
      <c r="B33" s="39"/>
      <c r="C33" s="39"/>
      <c r="D33" s="39"/>
      <c r="E33" s="39"/>
      <c r="F33" s="39"/>
      <c r="G33" s="39"/>
      <c r="H33" s="39"/>
      <c r="I33" s="39"/>
      <c r="J33" s="39"/>
      <c r="K33" s="39"/>
      <c r="L33" s="39"/>
      <c r="M33" s="39"/>
      <c r="N33" s="39"/>
      <c r="O33" s="39"/>
      <c r="P33" s="39"/>
      <c r="Q33" s="39"/>
      <c r="R33" s="39"/>
      <c r="S33" s="39"/>
      <c r="T33" s="39"/>
      <c r="U33" s="39"/>
      <c r="V33" s="39"/>
    </row>
    <row r="34" spans="1:22" ht="22" customHeight="1" x14ac:dyDescent="0.35">
      <c r="A34" s="8"/>
      <c r="B34" s="8"/>
      <c r="C34" s="8"/>
      <c r="D34" s="8"/>
      <c r="E34" s="8"/>
      <c r="F34" s="8"/>
      <c r="G34" s="8"/>
      <c r="H34" s="8"/>
      <c r="I34" s="8"/>
      <c r="J34" s="8"/>
      <c r="K34" s="8"/>
      <c r="L34" s="8"/>
      <c r="M34" s="8"/>
      <c r="N34" s="8"/>
      <c r="O34" s="8"/>
      <c r="P34" s="8"/>
      <c r="Q34" s="8"/>
      <c r="R34" s="8"/>
      <c r="S34" s="8"/>
      <c r="T34" s="8"/>
      <c r="U34" s="8"/>
      <c r="V34" s="8"/>
    </row>
    <row r="35" spans="1:22" ht="22" customHeight="1" x14ac:dyDescent="0.35">
      <c r="A35" s="54" t="s">
        <v>710</v>
      </c>
      <c r="B35" s="39"/>
      <c r="C35" s="39"/>
      <c r="D35" s="39"/>
      <c r="E35" s="39"/>
      <c r="F35" s="39"/>
      <c r="G35" s="39"/>
      <c r="H35" s="39"/>
      <c r="I35" s="39"/>
      <c r="J35" s="39"/>
      <c r="K35" s="39"/>
      <c r="L35" s="39"/>
      <c r="M35" s="39"/>
      <c r="N35" s="39"/>
      <c r="O35" s="39"/>
      <c r="P35" s="39"/>
      <c r="Q35" s="39"/>
      <c r="R35" s="39"/>
      <c r="S35" s="39"/>
      <c r="T35" s="39"/>
      <c r="U35" s="39"/>
      <c r="V35" s="39"/>
    </row>
    <row r="36" spans="1:22" ht="22" customHeight="1" x14ac:dyDescent="0.35">
      <c r="A36" s="57" t="s">
        <v>711</v>
      </c>
      <c r="B36" s="39"/>
      <c r="C36" s="39"/>
      <c r="D36" s="39"/>
      <c r="E36" s="39"/>
      <c r="F36" s="39"/>
      <c r="G36" s="39"/>
      <c r="H36" s="39"/>
      <c r="I36" s="39"/>
      <c r="J36" s="39"/>
      <c r="K36" s="39"/>
      <c r="L36" s="39"/>
      <c r="M36" s="39"/>
      <c r="N36" s="39"/>
      <c r="O36" s="39"/>
      <c r="P36" s="39"/>
      <c r="Q36" s="39"/>
      <c r="R36" s="39"/>
      <c r="S36" s="39"/>
      <c r="T36" s="39"/>
      <c r="U36" s="39"/>
      <c r="V36" s="39"/>
    </row>
    <row r="37" spans="1:22" ht="22" customHeight="1" x14ac:dyDescent="0.35">
      <c r="A37" s="39"/>
      <c r="B37" s="39"/>
      <c r="C37" s="39"/>
      <c r="D37" s="39"/>
      <c r="E37" s="39"/>
      <c r="F37" s="39"/>
      <c r="G37" s="39"/>
      <c r="H37" s="39"/>
      <c r="I37" s="39"/>
      <c r="J37" s="39"/>
      <c r="K37" s="39"/>
      <c r="L37" s="39"/>
      <c r="M37" s="39"/>
      <c r="N37" s="39"/>
      <c r="O37" s="39"/>
      <c r="P37" s="39"/>
      <c r="Q37" s="39"/>
      <c r="R37" s="39"/>
      <c r="S37" s="39"/>
      <c r="T37" s="39"/>
      <c r="U37" s="39"/>
      <c r="V37" s="39"/>
    </row>
    <row r="38" spans="1:22" ht="22" customHeight="1" x14ac:dyDescent="0.35">
      <c r="A38" s="39"/>
      <c r="B38" s="39"/>
      <c r="C38" s="39"/>
      <c r="D38" s="39"/>
      <c r="E38" s="39"/>
      <c r="F38" s="39"/>
      <c r="G38" s="39"/>
      <c r="H38" s="39"/>
      <c r="I38" s="39"/>
      <c r="J38" s="39"/>
      <c r="K38" s="39"/>
      <c r="L38" s="39"/>
      <c r="M38" s="39"/>
      <c r="N38" s="39"/>
      <c r="O38" s="39"/>
      <c r="P38" s="39"/>
      <c r="Q38" s="39"/>
      <c r="R38" s="39"/>
      <c r="S38" s="39"/>
      <c r="T38" s="39"/>
      <c r="U38" s="39"/>
      <c r="V38" s="39"/>
    </row>
    <row r="39" spans="1:22" ht="22" customHeight="1" x14ac:dyDescent="0.35">
      <c r="A39" s="8"/>
      <c r="B39" s="8"/>
      <c r="C39" s="8"/>
      <c r="D39" s="8"/>
      <c r="E39" s="8"/>
      <c r="F39" s="8"/>
      <c r="G39" s="8"/>
      <c r="H39" s="8"/>
      <c r="I39" s="8"/>
      <c r="J39" s="8"/>
      <c r="K39" s="8"/>
      <c r="L39" s="8"/>
      <c r="M39" s="8"/>
      <c r="N39" s="8"/>
      <c r="O39" s="8"/>
      <c r="P39" s="8"/>
      <c r="Q39" s="8"/>
      <c r="R39" s="8"/>
      <c r="S39" s="8"/>
      <c r="T39" s="8"/>
      <c r="U39" s="8"/>
      <c r="V39" s="8"/>
    </row>
    <row r="40" spans="1:22" ht="22" customHeight="1" x14ac:dyDescent="0.35">
      <c r="A40" s="54" t="s">
        <v>712</v>
      </c>
      <c r="B40" s="39"/>
      <c r="C40" s="39"/>
      <c r="D40" s="39"/>
      <c r="E40" s="39"/>
      <c r="F40" s="39"/>
      <c r="G40" s="39"/>
      <c r="H40" s="39"/>
      <c r="I40" s="39"/>
      <c r="J40" s="39"/>
      <c r="K40" s="39"/>
      <c r="L40" s="39"/>
      <c r="M40" s="39"/>
      <c r="N40" s="39"/>
      <c r="O40" s="39"/>
      <c r="P40" s="39"/>
      <c r="Q40" s="39"/>
      <c r="R40" s="39"/>
      <c r="S40" s="39"/>
      <c r="T40" s="39"/>
      <c r="U40" s="39"/>
      <c r="V40" s="39"/>
    </row>
    <row r="41" spans="1:22" ht="22" customHeight="1" x14ac:dyDescent="0.35">
      <c r="A41" s="57" t="s">
        <v>713</v>
      </c>
      <c r="B41" s="39"/>
      <c r="C41" s="39"/>
      <c r="D41" s="39"/>
      <c r="E41" s="39"/>
      <c r="F41" s="39"/>
      <c r="G41" s="39"/>
      <c r="H41" s="39"/>
      <c r="I41" s="39"/>
      <c r="J41" s="39"/>
      <c r="K41" s="39"/>
      <c r="L41" s="39"/>
      <c r="M41" s="39"/>
      <c r="N41" s="39"/>
      <c r="O41" s="39"/>
      <c r="P41" s="39"/>
      <c r="Q41" s="39"/>
      <c r="R41" s="39"/>
      <c r="S41" s="39"/>
      <c r="T41" s="39"/>
      <c r="U41" s="39"/>
      <c r="V41" s="39"/>
    </row>
    <row r="42" spans="1:22" ht="22" customHeight="1" x14ac:dyDescent="0.35">
      <c r="A42" s="39"/>
      <c r="B42" s="39"/>
      <c r="C42" s="39"/>
      <c r="D42" s="39"/>
      <c r="E42" s="39"/>
      <c r="F42" s="39"/>
      <c r="G42" s="39"/>
      <c r="H42" s="39"/>
      <c r="I42" s="39"/>
      <c r="J42" s="39"/>
      <c r="K42" s="39"/>
      <c r="L42" s="39"/>
      <c r="M42" s="39"/>
      <c r="N42" s="39"/>
      <c r="O42" s="39"/>
      <c r="P42" s="39"/>
      <c r="Q42" s="39"/>
      <c r="R42" s="39"/>
      <c r="S42" s="39"/>
      <c r="T42" s="39"/>
      <c r="U42" s="39"/>
      <c r="V42" s="39"/>
    </row>
    <row r="43" spans="1:22" ht="22" customHeight="1" x14ac:dyDescent="0.35">
      <c r="A43" s="39"/>
      <c r="B43" s="39"/>
      <c r="C43" s="39"/>
      <c r="D43" s="39"/>
      <c r="E43" s="39"/>
      <c r="F43" s="39"/>
      <c r="G43" s="39"/>
      <c r="H43" s="39"/>
      <c r="I43" s="39"/>
      <c r="J43" s="39"/>
      <c r="K43" s="39"/>
      <c r="L43" s="39"/>
      <c r="M43" s="39"/>
      <c r="N43" s="39"/>
      <c r="O43" s="39"/>
      <c r="P43" s="39"/>
      <c r="Q43" s="39"/>
      <c r="R43" s="39"/>
      <c r="S43" s="39"/>
      <c r="T43" s="39"/>
      <c r="U43" s="39"/>
      <c r="V43" s="39"/>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54" t="s">
        <v>714</v>
      </c>
      <c r="B45" s="39"/>
      <c r="C45" s="39"/>
      <c r="D45" s="39"/>
      <c r="E45" s="39"/>
      <c r="F45" s="39"/>
      <c r="G45" s="39"/>
      <c r="H45" s="39"/>
      <c r="I45" s="39"/>
      <c r="J45" s="39"/>
      <c r="K45" s="39"/>
      <c r="L45" s="39"/>
      <c r="M45" s="39"/>
      <c r="N45" s="39"/>
      <c r="O45" s="39"/>
      <c r="P45" s="39"/>
      <c r="Q45" s="39"/>
      <c r="R45" s="39"/>
      <c r="S45" s="39"/>
      <c r="T45" s="39"/>
      <c r="U45" s="39"/>
      <c r="V45" s="39"/>
    </row>
    <row r="46" spans="1:22" ht="22" customHeight="1" x14ac:dyDescent="0.35">
      <c r="A46" s="57" t="s">
        <v>715</v>
      </c>
      <c r="B46" s="39"/>
      <c r="C46" s="39"/>
      <c r="D46" s="39"/>
      <c r="E46" s="39"/>
      <c r="F46" s="39"/>
      <c r="G46" s="39"/>
      <c r="H46" s="39"/>
      <c r="I46" s="39"/>
      <c r="J46" s="39"/>
      <c r="K46" s="39"/>
      <c r="L46" s="39"/>
      <c r="M46" s="39"/>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39"/>
      <c r="M47" s="39"/>
      <c r="N47" s="39"/>
      <c r="O47" s="39"/>
      <c r="P47" s="39"/>
      <c r="Q47" s="39"/>
      <c r="R47" s="39"/>
      <c r="S47" s="39"/>
      <c r="T47" s="39"/>
      <c r="U47" s="39"/>
      <c r="V47" s="39"/>
    </row>
    <row r="48" spans="1:22" ht="22" customHeight="1" x14ac:dyDescent="0.35">
      <c r="A48" s="39"/>
      <c r="B48" s="39"/>
      <c r="C48" s="39"/>
      <c r="D48" s="39"/>
      <c r="E48" s="39"/>
      <c r="F48" s="39"/>
      <c r="G48" s="39"/>
      <c r="H48" s="39"/>
      <c r="I48" s="39"/>
      <c r="J48" s="39"/>
      <c r="K48" s="39"/>
      <c r="L48" s="39"/>
      <c r="M48" s="39"/>
      <c r="N48" s="39"/>
      <c r="O48" s="39"/>
      <c r="P48" s="39"/>
      <c r="Q48" s="39"/>
      <c r="R48" s="39"/>
      <c r="S48" s="39"/>
      <c r="T48" s="39"/>
      <c r="U48" s="39"/>
      <c r="V48" s="39"/>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54" t="s">
        <v>716</v>
      </c>
      <c r="B50" s="39"/>
      <c r="C50" s="39"/>
      <c r="D50" s="39"/>
      <c r="E50" s="39"/>
      <c r="F50" s="39"/>
      <c r="G50" s="39"/>
      <c r="H50" s="39"/>
      <c r="I50" s="39"/>
      <c r="J50" s="39"/>
      <c r="K50" s="39"/>
      <c r="L50" s="39"/>
      <c r="M50" s="39"/>
      <c r="N50" s="39"/>
      <c r="O50" s="39"/>
      <c r="P50" s="39"/>
      <c r="Q50" s="39"/>
      <c r="R50" s="39"/>
      <c r="S50" s="39"/>
      <c r="T50" s="39"/>
      <c r="U50" s="39"/>
      <c r="V50" s="39"/>
    </row>
    <row r="51" spans="1:22" ht="22" customHeight="1" x14ac:dyDescent="0.35">
      <c r="A51" s="57" t="s">
        <v>717</v>
      </c>
      <c r="B51" s="39"/>
      <c r="C51" s="39"/>
      <c r="D51" s="39"/>
      <c r="E51" s="39"/>
      <c r="F51" s="39"/>
      <c r="G51" s="39"/>
      <c r="H51" s="39"/>
      <c r="I51" s="39"/>
      <c r="J51" s="39"/>
      <c r="K51" s="39"/>
      <c r="L51" s="39"/>
      <c r="M51" s="39"/>
      <c r="N51" s="39"/>
      <c r="O51" s="39"/>
      <c r="P51" s="39"/>
      <c r="Q51" s="39"/>
      <c r="R51" s="39"/>
      <c r="S51" s="39"/>
      <c r="T51" s="39"/>
      <c r="U51" s="39"/>
      <c r="V51" s="39"/>
    </row>
    <row r="52" spans="1:22" ht="22" customHeight="1" x14ac:dyDescent="0.35">
      <c r="A52" s="39"/>
      <c r="B52" s="39"/>
      <c r="C52" s="39"/>
      <c r="D52" s="39"/>
      <c r="E52" s="39"/>
      <c r="F52" s="39"/>
      <c r="G52" s="39"/>
      <c r="H52" s="39"/>
      <c r="I52" s="39"/>
      <c r="J52" s="39"/>
      <c r="K52" s="39"/>
      <c r="L52" s="39"/>
      <c r="M52" s="39"/>
      <c r="N52" s="39"/>
      <c r="O52" s="39"/>
      <c r="P52" s="39"/>
      <c r="Q52" s="39"/>
      <c r="R52" s="39"/>
      <c r="S52" s="39"/>
      <c r="T52" s="39"/>
      <c r="U52" s="39"/>
      <c r="V52" s="39"/>
    </row>
    <row r="53" spans="1:22" ht="22" customHeight="1" x14ac:dyDescent="0.35">
      <c r="A53" s="39"/>
      <c r="B53" s="39"/>
      <c r="C53" s="39"/>
      <c r="D53" s="39"/>
      <c r="E53" s="39"/>
      <c r="F53" s="39"/>
      <c r="G53" s="39"/>
      <c r="H53" s="39"/>
      <c r="I53" s="39"/>
      <c r="J53" s="39"/>
      <c r="K53" s="39"/>
      <c r="L53" s="39"/>
      <c r="M53" s="39"/>
      <c r="N53" s="39"/>
      <c r="O53" s="39"/>
      <c r="P53" s="39"/>
      <c r="Q53" s="39"/>
      <c r="R53" s="39"/>
      <c r="S53" s="39"/>
      <c r="T53" s="39"/>
      <c r="U53" s="39"/>
      <c r="V53" s="39"/>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54" t="s">
        <v>718</v>
      </c>
      <c r="B55" s="39"/>
      <c r="C55" s="39"/>
      <c r="D55" s="39"/>
      <c r="E55" s="39"/>
      <c r="F55" s="39"/>
      <c r="G55" s="39"/>
      <c r="H55" s="39"/>
      <c r="I55" s="39"/>
      <c r="J55" s="39"/>
      <c r="K55" s="39"/>
      <c r="L55" s="39"/>
      <c r="M55" s="39"/>
      <c r="N55" s="39"/>
      <c r="O55" s="39"/>
      <c r="P55" s="39"/>
      <c r="Q55" s="39"/>
      <c r="R55" s="39"/>
      <c r="S55" s="39"/>
      <c r="T55" s="39"/>
      <c r="U55" s="39"/>
      <c r="V55" s="39"/>
    </row>
    <row r="56" spans="1:22" ht="22" customHeight="1" x14ac:dyDescent="0.35">
      <c r="A56" s="57" t="s">
        <v>719</v>
      </c>
      <c r="B56" s="39"/>
      <c r="C56" s="39"/>
      <c r="D56" s="39"/>
      <c r="E56" s="39"/>
      <c r="F56" s="39"/>
      <c r="G56" s="39"/>
      <c r="H56" s="39"/>
      <c r="I56" s="39"/>
      <c r="J56" s="39"/>
      <c r="K56" s="39"/>
      <c r="L56" s="39"/>
      <c r="M56" s="39"/>
      <c r="N56" s="39"/>
      <c r="O56" s="39"/>
      <c r="P56" s="39"/>
      <c r="Q56" s="39"/>
      <c r="R56" s="39"/>
      <c r="S56" s="39"/>
      <c r="T56" s="39"/>
      <c r="U56" s="39"/>
      <c r="V56" s="39"/>
    </row>
    <row r="57" spans="1:22" ht="22" customHeight="1" x14ac:dyDescent="0.35">
      <c r="A57" s="39"/>
      <c r="B57" s="39"/>
      <c r="C57" s="39"/>
      <c r="D57" s="39"/>
      <c r="E57" s="39"/>
      <c r="F57" s="39"/>
      <c r="G57" s="39"/>
      <c r="H57" s="39"/>
      <c r="I57" s="39"/>
      <c r="J57" s="39"/>
      <c r="K57" s="39"/>
      <c r="L57" s="39"/>
      <c r="M57" s="39"/>
      <c r="N57" s="39"/>
      <c r="O57" s="39"/>
      <c r="P57" s="39"/>
      <c r="Q57" s="39"/>
      <c r="R57" s="39"/>
      <c r="S57" s="39"/>
      <c r="T57" s="39"/>
      <c r="U57" s="39"/>
      <c r="V57" s="39"/>
    </row>
    <row r="58" spans="1:22" ht="22" customHeight="1" x14ac:dyDescent="0.35">
      <c r="A58" s="39"/>
      <c r="B58" s="39"/>
      <c r="C58" s="39"/>
      <c r="D58" s="39"/>
      <c r="E58" s="39"/>
      <c r="F58" s="39"/>
      <c r="G58" s="39"/>
      <c r="H58" s="39"/>
      <c r="I58" s="39"/>
      <c r="J58" s="39"/>
      <c r="K58" s="39"/>
      <c r="L58" s="39"/>
      <c r="M58" s="39"/>
      <c r="N58" s="39"/>
      <c r="O58" s="39"/>
      <c r="P58" s="39"/>
      <c r="Q58" s="39"/>
      <c r="R58" s="39"/>
      <c r="S58" s="39"/>
      <c r="T58" s="39"/>
      <c r="U58" s="39"/>
      <c r="V58" s="39"/>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101" t="s">
        <v>720</v>
      </c>
      <c r="B62" s="39"/>
      <c r="C62" s="39"/>
      <c r="D62" s="39"/>
      <c r="E62" s="39"/>
      <c r="F62" s="39"/>
      <c r="G62" s="39"/>
      <c r="H62" s="39"/>
      <c r="I62" s="39"/>
      <c r="J62" s="39"/>
      <c r="K62" s="39"/>
      <c r="L62" s="39"/>
      <c r="M62" s="39"/>
      <c r="N62" s="39"/>
      <c r="O62" s="39"/>
      <c r="P62" s="39"/>
      <c r="Q62" s="39"/>
      <c r="R62" s="39"/>
      <c r="S62" s="39"/>
      <c r="T62" s="39"/>
      <c r="U62" s="39"/>
      <c r="V62" s="39"/>
    </row>
    <row r="63" spans="1:22" ht="22" customHeight="1" x14ac:dyDescent="0.35">
      <c r="A63" s="39"/>
      <c r="B63" s="39"/>
      <c r="C63" s="39"/>
      <c r="D63" s="39"/>
      <c r="E63" s="39"/>
      <c r="F63" s="39"/>
      <c r="G63" s="39"/>
      <c r="H63" s="39"/>
      <c r="I63" s="39"/>
      <c r="J63" s="39"/>
      <c r="K63" s="39"/>
      <c r="L63" s="39"/>
      <c r="M63" s="39"/>
      <c r="N63" s="39"/>
      <c r="O63" s="39"/>
      <c r="P63" s="39"/>
      <c r="Q63" s="39"/>
      <c r="R63" s="39"/>
      <c r="S63" s="39"/>
      <c r="T63" s="39"/>
      <c r="U63" s="39"/>
      <c r="V63" s="39"/>
    </row>
    <row r="64" spans="1:22" ht="22" customHeight="1" x14ac:dyDescent="0.35">
      <c r="A64" s="39"/>
      <c r="B64" s="39"/>
      <c r="C64" s="39"/>
      <c r="D64" s="39"/>
      <c r="E64" s="39"/>
      <c r="F64" s="39"/>
      <c r="G64" s="39"/>
      <c r="H64" s="39"/>
      <c r="I64" s="39"/>
      <c r="J64" s="39"/>
      <c r="K64" s="39"/>
      <c r="L64" s="39"/>
      <c r="M64" s="39"/>
      <c r="N64" s="39"/>
      <c r="O64" s="39"/>
      <c r="P64" s="39"/>
      <c r="Q64" s="39"/>
      <c r="R64" s="39"/>
      <c r="S64" s="39"/>
      <c r="T64" s="39"/>
      <c r="U64" s="39"/>
      <c r="V64" s="39"/>
    </row>
    <row r="65" spans="1:22" ht="22" customHeight="1" x14ac:dyDescent="0.35">
      <c r="A65" s="39"/>
      <c r="B65" s="39"/>
      <c r="C65" s="39"/>
      <c r="D65" s="39"/>
      <c r="E65" s="39"/>
      <c r="F65" s="39"/>
      <c r="G65" s="39"/>
      <c r="H65" s="39"/>
      <c r="I65" s="39"/>
      <c r="J65" s="39"/>
      <c r="K65" s="39"/>
      <c r="L65" s="39"/>
      <c r="M65" s="39"/>
      <c r="N65" s="39"/>
      <c r="O65" s="39"/>
      <c r="P65" s="39"/>
      <c r="Q65" s="39"/>
      <c r="R65" s="39"/>
      <c r="S65" s="39"/>
      <c r="T65" s="39"/>
      <c r="U65" s="39"/>
      <c r="V65" s="39"/>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54" t="s">
        <v>721</v>
      </c>
      <c r="B67" s="39"/>
      <c r="C67" s="39"/>
      <c r="D67" s="39"/>
      <c r="E67" s="39"/>
      <c r="F67" s="39"/>
      <c r="G67" s="39"/>
      <c r="H67" s="39"/>
      <c r="I67" s="39"/>
      <c r="J67" s="39"/>
      <c r="K67" s="39"/>
      <c r="L67" s="39"/>
      <c r="M67" s="39"/>
      <c r="N67" s="39"/>
      <c r="O67" s="39"/>
      <c r="P67" s="39"/>
      <c r="Q67" s="39"/>
      <c r="R67" s="39"/>
      <c r="S67" s="39"/>
      <c r="T67" s="39"/>
      <c r="U67" s="39"/>
      <c r="V67" s="39"/>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40" t="s">
        <v>722</v>
      </c>
      <c r="B69" s="39"/>
      <c r="C69" s="39"/>
      <c r="D69" s="39"/>
      <c r="E69" s="39"/>
      <c r="F69" s="39"/>
      <c r="G69" s="39"/>
      <c r="H69" s="39"/>
      <c r="I69" s="39"/>
      <c r="J69" s="39"/>
      <c r="K69" s="39"/>
      <c r="L69" s="39"/>
      <c r="M69" s="39"/>
      <c r="N69" s="39"/>
      <c r="O69" s="39"/>
      <c r="P69" s="39"/>
      <c r="Q69" s="39"/>
      <c r="R69" s="39"/>
      <c r="S69" s="39"/>
      <c r="T69" s="39"/>
      <c r="U69" s="39"/>
      <c r="V69" s="39"/>
    </row>
    <row r="70" spans="1:22" ht="22" customHeight="1" x14ac:dyDescent="0.35">
      <c r="A70" s="39"/>
      <c r="B70" s="39"/>
      <c r="C70" s="39"/>
      <c r="D70" s="39"/>
      <c r="E70" s="39"/>
      <c r="F70" s="39"/>
      <c r="G70" s="39"/>
      <c r="H70" s="39"/>
      <c r="I70" s="39"/>
      <c r="J70" s="39"/>
      <c r="K70" s="39"/>
      <c r="L70" s="39"/>
      <c r="M70" s="39"/>
      <c r="N70" s="39"/>
      <c r="O70" s="39"/>
      <c r="P70" s="39"/>
      <c r="Q70" s="39"/>
      <c r="R70" s="39"/>
      <c r="S70" s="39"/>
      <c r="T70" s="39"/>
      <c r="U70" s="39"/>
      <c r="V70" s="39"/>
    </row>
    <row r="71" spans="1:22" ht="22" customHeight="1" x14ac:dyDescent="0.35">
      <c r="A71" s="39"/>
      <c r="B71" s="39"/>
      <c r="C71" s="39"/>
      <c r="D71" s="39"/>
      <c r="E71" s="39"/>
      <c r="F71" s="39"/>
      <c r="G71" s="39"/>
      <c r="H71" s="39"/>
      <c r="I71" s="39"/>
      <c r="J71" s="39"/>
      <c r="K71" s="39"/>
      <c r="L71" s="39"/>
      <c r="M71" s="39"/>
      <c r="N71" s="39"/>
      <c r="O71" s="39"/>
      <c r="P71" s="39"/>
      <c r="Q71" s="39"/>
      <c r="R71" s="39"/>
      <c r="S71" s="39"/>
      <c r="T71" s="39"/>
      <c r="U71" s="39"/>
      <c r="V71" s="39"/>
    </row>
    <row r="72" spans="1:22" ht="22" customHeight="1" x14ac:dyDescent="0.35">
      <c r="A72" s="39"/>
      <c r="B72" s="39"/>
      <c r="C72" s="39"/>
      <c r="D72" s="39"/>
      <c r="E72" s="39"/>
      <c r="F72" s="39"/>
      <c r="G72" s="39"/>
      <c r="H72" s="39"/>
      <c r="I72" s="39"/>
      <c r="J72" s="39"/>
      <c r="K72" s="39"/>
      <c r="L72" s="39"/>
      <c r="M72" s="39"/>
      <c r="N72" s="39"/>
      <c r="O72" s="39"/>
      <c r="P72" s="39"/>
      <c r="Q72" s="39"/>
      <c r="R72" s="39"/>
      <c r="S72" s="39"/>
      <c r="T72" s="39"/>
      <c r="U72" s="39"/>
      <c r="V72" s="39"/>
    </row>
    <row r="73" spans="1:22" ht="22" customHeight="1" x14ac:dyDescent="0.35">
      <c r="A73" s="39"/>
      <c r="B73" s="39"/>
      <c r="C73" s="39"/>
      <c r="D73" s="39"/>
      <c r="E73" s="39"/>
      <c r="F73" s="39"/>
      <c r="G73" s="39"/>
      <c r="H73" s="39"/>
      <c r="I73" s="39"/>
      <c r="J73" s="39"/>
      <c r="K73" s="39"/>
      <c r="L73" s="39"/>
      <c r="M73" s="39"/>
      <c r="N73" s="39"/>
      <c r="O73" s="39"/>
      <c r="P73" s="39"/>
      <c r="Q73" s="39"/>
      <c r="R73" s="39"/>
      <c r="S73" s="39"/>
      <c r="T73" s="39"/>
      <c r="U73" s="39"/>
      <c r="V73" s="39"/>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102" t="s">
        <v>723</v>
      </c>
      <c r="B76" s="39"/>
      <c r="C76" s="39"/>
      <c r="D76" s="39"/>
      <c r="E76" s="39"/>
      <c r="F76" s="39"/>
      <c r="G76" s="100" t="s">
        <v>724</v>
      </c>
      <c r="H76" s="39"/>
      <c r="I76" s="39"/>
      <c r="J76" s="39"/>
      <c r="K76" s="39"/>
      <c r="L76" s="39"/>
      <c r="M76" s="39"/>
      <c r="N76" s="39"/>
      <c r="O76" s="39"/>
      <c r="P76" s="39"/>
      <c r="Q76" s="39"/>
      <c r="R76" s="39"/>
      <c r="S76" s="39"/>
      <c r="T76" s="39"/>
      <c r="U76" s="39"/>
      <c r="V76" s="39"/>
    </row>
    <row r="77" spans="1:22" ht="22" customHeight="1" x14ac:dyDescent="0.35">
      <c r="A77" s="102" t="s">
        <v>725</v>
      </c>
      <c r="B77" s="39"/>
      <c r="C77" s="39"/>
      <c r="D77" s="39"/>
      <c r="E77" s="39"/>
      <c r="F77" s="39"/>
      <c r="G77" s="100" t="s">
        <v>726</v>
      </c>
      <c r="H77" s="39"/>
      <c r="I77" s="39"/>
      <c r="J77" s="39"/>
      <c r="K77" s="39"/>
      <c r="L77" s="39"/>
      <c r="M77" s="39"/>
      <c r="N77" s="39"/>
      <c r="O77" s="39"/>
      <c r="P77" s="39"/>
      <c r="Q77" s="39"/>
      <c r="R77" s="39"/>
      <c r="S77" s="39"/>
      <c r="T77" s="39"/>
      <c r="U77" s="39"/>
      <c r="V77" s="39"/>
    </row>
    <row r="78" spans="1:22" ht="22" customHeight="1" x14ac:dyDescent="0.35">
      <c r="A78" s="102" t="s">
        <v>727</v>
      </c>
      <c r="B78" s="39"/>
      <c r="C78" s="39"/>
      <c r="D78" s="39"/>
      <c r="E78" s="39"/>
      <c r="F78" s="39"/>
      <c r="G78" s="100" t="s">
        <v>728</v>
      </c>
      <c r="H78" s="39"/>
      <c r="I78" s="39"/>
      <c r="J78" s="39"/>
      <c r="K78" s="39"/>
      <c r="L78" s="39"/>
      <c r="M78" s="39"/>
      <c r="N78" s="39"/>
      <c r="O78" s="39"/>
      <c r="P78" s="39"/>
      <c r="Q78" s="39"/>
      <c r="R78" s="39"/>
      <c r="S78" s="39"/>
      <c r="T78" s="39"/>
      <c r="U78" s="39"/>
      <c r="V78" s="39"/>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47">
    <mergeCell ref="J4:L4"/>
    <mergeCell ref="A35:V35"/>
    <mergeCell ref="A20:V20"/>
    <mergeCell ref="G76:V76"/>
    <mergeCell ref="Q12:V13"/>
    <mergeCell ref="A22:J26"/>
    <mergeCell ref="S4:V4"/>
    <mergeCell ref="A76:F76"/>
    <mergeCell ref="D4:F4"/>
    <mergeCell ref="G4:I4"/>
    <mergeCell ref="A9:V9"/>
    <mergeCell ref="A40:V40"/>
    <mergeCell ref="A67:V67"/>
    <mergeCell ref="A4:C4"/>
    <mergeCell ref="M4:O4"/>
    <mergeCell ref="A14:F17"/>
    <mergeCell ref="R1:V2"/>
    <mergeCell ref="A12:F13"/>
    <mergeCell ref="P4:R4"/>
    <mergeCell ref="A77:F77"/>
    <mergeCell ref="I12:N13"/>
    <mergeCell ref="A1:Q2"/>
    <mergeCell ref="A51:V53"/>
    <mergeCell ref="A11:F11"/>
    <mergeCell ref="A69:V73"/>
    <mergeCell ref="I11:N11"/>
    <mergeCell ref="A41:V43"/>
    <mergeCell ref="A3:V3"/>
    <mergeCell ref="G77:V77"/>
    <mergeCell ref="A28:V30"/>
    <mergeCell ref="Q11:V11"/>
    <mergeCell ref="A45:V45"/>
    <mergeCell ref="G78:V78"/>
    <mergeCell ref="A6:F6"/>
    <mergeCell ref="A50:V50"/>
    <mergeCell ref="I14:N17"/>
    <mergeCell ref="A62:V65"/>
    <mergeCell ref="A78:F78"/>
    <mergeCell ref="A55:V55"/>
    <mergeCell ref="H6:M6"/>
    <mergeCell ref="L22:V26"/>
    <mergeCell ref="A36:V38"/>
    <mergeCell ref="Q14:V17"/>
    <mergeCell ref="A46:V48"/>
    <mergeCell ref="A33:V33"/>
    <mergeCell ref="A56:V58"/>
    <mergeCell ref="O6:V6"/>
  </mergeCells>
  <hyperlinks>
    <hyperlink ref="A4" location="'Overview'!A1" display="Overview" xr:uid="{00000000-0004-0000-0A00-000000000000}"/>
    <hyperlink ref="D4" location="'Jobs'!A1" display="Jobs" xr:uid="{00000000-0004-0000-0A00-000001000000}"/>
    <hyperlink ref="G4" location="'Suppliers'!A1" display="Suppliers" xr:uid="{00000000-0004-0000-0A00-000002000000}"/>
    <hyperlink ref="J4" location="'Budget'!A1" display="Budget" xr:uid="{00000000-0004-0000-0A00-000003000000}"/>
    <hyperlink ref="M4" location="'Quotes'!A1" display="Quotes" xr:uid="{00000000-0004-0000-0A00-000004000000}"/>
    <hyperlink ref="P4" location="'Print Summary'!A1" display="Print summary" xr:uid="{00000000-0004-0000-0A00-000005000000}"/>
    <hyperlink ref="S4" location="'Read Me'!A1" display="Guide / setup" xr:uid="{00000000-0004-0000-0A00-000006000000}"/>
    <hyperlink ref="A6" location="'Overview'!A1" display="START: OVERVIEW" xr:uid="{00000000-0004-0000-0A00-000007000000}"/>
    <hyperlink ref="H6" location="'JOB 3103.01'!A1" display="EDITABLE TEST JOB" xr:uid="{00000000-0004-0000-0A00-000008000000}"/>
    <hyperlink ref="O6" location="'Test Results'!A1" display="EXCEL TEST RESULTS" xr:uid="{00000000-0004-0000-0A00-000009000000}"/>
    <hyperlink ref="G76" r:id="rId1" xr:uid="{00000000-0004-0000-0A00-00000A000000}"/>
    <hyperlink ref="G77" r:id="rId2" xr:uid="{00000000-0004-0000-0A00-00000B000000}"/>
    <hyperlink ref="G78" r:id="rId3" xr:uid="{00000000-0004-0000-0A00-00000C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rowBreaks count="2" manualBreakCount="2">
    <brk id="32" max="16383" man="1"/>
    <brk id="65" max="16383" man="1"/>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87F8C"/>
    <pageSetUpPr fitToPage="1"/>
  </sheetPr>
  <dimension ref="A1:V90"/>
  <sheetViews>
    <sheetView showGridLines="0" zoomScale="90" workbookViewId="0">
      <pane ySplit="7" topLeftCell="A8" activePane="bottomLeft" state="frozen"/>
      <selection pane="bottomLeft"/>
    </sheetView>
  </sheetViews>
  <sheetFormatPr defaultRowHeight="14.5" x14ac:dyDescent="0.35"/>
  <cols>
    <col min="1" max="22" width="9.26953125" customWidth="1"/>
  </cols>
  <sheetData>
    <row r="1" spans="1:22" ht="27" customHeight="1" x14ac:dyDescent="0.35">
      <c r="A1" s="50" t="s">
        <v>729</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730</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45" t="s">
        <v>731</v>
      </c>
      <c r="B6" s="39"/>
      <c r="C6" s="39"/>
      <c r="D6" s="39"/>
      <c r="E6" s="39"/>
      <c r="F6" s="39"/>
      <c r="G6" s="8"/>
      <c r="H6" s="93" t="s">
        <v>732</v>
      </c>
      <c r="I6" s="39"/>
      <c r="J6" s="39"/>
      <c r="K6" s="39"/>
      <c r="L6" s="39"/>
      <c r="M6" s="39"/>
      <c r="N6" s="8"/>
      <c r="O6" s="45" t="s">
        <v>733</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22" customHeight="1" x14ac:dyDescent="0.35">
      <c r="A8" s="8"/>
      <c r="B8" s="8"/>
      <c r="C8" s="8"/>
      <c r="D8" s="8"/>
      <c r="E8" s="8"/>
      <c r="F8" s="8"/>
      <c r="G8" s="8"/>
      <c r="H8" s="8"/>
      <c r="I8" s="8"/>
      <c r="J8" s="8"/>
      <c r="K8" s="8"/>
      <c r="L8" s="8"/>
      <c r="M8" s="8"/>
      <c r="N8" s="8"/>
      <c r="O8" s="8"/>
      <c r="P8" s="8"/>
      <c r="Q8" s="8"/>
      <c r="R8" s="8"/>
      <c r="S8" s="8"/>
      <c r="T8" s="8"/>
      <c r="U8" s="8"/>
      <c r="V8" s="8"/>
    </row>
    <row r="9" spans="1:22" ht="22" customHeight="1" x14ac:dyDescent="0.35">
      <c r="A9" s="105" t="s">
        <v>734</v>
      </c>
      <c r="B9" s="39"/>
      <c r="C9" s="39"/>
      <c r="D9" s="39"/>
      <c r="E9" s="39"/>
      <c r="F9" s="39"/>
      <c r="G9" s="39"/>
      <c r="H9" s="39"/>
      <c r="I9" s="39"/>
      <c r="J9" s="39"/>
      <c r="K9" s="39"/>
      <c r="L9" s="39"/>
      <c r="M9" s="39"/>
      <c r="N9" s="39"/>
      <c r="O9" s="39"/>
      <c r="P9" s="39"/>
      <c r="Q9" s="39"/>
      <c r="R9" s="39"/>
      <c r="S9" s="39"/>
      <c r="T9" s="39"/>
      <c r="U9" s="39"/>
      <c r="V9" s="39"/>
    </row>
    <row r="10" spans="1:22" ht="22" customHeight="1" x14ac:dyDescent="0.35">
      <c r="A10" s="39"/>
      <c r="B10" s="39"/>
      <c r="C10" s="39"/>
      <c r="D10" s="39"/>
      <c r="E10" s="39"/>
      <c r="F10" s="39"/>
      <c r="G10" s="39"/>
      <c r="H10" s="39"/>
      <c r="I10" s="39"/>
      <c r="J10" s="39"/>
      <c r="K10" s="39"/>
      <c r="L10" s="39"/>
      <c r="M10" s="39"/>
      <c r="N10" s="39"/>
      <c r="O10" s="39"/>
      <c r="P10" s="39"/>
      <c r="Q10" s="39"/>
      <c r="R10" s="39"/>
      <c r="S10" s="39"/>
      <c r="T10" s="39"/>
      <c r="U10" s="39"/>
      <c r="V10" s="39"/>
    </row>
    <row r="11" spans="1:22"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2" ht="22" customHeight="1" x14ac:dyDescent="0.35">
      <c r="A12" s="39"/>
      <c r="B12" s="39"/>
      <c r="C12" s="39"/>
      <c r="D12" s="39"/>
      <c r="E12" s="39"/>
      <c r="F12" s="39"/>
      <c r="G12" s="39"/>
      <c r="H12" s="39"/>
      <c r="I12" s="39"/>
      <c r="J12" s="39"/>
      <c r="K12" s="39"/>
      <c r="L12" s="39"/>
      <c r="M12" s="39"/>
      <c r="N12" s="39"/>
      <c r="O12" s="39"/>
      <c r="P12" s="39"/>
      <c r="Q12" s="39"/>
      <c r="R12" s="39"/>
      <c r="S12" s="39"/>
      <c r="T12" s="39"/>
      <c r="U12" s="39"/>
      <c r="V12" s="39"/>
    </row>
    <row r="13" spans="1:22" ht="22" customHeight="1" x14ac:dyDescent="0.35">
      <c r="A13" s="8"/>
      <c r="B13" s="8"/>
      <c r="C13" s="8"/>
      <c r="D13" s="8"/>
      <c r="E13" s="8"/>
      <c r="F13" s="8"/>
      <c r="G13" s="8"/>
      <c r="H13" s="8"/>
      <c r="I13" s="8"/>
      <c r="J13" s="8"/>
      <c r="K13" s="8"/>
      <c r="L13" s="8"/>
      <c r="M13" s="8"/>
      <c r="N13" s="8"/>
      <c r="O13" s="8"/>
      <c r="P13" s="8"/>
      <c r="Q13" s="8"/>
      <c r="R13" s="8"/>
      <c r="S13" s="8"/>
      <c r="T13" s="8"/>
      <c r="U13" s="8"/>
      <c r="V13" s="8"/>
    </row>
    <row r="14" spans="1:22" ht="22" customHeight="1" x14ac:dyDescent="0.35">
      <c r="A14" s="8"/>
      <c r="B14" s="8"/>
      <c r="C14" s="8"/>
      <c r="D14" s="8"/>
      <c r="E14" s="8"/>
      <c r="F14" s="8"/>
      <c r="G14" s="8"/>
      <c r="H14" s="8"/>
      <c r="I14" s="8"/>
      <c r="J14" s="8"/>
      <c r="K14" s="8"/>
      <c r="L14" s="8"/>
      <c r="M14" s="8"/>
      <c r="N14" s="8"/>
      <c r="O14" s="8"/>
      <c r="P14" s="8"/>
      <c r="Q14" s="8"/>
      <c r="R14" s="8"/>
      <c r="S14" s="8"/>
      <c r="T14" s="8"/>
      <c r="U14" s="8"/>
      <c r="V14" s="8"/>
    </row>
    <row r="15" spans="1:22" ht="22" customHeight="1" x14ac:dyDescent="0.35">
      <c r="A15" s="49" t="s">
        <v>735</v>
      </c>
      <c r="B15" s="39"/>
      <c r="C15" s="49" t="s">
        <v>736</v>
      </c>
      <c r="D15" s="39"/>
      <c r="E15" s="39"/>
      <c r="F15" s="39"/>
      <c r="G15" s="39"/>
      <c r="H15" s="39"/>
      <c r="I15" s="39"/>
      <c r="J15" s="39"/>
      <c r="K15" s="39"/>
      <c r="L15" s="39"/>
      <c r="M15" s="39"/>
      <c r="N15" s="39"/>
      <c r="O15" s="39"/>
      <c r="P15" s="39"/>
      <c r="Q15" s="49" t="s">
        <v>737</v>
      </c>
      <c r="R15" s="39"/>
      <c r="S15" s="39"/>
      <c r="T15" s="39"/>
      <c r="U15" s="39"/>
      <c r="V15" s="39"/>
    </row>
    <row r="16" spans="1:22" ht="27" customHeight="1" x14ac:dyDescent="0.35">
      <c r="A16" s="38"/>
      <c r="B16" s="39"/>
      <c r="C16" s="38"/>
      <c r="D16" s="39"/>
      <c r="E16" s="39"/>
      <c r="F16" s="39"/>
      <c r="G16" s="39"/>
      <c r="H16" s="39"/>
      <c r="I16" s="39"/>
      <c r="J16" s="39"/>
      <c r="K16" s="39"/>
      <c r="L16" s="39"/>
      <c r="M16" s="39"/>
      <c r="N16" s="39"/>
      <c r="O16" s="39"/>
      <c r="P16" s="39"/>
      <c r="Q16" s="38"/>
      <c r="R16" s="39"/>
      <c r="S16" s="39"/>
      <c r="T16" s="39"/>
      <c r="U16" s="39"/>
      <c r="V16" s="39"/>
    </row>
    <row r="17" spans="1:22" ht="27" customHeight="1" x14ac:dyDescent="0.35">
      <c r="A17" s="40"/>
      <c r="B17" s="39"/>
      <c r="C17" s="40"/>
      <c r="D17" s="39"/>
      <c r="E17" s="39"/>
      <c r="F17" s="39"/>
      <c r="G17" s="39"/>
      <c r="H17" s="39"/>
      <c r="I17" s="39"/>
      <c r="J17" s="39"/>
      <c r="K17" s="39"/>
      <c r="L17" s="39"/>
      <c r="M17" s="39"/>
      <c r="N17" s="39"/>
      <c r="O17" s="39"/>
      <c r="P17" s="39"/>
      <c r="Q17" s="40"/>
      <c r="R17" s="39"/>
      <c r="S17" s="39"/>
      <c r="T17" s="39"/>
      <c r="U17" s="39"/>
      <c r="V17" s="39"/>
    </row>
    <row r="18" spans="1:22" ht="27" customHeight="1" x14ac:dyDescent="0.35">
      <c r="A18" s="38"/>
      <c r="B18" s="39"/>
      <c r="C18" s="38"/>
      <c r="D18" s="39"/>
      <c r="E18" s="39"/>
      <c r="F18" s="39"/>
      <c r="G18" s="39"/>
      <c r="H18" s="39"/>
      <c r="I18" s="39"/>
      <c r="J18" s="39"/>
      <c r="K18" s="39"/>
      <c r="L18" s="39"/>
      <c r="M18" s="39"/>
      <c r="N18" s="39"/>
      <c r="O18" s="39"/>
      <c r="P18" s="39"/>
      <c r="Q18" s="38"/>
      <c r="R18" s="39"/>
      <c r="S18" s="39"/>
      <c r="T18" s="39"/>
      <c r="U18" s="39"/>
      <c r="V18" s="39"/>
    </row>
    <row r="19" spans="1:22" ht="27" customHeight="1" x14ac:dyDescent="0.35">
      <c r="A19" s="40"/>
      <c r="B19" s="39"/>
      <c r="C19" s="40"/>
      <c r="D19" s="39"/>
      <c r="E19" s="39"/>
      <c r="F19" s="39"/>
      <c r="G19" s="39"/>
      <c r="H19" s="39"/>
      <c r="I19" s="39"/>
      <c r="J19" s="39"/>
      <c r="K19" s="39"/>
      <c r="L19" s="39"/>
      <c r="M19" s="39"/>
      <c r="N19" s="39"/>
      <c r="O19" s="39"/>
      <c r="P19" s="39"/>
      <c r="Q19" s="40"/>
      <c r="R19" s="39"/>
      <c r="S19" s="39"/>
      <c r="T19" s="39"/>
      <c r="U19" s="39"/>
      <c r="V19" s="39"/>
    </row>
    <row r="20" spans="1:22" ht="27" customHeight="1" x14ac:dyDescent="0.35">
      <c r="A20" s="38"/>
      <c r="B20" s="39"/>
      <c r="C20" s="38"/>
      <c r="D20" s="39"/>
      <c r="E20" s="39"/>
      <c r="F20" s="39"/>
      <c r="G20" s="39"/>
      <c r="H20" s="39"/>
      <c r="I20" s="39"/>
      <c r="J20" s="39"/>
      <c r="K20" s="39"/>
      <c r="L20" s="39"/>
      <c r="M20" s="39"/>
      <c r="N20" s="39"/>
      <c r="O20" s="39"/>
      <c r="P20" s="39"/>
      <c r="Q20" s="38"/>
      <c r="R20" s="39"/>
      <c r="S20" s="39"/>
      <c r="T20" s="39"/>
      <c r="U20" s="39"/>
      <c r="V20" s="39"/>
    </row>
    <row r="21" spans="1:22" ht="27" customHeight="1" x14ac:dyDescent="0.35">
      <c r="A21" s="40"/>
      <c r="B21" s="39"/>
      <c r="C21" s="40"/>
      <c r="D21" s="39"/>
      <c r="E21" s="39"/>
      <c r="F21" s="39"/>
      <c r="G21" s="39"/>
      <c r="H21" s="39"/>
      <c r="I21" s="39"/>
      <c r="J21" s="39"/>
      <c r="K21" s="39"/>
      <c r="L21" s="39"/>
      <c r="M21" s="39"/>
      <c r="N21" s="39"/>
      <c r="O21" s="39"/>
      <c r="P21" s="39"/>
      <c r="Q21" s="40"/>
      <c r="R21" s="39"/>
      <c r="S21" s="39"/>
      <c r="T21" s="39"/>
      <c r="U21" s="39"/>
      <c r="V21" s="39"/>
    </row>
    <row r="22" spans="1:22" ht="27" customHeight="1" x14ac:dyDescent="0.35">
      <c r="A22" s="38"/>
      <c r="B22" s="39"/>
      <c r="C22" s="38"/>
      <c r="D22" s="39"/>
      <c r="E22" s="39"/>
      <c r="F22" s="39"/>
      <c r="G22" s="39"/>
      <c r="H22" s="39"/>
      <c r="I22" s="39"/>
      <c r="J22" s="39"/>
      <c r="K22" s="39"/>
      <c r="L22" s="39"/>
      <c r="M22" s="39"/>
      <c r="N22" s="39"/>
      <c r="O22" s="39"/>
      <c r="P22" s="39"/>
      <c r="Q22" s="38"/>
      <c r="R22" s="39"/>
      <c r="S22" s="39"/>
      <c r="T22" s="39"/>
      <c r="U22" s="39"/>
      <c r="V22" s="39"/>
    </row>
    <row r="23" spans="1:22" ht="27" customHeight="1" x14ac:dyDescent="0.35">
      <c r="A23" s="40"/>
      <c r="B23" s="39"/>
      <c r="C23" s="40"/>
      <c r="D23" s="39"/>
      <c r="E23" s="39"/>
      <c r="F23" s="39"/>
      <c r="G23" s="39"/>
      <c r="H23" s="39"/>
      <c r="I23" s="39"/>
      <c r="J23" s="39"/>
      <c r="K23" s="39"/>
      <c r="L23" s="39"/>
      <c r="M23" s="39"/>
      <c r="N23" s="39"/>
      <c r="O23" s="39"/>
      <c r="P23" s="39"/>
      <c r="Q23" s="40"/>
      <c r="R23" s="39"/>
      <c r="S23" s="39"/>
      <c r="T23" s="39"/>
      <c r="U23" s="39"/>
      <c r="V23" s="39"/>
    </row>
    <row r="24" spans="1:22" ht="27" customHeight="1" x14ac:dyDescent="0.35">
      <c r="A24" s="38"/>
      <c r="B24" s="39"/>
      <c r="C24" s="38"/>
      <c r="D24" s="39"/>
      <c r="E24" s="39"/>
      <c r="F24" s="39"/>
      <c r="G24" s="39"/>
      <c r="H24" s="39"/>
      <c r="I24" s="39"/>
      <c r="J24" s="39"/>
      <c r="K24" s="39"/>
      <c r="L24" s="39"/>
      <c r="M24" s="39"/>
      <c r="N24" s="39"/>
      <c r="O24" s="39"/>
      <c r="P24" s="39"/>
      <c r="Q24" s="38"/>
      <c r="R24" s="39"/>
      <c r="S24" s="39"/>
      <c r="T24" s="39"/>
      <c r="U24" s="39"/>
      <c r="V24" s="39"/>
    </row>
    <row r="25" spans="1:22" ht="27" customHeight="1" x14ac:dyDescent="0.35">
      <c r="A25" s="40"/>
      <c r="B25" s="39"/>
      <c r="C25" s="40"/>
      <c r="D25" s="39"/>
      <c r="E25" s="39"/>
      <c r="F25" s="39"/>
      <c r="G25" s="39"/>
      <c r="H25" s="39"/>
      <c r="I25" s="39"/>
      <c r="J25" s="39"/>
      <c r="K25" s="39"/>
      <c r="L25" s="39"/>
      <c r="M25" s="39"/>
      <c r="N25" s="39"/>
      <c r="O25" s="39"/>
      <c r="P25" s="39"/>
      <c r="Q25" s="40"/>
      <c r="R25" s="39"/>
      <c r="S25" s="39"/>
      <c r="T25" s="39"/>
      <c r="U25" s="39"/>
      <c r="V25" s="39"/>
    </row>
    <row r="26" spans="1:22" ht="27" customHeight="1" x14ac:dyDescent="0.35">
      <c r="A26" s="38"/>
      <c r="B26" s="39"/>
      <c r="C26" s="38"/>
      <c r="D26" s="39"/>
      <c r="E26" s="39"/>
      <c r="F26" s="39"/>
      <c r="G26" s="39"/>
      <c r="H26" s="39"/>
      <c r="I26" s="39"/>
      <c r="J26" s="39"/>
      <c r="K26" s="39"/>
      <c r="L26" s="39"/>
      <c r="M26" s="39"/>
      <c r="N26" s="39"/>
      <c r="O26" s="39"/>
      <c r="P26" s="39"/>
      <c r="Q26" s="38"/>
      <c r="R26" s="39"/>
      <c r="S26" s="39"/>
      <c r="T26" s="39"/>
      <c r="U26" s="39"/>
      <c r="V26" s="39"/>
    </row>
    <row r="27" spans="1:22" ht="27" customHeight="1" x14ac:dyDescent="0.35">
      <c r="A27" s="40"/>
      <c r="B27" s="39"/>
      <c r="C27" s="40"/>
      <c r="D27" s="39"/>
      <c r="E27" s="39"/>
      <c r="F27" s="39"/>
      <c r="G27" s="39"/>
      <c r="H27" s="39"/>
      <c r="I27" s="39"/>
      <c r="J27" s="39"/>
      <c r="K27" s="39"/>
      <c r="L27" s="39"/>
      <c r="M27" s="39"/>
      <c r="N27" s="39"/>
      <c r="O27" s="39"/>
      <c r="P27" s="39"/>
      <c r="Q27" s="40"/>
      <c r="R27" s="39"/>
      <c r="S27" s="39"/>
      <c r="T27" s="39"/>
      <c r="U27" s="39"/>
      <c r="V27" s="39"/>
    </row>
    <row r="28" spans="1:22" ht="27" customHeight="1" x14ac:dyDescent="0.35">
      <c r="A28" s="38"/>
      <c r="B28" s="39"/>
      <c r="C28" s="38"/>
      <c r="D28" s="39"/>
      <c r="E28" s="39"/>
      <c r="F28" s="39"/>
      <c r="G28" s="39"/>
      <c r="H28" s="39"/>
      <c r="I28" s="39"/>
      <c r="J28" s="39"/>
      <c r="K28" s="39"/>
      <c r="L28" s="39"/>
      <c r="M28" s="39"/>
      <c r="N28" s="39"/>
      <c r="O28" s="39"/>
      <c r="P28" s="39"/>
      <c r="Q28" s="38"/>
      <c r="R28" s="39"/>
      <c r="S28" s="39"/>
      <c r="T28" s="39"/>
      <c r="U28" s="39"/>
      <c r="V28" s="39"/>
    </row>
    <row r="29" spans="1:22" ht="27" customHeight="1" x14ac:dyDescent="0.35">
      <c r="A29" s="40"/>
      <c r="B29" s="39"/>
      <c r="C29" s="40"/>
      <c r="D29" s="39"/>
      <c r="E29" s="39"/>
      <c r="F29" s="39"/>
      <c r="G29" s="39"/>
      <c r="H29" s="39"/>
      <c r="I29" s="39"/>
      <c r="J29" s="39"/>
      <c r="K29" s="39"/>
      <c r="L29" s="39"/>
      <c r="M29" s="39"/>
      <c r="N29" s="39"/>
      <c r="O29" s="39"/>
      <c r="P29" s="39"/>
      <c r="Q29" s="40"/>
      <c r="R29" s="39"/>
      <c r="S29" s="39"/>
      <c r="T29" s="39"/>
      <c r="U29" s="39"/>
      <c r="V29" s="39"/>
    </row>
    <row r="30" spans="1:22" ht="27" customHeight="1" x14ac:dyDescent="0.35">
      <c r="A30" s="38"/>
      <c r="B30" s="39"/>
      <c r="C30" s="38"/>
      <c r="D30" s="39"/>
      <c r="E30" s="39"/>
      <c r="F30" s="39"/>
      <c r="G30" s="39"/>
      <c r="H30" s="39"/>
      <c r="I30" s="39"/>
      <c r="J30" s="39"/>
      <c r="K30" s="39"/>
      <c r="L30" s="39"/>
      <c r="M30" s="39"/>
      <c r="N30" s="39"/>
      <c r="O30" s="39"/>
      <c r="P30" s="39"/>
      <c r="Q30" s="38"/>
      <c r="R30" s="39"/>
      <c r="S30" s="39"/>
      <c r="T30" s="39"/>
      <c r="U30" s="39"/>
      <c r="V30" s="39"/>
    </row>
    <row r="31" spans="1:22" ht="27" customHeight="1" x14ac:dyDescent="0.35">
      <c r="A31" s="40"/>
      <c r="B31" s="39"/>
      <c r="C31" s="40"/>
      <c r="D31" s="39"/>
      <c r="E31" s="39"/>
      <c r="F31" s="39"/>
      <c r="G31" s="39"/>
      <c r="H31" s="39"/>
      <c r="I31" s="39"/>
      <c r="J31" s="39"/>
      <c r="K31" s="39"/>
      <c r="L31" s="39"/>
      <c r="M31" s="39"/>
      <c r="N31" s="39"/>
      <c r="O31" s="39"/>
      <c r="P31" s="39"/>
      <c r="Q31" s="40"/>
      <c r="R31" s="39"/>
      <c r="S31" s="39"/>
      <c r="T31" s="39"/>
      <c r="U31" s="39"/>
      <c r="V31" s="39"/>
    </row>
    <row r="32" spans="1:22" ht="27" customHeight="1" x14ac:dyDescent="0.35">
      <c r="A32" s="38"/>
      <c r="B32" s="39"/>
      <c r="C32" s="38"/>
      <c r="D32" s="39"/>
      <c r="E32" s="39"/>
      <c r="F32" s="39"/>
      <c r="G32" s="39"/>
      <c r="H32" s="39"/>
      <c r="I32" s="39"/>
      <c r="J32" s="39"/>
      <c r="K32" s="39"/>
      <c r="L32" s="39"/>
      <c r="M32" s="39"/>
      <c r="N32" s="39"/>
      <c r="O32" s="39"/>
      <c r="P32" s="39"/>
      <c r="Q32" s="38"/>
      <c r="R32" s="39"/>
      <c r="S32" s="39"/>
      <c r="T32" s="39"/>
      <c r="U32" s="39"/>
      <c r="V32" s="39"/>
    </row>
    <row r="33" spans="1:22" ht="27" customHeight="1" x14ac:dyDescent="0.35">
      <c r="A33" s="40"/>
      <c r="B33" s="39"/>
      <c r="C33" s="40"/>
      <c r="D33" s="39"/>
      <c r="E33" s="39"/>
      <c r="F33" s="39"/>
      <c r="G33" s="39"/>
      <c r="H33" s="39"/>
      <c r="I33" s="39"/>
      <c r="J33" s="39"/>
      <c r="K33" s="39"/>
      <c r="L33" s="39"/>
      <c r="M33" s="39"/>
      <c r="N33" s="39"/>
      <c r="O33" s="39"/>
      <c r="P33" s="39"/>
      <c r="Q33" s="40"/>
      <c r="R33" s="39"/>
      <c r="S33" s="39"/>
      <c r="T33" s="39"/>
      <c r="U33" s="39"/>
      <c r="V33" s="39"/>
    </row>
    <row r="34" spans="1:22" ht="27" customHeight="1" x14ac:dyDescent="0.35">
      <c r="A34" s="38"/>
      <c r="B34" s="39"/>
      <c r="C34" s="38"/>
      <c r="D34" s="39"/>
      <c r="E34" s="39"/>
      <c r="F34" s="39"/>
      <c r="G34" s="39"/>
      <c r="H34" s="39"/>
      <c r="I34" s="39"/>
      <c r="J34" s="39"/>
      <c r="K34" s="39"/>
      <c r="L34" s="39"/>
      <c r="M34" s="39"/>
      <c r="N34" s="39"/>
      <c r="O34" s="39"/>
      <c r="P34" s="39"/>
      <c r="Q34" s="38"/>
      <c r="R34" s="39"/>
      <c r="S34" s="39"/>
      <c r="T34" s="39"/>
      <c r="U34" s="39"/>
      <c r="V34" s="39"/>
    </row>
    <row r="35" spans="1:22" ht="27" customHeight="1" x14ac:dyDescent="0.35">
      <c r="A35" s="40"/>
      <c r="B35" s="39"/>
      <c r="C35" s="40"/>
      <c r="D35" s="39"/>
      <c r="E35" s="39"/>
      <c r="F35" s="39"/>
      <c r="G35" s="39"/>
      <c r="H35" s="39"/>
      <c r="I35" s="39"/>
      <c r="J35" s="39"/>
      <c r="K35" s="39"/>
      <c r="L35" s="39"/>
      <c r="M35" s="39"/>
      <c r="N35" s="39"/>
      <c r="O35" s="39"/>
      <c r="P35" s="39"/>
      <c r="Q35" s="40"/>
      <c r="R35" s="39"/>
      <c r="S35" s="39"/>
      <c r="T35" s="39"/>
      <c r="U35" s="39"/>
      <c r="V35" s="39"/>
    </row>
    <row r="36" spans="1:22" ht="27" customHeight="1" x14ac:dyDescent="0.35">
      <c r="A36" s="38"/>
      <c r="B36" s="39"/>
      <c r="C36" s="38"/>
      <c r="D36" s="39"/>
      <c r="E36" s="39"/>
      <c r="F36" s="39"/>
      <c r="G36" s="39"/>
      <c r="H36" s="39"/>
      <c r="I36" s="39"/>
      <c r="J36" s="39"/>
      <c r="K36" s="39"/>
      <c r="L36" s="39"/>
      <c r="M36" s="39"/>
      <c r="N36" s="39"/>
      <c r="O36" s="39"/>
      <c r="P36" s="39"/>
      <c r="Q36" s="38"/>
      <c r="R36" s="39"/>
      <c r="S36" s="39"/>
      <c r="T36" s="39"/>
      <c r="U36" s="39"/>
      <c r="V36" s="39"/>
    </row>
    <row r="37" spans="1:22" ht="27" customHeight="1" x14ac:dyDescent="0.35">
      <c r="A37" s="40"/>
      <c r="B37" s="39"/>
      <c r="C37" s="40"/>
      <c r="D37" s="39"/>
      <c r="E37" s="39"/>
      <c r="F37" s="39"/>
      <c r="G37" s="39"/>
      <c r="H37" s="39"/>
      <c r="I37" s="39"/>
      <c r="J37" s="39"/>
      <c r="K37" s="39"/>
      <c r="L37" s="39"/>
      <c r="M37" s="39"/>
      <c r="N37" s="39"/>
      <c r="O37" s="39"/>
      <c r="P37" s="39"/>
      <c r="Q37" s="40"/>
      <c r="R37" s="39"/>
      <c r="S37" s="39"/>
      <c r="T37" s="39"/>
      <c r="U37" s="39"/>
      <c r="V37" s="39"/>
    </row>
    <row r="38" spans="1:22" ht="27" customHeight="1" x14ac:dyDescent="0.35">
      <c r="A38" s="38"/>
      <c r="B38" s="39"/>
      <c r="C38" s="38"/>
      <c r="D38" s="39"/>
      <c r="E38" s="39"/>
      <c r="F38" s="39"/>
      <c r="G38" s="39"/>
      <c r="H38" s="39"/>
      <c r="I38" s="39"/>
      <c r="J38" s="39"/>
      <c r="K38" s="39"/>
      <c r="L38" s="39"/>
      <c r="M38" s="39"/>
      <c r="N38" s="39"/>
      <c r="O38" s="39"/>
      <c r="P38" s="39"/>
      <c r="Q38" s="38"/>
      <c r="R38" s="39"/>
      <c r="S38" s="39"/>
      <c r="T38" s="39"/>
      <c r="U38" s="39"/>
      <c r="V38" s="39"/>
    </row>
    <row r="39" spans="1:22" ht="27" customHeight="1" x14ac:dyDescent="0.35">
      <c r="A39" s="40"/>
      <c r="B39" s="39"/>
      <c r="C39" s="40"/>
      <c r="D39" s="39"/>
      <c r="E39" s="39"/>
      <c r="F39" s="39"/>
      <c r="G39" s="39"/>
      <c r="H39" s="39"/>
      <c r="I39" s="39"/>
      <c r="J39" s="39"/>
      <c r="K39" s="39"/>
      <c r="L39" s="39"/>
      <c r="M39" s="39"/>
      <c r="N39" s="39"/>
      <c r="O39" s="39"/>
      <c r="P39" s="39"/>
      <c r="Q39" s="40"/>
      <c r="R39" s="39"/>
      <c r="S39" s="39"/>
      <c r="T39" s="39"/>
      <c r="U39" s="39"/>
      <c r="V39" s="39"/>
    </row>
    <row r="40" spans="1:22" ht="27" customHeight="1" x14ac:dyDescent="0.35">
      <c r="A40" s="38"/>
      <c r="B40" s="39"/>
      <c r="C40" s="38"/>
      <c r="D40" s="39"/>
      <c r="E40" s="39"/>
      <c r="F40" s="39"/>
      <c r="G40" s="39"/>
      <c r="H40" s="39"/>
      <c r="I40" s="39"/>
      <c r="J40" s="39"/>
      <c r="K40" s="39"/>
      <c r="L40" s="39"/>
      <c r="M40" s="39"/>
      <c r="N40" s="39"/>
      <c r="O40" s="39"/>
      <c r="P40" s="39"/>
      <c r="Q40" s="38"/>
      <c r="R40" s="39"/>
      <c r="S40" s="39"/>
      <c r="T40" s="39"/>
      <c r="U40" s="39"/>
      <c r="V40" s="39"/>
    </row>
    <row r="41" spans="1:22" ht="22" customHeight="1" x14ac:dyDescent="0.35">
      <c r="A41" s="8"/>
      <c r="B41" s="8"/>
      <c r="C41" s="8"/>
      <c r="D41" s="8"/>
      <c r="E41" s="8"/>
      <c r="F41" s="8"/>
      <c r="G41" s="8"/>
      <c r="H41" s="8"/>
      <c r="I41" s="8"/>
      <c r="J41" s="8"/>
      <c r="K41" s="8"/>
      <c r="L41" s="8"/>
      <c r="M41" s="8"/>
      <c r="N41" s="8"/>
      <c r="O41" s="8"/>
      <c r="P41" s="8"/>
      <c r="Q41" s="8"/>
      <c r="R41" s="8"/>
      <c r="S41" s="8"/>
      <c r="T41" s="8"/>
      <c r="U41" s="8"/>
      <c r="V41" s="8"/>
    </row>
    <row r="42" spans="1:22" ht="22" customHeight="1" x14ac:dyDescent="0.35">
      <c r="A42" s="8"/>
      <c r="B42" s="8"/>
      <c r="C42" s="8"/>
      <c r="D42" s="8"/>
      <c r="E42" s="8"/>
      <c r="F42" s="8"/>
      <c r="G42" s="8"/>
      <c r="H42" s="8"/>
      <c r="I42" s="8"/>
      <c r="J42" s="8"/>
      <c r="K42" s="8"/>
      <c r="L42" s="8"/>
      <c r="M42" s="8"/>
      <c r="N42" s="8"/>
      <c r="O42" s="8"/>
      <c r="P42" s="8"/>
      <c r="Q42" s="8"/>
      <c r="R42" s="8"/>
      <c r="S42" s="8"/>
      <c r="T42" s="8"/>
      <c r="U42" s="8"/>
      <c r="V42" s="8"/>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8"/>
      <c r="B45" s="8"/>
      <c r="C45" s="8"/>
      <c r="D45" s="8"/>
      <c r="E45" s="8"/>
      <c r="F45" s="8"/>
      <c r="G45" s="8"/>
      <c r="H45" s="8"/>
      <c r="I45" s="8"/>
      <c r="J45" s="8"/>
      <c r="K45" s="8"/>
      <c r="L45" s="8"/>
      <c r="M45" s="8"/>
      <c r="N45" s="8"/>
      <c r="O45" s="8"/>
      <c r="P45" s="8"/>
      <c r="Q45" s="8"/>
      <c r="R45" s="8"/>
      <c r="S45" s="8"/>
      <c r="T45" s="8"/>
      <c r="U45" s="8"/>
      <c r="V45" s="8"/>
    </row>
    <row r="46" spans="1:22" ht="22" customHeight="1" x14ac:dyDescent="0.35">
      <c r="A46" s="8"/>
      <c r="B46" s="8"/>
      <c r="C46" s="8"/>
      <c r="D46" s="8"/>
      <c r="E46" s="8"/>
      <c r="F46" s="8"/>
      <c r="G46" s="8"/>
      <c r="H46" s="8"/>
      <c r="I46" s="8"/>
      <c r="J46" s="8"/>
      <c r="K46" s="8"/>
      <c r="L46" s="8"/>
      <c r="M46" s="8"/>
      <c r="N46" s="8"/>
      <c r="O46" s="8"/>
      <c r="P46" s="8"/>
      <c r="Q46" s="8"/>
      <c r="R46" s="8"/>
      <c r="S46" s="8"/>
      <c r="T46" s="8"/>
      <c r="U46" s="8"/>
      <c r="V46" s="8"/>
    </row>
    <row r="47" spans="1:22" ht="22" customHeight="1" x14ac:dyDescent="0.35">
      <c r="A47" s="8"/>
      <c r="B47" s="8"/>
      <c r="C47" s="8"/>
      <c r="D47" s="8"/>
      <c r="E47" s="8"/>
      <c r="F47" s="8"/>
      <c r="G47" s="8"/>
      <c r="H47" s="8"/>
      <c r="I47" s="8"/>
      <c r="J47" s="8"/>
      <c r="K47" s="8"/>
      <c r="L47" s="8"/>
      <c r="M47" s="8"/>
      <c r="N47" s="8"/>
      <c r="O47" s="8"/>
      <c r="P47" s="8"/>
      <c r="Q47" s="8"/>
      <c r="R47" s="8"/>
      <c r="S47" s="8"/>
      <c r="T47" s="8"/>
      <c r="U47" s="8"/>
      <c r="V47" s="8"/>
    </row>
    <row r="48" spans="1:22" ht="22" customHeight="1" x14ac:dyDescent="0.35">
      <c r="A48" s="8"/>
      <c r="B48" s="8"/>
      <c r="C48" s="8"/>
      <c r="D48" s="8"/>
      <c r="E48" s="8"/>
      <c r="F48" s="8"/>
      <c r="G48" s="8"/>
      <c r="H48" s="8"/>
      <c r="I48" s="8"/>
      <c r="J48" s="8"/>
      <c r="K48" s="8"/>
      <c r="L48" s="8"/>
      <c r="M48" s="8"/>
      <c r="N48" s="8"/>
      <c r="O48" s="8"/>
      <c r="P48" s="8"/>
      <c r="Q48" s="8"/>
      <c r="R48" s="8"/>
      <c r="S48" s="8"/>
      <c r="T48" s="8"/>
      <c r="U48" s="8"/>
      <c r="V48" s="8"/>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8"/>
      <c r="B52" s="8"/>
      <c r="C52" s="8"/>
      <c r="D52" s="8"/>
      <c r="E52" s="8"/>
      <c r="F52" s="8"/>
      <c r="G52" s="8"/>
      <c r="H52" s="8"/>
      <c r="I52" s="8"/>
      <c r="J52" s="8"/>
      <c r="K52" s="8"/>
      <c r="L52" s="8"/>
      <c r="M52" s="8"/>
      <c r="N52" s="8"/>
      <c r="O52" s="8"/>
      <c r="P52" s="8"/>
      <c r="Q52" s="8"/>
      <c r="R52" s="8"/>
      <c r="S52" s="8"/>
      <c r="T52" s="8"/>
      <c r="U52" s="8"/>
      <c r="V52" s="8"/>
    </row>
    <row r="53" spans="1:22" ht="22" customHeight="1" x14ac:dyDescent="0.35">
      <c r="A53" s="8"/>
      <c r="B53" s="8"/>
      <c r="C53" s="8"/>
      <c r="D53" s="8"/>
      <c r="E53" s="8"/>
      <c r="F53" s="8"/>
      <c r="G53" s="8"/>
      <c r="H53" s="8"/>
      <c r="I53" s="8"/>
      <c r="J53" s="8"/>
      <c r="K53" s="8"/>
      <c r="L53" s="8"/>
      <c r="M53" s="8"/>
      <c r="N53" s="8"/>
      <c r="O53" s="8"/>
      <c r="P53" s="8"/>
      <c r="Q53" s="8"/>
      <c r="R53" s="8"/>
      <c r="S53" s="8"/>
      <c r="T53" s="8"/>
      <c r="U53" s="8"/>
      <c r="V53" s="8"/>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92">
    <mergeCell ref="A22:B22"/>
    <mergeCell ref="A19:B19"/>
    <mergeCell ref="S4:V4"/>
    <mergeCell ref="C20:P20"/>
    <mergeCell ref="A39:B39"/>
    <mergeCell ref="C18:P18"/>
    <mergeCell ref="A30:B30"/>
    <mergeCell ref="C34:P34"/>
    <mergeCell ref="O6:V6"/>
    <mergeCell ref="A15:B15"/>
    <mergeCell ref="Q19:V19"/>
    <mergeCell ref="C30:P30"/>
    <mergeCell ref="Q22:V22"/>
    <mergeCell ref="A27:B27"/>
    <mergeCell ref="A17:B17"/>
    <mergeCell ref="C29:P29"/>
    <mergeCell ref="G4:I4"/>
    <mergeCell ref="Q36:V36"/>
    <mergeCell ref="Q30:V30"/>
    <mergeCell ref="A4:C4"/>
    <mergeCell ref="Q17:V17"/>
    <mergeCell ref="C22:P22"/>
    <mergeCell ref="A26:B26"/>
    <mergeCell ref="C31:P31"/>
    <mergeCell ref="M4:O4"/>
    <mergeCell ref="C32:P32"/>
    <mergeCell ref="J4:L4"/>
    <mergeCell ref="A21:B21"/>
    <mergeCell ref="A6:F6"/>
    <mergeCell ref="H6:M6"/>
    <mergeCell ref="P4:R4"/>
    <mergeCell ref="C23:P23"/>
    <mergeCell ref="A37:B37"/>
    <mergeCell ref="A33:B33"/>
    <mergeCell ref="A35:B35"/>
    <mergeCell ref="A28:B28"/>
    <mergeCell ref="C40:P40"/>
    <mergeCell ref="A34:B34"/>
    <mergeCell ref="A36:B36"/>
    <mergeCell ref="C33:P33"/>
    <mergeCell ref="Q26:V26"/>
    <mergeCell ref="A32:B32"/>
    <mergeCell ref="A31:B31"/>
    <mergeCell ref="Q27:V27"/>
    <mergeCell ref="Q35:V35"/>
    <mergeCell ref="Q34:V34"/>
    <mergeCell ref="Q40:V40"/>
    <mergeCell ref="C26:P26"/>
    <mergeCell ref="C35:P35"/>
    <mergeCell ref="C16:P16"/>
    <mergeCell ref="C25:P25"/>
    <mergeCell ref="Q18:V18"/>
    <mergeCell ref="Q33:V33"/>
    <mergeCell ref="C19:P19"/>
    <mergeCell ref="C28:P28"/>
    <mergeCell ref="C38:P38"/>
    <mergeCell ref="Q38:V38"/>
    <mergeCell ref="C24:P24"/>
    <mergeCell ref="C21:P21"/>
    <mergeCell ref="Q21:V21"/>
    <mergeCell ref="R1:V2"/>
    <mergeCell ref="A23:B23"/>
    <mergeCell ref="A38:B38"/>
    <mergeCell ref="C39:P39"/>
    <mergeCell ref="Q28:V28"/>
    <mergeCell ref="Q37:V37"/>
    <mergeCell ref="C15:P15"/>
    <mergeCell ref="A9:V12"/>
    <mergeCell ref="A16:B16"/>
    <mergeCell ref="Q15:V15"/>
    <mergeCell ref="D4:F4"/>
    <mergeCell ref="A18:B18"/>
    <mergeCell ref="Q16:V16"/>
    <mergeCell ref="A1:Q2"/>
    <mergeCell ref="C17:P17"/>
    <mergeCell ref="A3:V3"/>
    <mergeCell ref="A40:B40"/>
    <mergeCell ref="C37:P37"/>
    <mergeCell ref="Q39:V39"/>
    <mergeCell ref="Q20:V20"/>
    <mergeCell ref="A24:B24"/>
    <mergeCell ref="Q29:V29"/>
    <mergeCell ref="Q23:V23"/>
    <mergeCell ref="Q31:V31"/>
    <mergeCell ref="A25:B25"/>
    <mergeCell ref="Q32:V32"/>
    <mergeCell ref="C27:P27"/>
    <mergeCell ref="C36:P36"/>
    <mergeCell ref="Q25:V25"/>
    <mergeCell ref="A20:B20"/>
    <mergeCell ref="A29:B29"/>
    <mergeCell ref="Q24:V24"/>
  </mergeCells>
  <hyperlinks>
    <hyperlink ref="A4" location="'Overview'!A1" display="Overview" xr:uid="{00000000-0004-0000-0B00-000000000000}"/>
    <hyperlink ref="D4" location="'Jobs'!A1" display="Jobs" xr:uid="{00000000-0004-0000-0B00-000001000000}"/>
    <hyperlink ref="G4" location="'Suppliers'!A1" display="Suppliers" xr:uid="{00000000-0004-0000-0B00-000002000000}"/>
    <hyperlink ref="J4" location="'Budget'!A1" display="Budget" xr:uid="{00000000-0004-0000-0B00-000003000000}"/>
    <hyperlink ref="M4" location="'Quotes'!A1" display="Quotes" xr:uid="{00000000-0004-0000-0B00-000004000000}"/>
    <hyperlink ref="P4" location="'Print Summary'!A1" display="Print summary" xr:uid="{00000000-0004-0000-0B00-000005000000}"/>
    <hyperlink ref="S4" location="'Read Me'!A1" display="Guide / setup" xr:uid="{00000000-0004-0000-0B00-000006000000}"/>
    <hyperlink ref="A6" location="'Read Me'!A1" display="SETUP GUIDE" xr:uid="{00000000-0004-0000-0B00-000007000000}"/>
    <hyperlink ref="O6" location="'JOB 3103.01'!A1" display="OPEN TEST JOB" xr:uid="{00000000-0004-0000-0B00-000008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87F8C"/>
    <pageSetUpPr fitToPage="1"/>
  </sheetPr>
  <dimension ref="A1:V90"/>
  <sheetViews>
    <sheetView showGridLines="0" zoomScale="90" workbookViewId="0">
      <pane ySplit="7" topLeftCell="A8" activePane="bottomLeft" state="frozen"/>
      <selection pane="bottomLeft"/>
    </sheetView>
  </sheetViews>
  <sheetFormatPr defaultRowHeight="14.5" x14ac:dyDescent="0.35"/>
  <cols>
    <col min="1" max="22" width="9.26953125" customWidth="1"/>
  </cols>
  <sheetData>
    <row r="1" spans="1:22" ht="27" customHeight="1" x14ac:dyDescent="0.35">
      <c r="A1" s="50" t="s">
        <v>738</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739</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45" t="s">
        <v>613</v>
      </c>
      <c r="B6" s="39"/>
      <c r="C6" s="39"/>
      <c r="D6" s="39"/>
      <c r="E6" s="39"/>
      <c r="F6" s="39"/>
      <c r="G6" s="8"/>
      <c r="H6" s="53" t="s">
        <v>740</v>
      </c>
      <c r="I6" s="39"/>
      <c r="J6" s="39"/>
      <c r="K6" s="39"/>
      <c r="L6" s="39"/>
      <c r="M6" s="39"/>
      <c r="N6" s="8"/>
      <c r="O6" s="45" t="s">
        <v>741</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32" customHeight="1" x14ac:dyDescent="0.35">
      <c r="A8" s="92" t="s">
        <v>742</v>
      </c>
      <c r="B8" s="39"/>
      <c r="C8" s="39"/>
      <c r="D8" s="39"/>
      <c r="E8" s="39"/>
      <c r="F8" s="39"/>
      <c r="G8" s="106" t="s">
        <v>743</v>
      </c>
      <c r="H8" s="107"/>
      <c r="I8" s="107"/>
      <c r="J8" s="107"/>
      <c r="K8" s="107"/>
      <c r="L8" s="107"/>
      <c r="M8" s="107"/>
      <c r="N8" s="8"/>
      <c r="O8" s="8"/>
      <c r="P8" s="8"/>
      <c r="Q8" s="8"/>
      <c r="R8" s="8"/>
      <c r="S8" s="8"/>
      <c r="T8" s="8"/>
      <c r="U8" s="8"/>
      <c r="V8" s="8"/>
    </row>
    <row r="9" spans="1:22" ht="32" customHeight="1" x14ac:dyDescent="0.35">
      <c r="A9" s="92" t="s">
        <v>744</v>
      </c>
      <c r="B9" s="39"/>
      <c r="C9" s="39"/>
      <c r="D9" s="39"/>
      <c r="E9" s="39"/>
      <c r="F9" s="39"/>
      <c r="G9" s="106" t="s">
        <v>745</v>
      </c>
      <c r="H9" s="107"/>
      <c r="I9" s="107"/>
      <c r="J9" s="107"/>
      <c r="K9" s="107"/>
      <c r="L9" s="107"/>
      <c r="M9" s="107"/>
      <c r="N9" s="8"/>
      <c r="O9" s="54" t="s">
        <v>746</v>
      </c>
      <c r="P9" s="39"/>
      <c r="Q9" s="39"/>
      <c r="R9" s="39"/>
      <c r="S9" s="39"/>
      <c r="T9" s="39"/>
      <c r="U9" s="39"/>
      <c r="V9" s="39"/>
    </row>
    <row r="10" spans="1:22" ht="32" customHeight="1" x14ac:dyDescent="0.35">
      <c r="A10" s="92" t="s">
        <v>747</v>
      </c>
      <c r="B10" s="39"/>
      <c r="C10" s="39"/>
      <c r="D10" s="39"/>
      <c r="E10" s="39"/>
      <c r="F10" s="39"/>
      <c r="G10" s="106">
        <v>9243447</v>
      </c>
      <c r="H10" s="107"/>
      <c r="I10" s="107"/>
      <c r="J10" s="107"/>
      <c r="K10" s="107"/>
      <c r="L10" s="107"/>
      <c r="M10" s="107"/>
      <c r="N10" s="8"/>
      <c r="O10" s="8"/>
      <c r="P10" s="8"/>
      <c r="Q10" s="8"/>
      <c r="R10" s="8"/>
      <c r="S10" s="8"/>
      <c r="T10" s="8"/>
      <c r="U10" s="8"/>
      <c r="V10" s="8"/>
    </row>
    <row r="11" spans="1:22" ht="32" customHeight="1" x14ac:dyDescent="0.35">
      <c r="A11" s="92" t="s">
        <v>748</v>
      </c>
      <c r="B11" s="39"/>
      <c r="C11" s="39"/>
      <c r="D11" s="39"/>
      <c r="E11" s="39"/>
      <c r="F11" s="39"/>
      <c r="G11" s="106" t="s">
        <v>749</v>
      </c>
      <c r="H11" s="107"/>
      <c r="I11" s="107"/>
      <c r="J11" s="107"/>
      <c r="K11" s="107"/>
      <c r="L11" s="107"/>
      <c r="M11" s="107"/>
      <c r="N11" s="8"/>
      <c r="O11" s="40" t="s">
        <v>750</v>
      </c>
      <c r="P11" s="39"/>
      <c r="Q11" s="39"/>
      <c r="R11" s="39"/>
      <c r="S11" s="39"/>
      <c r="T11" s="39"/>
      <c r="U11" s="39"/>
      <c r="V11" s="39"/>
    </row>
    <row r="12" spans="1:22" ht="32" customHeight="1" x14ac:dyDescent="0.35">
      <c r="A12" s="92" t="s">
        <v>751</v>
      </c>
      <c r="B12" s="39"/>
      <c r="C12" s="39"/>
      <c r="D12" s="39"/>
      <c r="E12" s="39"/>
      <c r="F12" s="39"/>
      <c r="G12" s="106" t="s">
        <v>752</v>
      </c>
      <c r="H12" s="107"/>
      <c r="I12" s="107"/>
      <c r="J12" s="107"/>
      <c r="K12" s="107"/>
      <c r="L12" s="107"/>
      <c r="M12" s="107"/>
      <c r="N12" s="8"/>
      <c r="O12" s="39"/>
      <c r="P12" s="39"/>
      <c r="Q12" s="39"/>
      <c r="R12" s="39"/>
      <c r="S12" s="39"/>
      <c r="T12" s="39"/>
      <c r="U12" s="39"/>
      <c r="V12" s="39"/>
    </row>
    <row r="13" spans="1:22" ht="32" customHeight="1" x14ac:dyDescent="0.35">
      <c r="A13" s="92" t="s">
        <v>753</v>
      </c>
      <c r="B13" s="39"/>
      <c r="C13" s="39"/>
      <c r="D13" s="39"/>
      <c r="E13" s="39"/>
      <c r="F13" s="39"/>
      <c r="G13" s="106" t="s">
        <v>754</v>
      </c>
      <c r="H13" s="107"/>
      <c r="I13" s="107"/>
      <c r="J13" s="107"/>
      <c r="K13" s="107"/>
      <c r="L13" s="107"/>
      <c r="M13" s="107"/>
      <c r="N13" s="8"/>
      <c r="O13" s="39"/>
      <c r="P13" s="39"/>
      <c r="Q13" s="39"/>
      <c r="R13" s="39"/>
      <c r="S13" s="39"/>
      <c r="T13" s="39"/>
      <c r="U13" s="39"/>
      <c r="V13" s="39"/>
    </row>
    <row r="14" spans="1:22" ht="32" customHeight="1" x14ac:dyDescent="0.35">
      <c r="A14" s="92" t="s">
        <v>755</v>
      </c>
      <c r="B14" s="39"/>
      <c r="C14" s="39"/>
      <c r="D14" s="39"/>
      <c r="E14" s="39"/>
      <c r="F14" s="39"/>
      <c r="G14" s="106">
        <v>2027</v>
      </c>
      <c r="H14" s="107"/>
      <c r="I14" s="107"/>
      <c r="J14" s="107"/>
      <c r="K14" s="107"/>
      <c r="L14" s="107"/>
      <c r="M14" s="107"/>
      <c r="N14" s="8"/>
      <c r="O14" s="39"/>
      <c r="P14" s="39"/>
      <c r="Q14" s="39"/>
      <c r="R14" s="39"/>
      <c r="S14" s="39"/>
      <c r="T14" s="39"/>
      <c r="U14" s="39"/>
      <c r="V14" s="39"/>
    </row>
    <row r="15" spans="1:22" ht="32" customHeight="1" x14ac:dyDescent="0.35">
      <c r="A15" s="92" t="s">
        <v>63</v>
      </c>
      <c r="B15" s="39"/>
      <c r="C15" s="39"/>
      <c r="D15" s="39"/>
      <c r="E15" s="39"/>
      <c r="F15" s="39"/>
      <c r="G15" s="106" t="s">
        <v>77</v>
      </c>
      <c r="H15" s="107"/>
      <c r="I15" s="107"/>
      <c r="J15" s="107"/>
      <c r="K15" s="107"/>
      <c r="L15" s="107"/>
      <c r="M15" s="107"/>
      <c r="N15" s="8"/>
      <c r="O15" s="8"/>
      <c r="P15" s="8"/>
      <c r="Q15" s="8"/>
      <c r="R15" s="8"/>
      <c r="S15" s="8"/>
      <c r="T15" s="8"/>
      <c r="U15" s="8"/>
      <c r="V15" s="8"/>
    </row>
    <row r="16" spans="1:22" ht="32" customHeight="1" x14ac:dyDescent="0.35">
      <c r="A16" s="92" t="s">
        <v>756</v>
      </c>
      <c r="B16" s="39"/>
      <c r="C16" s="39"/>
      <c r="D16" s="39"/>
      <c r="E16" s="39"/>
      <c r="F16" s="39"/>
      <c r="G16" s="106"/>
      <c r="H16" s="107"/>
      <c r="I16" s="107"/>
      <c r="J16" s="107"/>
      <c r="K16" s="107"/>
      <c r="L16" s="107"/>
      <c r="M16" s="107"/>
      <c r="N16" s="8"/>
      <c r="O16" s="101" t="s">
        <v>757</v>
      </c>
      <c r="P16" s="39"/>
      <c r="Q16" s="39"/>
      <c r="R16" s="39"/>
      <c r="S16" s="39"/>
      <c r="T16" s="39"/>
      <c r="U16" s="39"/>
      <c r="V16" s="39"/>
    </row>
    <row r="17" spans="1:22" ht="32" customHeight="1" x14ac:dyDescent="0.35">
      <c r="A17" s="92" t="s">
        <v>635</v>
      </c>
      <c r="B17" s="39"/>
      <c r="C17" s="39"/>
      <c r="D17" s="39"/>
      <c r="E17" s="39"/>
      <c r="F17" s="39"/>
      <c r="G17" s="108">
        <v>2000000</v>
      </c>
      <c r="H17" s="107"/>
      <c r="I17" s="107"/>
      <c r="J17" s="107"/>
      <c r="K17" s="107"/>
      <c r="L17" s="107"/>
      <c r="M17" s="107"/>
      <c r="N17" s="8"/>
      <c r="O17" s="39"/>
      <c r="P17" s="39"/>
      <c r="Q17" s="39"/>
      <c r="R17" s="39"/>
      <c r="S17" s="39"/>
      <c r="T17" s="39"/>
      <c r="U17" s="39"/>
      <c r="V17" s="39"/>
    </row>
    <row r="18" spans="1:22" ht="32" customHeight="1" x14ac:dyDescent="0.35">
      <c r="A18" s="92" t="s">
        <v>758</v>
      </c>
      <c r="B18" s="39"/>
      <c r="C18" s="39"/>
      <c r="D18" s="39"/>
      <c r="E18" s="39"/>
      <c r="F18" s="39"/>
      <c r="G18" s="106" t="s">
        <v>516</v>
      </c>
      <c r="H18" s="107"/>
      <c r="I18" s="107"/>
      <c r="J18" s="107"/>
      <c r="K18" s="107"/>
      <c r="L18" s="107"/>
      <c r="M18" s="107"/>
      <c r="N18" s="8"/>
      <c r="O18" s="39"/>
      <c r="P18" s="39"/>
      <c r="Q18" s="39"/>
      <c r="R18" s="39"/>
      <c r="S18" s="39"/>
      <c r="T18" s="39"/>
      <c r="U18" s="39"/>
      <c r="V18" s="39"/>
    </row>
    <row r="19" spans="1:22" ht="32" customHeight="1" x14ac:dyDescent="0.35">
      <c r="A19" s="92" t="s">
        <v>759</v>
      </c>
      <c r="B19" s="39"/>
      <c r="C19" s="39"/>
      <c r="D19" s="39"/>
      <c r="E19" s="39"/>
      <c r="F19" s="39"/>
      <c r="G19" s="109">
        <v>46292</v>
      </c>
      <c r="H19" s="107"/>
      <c r="I19" s="107"/>
      <c r="J19" s="107"/>
      <c r="K19" s="107"/>
      <c r="L19" s="107"/>
      <c r="M19" s="107"/>
      <c r="N19" s="8"/>
      <c r="O19" s="39"/>
      <c r="P19" s="39"/>
      <c r="Q19" s="39"/>
      <c r="R19" s="39"/>
      <c r="S19" s="39"/>
      <c r="T19" s="39"/>
      <c r="U19" s="39"/>
      <c r="V19" s="39"/>
    </row>
    <row r="20" spans="1:22" ht="22" customHeight="1" x14ac:dyDescent="0.35">
      <c r="A20" s="8"/>
      <c r="B20" s="8"/>
      <c r="C20" s="8"/>
      <c r="D20" s="8"/>
      <c r="E20" s="8"/>
      <c r="F20" s="8"/>
      <c r="G20" s="8"/>
      <c r="H20" s="8"/>
      <c r="I20" s="8"/>
      <c r="J20" s="8"/>
      <c r="K20" s="8"/>
      <c r="L20" s="8"/>
      <c r="M20" s="8"/>
      <c r="N20" s="8"/>
      <c r="O20" s="8"/>
      <c r="P20" s="8"/>
      <c r="Q20" s="8"/>
      <c r="R20" s="8"/>
      <c r="S20" s="8"/>
      <c r="T20" s="8"/>
      <c r="U20" s="8"/>
      <c r="V20" s="8"/>
    </row>
    <row r="21" spans="1:22" ht="22" customHeight="1" x14ac:dyDescent="0.35">
      <c r="A21" s="8"/>
      <c r="B21" s="8"/>
      <c r="C21" s="8"/>
      <c r="D21" s="8"/>
      <c r="E21" s="8"/>
      <c r="F21" s="8"/>
      <c r="G21" s="8"/>
      <c r="H21" s="8"/>
      <c r="I21" s="8"/>
      <c r="J21" s="8"/>
      <c r="K21" s="8"/>
      <c r="L21" s="8"/>
      <c r="M21" s="8"/>
      <c r="N21" s="8"/>
      <c r="O21" s="8"/>
      <c r="P21" s="8"/>
      <c r="Q21" s="8"/>
      <c r="R21" s="8"/>
      <c r="S21" s="8"/>
      <c r="T21" s="8"/>
      <c r="U21" s="8"/>
      <c r="V21" s="8"/>
    </row>
    <row r="22" spans="1:22" ht="22" customHeight="1" x14ac:dyDescent="0.35">
      <c r="A22" s="8"/>
      <c r="B22" s="8"/>
      <c r="C22" s="8"/>
      <c r="D22" s="8"/>
      <c r="E22" s="8"/>
      <c r="F22" s="8"/>
      <c r="G22" s="8"/>
      <c r="H22" s="8"/>
      <c r="I22" s="8"/>
      <c r="J22" s="8"/>
      <c r="K22" s="8"/>
      <c r="L22" s="8"/>
      <c r="M22" s="8"/>
      <c r="N22" s="8"/>
      <c r="O22" s="8"/>
      <c r="P22" s="8"/>
      <c r="Q22" s="8"/>
      <c r="R22" s="8"/>
      <c r="S22" s="8"/>
      <c r="T22" s="8"/>
      <c r="U22" s="8"/>
      <c r="V22" s="8"/>
    </row>
    <row r="23" spans="1:22" ht="22" customHeight="1" x14ac:dyDescent="0.35">
      <c r="A23" s="8"/>
      <c r="B23" s="8"/>
      <c r="C23" s="8"/>
      <c r="D23" s="8"/>
      <c r="E23" s="8"/>
      <c r="F23" s="8"/>
      <c r="G23" s="8"/>
      <c r="H23" s="8"/>
      <c r="I23" s="8"/>
      <c r="J23" s="8"/>
      <c r="K23" s="8"/>
      <c r="L23" s="8"/>
      <c r="M23" s="8"/>
      <c r="N23" s="8"/>
      <c r="O23" s="8"/>
      <c r="P23" s="8"/>
      <c r="Q23" s="8"/>
      <c r="R23" s="8"/>
      <c r="S23" s="8"/>
      <c r="T23" s="8"/>
      <c r="U23" s="8"/>
      <c r="V23" s="8"/>
    </row>
    <row r="24" spans="1:22" ht="22" customHeight="1" x14ac:dyDescent="0.35">
      <c r="A24" s="8"/>
      <c r="B24" s="8"/>
      <c r="C24" s="8"/>
      <c r="D24" s="8"/>
      <c r="E24" s="8"/>
      <c r="F24" s="8"/>
      <c r="G24" s="8"/>
      <c r="H24" s="8"/>
      <c r="I24" s="8"/>
      <c r="J24" s="8"/>
      <c r="K24" s="8"/>
      <c r="L24" s="8"/>
      <c r="M24" s="8"/>
      <c r="N24" s="8"/>
      <c r="O24" s="8"/>
      <c r="P24" s="8"/>
      <c r="Q24" s="8"/>
      <c r="R24" s="8"/>
      <c r="S24" s="8"/>
      <c r="T24" s="8"/>
      <c r="U24" s="8"/>
      <c r="V24" s="8"/>
    </row>
    <row r="25" spans="1:22" ht="22" customHeight="1" x14ac:dyDescent="0.35">
      <c r="A25" s="8"/>
      <c r="B25" s="8"/>
      <c r="C25" s="8"/>
      <c r="D25" s="8"/>
      <c r="E25" s="8"/>
      <c r="F25" s="8"/>
      <c r="G25" s="8"/>
      <c r="H25" s="8"/>
      <c r="I25" s="8"/>
      <c r="J25" s="8"/>
      <c r="K25" s="8"/>
      <c r="L25" s="8"/>
      <c r="M25" s="8"/>
      <c r="N25" s="8"/>
      <c r="O25" s="8"/>
      <c r="P25" s="8"/>
      <c r="Q25" s="8"/>
      <c r="R25" s="8"/>
      <c r="S25" s="8"/>
      <c r="T25" s="8"/>
      <c r="U25" s="8"/>
      <c r="V25" s="8"/>
    </row>
    <row r="26" spans="1:22" ht="22" customHeight="1" x14ac:dyDescent="0.35">
      <c r="A26" s="8"/>
      <c r="B26" s="8"/>
      <c r="C26" s="8"/>
      <c r="D26" s="8"/>
      <c r="E26" s="8"/>
      <c r="F26" s="8"/>
      <c r="G26" s="8"/>
      <c r="H26" s="8"/>
      <c r="I26" s="8"/>
      <c r="J26" s="8"/>
      <c r="K26" s="8"/>
      <c r="L26" s="8"/>
      <c r="M26" s="8"/>
      <c r="N26" s="8"/>
      <c r="O26" s="8"/>
      <c r="P26" s="8"/>
      <c r="Q26" s="8"/>
      <c r="R26" s="8"/>
      <c r="S26" s="8"/>
      <c r="T26" s="8"/>
      <c r="U26" s="8"/>
      <c r="V26" s="8"/>
    </row>
    <row r="27" spans="1:22" ht="22" customHeight="1" x14ac:dyDescent="0.35">
      <c r="A27" s="8"/>
      <c r="B27" s="8"/>
      <c r="C27" s="8"/>
      <c r="D27" s="8"/>
      <c r="E27" s="8"/>
      <c r="F27" s="8"/>
      <c r="G27" s="8"/>
      <c r="H27" s="8"/>
      <c r="I27" s="8"/>
      <c r="J27" s="8"/>
      <c r="K27" s="8"/>
      <c r="L27" s="8"/>
      <c r="M27" s="8"/>
      <c r="N27" s="8"/>
      <c r="O27" s="8"/>
      <c r="P27" s="8"/>
      <c r="Q27" s="8"/>
      <c r="R27" s="8"/>
      <c r="S27" s="8"/>
      <c r="T27" s="8"/>
      <c r="U27" s="8"/>
      <c r="V27" s="8"/>
    </row>
    <row r="28" spans="1:22" ht="22" customHeight="1" x14ac:dyDescent="0.35">
      <c r="A28" s="8"/>
      <c r="B28" s="8"/>
      <c r="C28" s="8"/>
      <c r="D28" s="8"/>
      <c r="E28" s="8"/>
      <c r="F28" s="8"/>
      <c r="G28" s="8"/>
      <c r="H28" s="8"/>
      <c r="I28" s="8"/>
      <c r="J28" s="8"/>
      <c r="K28" s="8"/>
      <c r="L28" s="8"/>
      <c r="M28" s="8"/>
      <c r="N28" s="8"/>
      <c r="O28" s="8"/>
      <c r="P28" s="8"/>
      <c r="Q28" s="8"/>
      <c r="R28" s="8"/>
      <c r="S28" s="8"/>
      <c r="T28" s="8"/>
      <c r="U28" s="8"/>
      <c r="V28" s="8"/>
    </row>
    <row r="29" spans="1:22" ht="22" customHeight="1" x14ac:dyDescent="0.35">
      <c r="A29" s="8"/>
      <c r="B29" s="8"/>
      <c r="C29" s="8"/>
      <c r="D29" s="8"/>
      <c r="E29" s="8"/>
      <c r="F29" s="8"/>
      <c r="G29" s="8"/>
      <c r="H29" s="8"/>
      <c r="I29" s="8"/>
      <c r="J29" s="8"/>
      <c r="K29" s="8"/>
      <c r="L29" s="8"/>
      <c r="M29" s="8"/>
      <c r="N29" s="8"/>
      <c r="O29" s="8"/>
      <c r="P29" s="8"/>
      <c r="Q29" s="8"/>
      <c r="R29" s="8"/>
      <c r="S29" s="8"/>
      <c r="T29" s="8"/>
      <c r="U29" s="8"/>
      <c r="V29" s="8"/>
    </row>
    <row r="30" spans="1:22" ht="22" customHeight="1" x14ac:dyDescent="0.35">
      <c r="A30" s="8"/>
      <c r="B30" s="8"/>
      <c r="C30" s="8"/>
      <c r="D30" s="8"/>
      <c r="E30" s="8"/>
      <c r="F30" s="8"/>
      <c r="G30" s="8"/>
      <c r="H30" s="8"/>
      <c r="I30" s="8"/>
      <c r="J30" s="8"/>
      <c r="K30" s="8"/>
      <c r="L30" s="8"/>
      <c r="M30" s="8"/>
      <c r="N30" s="8"/>
      <c r="O30" s="8"/>
      <c r="P30" s="8"/>
      <c r="Q30" s="8"/>
      <c r="R30" s="8"/>
      <c r="S30" s="8"/>
      <c r="T30" s="8"/>
      <c r="U30" s="8"/>
      <c r="V30" s="8"/>
    </row>
    <row r="31" spans="1:22" ht="22" customHeight="1" x14ac:dyDescent="0.35">
      <c r="A31" s="8"/>
      <c r="B31" s="8"/>
      <c r="C31" s="8"/>
      <c r="D31" s="8"/>
      <c r="E31" s="8"/>
      <c r="F31" s="8"/>
      <c r="G31" s="8"/>
      <c r="H31" s="8"/>
      <c r="I31" s="8"/>
      <c r="J31" s="8"/>
      <c r="K31" s="8"/>
      <c r="L31" s="8"/>
      <c r="M31" s="8"/>
      <c r="N31" s="8"/>
      <c r="O31" s="8"/>
      <c r="P31" s="8"/>
      <c r="Q31" s="8"/>
      <c r="R31" s="8"/>
      <c r="S31" s="8"/>
      <c r="T31" s="8"/>
      <c r="U31" s="8"/>
      <c r="V31" s="8"/>
    </row>
    <row r="32" spans="1:22" ht="22" customHeight="1" x14ac:dyDescent="0.35">
      <c r="A32" s="8"/>
      <c r="B32" s="8"/>
      <c r="C32" s="8"/>
      <c r="D32" s="8"/>
      <c r="E32" s="8"/>
      <c r="F32" s="8"/>
      <c r="G32" s="8"/>
      <c r="H32" s="8"/>
      <c r="I32" s="8"/>
      <c r="J32" s="8"/>
      <c r="K32" s="8"/>
      <c r="L32" s="8"/>
      <c r="M32" s="8"/>
      <c r="N32" s="8"/>
      <c r="O32" s="8"/>
      <c r="P32" s="8"/>
      <c r="Q32" s="8"/>
      <c r="R32" s="8"/>
      <c r="S32" s="8"/>
      <c r="T32" s="8"/>
      <c r="U32" s="8"/>
      <c r="V32" s="8"/>
    </row>
    <row r="33" spans="1:22" ht="22" customHeight="1" x14ac:dyDescent="0.35">
      <c r="A33" s="8"/>
      <c r="B33" s="8"/>
      <c r="C33" s="8"/>
      <c r="D33" s="8"/>
      <c r="E33" s="8"/>
      <c r="F33" s="8"/>
      <c r="G33" s="8"/>
      <c r="H33" s="8"/>
      <c r="I33" s="8"/>
      <c r="J33" s="8"/>
      <c r="K33" s="8"/>
      <c r="L33" s="8"/>
      <c r="M33" s="8"/>
      <c r="N33" s="8"/>
      <c r="O33" s="8"/>
      <c r="P33" s="8"/>
      <c r="Q33" s="8"/>
      <c r="R33" s="8"/>
      <c r="S33" s="8"/>
      <c r="T33" s="8"/>
      <c r="U33" s="8"/>
      <c r="V33" s="8"/>
    </row>
    <row r="34" spans="1:22" ht="22" customHeight="1" x14ac:dyDescent="0.35">
      <c r="A34" s="8"/>
      <c r="B34" s="8"/>
      <c r="C34" s="8"/>
      <c r="D34" s="8"/>
      <c r="E34" s="8"/>
      <c r="F34" s="8"/>
      <c r="G34" s="8"/>
      <c r="H34" s="8"/>
      <c r="I34" s="8"/>
      <c r="J34" s="8"/>
      <c r="K34" s="8"/>
      <c r="L34" s="8"/>
      <c r="M34" s="8"/>
      <c r="N34" s="8"/>
      <c r="O34" s="8"/>
      <c r="P34" s="8"/>
      <c r="Q34" s="8"/>
      <c r="R34" s="8"/>
      <c r="S34" s="8"/>
      <c r="T34" s="8"/>
      <c r="U34" s="8"/>
      <c r="V34" s="8"/>
    </row>
    <row r="35" spans="1:22" ht="22" customHeight="1" x14ac:dyDescent="0.35">
      <c r="A35" s="8"/>
      <c r="B35" s="8"/>
      <c r="C35" s="8"/>
      <c r="D35" s="8"/>
      <c r="E35" s="8"/>
      <c r="F35" s="8"/>
      <c r="G35" s="8"/>
      <c r="H35" s="8"/>
      <c r="I35" s="8"/>
      <c r="J35" s="8"/>
      <c r="K35" s="8"/>
      <c r="L35" s="8"/>
      <c r="M35" s="8"/>
      <c r="N35" s="8"/>
      <c r="O35" s="8"/>
      <c r="P35" s="8"/>
      <c r="Q35" s="8"/>
      <c r="R35" s="8"/>
      <c r="S35" s="8"/>
      <c r="T35" s="8"/>
      <c r="U35" s="8"/>
      <c r="V35" s="8"/>
    </row>
    <row r="36" spans="1:22" ht="22" customHeight="1" x14ac:dyDescent="0.35">
      <c r="A36" s="8"/>
      <c r="B36" s="8"/>
      <c r="C36" s="8"/>
      <c r="D36" s="8"/>
      <c r="E36" s="8"/>
      <c r="F36" s="8"/>
      <c r="G36" s="8"/>
      <c r="H36" s="8"/>
      <c r="I36" s="8"/>
      <c r="J36" s="8"/>
      <c r="K36" s="8"/>
      <c r="L36" s="8"/>
      <c r="M36" s="8"/>
      <c r="N36" s="8"/>
      <c r="O36" s="8"/>
      <c r="P36" s="8"/>
      <c r="Q36" s="8"/>
      <c r="R36" s="8"/>
      <c r="S36" s="8"/>
      <c r="T36" s="8"/>
      <c r="U36" s="8"/>
      <c r="V36" s="8"/>
    </row>
    <row r="37" spans="1:22" ht="22" customHeight="1" x14ac:dyDescent="0.35">
      <c r="A37" s="8"/>
      <c r="B37" s="8"/>
      <c r="C37" s="8"/>
      <c r="D37" s="8"/>
      <c r="E37" s="8"/>
      <c r="F37" s="8"/>
      <c r="G37" s="8"/>
      <c r="H37" s="8"/>
      <c r="I37" s="8"/>
      <c r="J37" s="8"/>
      <c r="K37" s="8"/>
      <c r="L37" s="8"/>
      <c r="M37" s="8"/>
      <c r="N37" s="8"/>
      <c r="O37" s="8"/>
      <c r="P37" s="8"/>
      <c r="Q37" s="8"/>
      <c r="R37" s="8"/>
      <c r="S37" s="8"/>
      <c r="T37" s="8"/>
      <c r="U37" s="8"/>
      <c r="V37" s="8"/>
    </row>
    <row r="38" spans="1:22" ht="22" customHeight="1" x14ac:dyDescent="0.35">
      <c r="A38" s="8"/>
      <c r="B38" s="8"/>
      <c r="C38" s="8"/>
      <c r="D38" s="8"/>
      <c r="E38" s="8"/>
      <c r="F38" s="8"/>
      <c r="G38" s="8"/>
      <c r="H38" s="8"/>
      <c r="I38" s="8"/>
      <c r="J38" s="8"/>
      <c r="K38" s="8"/>
      <c r="L38" s="8"/>
      <c r="M38" s="8"/>
      <c r="N38" s="8"/>
      <c r="O38" s="8"/>
      <c r="P38" s="8"/>
      <c r="Q38" s="8"/>
      <c r="R38" s="8"/>
      <c r="S38" s="8"/>
      <c r="T38" s="8"/>
      <c r="U38" s="8"/>
      <c r="V38" s="8"/>
    </row>
    <row r="39" spans="1:22" ht="22" customHeight="1" x14ac:dyDescent="0.35">
      <c r="A39" s="8"/>
      <c r="B39" s="8"/>
      <c r="C39" s="8"/>
      <c r="D39" s="8"/>
      <c r="E39" s="8"/>
      <c r="F39" s="8"/>
      <c r="G39" s="8"/>
      <c r="H39" s="8"/>
      <c r="I39" s="8"/>
      <c r="J39" s="8"/>
      <c r="K39" s="8"/>
      <c r="L39" s="8"/>
      <c r="M39" s="8"/>
      <c r="N39" s="8"/>
      <c r="O39" s="8"/>
      <c r="P39" s="8"/>
      <c r="Q39" s="8"/>
      <c r="R39" s="8"/>
      <c r="S39" s="8"/>
      <c r="T39" s="8"/>
      <c r="U39" s="8"/>
      <c r="V39" s="8"/>
    </row>
    <row r="40" spans="1:22" ht="22" customHeight="1" x14ac:dyDescent="0.35">
      <c r="A40" s="8"/>
      <c r="B40" s="8"/>
      <c r="C40" s="8"/>
      <c r="D40" s="8"/>
      <c r="E40" s="8"/>
      <c r="F40" s="8"/>
      <c r="G40" s="8"/>
      <c r="H40" s="8"/>
      <c r="I40" s="8"/>
      <c r="J40" s="8"/>
      <c r="K40" s="8"/>
      <c r="L40" s="8"/>
      <c r="M40" s="8"/>
      <c r="N40" s="8"/>
      <c r="O40" s="8"/>
      <c r="P40" s="8"/>
      <c r="Q40" s="8"/>
      <c r="R40" s="8"/>
      <c r="S40" s="8"/>
      <c r="T40" s="8"/>
      <c r="U40" s="8"/>
      <c r="V40" s="8"/>
    </row>
    <row r="41" spans="1:22" ht="22" customHeight="1" x14ac:dyDescent="0.35">
      <c r="A41" s="8"/>
      <c r="B41" s="8"/>
      <c r="C41" s="8"/>
      <c r="D41" s="8"/>
      <c r="E41" s="8"/>
      <c r="F41" s="8"/>
      <c r="G41" s="8"/>
      <c r="H41" s="8"/>
      <c r="I41" s="8"/>
      <c r="J41" s="8"/>
      <c r="K41" s="8"/>
      <c r="L41" s="8"/>
      <c r="M41" s="8"/>
      <c r="N41" s="8"/>
      <c r="O41" s="8"/>
      <c r="P41" s="8"/>
      <c r="Q41" s="8"/>
      <c r="R41" s="8"/>
      <c r="S41" s="8"/>
      <c r="T41" s="8"/>
      <c r="U41" s="8"/>
      <c r="V41" s="8"/>
    </row>
    <row r="42" spans="1:22" ht="22" customHeight="1" x14ac:dyDescent="0.35">
      <c r="A42" s="8"/>
      <c r="B42" s="8"/>
      <c r="C42" s="8"/>
      <c r="D42" s="8"/>
      <c r="E42" s="8"/>
      <c r="F42" s="8"/>
      <c r="G42" s="8"/>
      <c r="H42" s="8"/>
      <c r="I42" s="8"/>
      <c r="J42" s="8"/>
      <c r="K42" s="8"/>
      <c r="L42" s="8"/>
      <c r="M42" s="8"/>
      <c r="N42" s="8"/>
      <c r="O42" s="8"/>
      <c r="P42" s="8"/>
      <c r="Q42" s="8"/>
      <c r="R42" s="8"/>
      <c r="S42" s="8"/>
      <c r="T42" s="8"/>
      <c r="U42" s="8"/>
      <c r="V42" s="8"/>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8"/>
      <c r="B45" s="8"/>
      <c r="C45" s="8"/>
      <c r="D45" s="8"/>
      <c r="E45" s="8"/>
      <c r="F45" s="8"/>
      <c r="G45" s="8"/>
      <c r="H45" s="8"/>
      <c r="I45" s="8"/>
      <c r="J45" s="8"/>
      <c r="K45" s="8"/>
      <c r="L45" s="8"/>
      <c r="M45" s="8"/>
      <c r="N45" s="8"/>
      <c r="O45" s="8"/>
      <c r="P45" s="8"/>
      <c r="Q45" s="8"/>
      <c r="R45" s="8"/>
      <c r="S45" s="8"/>
      <c r="T45" s="8"/>
      <c r="U45" s="8"/>
      <c r="V45" s="8"/>
    </row>
    <row r="46" spans="1:22" ht="22" customHeight="1" x14ac:dyDescent="0.35">
      <c r="A46" s="8"/>
      <c r="B46" s="8"/>
      <c r="C46" s="8"/>
      <c r="D46" s="8"/>
      <c r="E46" s="8"/>
      <c r="F46" s="8"/>
      <c r="G46" s="8"/>
      <c r="H46" s="8"/>
      <c r="I46" s="8"/>
      <c r="J46" s="8"/>
      <c r="K46" s="8"/>
      <c r="L46" s="8"/>
      <c r="M46" s="8"/>
      <c r="N46" s="8"/>
      <c r="O46" s="8"/>
      <c r="P46" s="8"/>
      <c r="Q46" s="8"/>
      <c r="R46" s="8"/>
      <c r="S46" s="8"/>
      <c r="T46" s="8"/>
      <c r="U46" s="8"/>
      <c r="V46" s="8"/>
    </row>
    <row r="47" spans="1:22" ht="22" customHeight="1" x14ac:dyDescent="0.35">
      <c r="A47" s="8"/>
      <c r="B47" s="8"/>
      <c r="C47" s="8"/>
      <c r="D47" s="8"/>
      <c r="E47" s="8"/>
      <c r="F47" s="8"/>
      <c r="G47" s="8"/>
      <c r="H47" s="8"/>
      <c r="I47" s="8"/>
      <c r="J47" s="8"/>
      <c r="K47" s="8"/>
      <c r="L47" s="8"/>
      <c r="M47" s="8"/>
      <c r="N47" s="8"/>
      <c r="O47" s="8"/>
      <c r="P47" s="8"/>
      <c r="Q47" s="8"/>
      <c r="R47" s="8"/>
      <c r="S47" s="8"/>
      <c r="T47" s="8"/>
      <c r="U47" s="8"/>
      <c r="V47" s="8"/>
    </row>
    <row r="48" spans="1:22" ht="22" customHeight="1" x14ac:dyDescent="0.35">
      <c r="A48" s="8"/>
      <c r="B48" s="8"/>
      <c r="C48" s="8"/>
      <c r="D48" s="8"/>
      <c r="E48" s="8"/>
      <c r="F48" s="8"/>
      <c r="G48" s="8"/>
      <c r="H48" s="8"/>
      <c r="I48" s="8"/>
      <c r="J48" s="8"/>
      <c r="K48" s="8"/>
      <c r="L48" s="8"/>
      <c r="M48" s="8"/>
      <c r="N48" s="8"/>
      <c r="O48" s="8"/>
      <c r="P48" s="8"/>
      <c r="Q48" s="8"/>
      <c r="R48" s="8"/>
      <c r="S48" s="8"/>
      <c r="T48" s="8"/>
      <c r="U48" s="8"/>
      <c r="V48" s="8"/>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8"/>
      <c r="B52" s="8"/>
      <c r="C52" s="8"/>
      <c r="D52" s="8"/>
      <c r="E52" s="8"/>
      <c r="F52" s="8"/>
      <c r="G52" s="8"/>
      <c r="H52" s="8"/>
      <c r="I52" s="8"/>
      <c r="J52" s="8"/>
      <c r="K52" s="8"/>
      <c r="L52" s="8"/>
      <c r="M52" s="8"/>
      <c r="N52" s="8"/>
      <c r="O52" s="8"/>
      <c r="P52" s="8"/>
      <c r="Q52" s="8"/>
      <c r="R52" s="8"/>
      <c r="S52" s="8"/>
      <c r="T52" s="8"/>
      <c r="U52" s="8"/>
      <c r="V52" s="8"/>
    </row>
    <row r="53" spans="1:22" ht="22" customHeight="1" x14ac:dyDescent="0.35">
      <c r="A53" s="8"/>
      <c r="B53" s="8"/>
      <c r="C53" s="8"/>
      <c r="D53" s="8"/>
      <c r="E53" s="8"/>
      <c r="F53" s="8"/>
      <c r="G53" s="8"/>
      <c r="H53" s="8"/>
      <c r="I53" s="8"/>
      <c r="J53" s="8"/>
      <c r="K53" s="8"/>
      <c r="L53" s="8"/>
      <c r="M53" s="8"/>
      <c r="N53" s="8"/>
      <c r="O53" s="8"/>
      <c r="P53" s="8"/>
      <c r="Q53" s="8"/>
      <c r="R53" s="8"/>
      <c r="S53" s="8"/>
      <c r="T53" s="8"/>
      <c r="U53" s="8"/>
      <c r="V53" s="8"/>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40">
    <mergeCell ref="A18:F18"/>
    <mergeCell ref="G16:M16"/>
    <mergeCell ref="O9:V9"/>
    <mergeCell ref="S4:V4"/>
    <mergeCell ref="G9:M9"/>
    <mergeCell ref="A14:F14"/>
    <mergeCell ref="D4:F4"/>
    <mergeCell ref="O11:V14"/>
    <mergeCell ref="A8:F8"/>
    <mergeCell ref="G4:I4"/>
    <mergeCell ref="G12:M12"/>
    <mergeCell ref="A17:F17"/>
    <mergeCell ref="A16:F16"/>
    <mergeCell ref="G14:M14"/>
    <mergeCell ref="A19:F19"/>
    <mergeCell ref="G17:M17"/>
    <mergeCell ref="M4:O4"/>
    <mergeCell ref="A9:F9"/>
    <mergeCell ref="G19:M19"/>
    <mergeCell ref="G18:M18"/>
    <mergeCell ref="A4:C4"/>
    <mergeCell ref="G11:M11"/>
    <mergeCell ref="A10:F10"/>
    <mergeCell ref="G8:M8"/>
    <mergeCell ref="A13:F13"/>
    <mergeCell ref="H6:M6"/>
    <mergeCell ref="O6:V6"/>
    <mergeCell ref="O16:V19"/>
    <mergeCell ref="R1:V2"/>
    <mergeCell ref="P4:R4"/>
    <mergeCell ref="G10:M10"/>
    <mergeCell ref="A15:F15"/>
    <mergeCell ref="A1:Q2"/>
    <mergeCell ref="A11:F11"/>
    <mergeCell ref="G13:M13"/>
    <mergeCell ref="A6:F6"/>
    <mergeCell ref="A3:V3"/>
    <mergeCell ref="G15:M15"/>
    <mergeCell ref="J4:L4"/>
    <mergeCell ref="A12:F12"/>
  </mergeCells>
  <dataValidations count="4">
    <dataValidation type="list" allowBlank="1" showErrorMessage="1" errorTitle="Check this entry" error="Use a value from the shared list." sqref="G11" xr:uid="{00000000-0002-0000-0C00-000000000000}">
      <formula1>lstVesselType</formula1>
    </dataValidation>
    <dataValidation type="list" allowBlank="1" showErrorMessage="1" errorTitle="Check this entry" error="Use a value from the shared list." sqref="G18" xr:uid="{00000000-0002-0000-0C00-000001000000}">
      <formula1>lstCurrency</formula1>
    </dataValidation>
    <dataValidation type="decimal" operator="greaterThanOrEqual" allowBlank="1" showErrorMessage="1" errorTitle="Check this entry" error="Enter a valid date or a non-negative number, as applicable." sqref="G17" xr:uid="{00000000-0002-0000-0C00-000002000000}">
      <formula1>0</formula1>
    </dataValidation>
    <dataValidation type="date" allowBlank="1" showErrorMessage="1" errorTitle="Check this entry" error="Enter a valid date or a non-negative number, as applicable." sqref="G19" xr:uid="{00000000-0002-0000-0C00-000003000000}">
      <formula1>DATE(2000,1,1)</formula1>
      <formula2>DATE(2100,12,31)</formula2>
    </dataValidation>
  </dataValidations>
  <hyperlinks>
    <hyperlink ref="A4" location="'Overview'!A1" display="Overview" xr:uid="{00000000-0004-0000-0C00-000000000000}"/>
    <hyperlink ref="D4" location="'Jobs'!A1" display="Jobs" xr:uid="{00000000-0004-0000-0C00-000001000000}"/>
    <hyperlink ref="G4" location="'Suppliers'!A1" display="Suppliers" xr:uid="{00000000-0004-0000-0C00-000002000000}"/>
    <hyperlink ref="J4" location="'Budget'!A1" display="Budget" xr:uid="{00000000-0004-0000-0C00-000003000000}"/>
    <hyperlink ref="M4" location="'Quotes'!A1" display="Quotes" xr:uid="{00000000-0004-0000-0C00-000004000000}"/>
    <hyperlink ref="P4" location="'Print Summary'!A1" display="Print summary" xr:uid="{00000000-0004-0000-0C00-000005000000}"/>
    <hyperlink ref="S4" location="'Read Me'!A1" display="Guide / setup" xr:uid="{00000000-0004-0000-0C00-000006000000}"/>
    <hyperlink ref="A6" location="'Budget'!A1" display="BACK TO BUDGET" xr:uid="{00000000-0004-0000-0C00-000007000000}"/>
    <hyperlink ref="H6" location="'Lists'!A1" display="FX RATES &amp; LISTS" xr:uid="{00000000-0004-0000-0C00-000008000000}"/>
    <hyperlink ref="O6" location="'Overview'!A1" display="OVERVIEW" xr:uid="{00000000-0004-0000-0C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87F8C"/>
    <pageSetUpPr fitToPage="1"/>
  </sheetPr>
  <dimension ref="A1:V90"/>
  <sheetViews>
    <sheetView showGridLines="0" zoomScale="90" workbookViewId="0">
      <pane ySplit="7" topLeftCell="A8" activePane="bottomLeft" state="frozen"/>
      <selection pane="bottomLeft"/>
    </sheetView>
  </sheetViews>
  <sheetFormatPr defaultRowHeight="14.5" x14ac:dyDescent="0.35"/>
  <cols>
    <col min="1" max="1" width="22" customWidth="1"/>
    <col min="2" max="2" width="3" customWidth="1"/>
    <col min="3" max="3" width="22" customWidth="1"/>
    <col min="4" max="4" width="3" customWidth="1"/>
    <col min="5" max="5" width="14" customWidth="1"/>
    <col min="6" max="6" width="18" customWidth="1"/>
    <col min="7" max="7" width="3" customWidth="1"/>
    <col min="8" max="8" width="24" customWidth="1"/>
    <col min="9" max="10" width="3" customWidth="1"/>
    <col min="11" max="11" width="24" customWidth="1"/>
    <col min="12" max="13" width="3" customWidth="1"/>
    <col min="14" max="14" width="13" customWidth="1"/>
    <col min="15" max="15" width="3" customWidth="1"/>
    <col min="16" max="16" width="24" customWidth="1"/>
    <col min="17" max="22" width="3" customWidth="1"/>
  </cols>
  <sheetData>
    <row r="1" spans="1:22" ht="27" customHeight="1" x14ac:dyDescent="0.35">
      <c r="A1" s="50" t="s">
        <v>760</v>
      </c>
      <c r="B1" s="39"/>
      <c r="C1" s="39"/>
      <c r="D1" s="39"/>
      <c r="E1" s="39"/>
      <c r="F1" s="39"/>
      <c r="G1" s="39"/>
      <c r="H1" s="39"/>
      <c r="I1" s="39"/>
      <c r="J1" s="39"/>
      <c r="K1" s="39"/>
      <c r="L1" s="39"/>
      <c r="M1" s="39"/>
      <c r="N1" s="39"/>
      <c r="O1" s="39"/>
      <c r="P1" s="39"/>
      <c r="Q1" s="39"/>
      <c r="R1" s="55" t="s">
        <v>1</v>
      </c>
      <c r="S1" s="39"/>
      <c r="T1" s="39"/>
      <c r="U1" s="39"/>
      <c r="V1" s="39"/>
    </row>
    <row r="2" spans="1:22" ht="20" customHeight="1" x14ac:dyDescent="0.35">
      <c r="A2" s="39"/>
      <c r="B2" s="39"/>
      <c r="C2" s="39"/>
      <c r="D2" s="39"/>
      <c r="E2" s="39"/>
      <c r="F2" s="39"/>
      <c r="G2" s="39"/>
      <c r="H2" s="39"/>
      <c r="I2" s="39"/>
      <c r="J2" s="39"/>
      <c r="K2" s="39"/>
      <c r="L2" s="39"/>
      <c r="M2" s="39"/>
      <c r="N2" s="39"/>
      <c r="O2" s="39"/>
      <c r="P2" s="39"/>
      <c r="Q2" s="39"/>
      <c r="R2" s="39"/>
      <c r="S2" s="39"/>
      <c r="T2" s="39"/>
      <c r="U2" s="39"/>
      <c r="V2" s="39"/>
    </row>
    <row r="3" spans="1:22" ht="21" customHeight="1" x14ac:dyDescent="0.35">
      <c r="A3" s="48" t="s">
        <v>761</v>
      </c>
      <c r="B3" s="39"/>
      <c r="C3" s="39"/>
      <c r="D3" s="39"/>
      <c r="E3" s="39"/>
      <c r="F3" s="39"/>
      <c r="G3" s="39"/>
      <c r="H3" s="39"/>
      <c r="I3" s="39"/>
      <c r="J3" s="39"/>
      <c r="K3" s="39"/>
      <c r="L3" s="39"/>
      <c r="M3" s="39"/>
      <c r="N3" s="39"/>
      <c r="O3" s="39"/>
      <c r="P3" s="39"/>
      <c r="Q3" s="39"/>
      <c r="R3" s="39"/>
      <c r="S3" s="39"/>
      <c r="T3" s="39"/>
      <c r="U3" s="39"/>
      <c r="V3" s="39"/>
    </row>
    <row r="4" spans="1:22"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row>
    <row r="5" spans="1:22" ht="10" customHeight="1" x14ac:dyDescent="0.35">
      <c r="A5" s="8"/>
      <c r="B5" s="8"/>
      <c r="C5" s="8"/>
      <c r="D5" s="8"/>
      <c r="E5" s="8"/>
      <c r="F5" s="8"/>
      <c r="G5" s="8"/>
      <c r="H5" s="8"/>
      <c r="I5" s="8"/>
      <c r="J5" s="8"/>
      <c r="K5" s="8"/>
      <c r="L5" s="8"/>
      <c r="M5" s="8"/>
      <c r="N5" s="8"/>
      <c r="O5" s="8"/>
      <c r="P5" s="8"/>
      <c r="Q5" s="8"/>
      <c r="R5" s="8"/>
      <c r="S5" s="8"/>
      <c r="T5" s="8"/>
      <c r="U5" s="8"/>
      <c r="V5" s="8"/>
    </row>
    <row r="6" spans="1:22" ht="30" customHeight="1" x14ac:dyDescent="0.35">
      <c r="A6" s="45" t="s">
        <v>762</v>
      </c>
      <c r="B6" s="39"/>
      <c r="C6" s="39"/>
      <c r="D6" s="39"/>
      <c r="E6" s="39"/>
      <c r="F6" s="39"/>
      <c r="G6" s="8"/>
      <c r="H6" s="45" t="s">
        <v>741</v>
      </c>
      <c r="I6" s="39"/>
      <c r="J6" s="39"/>
      <c r="K6" s="39"/>
      <c r="L6" s="39"/>
      <c r="M6" s="39"/>
      <c r="N6" s="8"/>
      <c r="O6" s="61" t="s">
        <v>763</v>
      </c>
      <c r="P6" s="39"/>
      <c r="Q6" s="39"/>
      <c r="R6" s="39"/>
      <c r="S6" s="39"/>
      <c r="T6" s="39"/>
      <c r="U6" s="39"/>
      <c r="V6" s="39"/>
    </row>
    <row r="7" spans="1:22" ht="11" customHeight="1" x14ac:dyDescent="0.35">
      <c r="A7" s="8"/>
      <c r="B7" s="8"/>
      <c r="C7" s="8"/>
      <c r="D7" s="8"/>
      <c r="E7" s="8"/>
      <c r="F7" s="8"/>
      <c r="G7" s="8"/>
      <c r="H7" s="8"/>
      <c r="I7" s="8"/>
      <c r="J7" s="8"/>
      <c r="K7" s="8"/>
      <c r="L7" s="8"/>
      <c r="M7" s="8"/>
      <c r="N7" s="8"/>
      <c r="O7" s="8"/>
      <c r="P7" s="8"/>
      <c r="Q7" s="8"/>
      <c r="R7" s="8"/>
      <c r="S7" s="8"/>
      <c r="T7" s="8"/>
      <c r="U7" s="8"/>
      <c r="V7" s="8"/>
    </row>
    <row r="8" spans="1:22" ht="32" customHeight="1" x14ac:dyDescent="0.35">
      <c r="A8" s="29" t="s">
        <v>764</v>
      </c>
      <c r="B8" s="8"/>
      <c r="C8" s="29" t="s">
        <v>765</v>
      </c>
      <c r="D8" s="8"/>
      <c r="E8" s="29" t="s">
        <v>766</v>
      </c>
      <c r="F8" s="29" t="s">
        <v>767</v>
      </c>
      <c r="G8" s="8"/>
      <c r="H8" s="29" t="s">
        <v>44</v>
      </c>
      <c r="I8" s="8"/>
      <c r="J8" s="8"/>
      <c r="K8" s="29" t="s">
        <v>768</v>
      </c>
      <c r="L8" s="8"/>
      <c r="M8" s="8"/>
      <c r="N8" s="29" t="s">
        <v>769</v>
      </c>
      <c r="O8" s="8"/>
      <c r="P8" s="29" t="s">
        <v>770</v>
      </c>
      <c r="Q8" s="8"/>
      <c r="R8" s="8"/>
      <c r="S8" s="8"/>
      <c r="T8" s="8"/>
      <c r="U8" s="8"/>
      <c r="V8" s="8"/>
    </row>
    <row r="9" spans="1:22" ht="32" customHeight="1" x14ac:dyDescent="0.35">
      <c r="A9" s="30" t="s">
        <v>76</v>
      </c>
      <c r="B9" s="8"/>
      <c r="C9" s="30" t="s">
        <v>87</v>
      </c>
      <c r="D9" s="8"/>
      <c r="E9" s="30" t="s">
        <v>523</v>
      </c>
      <c r="F9" s="31">
        <v>7.4755000000000003</v>
      </c>
      <c r="G9" s="8"/>
      <c r="H9" s="30" t="s">
        <v>179</v>
      </c>
      <c r="I9" s="8"/>
      <c r="J9" s="8"/>
      <c r="K9" s="30" t="s">
        <v>771</v>
      </c>
      <c r="L9" s="8"/>
      <c r="M9" s="8"/>
      <c r="N9" s="30" t="s">
        <v>79</v>
      </c>
      <c r="O9" s="8"/>
      <c r="P9" s="30" t="s">
        <v>677</v>
      </c>
      <c r="Q9" s="8"/>
      <c r="R9" s="8"/>
      <c r="S9" s="8"/>
      <c r="T9" s="8"/>
      <c r="U9" s="8"/>
      <c r="V9" s="8"/>
    </row>
    <row r="10" spans="1:22" ht="32" customHeight="1" x14ac:dyDescent="0.35">
      <c r="A10" s="30" t="s">
        <v>87</v>
      </c>
      <c r="B10" s="8"/>
      <c r="C10" s="30" t="s">
        <v>82</v>
      </c>
      <c r="D10" s="8"/>
      <c r="E10" s="30" t="s">
        <v>516</v>
      </c>
      <c r="F10" s="31">
        <v>1</v>
      </c>
      <c r="G10" s="8"/>
      <c r="H10" s="30" t="s">
        <v>159</v>
      </c>
      <c r="I10" s="8"/>
      <c r="J10" s="8"/>
      <c r="K10" s="30" t="s">
        <v>772</v>
      </c>
      <c r="L10" s="8"/>
      <c r="M10" s="8"/>
      <c r="N10" s="30" t="s">
        <v>773</v>
      </c>
      <c r="O10" s="8"/>
      <c r="P10" s="30" t="s">
        <v>774</v>
      </c>
      <c r="Q10" s="8"/>
      <c r="R10" s="8"/>
      <c r="S10" s="8"/>
      <c r="T10" s="8"/>
      <c r="U10" s="8"/>
      <c r="V10" s="8"/>
    </row>
    <row r="11" spans="1:22" ht="32" customHeight="1" x14ac:dyDescent="0.35">
      <c r="A11" s="30" t="s">
        <v>82</v>
      </c>
      <c r="B11" s="8"/>
      <c r="C11" s="30" t="s">
        <v>557</v>
      </c>
      <c r="D11" s="8"/>
      <c r="E11" s="30" t="s">
        <v>775</v>
      </c>
      <c r="F11" s="31">
        <v>1.1403000000000001</v>
      </c>
      <c r="G11" s="8"/>
      <c r="H11" s="30" t="s">
        <v>776</v>
      </c>
      <c r="I11" s="8"/>
      <c r="J11" s="8"/>
      <c r="K11" s="30" t="s">
        <v>777</v>
      </c>
      <c r="L11" s="8"/>
      <c r="M11" s="8"/>
      <c r="N11" s="8"/>
      <c r="O11" s="8"/>
      <c r="P11" s="30" t="s">
        <v>778</v>
      </c>
      <c r="Q11" s="8"/>
      <c r="R11" s="8"/>
      <c r="S11" s="8"/>
      <c r="T11" s="8"/>
      <c r="U11" s="8"/>
      <c r="V11" s="8"/>
    </row>
    <row r="12" spans="1:22" ht="32" customHeight="1" x14ac:dyDescent="0.35">
      <c r="A12" s="30" t="s">
        <v>557</v>
      </c>
      <c r="B12" s="8"/>
      <c r="C12" s="30" t="s">
        <v>515</v>
      </c>
      <c r="D12" s="8"/>
      <c r="E12" s="30" t="s">
        <v>779</v>
      </c>
      <c r="F12" s="31">
        <v>11.29</v>
      </c>
      <c r="G12" s="8"/>
      <c r="H12" s="30" t="s">
        <v>75</v>
      </c>
      <c r="I12" s="8"/>
      <c r="J12" s="8"/>
      <c r="K12" s="30" t="s">
        <v>780</v>
      </c>
      <c r="L12" s="8"/>
      <c r="M12" s="8"/>
      <c r="N12" s="8"/>
      <c r="O12" s="8"/>
      <c r="P12" s="8"/>
      <c r="Q12" s="8"/>
      <c r="R12" s="8"/>
      <c r="S12" s="8"/>
      <c r="T12" s="8"/>
      <c r="U12" s="8"/>
      <c r="V12" s="8"/>
    </row>
    <row r="13" spans="1:22" ht="32" customHeight="1" x14ac:dyDescent="0.35">
      <c r="A13" s="30" t="s">
        <v>781</v>
      </c>
      <c r="B13" s="8"/>
      <c r="C13" s="30" t="s">
        <v>782</v>
      </c>
      <c r="D13" s="8"/>
      <c r="E13" s="30" t="s">
        <v>560</v>
      </c>
      <c r="F13" s="31">
        <v>10.84</v>
      </c>
      <c r="G13" s="8"/>
      <c r="H13" s="30" t="s">
        <v>116</v>
      </c>
      <c r="I13" s="8"/>
      <c r="J13" s="8"/>
      <c r="K13" s="30" t="s">
        <v>783</v>
      </c>
      <c r="L13" s="8"/>
      <c r="M13" s="8"/>
      <c r="N13" s="8"/>
      <c r="O13" s="8"/>
      <c r="P13" s="8"/>
      <c r="Q13" s="8"/>
      <c r="R13" s="8"/>
      <c r="S13" s="8"/>
      <c r="T13" s="8"/>
      <c r="U13" s="8"/>
      <c r="V13" s="8"/>
    </row>
    <row r="14" spans="1:22" ht="32" customHeight="1" x14ac:dyDescent="0.35">
      <c r="A14" s="30" t="s">
        <v>784</v>
      </c>
      <c r="B14" s="8"/>
      <c r="C14" s="30" t="s">
        <v>785</v>
      </c>
      <c r="D14" s="8"/>
      <c r="E14" s="30" t="s">
        <v>786</v>
      </c>
      <c r="F14" s="31">
        <v>0.86045000000000005</v>
      </c>
      <c r="G14" s="8"/>
      <c r="H14" s="30" t="s">
        <v>163</v>
      </c>
      <c r="I14" s="8"/>
      <c r="J14" s="8"/>
      <c r="K14" s="30" t="s">
        <v>787</v>
      </c>
      <c r="L14" s="8"/>
      <c r="M14" s="8"/>
      <c r="N14" s="8"/>
      <c r="O14" s="8"/>
      <c r="P14" s="8"/>
      <c r="Q14" s="8"/>
      <c r="R14" s="8"/>
      <c r="S14" s="8"/>
      <c r="T14" s="8"/>
      <c r="U14" s="8"/>
      <c r="V14" s="8"/>
    </row>
    <row r="15" spans="1:22" ht="32" customHeight="1" x14ac:dyDescent="0.35">
      <c r="A15" s="30" t="s">
        <v>788</v>
      </c>
      <c r="B15" s="8"/>
      <c r="C15" s="30" t="s">
        <v>789</v>
      </c>
      <c r="D15" s="8"/>
      <c r="E15" s="8"/>
      <c r="F15" s="8"/>
      <c r="G15" s="8"/>
      <c r="H15" s="30" t="s">
        <v>790</v>
      </c>
      <c r="I15" s="8"/>
      <c r="J15" s="8"/>
      <c r="K15" s="30" t="s">
        <v>790</v>
      </c>
      <c r="L15" s="8"/>
      <c r="M15" s="8"/>
      <c r="N15" s="8"/>
      <c r="O15" s="8"/>
      <c r="P15" s="8"/>
      <c r="Q15" s="8"/>
      <c r="R15" s="8"/>
      <c r="S15" s="8"/>
      <c r="T15" s="8"/>
      <c r="U15" s="8"/>
      <c r="V15" s="8"/>
    </row>
    <row r="16" spans="1:22" ht="32" customHeight="1" x14ac:dyDescent="0.35">
      <c r="A16" s="30" t="s">
        <v>791</v>
      </c>
      <c r="B16" s="8"/>
      <c r="C16" s="30" t="s">
        <v>791</v>
      </c>
      <c r="D16" s="8"/>
      <c r="E16" s="8"/>
      <c r="F16" s="8"/>
      <c r="G16" s="8"/>
      <c r="H16" s="8"/>
      <c r="I16" s="8"/>
      <c r="J16" s="8"/>
      <c r="K16" s="30" t="s">
        <v>749</v>
      </c>
      <c r="L16" s="8"/>
      <c r="M16" s="8"/>
      <c r="N16" s="8"/>
      <c r="O16" s="8"/>
      <c r="P16" s="8"/>
      <c r="Q16" s="8"/>
      <c r="R16" s="8"/>
      <c r="S16" s="8"/>
      <c r="T16" s="8"/>
      <c r="U16" s="8"/>
      <c r="V16" s="8"/>
    </row>
    <row r="17" spans="1:22" ht="32" customHeight="1" x14ac:dyDescent="0.35">
      <c r="A17" s="30" t="s">
        <v>792</v>
      </c>
      <c r="B17" s="8"/>
      <c r="C17" s="30" t="s">
        <v>793</v>
      </c>
      <c r="D17" s="8"/>
      <c r="E17" s="8"/>
      <c r="F17" s="8"/>
      <c r="G17" s="8"/>
      <c r="H17" s="8"/>
      <c r="I17" s="8"/>
      <c r="J17" s="8"/>
      <c r="K17" s="8"/>
      <c r="L17" s="8"/>
      <c r="M17" s="8"/>
      <c r="N17" s="8"/>
      <c r="O17" s="8"/>
      <c r="P17" s="8"/>
      <c r="Q17" s="8"/>
      <c r="R17" s="8"/>
      <c r="S17" s="8"/>
      <c r="T17" s="8"/>
      <c r="U17" s="8"/>
      <c r="V17" s="8"/>
    </row>
    <row r="18" spans="1:22" ht="32" customHeight="1" x14ac:dyDescent="0.35">
      <c r="A18" s="8"/>
      <c r="B18" s="8"/>
      <c r="C18" s="30" t="s">
        <v>794</v>
      </c>
      <c r="D18" s="8"/>
      <c r="E18" s="8"/>
      <c r="F18" s="8"/>
      <c r="G18" s="8"/>
      <c r="H18" s="8"/>
      <c r="I18" s="8"/>
      <c r="J18" s="8"/>
      <c r="K18" s="8"/>
      <c r="L18" s="8"/>
      <c r="M18" s="8"/>
      <c r="N18" s="8"/>
      <c r="O18" s="8"/>
      <c r="P18" s="8"/>
      <c r="Q18" s="8"/>
      <c r="R18" s="8"/>
      <c r="S18" s="8"/>
      <c r="T18" s="8"/>
      <c r="U18" s="8"/>
      <c r="V18" s="8"/>
    </row>
    <row r="19" spans="1:22" ht="22" customHeight="1" x14ac:dyDescent="0.35">
      <c r="A19" s="8"/>
      <c r="B19" s="8"/>
      <c r="C19" s="8"/>
      <c r="D19" s="8"/>
      <c r="E19" s="8"/>
      <c r="F19" s="8"/>
      <c r="G19" s="8"/>
      <c r="H19" s="8"/>
      <c r="I19" s="8"/>
      <c r="J19" s="8"/>
      <c r="K19" s="8"/>
      <c r="L19" s="8"/>
      <c r="M19" s="8"/>
      <c r="N19" s="8"/>
      <c r="O19" s="8"/>
      <c r="P19" s="8"/>
      <c r="Q19" s="8"/>
      <c r="R19" s="8"/>
      <c r="S19" s="8"/>
      <c r="T19" s="8"/>
      <c r="U19" s="8"/>
      <c r="V19" s="8"/>
    </row>
    <row r="20" spans="1:22" ht="22" customHeight="1" x14ac:dyDescent="0.35">
      <c r="A20" s="8"/>
      <c r="B20" s="8"/>
      <c r="C20" s="8"/>
      <c r="D20" s="8"/>
      <c r="E20" s="8"/>
      <c r="F20" s="8"/>
      <c r="G20" s="8"/>
      <c r="H20" s="8"/>
      <c r="I20" s="8"/>
      <c r="J20" s="8"/>
      <c r="K20" s="8"/>
      <c r="L20" s="8"/>
      <c r="M20" s="8"/>
      <c r="N20" s="8"/>
      <c r="O20" s="8"/>
      <c r="P20" s="8"/>
      <c r="Q20" s="8"/>
      <c r="R20" s="8"/>
      <c r="S20" s="8"/>
      <c r="T20" s="8"/>
      <c r="U20" s="8"/>
      <c r="V20" s="8"/>
    </row>
    <row r="21" spans="1:22" ht="22" customHeight="1" x14ac:dyDescent="0.35">
      <c r="A21" s="8"/>
      <c r="B21" s="8"/>
      <c r="C21" s="8"/>
      <c r="D21" s="8"/>
      <c r="E21" s="8"/>
      <c r="F21" s="8"/>
      <c r="G21" s="8"/>
      <c r="H21" s="8"/>
      <c r="I21" s="8"/>
      <c r="J21" s="8"/>
      <c r="K21" s="8"/>
      <c r="L21" s="8"/>
      <c r="M21" s="8"/>
      <c r="N21" s="8"/>
      <c r="O21" s="8"/>
      <c r="P21" s="8"/>
      <c r="Q21" s="8"/>
      <c r="R21" s="8"/>
      <c r="S21" s="8"/>
      <c r="T21" s="8"/>
      <c r="U21" s="8"/>
      <c r="V21" s="8"/>
    </row>
    <row r="22" spans="1:22" ht="22" customHeight="1" x14ac:dyDescent="0.35">
      <c r="A22" s="57" t="s">
        <v>795</v>
      </c>
      <c r="B22" s="39"/>
      <c r="C22" s="39"/>
      <c r="D22" s="39"/>
      <c r="E22" s="39"/>
      <c r="F22" s="39"/>
      <c r="G22" s="39"/>
      <c r="H22" s="39"/>
      <c r="I22" s="39"/>
      <c r="J22" s="39"/>
      <c r="K22" s="39"/>
      <c r="L22" s="39"/>
      <c r="M22" s="39"/>
      <c r="N22" s="39"/>
      <c r="O22" s="39"/>
      <c r="P22" s="39"/>
      <c r="Q22" s="39"/>
      <c r="R22" s="39"/>
      <c r="S22" s="39"/>
      <c r="T22" s="39"/>
      <c r="U22" s="39"/>
      <c r="V22" s="39"/>
    </row>
    <row r="23" spans="1:22" ht="22" customHeight="1" x14ac:dyDescent="0.35">
      <c r="A23" s="39"/>
      <c r="B23" s="39"/>
      <c r="C23" s="39"/>
      <c r="D23" s="39"/>
      <c r="E23" s="39"/>
      <c r="F23" s="39"/>
      <c r="G23" s="39"/>
      <c r="H23" s="39"/>
      <c r="I23" s="39"/>
      <c r="J23" s="39"/>
      <c r="K23" s="39"/>
      <c r="L23" s="39"/>
      <c r="M23" s="39"/>
      <c r="N23" s="39"/>
      <c r="O23" s="39"/>
      <c r="P23" s="39"/>
      <c r="Q23" s="39"/>
      <c r="R23" s="39"/>
      <c r="S23" s="39"/>
      <c r="T23" s="39"/>
      <c r="U23" s="39"/>
      <c r="V23" s="39"/>
    </row>
    <row r="24" spans="1:22" ht="22" customHeight="1" x14ac:dyDescent="0.35">
      <c r="A24" s="39"/>
      <c r="B24" s="39"/>
      <c r="C24" s="39"/>
      <c r="D24" s="39"/>
      <c r="E24" s="39"/>
      <c r="F24" s="39"/>
      <c r="G24" s="39"/>
      <c r="H24" s="39"/>
      <c r="I24" s="39"/>
      <c r="J24" s="39"/>
      <c r="K24" s="39"/>
      <c r="L24" s="39"/>
      <c r="M24" s="39"/>
      <c r="N24" s="39"/>
      <c r="O24" s="39"/>
      <c r="P24" s="39"/>
      <c r="Q24" s="39"/>
      <c r="R24" s="39"/>
      <c r="S24" s="39"/>
      <c r="T24" s="39"/>
      <c r="U24" s="39"/>
      <c r="V24" s="39"/>
    </row>
    <row r="25" spans="1:22" ht="22" customHeight="1" x14ac:dyDescent="0.35">
      <c r="A25" s="8"/>
      <c r="B25" s="8"/>
      <c r="C25" s="8"/>
      <c r="D25" s="8"/>
      <c r="E25" s="8"/>
      <c r="F25" s="8"/>
      <c r="G25" s="8"/>
      <c r="H25" s="8"/>
      <c r="I25" s="8"/>
      <c r="J25" s="8"/>
      <c r="K25" s="8"/>
      <c r="L25" s="8"/>
      <c r="M25" s="8"/>
      <c r="N25" s="8"/>
      <c r="O25" s="8"/>
      <c r="P25" s="8"/>
      <c r="Q25" s="8"/>
      <c r="R25" s="8"/>
      <c r="S25" s="8"/>
      <c r="T25" s="8"/>
      <c r="U25" s="8"/>
      <c r="V25" s="8"/>
    </row>
    <row r="26" spans="1:22" ht="22" customHeight="1" x14ac:dyDescent="0.35">
      <c r="A26" s="8"/>
      <c r="B26" s="8"/>
      <c r="C26" s="8"/>
      <c r="D26" s="8"/>
      <c r="E26" s="8"/>
      <c r="F26" s="8"/>
      <c r="G26" s="8"/>
      <c r="H26" s="8"/>
      <c r="I26" s="8"/>
      <c r="J26" s="8"/>
      <c r="K26" s="8"/>
      <c r="L26" s="8"/>
      <c r="M26" s="8"/>
      <c r="N26" s="8"/>
      <c r="O26" s="8"/>
      <c r="P26" s="8"/>
      <c r="Q26" s="8"/>
      <c r="R26" s="8"/>
      <c r="S26" s="8"/>
      <c r="T26" s="8"/>
      <c r="U26" s="8"/>
      <c r="V26" s="8"/>
    </row>
    <row r="27" spans="1:22" ht="22" customHeight="1" x14ac:dyDescent="0.35">
      <c r="A27" s="8"/>
      <c r="B27" s="8"/>
      <c r="C27" s="8"/>
      <c r="D27" s="8"/>
      <c r="E27" s="8"/>
      <c r="F27" s="8"/>
      <c r="G27" s="8"/>
      <c r="H27" s="8"/>
      <c r="I27" s="8"/>
      <c r="J27" s="8"/>
      <c r="K27" s="8"/>
      <c r="L27" s="8"/>
      <c r="M27" s="8"/>
      <c r="N27" s="8"/>
      <c r="O27" s="8"/>
      <c r="P27" s="8"/>
      <c r="Q27" s="8"/>
      <c r="R27" s="8"/>
      <c r="S27" s="8"/>
      <c r="T27" s="8"/>
      <c r="U27" s="8"/>
      <c r="V27" s="8"/>
    </row>
    <row r="28" spans="1:22" ht="22" customHeight="1" x14ac:dyDescent="0.35">
      <c r="A28" s="8"/>
      <c r="B28" s="8"/>
      <c r="C28" s="8"/>
      <c r="D28" s="8"/>
      <c r="E28" s="8"/>
      <c r="F28" s="8"/>
      <c r="G28" s="8"/>
      <c r="H28" s="8"/>
      <c r="I28" s="8"/>
      <c r="J28" s="8"/>
      <c r="K28" s="8"/>
      <c r="L28" s="8"/>
      <c r="M28" s="8"/>
      <c r="N28" s="8"/>
      <c r="O28" s="8"/>
      <c r="P28" s="8"/>
      <c r="Q28" s="8"/>
      <c r="R28" s="8"/>
      <c r="S28" s="8"/>
      <c r="T28" s="8"/>
      <c r="U28" s="8"/>
      <c r="V28" s="8"/>
    </row>
    <row r="29" spans="1:22" ht="22" customHeight="1" x14ac:dyDescent="0.35">
      <c r="A29" s="8"/>
      <c r="B29" s="8"/>
      <c r="C29" s="8"/>
      <c r="D29" s="8"/>
      <c r="E29" s="8"/>
      <c r="F29" s="8"/>
      <c r="G29" s="8"/>
      <c r="H29" s="8"/>
      <c r="I29" s="8"/>
      <c r="J29" s="8"/>
      <c r="K29" s="8"/>
      <c r="L29" s="8"/>
      <c r="M29" s="8"/>
      <c r="N29" s="8"/>
      <c r="O29" s="8"/>
      <c r="P29" s="8"/>
      <c r="Q29" s="8"/>
      <c r="R29" s="8"/>
      <c r="S29" s="8"/>
      <c r="T29" s="8"/>
      <c r="U29" s="8"/>
      <c r="V29" s="8"/>
    </row>
    <row r="30" spans="1:22" ht="22" customHeight="1" x14ac:dyDescent="0.35">
      <c r="A30" s="8"/>
      <c r="B30" s="8"/>
      <c r="C30" s="8"/>
      <c r="D30" s="8"/>
      <c r="E30" s="8"/>
      <c r="F30" s="8"/>
      <c r="G30" s="8"/>
      <c r="H30" s="8"/>
      <c r="I30" s="8"/>
      <c r="J30" s="8"/>
      <c r="K30" s="8"/>
      <c r="L30" s="8"/>
      <c r="M30" s="8"/>
      <c r="N30" s="8"/>
      <c r="O30" s="8"/>
      <c r="P30" s="8"/>
      <c r="Q30" s="8"/>
      <c r="R30" s="8"/>
      <c r="S30" s="8"/>
      <c r="T30" s="8"/>
      <c r="U30" s="8"/>
      <c r="V30" s="8"/>
    </row>
    <row r="31" spans="1:22" ht="22" customHeight="1" x14ac:dyDescent="0.35">
      <c r="A31" s="8"/>
      <c r="B31" s="8"/>
      <c r="C31" s="8"/>
      <c r="D31" s="8"/>
      <c r="E31" s="8"/>
      <c r="F31" s="8"/>
      <c r="G31" s="8"/>
      <c r="H31" s="8"/>
      <c r="I31" s="8"/>
      <c r="J31" s="8"/>
      <c r="K31" s="8"/>
      <c r="L31" s="8"/>
      <c r="M31" s="8"/>
      <c r="N31" s="8"/>
      <c r="O31" s="8"/>
      <c r="P31" s="8"/>
      <c r="Q31" s="8"/>
      <c r="R31" s="8"/>
      <c r="S31" s="8"/>
      <c r="T31" s="8"/>
      <c r="U31" s="8"/>
      <c r="V31" s="8"/>
    </row>
    <row r="32" spans="1:22" ht="22" customHeight="1" x14ac:dyDescent="0.35">
      <c r="A32" s="8"/>
      <c r="B32" s="8"/>
      <c r="C32" s="8"/>
      <c r="D32" s="8"/>
      <c r="E32" s="8"/>
      <c r="F32" s="8"/>
      <c r="G32" s="8"/>
      <c r="H32" s="8"/>
      <c r="I32" s="8"/>
      <c r="J32" s="8"/>
      <c r="K32" s="8"/>
      <c r="L32" s="8"/>
      <c r="M32" s="8"/>
      <c r="N32" s="8"/>
      <c r="O32" s="8"/>
      <c r="P32" s="8"/>
      <c r="Q32" s="8"/>
      <c r="R32" s="8"/>
      <c r="S32" s="8"/>
      <c r="T32" s="8"/>
      <c r="U32" s="8"/>
      <c r="V32" s="8"/>
    </row>
    <row r="33" spans="1:22" ht="22" customHeight="1" x14ac:dyDescent="0.35">
      <c r="A33" s="8"/>
      <c r="B33" s="8"/>
      <c r="C33" s="8"/>
      <c r="D33" s="8"/>
      <c r="E33" s="8"/>
      <c r="F33" s="8"/>
      <c r="G33" s="8"/>
      <c r="H33" s="8"/>
      <c r="I33" s="8"/>
      <c r="J33" s="8"/>
      <c r="K33" s="8"/>
      <c r="L33" s="8"/>
      <c r="M33" s="8"/>
      <c r="N33" s="8"/>
      <c r="O33" s="8"/>
      <c r="P33" s="8"/>
      <c r="Q33" s="8"/>
      <c r="R33" s="8"/>
      <c r="S33" s="8"/>
      <c r="T33" s="8"/>
      <c r="U33" s="8"/>
      <c r="V33" s="8"/>
    </row>
    <row r="34" spans="1:22" ht="22" customHeight="1" x14ac:dyDescent="0.35">
      <c r="A34" s="8"/>
      <c r="B34" s="8"/>
      <c r="C34" s="8"/>
      <c r="D34" s="8"/>
      <c r="E34" s="8"/>
      <c r="F34" s="8"/>
      <c r="G34" s="8"/>
      <c r="H34" s="8"/>
      <c r="I34" s="8"/>
      <c r="J34" s="8"/>
      <c r="K34" s="8"/>
      <c r="L34" s="8"/>
      <c r="M34" s="8"/>
      <c r="N34" s="8"/>
      <c r="O34" s="8"/>
      <c r="P34" s="8"/>
      <c r="Q34" s="8"/>
      <c r="R34" s="8"/>
      <c r="S34" s="8"/>
      <c r="T34" s="8"/>
      <c r="U34" s="8"/>
      <c r="V34" s="8"/>
    </row>
    <row r="35" spans="1:22" ht="22" customHeight="1" x14ac:dyDescent="0.35">
      <c r="A35" s="8"/>
      <c r="B35" s="8"/>
      <c r="C35" s="8"/>
      <c r="D35" s="8"/>
      <c r="E35" s="8"/>
      <c r="F35" s="8"/>
      <c r="G35" s="8"/>
      <c r="H35" s="8"/>
      <c r="I35" s="8"/>
      <c r="J35" s="8"/>
      <c r="K35" s="8"/>
      <c r="L35" s="8"/>
      <c r="M35" s="8"/>
      <c r="N35" s="8"/>
      <c r="O35" s="8"/>
      <c r="P35" s="8"/>
      <c r="Q35" s="8"/>
      <c r="R35" s="8"/>
      <c r="S35" s="8"/>
      <c r="T35" s="8"/>
      <c r="U35" s="8"/>
      <c r="V35" s="8"/>
    </row>
    <row r="36" spans="1:22" ht="22" customHeight="1" x14ac:dyDescent="0.35">
      <c r="A36" s="8"/>
      <c r="B36" s="8"/>
      <c r="C36" s="8"/>
      <c r="D36" s="8"/>
      <c r="E36" s="8"/>
      <c r="F36" s="8"/>
      <c r="G36" s="8"/>
      <c r="H36" s="8"/>
      <c r="I36" s="8"/>
      <c r="J36" s="8"/>
      <c r="K36" s="8"/>
      <c r="L36" s="8"/>
      <c r="M36" s="8"/>
      <c r="N36" s="8"/>
      <c r="O36" s="8"/>
      <c r="P36" s="8"/>
      <c r="Q36" s="8"/>
      <c r="R36" s="8"/>
      <c r="S36" s="8"/>
      <c r="T36" s="8"/>
      <c r="U36" s="8"/>
      <c r="V36" s="8"/>
    </row>
    <row r="37" spans="1:22" ht="22" customHeight="1" x14ac:dyDescent="0.35">
      <c r="A37" s="8"/>
      <c r="B37" s="8"/>
      <c r="C37" s="8"/>
      <c r="D37" s="8"/>
      <c r="E37" s="8"/>
      <c r="F37" s="8"/>
      <c r="G37" s="8"/>
      <c r="H37" s="8"/>
      <c r="I37" s="8"/>
      <c r="J37" s="8"/>
      <c r="K37" s="8"/>
      <c r="L37" s="8"/>
      <c r="M37" s="8"/>
      <c r="N37" s="8"/>
      <c r="O37" s="8"/>
      <c r="P37" s="8"/>
      <c r="Q37" s="8"/>
      <c r="R37" s="8"/>
      <c r="S37" s="8"/>
      <c r="T37" s="8"/>
      <c r="U37" s="8"/>
      <c r="V37" s="8"/>
    </row>
    <row r="38" spans="1:22" ht="22" customHeight="1" x14ac:dyDescent="0.35">
      <c r="A38" s="8"/>
      <c r="B38" s="8"/>
      <c r="C38" s="8"/>
      <c r="D38" s="8"/>
      <c r="E38" s="8"/>
      <c r="F38" s="8"/>
      <c r="G38" s="8"/>
      <c r="H38" s="8"/>
      <c r="I38" s="8"/>
      <c r="J38" s="8"/>
      <c r="K38" s="8"/>
      <c r="L38" s="8"/>
      <c r="M38" s="8"/>
      <c r="N38" s="8"/>
      <c r="O38" s="8"/>
      <c r="P38" s="8"/>
      <c r="Q38" s="8"/>
      <c r="R38" s="8"/>
      <c r="S38" s="8"/>
      <c r="T38" s="8"/>
      <c r="U38" s="8"/>
      <c r="V38" s="8"/>
    </row>
    <row r="39" spans="1:22" ht="22" customHeight="1" x14ac:dyDescent="0.35">
      <c r="A39" s="8"/>
      <c r="B39" s="8"/>
      <c r="C39" s="8"/>
      <c r="D39" s="8"/>
      <c r="E39" s="8"/>
      <c r="F39" s="8"/>
      <c r="G39" s="8"/>
      <c r="H39" s="8"/>
      <c r="I39" s="8"/>
      <c r="J39" s="8"/>
      <c r="K39" s="8"/>
      <c r="L39" s="8"/>
      <c r="M39" s="8"/>
      <c r="N39" s="8"/>
      <c r="O39" s="8"/>
      <c r="P39" s="8"/>
      <c r="Q39" s="8"/>
      <c r="R39" s="8"/>
      <c r="S39" s="8"/>
      <c r="T39" s="8"/>
      <c r="U39" s="8"/>
      <c r="V39" s="8"/>
    </row>
    <row r="40" spans="1:22" ht="22" customHeight="1" x14ac:dyDescent="0.35">
      <c r="A40" s="8"/>
      <c r="B40" s="8"/>
      <c r="C40" s="8"/>
      <c r="D40" s="8"/>
      <c r="E40" s="8"/>
      <c r="F40" s="8"/>
      <c r="G40" s="8"/>
      <c r="H40" s="8"/>
      <c r="I40" s="8"/>
      <c r="J40" s="8"/>
      <c r="K40" s="8"/>
      <c r="L40" s="8"/>
      <c r="M40" s="8"/>
      <c r="N40" s="8"/>
      <c r="O40" s="8"/>
      <c r="P40" s="8"/>
      <c r="Q40" s="8"/>
      <c r="R40" s="8"/>
      <c r="S40" s="8"/>
      <c r="T40" s="8"/>
      <c r="U40" s="8"/>
      <c r="V40" s="8"/>
    </row>
    <row r="41" spans="1:22" ht="22" customHeight="1" x14ac:dyDescent="0.35">
      <c r="A41" s="8"/>
      <c r="B41" s="8"/>
      <c r="C41" s="8"/>
      <c r="D41" s="8"/>
      <c r="E41" s="8"/>
      <c r="F41" s="8"/>
      <c r="G41" s="8"/>
      <c r="H41" s="8"/>
      <c r="I41" s="8"/>
      <c r="J41" s="8"/>
      <c r="K41" s="8"/>
      <c r="L41" s="8"/>
      <c r="M41" s="8"/>
      <c r="N41" s="8"/>
      <c r="O41" s="8"/>
      <c r="P41" s="8"/>
      <c r="Q41" s="8"/>
      <c r="R41" s="8"/>
      <c r="S41" s="8"/>
      <c r="T41" s="8"/>
      <c r="U41" s="8"/>
      <c r="V41" s="8"/>
    </row>
    <row r="42" spans="1:22" ht="22" customHeight="1" x14ac:dyDescent="0.35">
      <c r="A42" s="8"/>
      <c r="B42" s="8"/>
      <c r="C42" s="8"/>
      <c r="D42" s="8"/>
      <c r="E42" s="8"/>
      <c r="F42" s="8"/>
      <c r="G42" s="8"/>
      <c r="H42" s="8"/>
      <c r="I42" s="8"/>
      <c r="J42" s="8"/>
      <c r="K42" s="8"/>
      <c r="L42" s="8"/>
      <c r="M42" s="8"/>
      <c r="N42" s="8"/>
      <c r="O42" s="8"/>
      <c r="P42" s="8"/>
      <c r="Q42" s="8"/>
      <c r="R42" s="8"/>
      <c r="S42" s="8"/>
      <c r="T42" s="8"/>
      <c r="U42" s="8"/>
      <c r="V42" s="8"/>
    </row>
    <row r="43" spans="1:22" ht="22" customHeight="1" x14ac:dyDescent="0.35">
      <c r="A43" s="8"/>
      <c r="B43" s="8"/>
      <c r="C43" s="8"/>
      <c r="D43" s="8"/>
      <c r="E43" s="8"/>
      <c r="F43" s="8"/>
      <c r="G43" s="8"/>
      <c r="H43" s="8"/>
      <c r="I43" s="8"/>
      <c r="J43" s="8"/>
      <c r="K43" s="8"/>
      <c r="L43" s="8"/>
      <c r="M43" s="8"/>
      <c r="N43" s="8"/>
      <c r="O43" s="8"/>
      <c r="P43" s="8"/>
      <c r="Q43" s="8"/>
      <c r="R43" s="8"/>
      <c r="S43" s="8"/>
      <c r="T43" s="8"/>
      <c r="U43" s="8"/>
      <c r="V43" s="8"/>
    </row>
    <row r="44" spans="1:22" ht="22" customHeight="1" x14ac:dyDescent="0.35">
      <c r="A44" s="8"/>
      <c r="B44" s="8"/>
      <c r="C44" s="8"/>
      <c r="D44" s="8"/>
      <c r="E44" s="8"/>
      <c r="F44" s="8"/>
      <c r="G44" s="8"/>
      <c r="H44" s="8"/>
      <c r="I44" s="8"/>
      <c r="J44" s="8"/>
      <c r="K44" s="8"/>
      <c r="L44" s="8"/>
      <c r="M44" s="8"/>
      <c r="N44" s="8"/>
      <c r="O44" s="8"/>
      <c r="P44" s="8"/>
      <c r="Q44" s="8"/>
      <c r="R44" s="8"/>
      <c r="S44" s="8"/>
      <c r="T44" s="8"/>
      <c r="U44" s="8"/>
      <c r="V44" s="8"/>
    </row>
    <row r="45" spans="1:22" ht="22" customHeight="1" x14ac:dyDescent="0.35">
      <c r="A45" s="8"/>
      <c r="B45" s="8"/>
      <c r="C45" s="8"/>
      <c r="D45" s="8"/>
      <c r="E45" s="8"/>
      <c r="F45" s="8"/>
      <c r="G45" s="8"/>
      <c r="H45" s="8"/>
      <c r="I45" s="8"/>
      <c r="J45" s="8"/>
      <c r="K45" s="8"/>
      <c r="L45" s="8"/>
      <c r="M45" s="8"/>
      <c r="N45" s="8"/>
      <c r="O45" s="8"/>
      <c r="P45" s="8"/>
      <c r="Q45" s="8"/>
      <c r="R45" s="8"/>
      <c r="S45" s="8"/>
      <c r="T45" s="8"/>
      <c r="U45" s="8"/>
      <c r="V45" s="8"/>
    </row>
    <row r="46" spans="1:22" ht="22" customHeight="1" x14ac:dyDescent="0.35">
      <c r="A46" s="8"/>
      <c r="B46" s="8"/>
      <c r="C46" s="8"/>
      <c r="D46" s="8"/>
      <c r="E46" s="8"/>
      <c r="F46" s="8"/>
      <c r="G46" s="8"/>
      <c r="H46" s="8"/>
      <c r="I46" s="8"/>
      <c r="J46" s="8"/>
      <c r="K46" s="8"/>
      <c r="L46" s="8"/>
      <c r="M46" s="8"/>
      <c r="N46" s="8"/>
      <c r="O46" s="8"/>
      <c r="P46" s="8"/>
      <c r="Q46" s="8"/>
      <c r="R46" s="8"/>
      <c r="S46" s="8"/>
      <c r="T46" s="8"/>
      <c r="U46" s="8"/>
      <c r="V46" s="8"/>
    </row>
    <row r="47" spans="1:22" ht="22" customHeight="1" x14ac:dyDescent="0.35">
      <c r="A47" s="8"/>
      <c r="B47" s="8"/>
      <c r="C47" s="8"/>
      <c r="D47" s="8"/>
      <c r="E47" s="8"/>
      <c r="F47" s="8"/>
      <c r="G47" s="8"/>
      <c r="H47" s="8"/>
      <c r="I47" s="8"/>
      <c r="J47" s="8"/>
      <c r="K47" s="8"/>
      <c r="L47" s="8"/>
      <c r="M47" s="8"/>
      <c r="N47" s="8"/>
      <c r="O47" s="8"/>
      <c r="P47" s="8"/>
      <c r="Q47" s="8"/>
      <c r="R47" s="8"/>
      <c r="S47" s="8"/>
      <c r="T47" s="8"/>
      <c r="U47" s="8"/>
      <c r="V47" s="8"/>
    </row>
    <row r="48" spans="1:22" ht="22" customHeight="1" x14ac:dyDescent="0.35">
      <c r="A48" s="8"/>
      <c r="B48" s="8"/>
      <c r="C48" s="8"/>
      <c r="D48" s="8"/>
      <c r="E48" s="8"/>
      <c r="F48" s="8"/>
      <c r="G48" s="8"/>
      <c r="H48" s="8"/>
      <c r="I48" s="8"/>
      <c r="J48" s="8"/>
      <c r="K48" s="8"/>
      <c r="L48" s="8"/>
      <c r="M48" s="8"/>
      <c r="N48" s="8"/>
      <c r="O48" s="8"/>
      <c r="P48" s="8"/>
      <c r="Q48" s="8"/>
      <c r="R48" s="8"/>
      <c r="S48" s="8"/>
      <c r="T48" s="8"/>
      <c r="U48" s="8"/>
      <c r="V48" s="8"/>
    </row>
    <row r="49" spans="1:22" ht="22" customHeight="1" x14ac:dyDescent="0.35">
      <c r="A49" s="8"/>
      <c r="B49" s="8"/>
      <c r="C49" s="8"/>
      <c r="D49" s="8"/>
      <c r="E49" s="8"/>
      <c r="F49" s="8"/>
      <c r="G49" s="8"/>
      <c r="H49" s="8"/>
      <c r="I49" s="8"/>
      <c r="J49" s="8"/>
      <c r="K49" s="8"/>
      <c r="L49" s="8"/>
      <c r="M49" s="8"/>
      <c r="N49" s="8"/>
      <c r="O49" s="8"/>
      <c r="P49" s="8"/>
      <c r="Q49" s="8"/>
      <c r="R49" s="8"/>
      <c r="S49" s="8"/>
      <c r="T49" s="8"/>
      <c r="U49" s="8"/>
      <c r="V49" s="8"/>
    </row>
    <row r="50" spans="1:22" ht="22" customHeight="1" x14ac:dyDescent="0.35">
      <c r="A50" s="8"/>
      <c r="B50" s="8"/>
      <c r="C50" s="8"/>
      <c r="D50" s="8"/>
      <c r="E50" s="8"/>
      <c r="F50" s="8"/>
      <c r="G50" s="8"/>
      <c r="H50" s="8"/>
      <c r="I50" s="8"/>
      <c r="J50" s="8"/>
      <c r="K50" s="8"/>
      <c r="L50" s="8"/>
      <c r="M50" s="8"/>
      <c r="N50" s="8"/>
      <c r="O50" s="8"/>
      <c r="P50" s="8"/>
      <c r="Q50" s="8"/>
      <c r="R50" s="8"/>
      <c r="S50" s="8"/>
      <c r="T50" s="8"/>
      <c r="U50" s="8"/>
      <c r="V50" s="8"/>
    </row>
    <row r="51" spans="1:22" ht="22" customHeight="1" x14ac:dyDescent="0.35">
      <c r="A51" s="8"/>
      <c r="B51" s="8"/>
      <c r="C51" s="8"/>
      <c r="D51" s="8"/>
      <c r="E51" s="8"/>
      <c r="F51" s="8"/>
      <c r="G51" s="8"/>
      <c r="H51" s="8"/>
      <c r="I51" s="8"/>
      <c r="J51" s="8"/>
      <c r="K51" s="8"/>
      <c r="L51" s="8"/>
      <c r="M51" s="8"/>
      <c r="N51" s="8"/>
      <c r="O51" s="8"/>
      <c r="P51" s="8"/>
      <c r="Q51" s="8"/>
      <c r="R51" s="8"/>
      <c r="S51" s="8"/>
      <c r="T51" s="8"/>
      <c r="U51" s="8"/>
      <c r="V51" s="8"/>
    </row>
    <row r="52" spans="1:22" ht="22" customHeight="1" x14ac:dyDescent="0.35">
      <c r="A52" s="8"/>
      <c r="B52" s="8"/>
      <c r="C52" s="8"/>
      <c r="D52" s="8"/>
      <c r="E52" s="8"/>
      <c r="F52" s="8"/>
      <c r="G52" s="8"/>
      <c r="H52" s="8"/>
      <c r="I52" s="8"/>
      <c r="J52" s="8"/>
      <c r="K52" s="8"/>
      <c r="L52" s="8"/>
      <c r="M52" s="8"/>
      <c r="N52" s="8"/>
      <c r="O52" s="8"/>
      <c r="P52" s="8"/>
      <c r="Q52" s="8"/>
      <c r="R52" s="8"/>
      <c r="S52" s="8"/>
      <c r="T52" s="8"/>
      <c r="U52" s="8"/>
      <c r="V52" s="8"/>
    </row>
    <row r="53" spans="1:22" ht="22" customHeight="1" x14ac:dyDescent="0.35">
      <c r="A53" s="8"/>
      <c r="B53" s="8"/>
      <c r="C53" s="8"/>
      <c r="D53" s="8"/>
      <c r="E53" s="8"/>
      <c r="F53" s="8"/>
      <c r="G53" s="8"/>
      <c r="H53" s="8"/>
      <c r="I53" s="8"/>
      <c r="J53" s="8"/>
      <c r="K53" s="8"/>
      <c r="L53" s="8"/>
      <c r="M53" s="8"/>
      <c r="N53" s="8"/>
      <c r="O53" s="8"/>
      <c r="P53" s="8"/>
      <c r="Q53" s="8"/>
      <c r="R53" s="8"/>
      <c r="S53" s="8"/>
      <c r="T53" s="8"/>
      <c r="U53" s="8"/>
      <c r="V53" s="8"/>
    </row>
    <row r="54" spans="1:22" ht="22" customHeight="1" x14ac:dyDescent="0.35">
      <c r="A54" s="8"/>
      <c r="B54" s="8"/>
      <c r="C54" s="8"/>
      <c r="D54" s="8"/>
      <c r="E54" s="8"/>
      <c r="F54" s="8"/>
      <c r="G54" s="8"/>
      <c r="H54" s="8"/>
      <c r="I54" s="8"/>
      <c r="J54" s="8"/>
      <c r="K54" s="8"/>
      <c r="L54" s="8"/>
      <c r="M54" s="8"/>
      <c r="N54" s="8"/>
      <c r="O54" s="8"/>
      <c r="P54" s="8"/>
      <c r="Q54" s="8"/>
      <c r="R54" s="8"/>
      <c r="S54" s="8"/>
      <c r="T54" s="8"/>
      <c r="U54" s="8"/>
      <c r="V54" s="8"/>
    </row>
    <row r="55" spans="1:22" ht="22" customHeight="1" x14ac:dyDescent="0.35">
      <c r="A55" s="8"/>
      <c r="B55" s="8"/>
      <c r="C55" s="8"/>
      <c r="D55" s="8"/>
      <c r="E55" s="8"/>
      <c r="F55" s="8"/>
      <c r="G55" s="8"/>
      <c r="H55" s="8"/>
      <c r="I55" s="8"/>
      <c r="J55" s="8"/>
      <c r="K55" s="8"/>
      <c r="L55" s="8"/>
      <c r="M55" s="8"/>
      <c r="N55" s="8"/>
      <c r="O55" s="8"/>
      <c r="P55" s="8"/>
      <c r="Q55" s="8"/>
      <c r="R55" s="8"/>
      <c r="S55" s="8"/>
      <c r="T55" s="8"/>
      <c r="U55" s="8"/>
      <c r="V55" s="8"/>
    </row>
    <row r="56" spans="1:22" ht="22" customHeight="1" x14ac:dyDescent="0.35">
      <c r="A56" s="8"/>
      <c r="B56" s="8"/>
      <c r="C56" s="8"/>
      <c r="D56" s="8"/>
      <c r="E56" s="8"/>
      <c r="F56" s="8"/>
      <c r="G56" s="8"/>
      <c r="H56" s="8"/>
      <c r="I56" s="8"/>
      <c r="J56" s="8"/>
      <c r="K56" s="8"/>
      <c r="L56" s="8"/>
      <c r="M56" s="8"/>
      <c r="N56" s="8"/>
      <c r="O56" s="8"/>
      <c r="P56" s="8"/>
      <c r="Q56" s="8"/>
      <c r="R56" s="8"/>
      <c r="S56" s="8"/>
      <c r="T56" s="8"/>
      <c r="U56" s="8"/>
      <c r="V56" s="8"/>
    </row>
    <row r="57" spans="1:22" ht="22" customHeight="1" x14ac:dyDescent="0.35">
      <c r="A57" s="8"/>
      <c r="B57" s="8"/>
      <c r="C57" s="8"/>
      <c r="D57" s="8"/>
      <c r="E57" s="8"/>
      <c r="F57" s="8"/>
      <c r="G57" s="8"/>
      <c r="H57" s="8"/>
      <c r="I57" s="8"/>
      <c r="J57" s="8"/>
      <c r="K57" s="8"/>
      <c r="L57" s="8"/>
      <c r="M57" s="8"/>
      <c r="N57" s="8"/>
      <c r="O57" s="8"/>
      <c r="P57" s="8"/>
      <c r="Q57" s="8"/>
      <c r="R57" s="8"/>
      <c r="S57" s="8"/>
      <c r="T57" s="8"/>
      <c r="U57" s="8"/>
      <c r="V57" s="8"/>
    </row>
    <row r="58" spans="1:22" ht="22" customHeight="1" x14ac:dyDescent="0.35">
      <c r="A58" s="8"/>
      <c r="B58" s="8"/>
      <c r="C58" s="8"/>
      <c r="D58" s="8"/>
      <c r="E58" s="8"/>
      <c r="F58" s="8"/>
      <c r="G58" s="8"/>
      <c r="H58" s="8"/>
      <c r="I58" s="8"/>
      <c r="J58" s="8"/>
      <c r="K58" s="8"/>
      <c r="L58" s="8"/>
      <c r="M58" s="8"/>
      <c r="N58" s="8"/>
      <c r="O58" s="8"/>
      <c r="P58" s="8"/>
      <c r="Q58" s="8"/>
      <c r="R58" s="8"/>
      <c r="S58" s="8"/>
      <c r="T58" s="8"/>
      <c r="U58" s="8"/>
      <c r="V58" s="8"/>
    </row>
    <row r="59" spans="1:22" ht="22" customHeight="1" x14ac:dyDescent="0.35">
      <c r="A59" s="8"/>
      <c r="B59" s="8"/>
      <c r="C59" s="8"/>
      <c r="D59" s="8"/>
      <c r="E59" s="8"/>
      <c r="F59" s="8"/>
      <c r="G59" s="8"/>
      <c r="H59" s="8"/>
      <c r="I59" s="8"/>
      <c r="J59" s="8"/>
      <c r="K59" s="8"/>
      <c r="L59" s="8"/>
      <c r="M59" s="8"/>
      <c r="N59" s="8"/>
      <c r="O59" s="8"/>
      <c r="P59" s="8"/>
      <c r="Q59" s="8"/>
      <c r="R59" s="8"/>
      <c r="S59" s="8"/>
      <c r="T59" s="8"/>
      <c r="U59" s="8"/>
      <c r="V59" s="8"/>
    </row>
    <row r="60" spans="1:22" ht="22" customHeight="1" x14ac:dyDescent="0.35">
      <c r="A60" s="8"/>
      <c r="B60" s="8"/>
      <c r="C60" s="8"/>
      <c r="D60" s="8"/>
      <c r="E60" s="8"/>
      <c r="F60" s="8"/>
      <c r="G60" s="8"/>
      <c r="H60" s="8"/>
      <c r="I60" s="8"/>
      <c r="J60" s="8"/>
      <c r="K60" s="8"/>
      <c r="L60" s="8"/>
      <c r="M60" s="8"/>
      <c r="N60" s="8"/>
      <c r="O60" s="8"/>
      <c r="P60" s="8"/>
      <c r="Q60" s="8"/>
      <c r="R60" s="8"/>
      <c r="S60" s="8"/>
      <c r="T60" s="8"/>
      <c r="U60" s="8"/>
      <c r="V60" s="8"/>
    </row>
    <row r="61" spans="1:22" ht="22" customHeight="1" x14ac:dyDescent="0.35">
      <c r="A61" s="8"/>
      <c r="B61" s="8"/>
      <c r="C61" s="8"/>
      <c r="D61" s="8"/>
      <c r="E61" s="8"/>
      <c r="F61" s="8"/>
      <c r="G61" s="8"/>
      <c r="H61" s="8"/>
      <c r="I61" s="8"/>
      <c r="J61" s="8"/>
      <c r="K61" s="8"/>
      <c r="L61" s="8"/>
      <c r="M61" s="8"/>
      <c r="N61" s="8"/>
      <c r="O61" s="8"/>
      <c r="P61" s="8"/>
      <c r="Q61" s="8"/>
      <c r="R61" s="8"/>
      <c r="S61" s="8"/>
      <c r="T61" s="8"/>
      <c r="U61" s="8"/>
      <c r="V61" s="8"/>
    </row>
    <row r="62" spans="1:22" ht="22" customHeight="1" x14ac:dyDescent="0.35">
      <c r="A62" s="8"/>
      <c r="B62" s="8"/>
      <c r="C62" s="8"/>
      <c r="D62" s="8"/>
      <c r="E62" s="8"/>
      <c r="F62" s="8"/>
      <c r="G62" s="8"/>
      <c r="H62" s="8"/>
      <c r="I62" s="8"/>
      <c r="J62" s="8"/>
      <c r="K62" s="8"/>
      <c r="L62" s="8"/>
      <c r="M62" s="8"/>
      <c r="N62" s="8"/>
      <c r="O62" s="8"/>
      <c r="P62" s="8"/>
      <c r="Q62" s="8"/>
      <c r="R62" s="8"/>
      <c r="S62" s="8"/>
      <c r="T62" s="8"/>
      <c r="U62" s="8"/>
      <c r="V62" s="8"/>
    </row>
    <row r="63" spans="1:22" ht="22" customHeight="1" x14ac:dyDescent="0.35">
      <c r="A63" s="8"/>
      <c r="B63" s="8"/>
      <c r="C63" s="8"/>
      <c r="D63" s="8"/>
      <c r="E63" s="8"/>
      <c r="F63" s="8"/>
      <c r="G63" s="8"/>
      <c r="H63" s="8"/>
      <c r="I63" s="8"/>
      <c r="J63" s="8"/>
      <c r="K63" s="8"/>
      <c r="L63" s="8"/>
      <c r="M63" s="8"/>
      <c r="N63" s="8"/>
      <c r="O63" s="8"/>
      <c r="P63" s="8"/>
      <c r="Q63" s="8"/>
      <c r="R63" s="8"/>
      <c r="S63" s="8"/>
      <c r="T63" s="8"/>
      <c r="U63" s="8"/>
      <c r="V63" s="8"/>
    </row>
    <row r="64" spans="1:22" ht="22" customHeight="1" x14ac:dyDescent="0.35">
      <c r="A64" s="8"/>
      <c r="B64" s="8"/>
      <c r="C64" s="8"/>
      <c r="D64" s="8"/>
      <c r="E64" s="8"/>
      <c r="F64" s="8"/>
      <c r="G64" s="8"/>
      <c r="H64" s="8"/>
      <c r="I64" s="8"/>
      <c r="J64" s="8"/>
      <c r="K64" s="8"/>
      <c r="L64" s="8"/>
      <c r="M64" s="8"/>
      <c r="N64" s="8"/>
      <c r="O64" s="8"/>
      <c r="P64" s="8"/>
      <c r="Q64" s="8"/>
      <c r="R64" s="8"/>
      <c r="S64" s="8"/>
      <c r="T64" s="8"/>
      <c r="U64" s="8"/>
      <c r="V64" s="8"/>
    </row>
    <row r="65" spans="1:22" ht="22" customHeight="1" x14ac:dyDescent="0.35">
      <c r="A65" s="8"/>
      <c r="B65" s="8"/>
      <c r="C65" s="8"/>
      <c r="D65" s="8"/>
      <c r="E65" s="8"/>
      <c r="F65" s="8"/>
      <c r="G65" s="8"/>
      <c r="H65" s="8"/>
      <c r="I65" s="8"/>
      <c r="J65" s="8"/>
      <c r="K65" s="8"/>
      <c r="L65" s="8"/>
      <c r="M65" s="8"/>
      <c r="N65" s="8"/>
      <c r="O65" s="8"/>
      <c r="P65" s="8"/>
      <c r="Q65" s="8"/>
      <c r="R65" s="8"/>
      <c r="S65" s="8"/>
      <c r="T65" s="8"/>
      <c r="U65" s="8"/>
      <c r="V65" s="8"/>
    </row>
    <row r="66" spans="1:22" ht="22" customHeight="1" x14ac:dyDescent="0.35">
      <c r="A66" s="8"/>
      <c r="B66" s="8"/>
      <c r="C66" s="8"/>
      <c r="D66" s="8"/>
      <c r="E66" s="8"/>
      <c r="F66" s="8"/>
      <c r="G66" s="8"/>
      <c r="H66" s="8"/>
      <c r="I66" s="8"/>
      <c r="J66" s="8"/>
      <c r="K66" s="8"/>
      <c r="L66" s="8"/>
      <c r="M66" s="8"/>
      <c r="N66" s="8"/>
      <c r="O66" s="8"/>
      <c r="P66" s="8"/>
      <c r="Q66" s="8"/>
      <c r="R66" s="8"/>
      <c r="S66" s="8"/>
      <c r="T66" s="8"/>
      <c r="U66" s="8"/>
      <c r="V66" s="8"/>
    </row>
    <row r="67" spans="1:22" ht="22" customHeight="1" x14ac:dyDescent="0.35">
      <c r="A67" s="8"/>
      <c r="B67" s="8"/>
      <c r="C67" s="8"/>
      <c r="D67" s="8"/>
      <c r="E67" s="8"/>
      <c r="F67" s="8"/>
      <c r="G67" s="8"/>
      <c r="H67" s="8"/>
      <c r="I67" s="8"/>
      <c r="J67" s="8"/>
      <c r="K67" s="8"/>
      <c r="L67" s="8"/>
      <c r="M67" s="8"/>
      <c r="N67" s="8"/>
      <c r="O67" s="8"/>
      <c r="P67" s="8"/>
      <c r="Q67" s="8"/>
      <c r="R67" s="8"/>
      <c r="S67" s="8"/>
      <c r="T67" s="8"/>
      <c r="U67" s="8"/>
      <c r="V67" s="8"/>
    </row>
    <row r="68" spans="1:22" ht="22" customHeight="1" x14ac:dyDescent="0.35">
      <c r="A68" s="8"/>
      <c r="B68" s="8"/>
      <c r="C68" s="8"/>
      <c r="D68" s="8"/>
      <c r="E68" s="8"/>
      <c r="F68" s="8"/>
      <c r="G68" s="8"/>
      <c r="H68" s="8"/>
      <c r="I68" s="8"/>
      <c r="J68" s="8"/>
      <c r="K68" s="8"/>
      <c r="L68" s="8"/>
      <c r="M68" s="8"/>
      <c r="N68" s="8"/>
      <c r="O68" s="8"/>
      <c r="P68" s="8"/>
      <c r="Q68" s="8"/>
      <c r="R68" s="8"/>
      <c r="S68" s="8"/>
      <c r="T68" s="8"/>
      <c r="U68" s="8"/>
      <c r="V68" s="8"/>
    </row>
    <row r="69" spans="1:22" ht="22" customHeight="1" x14ac:dyDescent="0.35">
      <c r="A69" s="8"/>
      <c r="B69" s="8"/>
      <c r="C69" s="8"/>
      <c r="D69" s="8"/>
      <c r="E69" s="8"/>
      <c r="F69" s="8"/>
      <c r="G69" s="8"/>
      <c r="H69" s="8"/>
      <c r="I69" s="8"/>
      <c r="J69" s="8"/>
      <c r="K69" s="8"/>
      <c r="L69" s="8"/>
      <c r="M69" s="8"/>
      <c r="N69" s="8"/>
      <c r="O69" s="8"/>
      <c r="P69" s="8"/>
      <c r="Q69" s="8"/>
      <c r="R69" s="8"/>
      <c r="S69" s="8"/>
      <c r="T69" s="8"/>
      <c r="U69" s="8"/>
      <c r="V69" s="8"/>
    </row>
    <row r="70" spans="1:22" ht="22" customHeight="1" x14ac:dyDescent="0.35">
      <c r="A70" s="8"/>
      <c r="B70" s="8"/>
      <c r="C70" s="8"/>
      <c r="D70" s="8"/>
      <c r="E70" s="8"/>
      <c r="F70" s="8"/>
      <c r="G70" s="8"/>
      <c r="H70" s="8"/>
      <c r="I70" s="8"/>
      <c r="J70" s="8"/>
      <c r="K70" s="8"/>
      <c r="L70" s="8"/>
      <c r="M70" s="8"/>
      <c r="N70" s="8"/>
      <c r="O70" s="8"/>
      <c r="P70" s="8"/>
      <c r="Q70" s="8"/>
      <c r="R70" s="8"/>
      <c r="S70" s="8"/>
      <c r="T70" s="8"/>
      <c r="U70" s="8"/>
      <c r="V70" s="8"/>
    </row>
    <row r="71" spans="1:22" ht="22" customHeight="1" x14ac:dyDescent="0.35">
      <c r="A71" s="8"/>
      <c r="B71" s="8"/>
      <c r="C71" s="8"/>
      <c r="D71" s="8"/>
      <c r="E71" s="8"/>
      <c r="F71" s="8"/>
      <c r="G71" s="8"/>
      <c r="H71" s="8"/>
      <c r="I71" s="8"/>
      <c r="J71" s="8"/>
      <c r="K71" s="8"/>
      <c r="L71" s="8"/>
      <c r="M71" s="8"/>
      <c r="N71" s="8"/>
      <c r="O71" s="8"/>
      <c r="P71" s="8"/>
      <c r="Q71" s="8"/>
      <c r="R71" s="8"/>
      <c r="S71" s="8"/>
      <c r="T71" s="8"/>
      <c r="U71" s="8"/>
      <c r="V71" s="8"/>
    </row>
    <row r="72" spans="1:22" ht="22" customHeight="1" x14ac:dyDescent="0.35">
      <c r="A72" s="8"/>
      <c r="B72" s="8"/>
      <c r="C72" s="8"/>
      <c r="D72" s="8"/>
      <c r="E72" s="8"/>
      <c r="F72" s="8"/>
      <c r="G72" s="8"/>
      <c r="H72" s="8"/>
      <c r="I72" s="8"/>
      <c r="J72" s="8"/>
      <c r="K72" s="8"/>
      <c r="L72" s="8"/>
      <c r="M72" s="8"/>
      <c r="N72" s="8"/>
      <c r="O72" s="8"/>
      <c r="P72" s="8"/>
      <c r="Q72" s="8"/>
      <c r="R72" s="8"/>
      <c r="S72" s="8"/>
      <c r="T72" s="8"/>
      <c r="U72" s="8"/>
      <c r="V72" s="8"/>
    </row>
    <row r="73" spans="1:22" ht="22" customHeight="1" x14ac:dyDescent="0.35">
      <c r="A73" s="8"/>
      <c r="B73" s="8"/>
      <c r="C73" s="8"/>
      <c r="D73" s="8"/>
      <c r="E73" s="8"/>
      <c r="F73" s="8"/>
      <c r="G73" s="8"/>
      <c r="H73" s="8"/>
      <c r="I73" s="8"/>
      <c r="J73" s="8"/>
      <c r="K73" s="8"/>
      <c r="L73" s="8"/>
      <c r="M73" s="8"/>
      <c r="N73" s="8"/>
      <c r="O73" s="8"/>
      <c r="P73" s="8"/>
      <c r="Q73" s="8"/>
      <c r="R73" s="8"/>
      <c r="S73" s="8"/>
      <c r="T73" s="8"/>
      <c r="U73" s="8"/>
      <c r="V73" s="8"/>
    </row>
    <row r="74" spans="1:22" ht="22" customHeight="1" x14ac:dyDescent="0.35">
      <c r="A74" s="8"/>
      <c r="B74" s="8"/>
      <c r="C74" s="8"/>
      <c r="D74" s="8"/>
      <c r="E74" s="8"/>
      <c r="F74" s="8"/>
      <c r="G74" s="8"/>
      <c r="H74" s="8"/>
      <c r="I74" s="8"/>
      <c r="J74" s="8"/>
      <c r="K74" s="8"/>
      <c r="L74" s="8"/>
      <c r="M74" s="8"/>
      <c r="N74" s="8"/>
      <c r="O74" s="8"/>
      <c r="P74" s="8"/>
      <c r="Q74" s="8"/>
      <c r="R74" s="8"/>
      <c r="S74" s="8"/>
      <c r="T74" s="8"/>
      <c r="U74" s="8"/>
      <c r="V74" s="8"/>
    </row>
    <row r="75" spans="1:22" ht="22" customHeight="1" x14ac:dyDescent="0.35">
      <c r="A75" s="8"/>
      <c r="B75" s="8"/>
      <c r="C75" s="8"/>
      <c r="D75" s="8"/>
      <c r="E75" s="8"/>
      <c r="F75" s="8"/>
      <c r="G75" s="8"/>
      <c r="H75" s="8"/>
      <c r="I75" s="8"/>
      <c r="J75" s="8"/>
      <c r="K75" s="8"/>
      <c r="L75" s="8"/>
      <c r="M75" s="8"/>
      <c r="N75" s="8"/>
      <c r="O75" s="8"/>
      <c r="P75" s="8"/>
      <c r="Q75" s="8"/>
      <c r="R75" s="8"/>
      <c r="S75" s="8"/>
      <c r="T75" s="8"/>
      <c r="U75" s="8"/>
      <c r="V75" s="8"/>
    </row>
    <row r="76" spans="1:22" ht="22" customHeight="1" x14ac:dyDescent="0.35">
      <c r="A76" s="8"/>
      <c r="B76" s="8"/>
      <c r="C76" s="8"/>
      <c r="D76" s="8"/>
      <c r="E76" s="8"/>
      <c r="F76" s="8"/>
      <c r="G76" s="8"/>
      <c r="H76" s="8"/>
      <c r="I76" s="8"/>
      <c r="J76" s="8"/>
      <c r="K76" s="8"/>
      <c r="L76" s="8"/>
      <c r="M76" s="8"/>
      <c r="N76" s="8"/>
      <c r="O76" s="8"/>
      <c r="P76" s="8"/>
      <c r="Q76" s="8"/>
      <c r="R76" s="8"/>
      <c r="S76" s="8"/>
      <c r="T76" s="8"/>
      <c r="U76" s="8"/>
      <c r="V76" s="8"/>
    </row>
    <row r="77" spans="1:22" ht="22" customHeight="1" x14ac:dyDescent="0.35">
      <c r="A77" s="8"/>
      <c r="B77" s="8"/>
      <c r="C77" s="8"/>
      <c r="D77" s="8"/>
      <c r="E77" s="8"/>
      <c r="F77" s="8"/>
      <c r="G77" s="8"/>
      <c r="H77" s="8"/>
      <c r="I77" s="8"/>
      <c r="J77" s="8"/>
      <c r="K77" s="8"/>
      <c r="L77" s="8"/>
      <c r="M77" s="8"/>
      <c r="N77" s="8"/>
      <c r="O77" s="8"/>
      <c r="P77" s="8"/>
      <c r="Q77" s="8"/>
      <c r="R77" s="8"/>
      <c r="S77" s="8"/>
      <c r="T77" s="8"/>
      <c r="U77" s="8"/>
      <c r="V77" s="8"/>
    </row>
    <row r="78" spans="1:22" ht="22" customHeight="1" x14ac:dyDescent="0.35">
      <c r="A78" s="8"/>
      <c r="B78" s="8"/>
      <c r="C78" s="8"/>
      <c r="D78" s="8"/>
      <c r="E78" s="8"/>
      <c r="F78" s="8"/>
      <c r="G78" s="8"/>
      <c r="H78" s="8"/>
      <c r="I78" s="8"/>
      <c r="J78" s="8"/>
      <c r="K78" s="8"/>
      <c r="L78" s="8"/>
      <c r="M78" s="8"/>
      <c r="N78" s="8"/>
      <c r="O78" s="8"/>
      <c r="P78" s="8"/>
      <c r="Q78" s="8"/>
      <c r="R78" s="8"/>
      <c r="S78" s="8"/>
      <c r="T78" s="8"/>
      <c r="U78" s="8"/>
      <c r="V78" s="8"/>
    </row>
    <row r="79" spans="1:22" ht="22" customHeight="1" x14ac:dyDescent="0.35">
      <c r="A79" s="8"/>
      <c r="B79" s="8"/>
      <c r="C79" s="8"/>
      <c r="D79" s="8"/>
      <c r="E79" s="8"/>
      <c r="F79" s="8"/>
      <c r="G79" s="8"/>
      <c r="H79" s="8"/>
      <c r="I79" s="8"/>
      <c r="J79" s="8"/>
      <c r="K79" s="8"/>
      <c r="L79" s="8"/>
      <c r="M79" s="8"/>
      <c r="N79" s="8"/>
      <c r="O79" s="8"/>
      <c r="P79" s="8"/>
      <c r="Q79" s="8"/>
      <c r="R79" s="8"/>
      <c r="S79" s="8"/>
      <c r="T79" s="8"/>
      <c r="U79" s="8"/>
      <c r="V79" s="8"/>
    </row>
    <row r="80" spans="1:22" ht="22" customHeight="1" x14ac:dyDescent="0.35">
      <c r="A80" s="8"/>
      <c r="B80" s="8"/>
      <c r="C80" s="8"/>
      <c r="D80" s="8"/>
      <c r="E80" s="8"/>
      <c r="F80" s="8"/>
      <c r="G80" s="8"/>
      <c r="H80" s="8"/>
      <c r="I80" s="8"/>
      <c r="J80" s="8"/>
      <c r="K80" s="8"/>
      <c r="L80" s="8"/>
      <c r="M80" s="8"/>
      <c r="N80" s="8"/>
      <c r="O80" s="8"/>
      <c r="P80" s="8"/>
      <c r="Q80" s="8"/>
      <c r="R80" s="8"/>
      <c r="S80" s="8"/>
      <c r="T80" s="8"/>
      <c r="U80" s="8"/>
      <c r="V80" s="8"/>
    </row>
    <row r="81" spans="1:22" ht="22" customHeight="1" x14ac:dyDescent="0.35">
      <c r="A81" s="8"/>
      <c r="B81" s="8"/>
      <c r="C81" s="8"/>
      <c r="D81" s="8"/>
      <c r="E81" s="8"/>
      <c r="F81" s="8"/>
      <c r="G81" s="8"/>
      <c r="H81" s="8"/>
      <c r="I81" s="8"/>
      <c r="J81" s="8"/>
      <c r="K81" s="8"/>
      <c r="L81" s="8"/>
      <c r="M81" s="8"/>
      <c r="N81" s="8"/>
      <c r="O81" s="8"/>
      <c r="P81" s="8"/>
      <c r="Q81" s="8"/>
      <c r="R81" s="8"/>
      <c r="S81" s="8"/>
      <c r="T81" s="8"/>
      <c r="U81" s="8"/>
      <c r="V81" s="8"/>
    </row>
    <row r="82" spans="1:22" ht="22" customHeight="1" x14ac:dyDescent="0.35">
      <c r="A82" s="8"/>
      <c r="B82" s="8"/>
      <c r="C82" s="8"/>
      <c r="D82" s="8"/>
      <c r="E82" s="8"/>
      <c r="F82" s="8"/>
      <c r="G82" s="8"/>
      <c r="H82" s="8"/>
      <c r="I82" s="8"/>
      <c r="J82" s="8"/>
      <c r="K82" s="8"/>
      <c r="L82" s="8"/>
      <c r="M82" s="8"/>
      <c r="N82" s="8"/>
      <c r="O82" s="8"/>
      <c r="P82" s="8"/>
      <c r="Q82" s="8"/>
      <c r="R82" s="8"/>
      <c r="S82" s="8"/>
      <c r="T82" s="8"/>
      <c r="U82" s="8"/>
      <c r="V82" s="8"/>
    </row>
    <row r="83" spans="1:22" ht="22" customHeight="1" x14ac:dyDescent="0.35">
      <c r="A83" s="8"/>
      <c r="B83" s="8"/>
      <c r="C83" s="8"/>
      <c r="D83" s="8"/>
      <c r="E83" s="8"/>
      <c r="F83" s="8"/>
      <c r="G83" s="8"/>
      <c r="H83" s="8"/>
      <c r="I83" s="8"/>
      <c r="J83" s="8"/>
      <c r="K83" s="8"/>
      <c r="L83" s="8"/>
      <c r="M83" s="8"/>
      <c r="N83" s="8"/>
      <c r="O83" s="8"/>
      <c r="P83" s="8"/>
      <c r="Q83" s="8"/>
      <c r="R83" s="8"/>
      <c r="S83" s="8"/>
      <c r="T83" s="8"/>
      <c r="U83" s="8"/>
      <c r="V83" s="8"/>
    </row>
    <row r="84" spans="1:22" ht="22" customHeight="1" x14ac:dyDescent="0.35">
      <c r="A84" s="8"/>
      <c r="B84" s="8"/>
      <c r="C84" s="8"/>
      <c r="D84" s="8"/>
      <c r="E84" s="8"/>
      <c r="F84" s="8"/>
      <c r="G84" s="8"/>
      <c r="H84" s="8"/>
      <c r="I84" s="8"/>
      <c r="J84" s="8"/>
      <c r="K84" s="8"/>
      <c r="L84" s="8"/>
      <c r="M84" s="8"/>
      <c r="N84" s="8"/>
      <c r="O84" s="8"/>
      <c r="P84" s="8"/>
      <c r="Q84" s="8"/>
      <c r="R84" s="8"/>
      <c r="S84" s="8"/>
      <c r="T84" s="8"/>
      <c r="U84" s="8"/>
      <c r="V84" s="8"/>
    </row>
    <row r="85" spans="1:22" ht="22" customHeight="1" x14ac:dyDescent="0.35">
      <c r="A85" s="8"/>
      <c r="B85" s="8"/>
      <c r="C85" s="8"/>
      <c r="D85" s="8"/>
      <c r="E85" s="8"/>
      <c r="F85" s="8"/>
      <c r="G85" s="8"/>
      <c r="H85" s="8"/>
      <c r="I85" s="8"/>
      <c r="J85" s="8"/>
      <c r="K85" s="8"/>
      <c r="L85" s="8"/>
      <c r="M85" s="8"/>
      <c r="N85" s="8"/>
      <c r="O85" s="8"/>
      <c r="P85" s="8"/>
      <c r="Q85" s="8"/>
      <c r="R85" s="8"/>
      <c r="S85" s="8"/>
      <c r="T85" s="8"/>
      <c r="U85" s="8"/>
      <c r="V85" s="8"/>
    </row>
    <row r="86" spans="1:22" ht="22" customHeight="1" x14ac:dyDescent="0.35">
      <c r="A86" s="8"/>
      <c r="B86" s="8"/>
      <c r="C86" s="8"/>
      <c r="D86" s="8"/>
      <c r="E86" s="8"/>
      <c r="F86" s="8"/>
      <c r="G86" s="8"/>
      <c r="H86" s="8"/>
      <c r="I86" s="8"/>
      <c r="J86" s="8"/>
      <c r="K86" s="8"/>
      <c r="L86" s="8"/>
      <c r="M86" s="8"/>
      <c r="N86" s="8"/>
      <c r="O86" s="8"/>
      <c r="P86" s="8"/>
      <c r="Q86" s="8"/>
      <c r="R86" s="8"/>
      <c r="S86" s="8"/>
      <c r="T86" s="8"/>
      <c r="U86" s="8"/>
      <c r="V86" s="8"/>
    </row>
    <row r="87" spans="1:22" ht="22" customHeight="1" x14ac:dyDescent="0.35">
      <c r="A87" s="8"/>
      <c r="B87" s="8"/>
      <c r="C87" s="8"/>
      <c r="D87" s="8"/>
      <c r="E87" s="8"/>
      <c r="F87" s="8"/>
      <c r="G87" s="8"/>
      <c r="H87" s="8"/>
      <c r="I87" s="8"/>
      <c r="J87" s="8"/>
      <c r="K87" s="8"/>
      <c r="L87" s="8"/>
      <c r="M87" s="8"/>
      <c r="N87" s="8"/>
      <c r="O87" s="8"/>
      <c r="P87" s="8"/>
      <c r="Q87" s="8"/>
      <c r="R87" s="8"/>
      <c r="S87" s="8"/>
      <c r="T87" s="8"/>
      <c r="U87" s="8"/>
      <c r="V87" s="8"/>
    </row>
    <row r="88" spans="1:22" ht="22" customHeight="1" x14ac:dyDescent="0.35">
      <c r="A88" s="8"/>
      <c r="B88" s="8"/>
      <c r="C88" s="8"/>
      <c r="D88" s="8"/>
      <c r="E88" s="8"/>
      <c r="F88" s="8"/>
      <c r="G88" s="8"/>
      <c r="H88" s="8"/>
      <c r="I88" s="8"/>
      <c r="J88" s="8"/>
      <c r="K88" s="8"/>
      <c r="L88" s="8"/>
      <c r="M88" s="8"/>
      <c r="N88" s="8"/>
      <c r="O88" s="8"/>
      <c r="P88" s="8"/>
      <c r="Q88" s="8"/>
      <c r="R88" s="8"/>
      <c r="S88" s="8"/>
      <c r="T88" s="8"/>
      <c r="U88" s="8"/>
      <c r="V88" s="8"/>
    </row>
    <row r="89" spans="1:22" ht="22" customHeight="1"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sheetData>
  <sheetProtection password="8651" sheet="1" autoFilter="0"/>
  <mergeCells count="14">
    <mergeCell ref="A22:V24"/>
    <mergeCell ref="D4:F4"/>
    <mergeCell ref="M4:O4"/>
    <mergeCell ref="O6:V6"/>
    <mergeCell ref="A6:F6"/>
    <mergeCell ref="G4:I4"/>
    <mergeCell ref="H6:M6"/>
    <mergeCell ref="R1:V2"/>
    <mergeCell ref="J4:L4"/>
    <mergeCell ref="A3:V3"/>
    <mergeCell ref="A4:C4"/>
    <mergeCell ref="P4:R4"/>
    <mergeCell ref="A1:Q2"/>
    <mergeCell ref="S4:V4"/>
  </mergeCells>
  <dataValidations count="1">
    <dataValidation type="decimal" operator="greaterThan" allowBlank="1" showErrorMessage="1" errorTitle="Check this entry" error="Enter a currency rate greater than zero." sqref="F9:F14" xr:uid="{00000000-0002-0000-0D00-000000000000}">
      <formula1>0</formula1>
    </dataValidation>
  </dataValidations>
  <hyperlinks>
    <hyperlink ref="A4" location="'Overview'!A1" display="Overview" xr:uid="{00000000-0004-0000-0D00-000000000000}"/>
    <hyperlink ref="D4" location="'Jobs'!A1" display="Jobs" xr:uid="{00000000-0004-0000-0D00-000001000000}"/>
    <hyperlink ref="G4" location="'Suppliers'!A1" display="Suppliers" xr:uid="{00000000-0004-0000-0D00-000002000000}"/>
    <hyperlink ref="J4" location="'Budget'!A1" display="Budget" xr:uid="{00000000-0004-0000-0D00-000003000000}"/>
    <hyperlink ref="M4" location="'Quotes'!A1" display="Quotes" xr:uid="{00000000-0004-0000-0D00-000004000000}"/>
    <hyperlink ref="P4" location="'Print Summary'!A1" display="Print summary" xr:uid="{00000000-0004-0000-0D00-000005000000}"/>
    <hyperlink ref="S4" location="'Read Me'!A1" display="Guide / setup" xr:uid="{00000000-0004-0000-0D00-000006000000}"/>
    <hyperlink ref="A6" location="'Vessel'!A1" display="BUDGET SETTINGS" xr:uid="{00000000-0004-0000-0D00-000007000000}"/>
    <hyperlink ref="H6" location="'Overview'!A1" display="OVERVIEW" xr:uid="{00000000-0004-0000-0D00-000008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796</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80</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522</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2</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2</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2</v>
      </c>
    </row>
    <row r="8" spans="1:27" ht="22" customHeight="1" x14ac:dyDescent="0.35">
      <c r="A8" s="8"/>
      <c r="B8" s="8"/>
      <c r="C8" s="8"/>
      <c r="D8" s="8"/>
      <c r="E8" s="8"/>
      <c r="F8" s="8"/>
      <c r="G8" s="8"/>
      <c r="H8" s="8"/>
      <c r="I8" s="8"/>
      <c r="J8" s="8"/>
      <c r="K8" s="8"/>
      <c r="L8" s="8"/>
      <c r="M8" s="8"/>
      <c r="N8" s="8"/>
      <c r="O8" s="8"/>
      <c r="P8" s="8"/>
      <c r="Q8" s="8"/>
      <c r="R8" s="8"/>
      <c r="S8" s="8"/>
      <c r="T8" s="8"/>
      <c r="U8" s="8"/>
      <c r="V8" s="8"/>
      <c r="AA8" t="s">
        <v>804</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8426.7781419303046</v>
      </c>
      <c r="B10" s="39"/>
      <c r="C10" s="39"/>
      <c r="D10" s="39"/>
      <c r="E10" s="39"/>
      <c r="F10" s="39"/>
      <c r="G10" s="39"/>
      <c r="H10" s="116">
        <f>SUMIF(Quotes!$B$9:$B$258,$AA$2,Quotes!$AI$9:$AI$258)</f>
        <v>8426.7781419303046</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1001.02</v>
      </c>
      <c r="E14" s="39"/>
      <c r="F14" s="39"/>
      <c r="G14" s="39"/>
      <c r="H14" s="39"/>
      <c r="I14" s="39"/>
      <c r="J14" s="39"/>
      <c r="K14" s="39"/>
      <c r="L14" s="8"/>
      <c r="M14" s="68" t="s">
        <v>811</v>
      </c>
      <c r="N14" s="39"/>
      <c r="O14" s="39"/>
      <c r="P14" s="73" t="s">
        <v>812</v>
      </c>
      <c r="Q14" s="39"/>
      <c r="R14" s="39"/>
      <c r="S14" s="39"/>
      <c r="T14" s="39"/>
      <c r="U14" s="39"/>
      <c r="V14" s="39"/>
    </row>
    <row r="15" spans="1:27" ht="22" customHeight="1" x14ac:dyDescent="0.35">
      <c r="A15" s="68" t="s">
        <v>56</v>
      </c>
      <c r="B15" s="39"/>
      <c r="C15" s="39"/>
      <c r="D15" s="73" t="str">
        <f>IF($AA$5=0,"",IF(LEN(INDEX(Jobs!$B$9:$B$258,$AA$5)&amp;"")=0,"",INDEX(Jobs!$B$9:$B$258,$AA$5)))</f>
        <v>Corrosion prevention anodes</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A2</v>
      </c>
      <c r="Q17" s="39"/>
      <c r="R17" s="39"/>
      <c r="S17" s="39"/>
      <c r="T17" s="39"/>
      <c r="U17" s="39"/>
      <c r="V17" s="39"/>
    </row>
    <row r="18" spans="1:22" ht="22" customHeight="1" x14ac:dyDescent="0.35">
      <c r="A18" s="68" t="s">
        <v>57</v>
      </c>
      <c r="B18" s="39"/>
      <c r="C18" s="39"/>
      <c r="D18" s="73" t="str">
        <f>IF($AA$5=0,"",IF(LEN(INDEX(Jobs!$C$9:$C$258,$AA$5)&amp;"")=0,"",INDEX(Jobs!$C$9:$C$258,$AA$5)))</f>
        <v>Hull</v>
      </c>
      <c r="E18" s="74"/>
      <c r="F18" s="74"/>
      <c r="G18" s="74"/>
      <c r="H18" s="74"/>
      <c r="I18" s="74"/>
      <c r="J18" s="74"/>
      <c r="K18" s="74"/>
      <c r="L18" s="8"/>
      <c r="M18" s="68" t="s">
        <v>814</v>
      </c>
      <c r="N18" s="39"/>
      <c r="O18" s="39"/>
      <c r="P18" s="73" t="str">
        <f>IF($AA$7=0,"",IF(LEN(INDEX(Suppliers!$B$9:$B$508,$AA$7)&amp;"")=0,"",INDEX(Suppliers!$B$9:$B$508,$AA$7)))</f>
        <v>BAC IMPALLOY</v>
      </c>
      <c r="Q18" s="74"/>
      <c r="R18" s="74"/>
      <c r="S18" s="74"/>
      <c r="T18" s="74"/>
      <c r="U18" s="74"/>
      <c r="V18" s="74"/>
    </row>
    <row r="19" spans="1:22" ht="22" customHeight="1" x14ac:dyDescent="0.35">
      <c r="A19" s="68" t="s">
        <v>58</v>
      </c>
      <c r="B19" s="39"/>
      <c r="C19" s="39"/>
      <c r="D19" s="73" t="str">
        <f>IF($AA$5=0,"",IF(LEN(INDEX(Jobs!$D$9:$D$258,$AA$5)&amp;"")=0,"",INDEX(Jobs!$D$9:$D$258,$AA$5)))</f>
        <v>Quote received</v>
      </c>
      <c r="E19" s="74"/>
      <c r="F19" s="74"/>
      <c r="G19" s="74"/>
      <c r="H19" s="74"/>
      <c r="I19" s="74"/>
      <c r="J19" s="74"/>
      <c r="K19" s="74"/>
      <c r="L19" s="8"/>
      <c r="M19" s="68" t="s">
        <v>345</v>
      </c>
      <c r="N19" s="39"/>
      <c r="O19" s="39"/>
      <c r="P19" s="73" t="str">
        <f>IF($AA$7=0,"",IF(LEN(INDEX(Suppliers!$C$9:$C$508,$AA$7)&amp;"")=0,"",INDEX(Suppliers!$C$9:$C$508,$AA$7)))</f>
        <v>Supplier annodes</v>
      </c>
      <c r="Q19" s="74"/>
      <c r="R19" s="74"/>
      <c r="S19" s="74"/>
      <c r="T19" s="74"/>
      <c r="U19" s="74"/>
      <c r="V19" s="74"/>
    </row>
    <row r="20" spans="1:22" ht="22" customHeight="1" x14ac:dyDescent="0.35">
      <c r="A20" s="68" t="s">
        <v>63</v>
      </c>
      <c r="B20" s="39"/>
      <c r="C20" s="39"/>
      <c r="D20" s="73" t="str">
        <f>IF($AA$5=0,"",IF(LEN(INDEX(Jobs!$I$9:$I$258,$AA$5)&amp;"")=0,"",INDEX(Jobs!$I$9:$I$258,$AA$5)))</f>
        <v/>
      </c>
      <c r="E20" s="74"/>
      <c r="F20" s="74"/>
      <c r="G20" s="74"/>
      <c r="H20" s="74"/>
      <c r="I20" s="74"/>
      <c r="J20" s="74"/>
      <c r="K20" s="74"/>
      <c r="L20" s="8"/>
      <c r="M20" s="68" t="s">
        <v>815</v>
      </c>
      <c r="N20" s="39"/>
      <c r="O20" s="39"/>
      <c r="P20" s="48" t="str">
        <f>IF($AA$7=0,"",IF(LEN(INDEX(Suppliers!$D$9:$D$508,$AA$7)&amp;"")=0,"",INDEX(Suppliers!$D$9:$D$508,$AA$7)))</f>
        <v>CT00002</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Ole Elrum</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N/A</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f>IF($AA$7=0,"",IF(LEN(INDEX(Suppliers!$G$9:$G$508,$AA$7)&amp;"")=0,"",INDEX(Suppliers!$G$9:$G$508,$AA$7)))</f>
        <v>70268900</v>
      </c>
      <c r="Q23" s="74"/>
      <c r="R23" s="74"/>
      <c r="S23" s="74"/>
      <c r="T23" s="74"/>
      <c r="U23" s="74"/>
      <c r="V23" s="74"/>
    </row>
    <row r="24" spans="1:22" ht="22" customHeight="1" x14ac:dyDescent="0.35">
      <c r="A24" s="96" t="str">
        <f>IF($AA$5=0,"",IF(LEN(INDEX(Jobs!$M$9:$M$258,$AA$5)&amp;"")=0,"",INDEX(Jobs!$M$9:$M$258,$AA$5)))</f>
        <v>Staging/access and disposal of old anodes to be included in quote. Old anodes and brackets to be removed completely unless otherwise stated by the Owner's Representative. The new anodes will be placed on the main deck aft. New anodes are to be fitted prior to commencing paint work and taped off during the paint work.</v>
      </c>
      <c r="B24" s="39"/>
      <c r="C24" s="39"/>
      <c r="D24" s="39"/>
      <c r="E24" s="39"/>
      <c r="F24" s="39"/>
      <c r="G24" s="39"/>
      <c r="H24" s="39"/>
      <c r="I24" s="39"/>
      <c r="J24" s="39"/>
      <c r="K24" s="39"/>
      <c r="L24" s="8"/>
      <c r="M24" s="68" t="s">
        <v>350</v>
      </c>
      <c r="N24" s="39"/>
      <c r="O24" s="39"/>
      <c r="P24" s="73" t="str">
        <f>IF($AA$7=0,"",IF(LEN(INDEX(Suppliers!$H$9:$H$508,$AA$7)&amp;"")=0,"",INDEX(Suppliers!$H$9:$H$508,$AA$7)))</f>
        <v>Herfølge DA</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Selected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DKK</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62994.38</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file:///C:\Users\mikkelr\Stena\Kerry%20-%20Documents\Dry%20dock%202027\Specification%20items\1001.02%20Corrosion%20prevention%20anodes\Quote\6082705%20Salg%20-%20tilbud%2016572.pdf</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Staging/access and disposal of old anodes to be included in quote. Old anodes and brackets to be removed completely unless otherwise stated by the Owner's Representative. The new anodes will be placed on the main deck aft. New anodes are to be fitted prior to commencing paint work and taped off during the paint work.</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attached</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1001.02-Q1</v>
      </c>
      <c r="B64" s="39"/>
      <c r="C64" s="39"/>
      <c r="D64" s="77" t="str">
        <f>IF($AA64=0,"",INDEX(Quotes!$U$9:$U$258,$AA64)&amp;" | "&amp;INDEX(Quotes!$E$9:$E$258,$AA64))</f>
        <v>BAC IMPALLOY | Main scope</v>
      </c>
      <c r="E64" s="39"/>
      <c r="F64" s="39"/>
      <c r="G64" s="39"/>
      <c r="H64" s="39"/>
      <c r="I64" s="113" t="str">
        <f>IF($AA64=0,"",IF(LEN(INDEX(Quotes!$F$9:$F$258,$AA64)&amp;"")=0,"",INDEX(Quotes!$F$9:$F$258,$AA64)))</f>
        <v>Selected</v>
      </c>
      <c r="J64" s="39"/>
      <c r="K64" s="39"/>
      <c r="L64" s="8"/>
      <c r="M64" s="110">
        <f>IF($AA64=0,"",IF(LEN(INDEX(Quotes!$G$9:$G$258,$AA64)&amp;"")=0,"",INDEX(Quotes!$G$9:$G$258,$AA64)))</f>
        <v>62994.38</v>
      </c>
      <c r="N64" s="39"/>
      <c r="O64" s="39"/>
      <c r="P64" s="110" t="str">
        <f>IF($AA64=0,"",IF(LEN(INDEX(Quotes!$H$9:$H$258,$AA64)&amp;"")=0,"",INDEX(Quotes!$H$9:$H$258,$AA64)))</f>
        <v/>
      </c>
      <c r="Q64" s="39"/>
      <c r="R64" s="39"/>
      <c r="S64" s="32" t="str">
        <f>IF($AA64=0,"",IF(LEN(INDEX(Quotes!$I$9:$I$258,$AA64)&amp;"")=0,"",INDEX(Quotes!$I$9:$I$258,$AA64)))</f>
        <v>DKK</v>
      </c>
      <c r="T64" s="76">
        <f>IF($AA64=0,"",IF(LEN(INDEX(Quotes!$AD$9:$AD$258,$AA64)&amp;"")=0,"",INDEX(Quotes!$AD$9:$AD$258,$AA64)))</f>
        <v>8426.7781419303046</v>
      </c>
      <c r="U64" s="39"/>
      <c r="V64" s="33" t="str">
        <f t="shared" ref="V64:V93" si="0">IF($AA64=0,"",HYPERLINK("#'Quotes'!A"&amp;($AA64+8),"Quote"))</f>
        <v>Quote</v>
      </c>
      <c r="AA64">
        <f>IFERROR(MATCH("J:"&amp;$AA$2&amp;"_N:1",Quotes!$AS$9:$AS$258,0),0)</f>
        <v>2</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12" priority="1" operator="equal">
      <formula>"Selected"</formula>
    </cfRule>
  </conditionalFormatting>
  <dataValidations count="8">
    <dataValidation type="list" allowBlank="1" showErrorMessage="1" errorTitle="Check this entry" error="Use a value from the shared list." sqref="D18" xr:uid="{00000000-0002-0000-0E00-000000000000}">
      <formula1>lstDepartment</formula1>
    </dataValidation>
    <dataValidation type="list" allowBlank="1" showErrorMessage="1" errorTitle="Check this entry" error="Use a value from the shared list." sqref="D19" xr:uid="{00000000-0002-0000-0E00-000001000000}">
      <formula1>lstJobStatus</formula1>
    </dataValidation>
    <dataValidation type="date" allowBlank="1" showErrorMessage="1" errorTitle="Check this entry" error="Enter a valid date or a non-negative number, as applicable." sqref="D21 P34:P36 J21" xr:uid="{00000000-0002-0000-0E00-000002000000}">
      <formula1>DATE(2000,1,1)</formula1>
      <formula2>DATE(2100,12,31)</formula2>
    </dataValidation>
    <dataValidation type="list" allowBlank="1" showErrorMessage="1" errorTitle="Check this entry" error="Use a value from the shared list." sqref="P14" xr:uid="{00000000-0002-0000-0E00-000004000000}">
      <formula1>PilotOffer0005</formula1>
    </dataValidation>
    <dataValidation type="list" allowBlank="1" showErrorMessage="1" errorTitle="Check this entry" error="Use a value from the shared list." sqref="P28 I64:I93" xr:uid="{00000000-0002-0000-0E00-000005000000}">
      <formula1>lstQuoteStatus</formula1>
    </dataValidation>
    <dataValidation type="list" allowBlank="1" showErrorMessage="1" errorTitle="Check this entry" error="Use a value from the shared list." sqref="P29 S64:S93" xr:uid="{00000000-0002-0000-0E00-000006000000}">
      <formula1>lstCurrency</formula1>
    </dataValidation>
    <dataValidation type="list" allowBlank="1" showErrorMessage="1" errorTitle="Check this entry" error="Use a value from the shared list." sqref="P37" xr:uid="{00000000-0002-0000-0E00-000007000000}">
      <formula1>lstYesNo</formula1>
    </dataValidation>
    <dataValidation type="decimal" operator="greaterThanOrEqual" allowBlank="1" showErrorMessage="1" errorTitle="Check this entry" error="Enter a valid date or a non-negative number, as applicable." sqref="P30:P31 P64:P93 M64:M93" xr:uid="{00000000-0002-0000-0E00-000008000000}">
      <formula1>0</formula1>
    </dataValidation>
  </dataValidations>
  <hyperlinks>
    <hyperlink ref="A4" location="'Overview'!A1" display="Overview" xr:uid="{00000000-0004-0000-0E00-000000000000}"/>
    <hyperlink ref="D4" location="'Jobs'!A1" display="Jobs" xr:uid="{00000000-0004-0000-0E00-000001000000}"/>
    <hyperlink ref="G4" location="'Suppliers'!A1" display="Suppliers" xr:uid="{00000000-0004-0000-0E00-000002000000}"/>
    <hyperlink ref="J4" location="'Budget'!A1" display="Budget" xr:uid="{00000000-0004-0000-0E00-000003000000}"/>
    <hyperlink ref="M4" location="'Quotes'!A1" display="Quotes" xr:uid="{00000000-0004-0000-0E00-000004000000}"/>
    <hyperlink ref="P4" location="'Print Summary'!A1" display="Print summary" xr:uid="{00000000-0004-0000-0E00-000005000000}"/>
    <hyperlink ref="S4" location="'Read Me'!A1" display="Guide / setup" xr:uid="{00000000-0004-0000-0E00-000006000000}"/>
    <hyperlink ref="A6" location="'Quotes'!A1" display="VIEW QUOTE REGISTER" xr:uid="{00000000-0004-0000-0E00-000007000000}"/>
    <hyperlink ref="H6" location="'Jobs'!A1" display="BACK TO JOBS" xr:uid="{00000000-0004-0000-0E00-000008000000}"/>
    <hyperlink ref="M6" location="'Supplier Jobs'!A1" display="SUPPLIER JOBS" xr:uid="{00000000-0004-0000-0E00-000009000000}"/>
    <hyperlink ref="M42" r:id="rId1" xr:uid="{00000000-0004-0000-0E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835</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85</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527</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3</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3</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3</v>
      </c>
    </row>
    <row r="8" spans="1:27" ht="22" customHeight="1" x14ac:dyDescent="0.35">
      <c r="A8" s="8"/>
      <c r="B8" s="8"/>
      <c r="C8" s="8"/>
      <c r="D8" s="8"/>
      <c r="E8" s="8"/>
      <c r="F8" s="8"/>
      <c r="G8" s="8"/>
      <c r="H8" s="8"/>
      <c r="I8" s="8"/>
      <c r="J8" s="8"/>
      <c r="K8" s="8"/>
      <c r="L8" s="8"/>
      <c r="M8" s="8"/>
      <c r="N8" s="8"/>
      <c r="O8" s="8"/>
      <c r="P8" s="8"/>
      <c r="Q8" s="8"/>
      <c r="R8" s="8"/>
      <c r="S8" s="8"/>
      <c r="T8" s="8"/>
      <c r="U8" s="8"/>
      <c r="V8" s="8"/>
      <c r="AA8" t="s">
        <v>836</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1001.03</v>
      </c>
      <c r="E14" s="39"/>
      <c r="F14" s="39"/>
      <c r="G14" s="39"/>
      <c r="H14" s="39"/>
      <c r="I14" s="39"/>
      <c r="J14" s="39"/>
      <c r="K14" s="39"/>
      <c r="L14" s="8"/>
      <c r="M14" s="68" t="s">
        <v>811</v>
      </c>
      <c r="N14" s="39"/>
      <c r="O14" s="39"/>
      <c r="P14" s="73" t="s">
        <v>837</v>
      </c>
      <c r="Q14" s="39"/>
      <c r="R14" s="39"/>
      <c r="S14" s="39"/>
      <c r="T14" s="39"/>
      <c r="U14" s="39"/>
      <c r="V14" s="39"/>
    </row>
    <row r="15" spans="1:27" ht="22" customHeight="1" x14ac:dyDescent="0.35">
      <c r="A15" s="68" t="s">
        <v>56</v>
      </c>
      <c r="B15" s="39"/>
      <c r="C15" s="39"/>
      <c r="D15" s="73" t="str">
        <f>IF($AA$5=0,"",IF(LEN(INDEX(Jobs!$B$9:$B$258,$AA$5)&amp;"")=0,"",INDEX(Jobs!$B$9:$B$258,$AA$5)))</f>
        <v>Bottom treatment and paint</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A3</v>
      </c>
      <c r="Q17" s="39"/>
      <c r="R17" s="39"/>
      <c r="S17" s="39"/>
      <c r="T17" s="39"/>
      <c r="U17" s="39"/>
      <c r="V17" s="39"/>
    </row>
    <row r="18" spans="1:22" ht="22" customHeight="1" x14ac:dyDescent="0.35">
      <c r="A18" s="68" t="s">
        <v>57</v>
      </c>
      <c r="B18" s="39"/>
      <c r="C18" s="39"/>
      <c r="D18" s="73" t="str">
        <f>IF($AA$5=0,"",IF(LEN(INDEX(Jobs!$C$9:$C$258,$AA$5)&amp;"")=0,"",INDEX(Jobs!$C$9:$C$258,$AA$5)))</f>
        <v>Hull</v>
      </c>
      <c r="E18" s="74"/>
      <c r="F18" s="74"/>
      <c r="G18" s="74"/>
      <c r="H18" s="74"/>
      <c r="I18" s="74"/>
      <c r="J18" s="74"/>
      <c r="K18" s="74"/>
      <c r="L18" s="8"/>
      <c r="M18" s="68" t="s">
        <v>814</v>
      </c>
      <c r="N18" s="39"/>
      <c r="O18" s="39"/>
      <c r="P18" s="73" t="str">
        <f>IF($AA$7=0,"",IF(LEN(INDEX(Suppliers!$B$9:$B$508,$AA$7)&amp;"")=0,"",INDEX(Suppliers!$B$9:$B$508,$AA$7)))</f>
        <v>HEMPEL</v>
      </c>
      <c r="Q18" s="74"/>
      <c r="R18" s="74"/>
      <c r="S18" s="74"/>
      <c r="T18" s="74"/>
      <c r="U18" s="74"/>
      <c r="V18" s="74"/>
    </row>
    <row r="19" spans="1:22" ht="22" customHeight="1" x14ac:dyDescent="0.35">
      <c r="A19" s="68" t="s">
        <v>58</v>
      </c>
      <c r="B19" s="39"/>
      <c r="C19" s="39"/>
      <c r="D19" s="73" t="str">
        <f>IF($AA$5=0,"",IF(LEN(INDEX(Jobs!$D$9:$D$258,$AA$5)&amp;"")=0,"",INDEX(Jobs!$D$9:$D$258,$AA$5)))</f>
        <v>RFQ sent</v>
      </c>
      <c r="E19" s="74"/>
      <c r="F19" s="74"/>
      <c r="G19" s="74"/>
      <c r="H19" s="74"/>
      <c r="I19" s="74"/>
      <c r="J19" s="74"/>
      <c r="K19" s="74"/>
      <c r="L19" s="8"/>
      <c r="M19" s="68" t="s">
        <v>345</v>
      </c>
      <c r="N19" s="39"/>
      <c r="O19" s="39"/>
      <c r="P19" s="73" t="str">
        <f>IF($AA$7=0,"",IF(LEN(INDEX(Suppliers!$C$9:$C$508,$AA$7)&amp;"")=0,"",INDEX(Suppliers!$C$9:$C$508,$AA$7)))</f>
        <v>Paint for hull</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CT00003</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Björn Smit</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BJS@hempel.com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f>IF($AA$7=0,"",IF(LEN(INDEX(Suppliers!$G$9:$G$508,$AA$7)&amp;"")=0,"",INDEX(Suppliers!$G$9:$G$508,$AA$7)))</f>
        <v>709187649</v>
      </c>
      <c r="Q23" s="74"/>
      <c r="R23" s="74"/>
      <c r="S23" s="74"/>
      <c r="T23" s="74"/>
      <c r="U23" s="74"/>
      <c r="V23" s="74"/>
    </row>
    <row r="24" spans="1:22" ht="22" customHeight="1" x14ac:dyDescent="0.35">
      <c r="A24" s="96" t="str">
        <f>IF($AA$5=0,"",IF(LEN(INDEX(Jobs!$M$9:$M$258,$AA$5)&amp;"")=0,"",INDEX(Jobs!$M$9:$M$258,$AA$5)))</f>
        <v>Maintenance of existing silicone and traditional antifouling system. Paint surveyor from HEMPEL, who will supervise the paintwork, will together with the Owner's representative and vessel's Chief Officer issue the final paint specification immediately after the bottom inspection.</v>
      </c>
      <c r="B24" s="39"/>
      <c r="C24" s="39"/>
      <c r="D24" s="39"/>
      <c r="E24" s="39"/>
      <c r="F24" s="39"/>
      <c r="G24" s="39"/>
      <c r="H24" s="39"/>
      <c r="I24" s="39"/>
      <c r="J24" s="39"/>
      <c r="K24" s="39"/>
      <c r="L24" s="8"/>
      <c r="M24" s="68" t="s">
        <v>350</v>
      </c>
      <c r="N24" s="39"/>
      <c r="O24" s="39"/>
      <c r="P24" s="73" t="str">
        <f>IF($AA$7=0,"",IF(LEN(INDEX(Suppliers!$H$9:$H$508,$AA$7)&amp;"")=0,"",INDEX(Suppliers!$H$9:$H$508,$AA$7)))</f>
        <v>Sweden</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30832.74</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https://stena.sharepoint.com/:b:/r/sites/KERRY/Shared%20Documents/Dry%20dock%202027/Specification%20items/300.01%20Paint%20specification/Revision%202/MV%20Kerry%20repair%20DD%202027%20Quotation%202026-09-22.pdf?d=wff191d737943412290bf93fd0606a64c&amp;csf=1&amp;web=1&amp;e=ND5pwC</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Maintenance of existing silicone and traditional antifouling system. Paint surveyor from HEMPEL, who will supervise the paintwork, will together with the Owner's representative and vessel's Chief Officer issue the final paint specification immediately after the bottom inspection.</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attached</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1001.03-Q1</v>
      </c>
      <c r="B64" s="39"/>
      <c r="C64" s="39"/>
      <c r="D64" s="77" t="str">
        <f>IF($AA64=0,"",INDEX(Quotes!$U$9:$U$258,$AA64)&amp;" | "&amp;INDEX(Quotes!$E$9:$E$258,$AA64))</f>
        <v>HEMPEL | Main scope</v>
      </c>
      <c r="E64" s="39"/>
      <c r="F64" s="39"/>
      <c r="G64" s="39"/>
      <c r="H64" s="39"/>
      <c r="I64" s="113" t="str">
        <f>IF($AA64=0,"",IF(LEN(INDEX(Quotes!$F$9:$F$258,$AA64)&amp;"")=0,"",INDEX(Quotes!$F$9:$F$258,$AA64)))</f>
        <v>Quote received</v>
      </c>
      <c r="J64" s="39"/>
      <c r="K64" s="39"/>
      <c r="L64" s="8"/>
      <c r="M64" s="110">
        <f>IF($AA64=0,"",IF(LEN(INDEX(Quotes!$G$9:$G$258,$AA64)&amp;"")=0,"",INDEX(Quotes!$G$9:$G$258,$AA64)))</f>
        <v>30832.74</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30832.74</v>
      </c>
      <c r="U64" s="39"/>
      <c r="V64" s="33" t="str">
        <f t="shared" ref="V64:V93" si="0">IF($AA64=0,"",HYPERLINK("#'Quotes'!A"&amp;($AA64+8),"Quote"))</f>
        <v>Quote</v>
      </c>
      <c r="AA64">
        <f>IFERROR(MATCH("J:"&amp;$AA$2&amp;"_N:1",Quotes!$AS$9:$AS$258,0),0)</f>
        <v>3</v>
      </c>
    </row>
    <row r="65" spans="1:27" ht="42" customHeight="1" x14ac:dyDescent="0.35">
      <c r="A65" s="77" t="str">
        <f>IF($AA65=0,"",IF(LEN(INDEX(Quotes!$A$9:$A$258,$AA65)&amp;"")=0,"",INDEX(Quotes!$A$9:$A$258,$AA65)))</f>
        <v>1001.03-Q2</v>
      </c>
      <c r="B65" s="39"/>
      <c r="C65" s="39"/>
      <c r="D65" s="77" t="str">
        <f>IF($AA65=0,"",INDEX(Quotes!$U$9:$U$258,$AA65)&amp;" | "&amp;INDEX(Quotes!$E$9:$E$258,$AA65))</f>
        <v>Chugoku paints | Main scope</v>
      </c>
      <c r="E65" s="39"/>
      <c r="F65" s="39"/>
      <c r="G65" s="39"/>
      <c r="H65" s="39"/>
      <c r="I65" s="113" t="str">
        <f>IF($AA65=0,"",IF(LEN(INDEX(Quotes!$F$9:$F$258,$AA65)&amp;"")=0,"",INDEX(Quotes!$F$9:$F$258,$AA65)))</f>
        <v>Quote received</v>
      </c>
      <c r="J65" s="39"/>
      <c r="K65" s="39"/>
      <c r="L65" s="8"/>
      <c r="M65" s="110">
        <f>IF($AA65=0,"",IF(LEN(INDEX(Quotes!$G$9:$G$258,$AA65)&amp;"")=0,"",INDEX(Quotes!$G$9:$G$258,$AA65)))</f>
        <v>66843.320000000007</v>
      </c>
      <c r="N65" s="39"/>
      <c r="O65" s="39"/>
      <c r="P65" s="110" t="str">
        <f>IF($AA65=0,"",IF(LEN(INDEX(Quotes!$H$9:$H$258,$AA65)&amp;"")=0,"",INDEX(Quotes!$H$9:$H$258,$AA65)))</f>
        <v/>
      </c>
      <c r="Q65" s="39"/>
      <c r="R65" s="39"/>
      <c r="S65" s="32" t="str">
        <f>IF($AA65=0,"",IF(LEN(INDEX(Quotes!$I$9:$I$258,$AA65)&amp;"")=0,"",INDEX(Quotes!$I$9:$I$258,$AA65)))</f>
        <v>EUR</v>
      </c>
      <c r="T65" s="76">
        <f>IF($AA65=0,"",IF(LEN(INDEX(Quotes!$AD$9:$AD$258,$AA65)&amp;"")=0,"",INDEX(Quotes!$AD$9:$AD$258,$AA65)))</f>
        <v>66843.320000000007</v>
      </c>
      <c r="U65" s="39"/>
      <c r="V65" s="33" t="str">
        <f t="shared" si="0"/>
        <v>Quote</v>
      </c>
      <c r="AA65">
        <f>IFERROR(MATCH("J:"&amp;$AA$2&amp;"_N:2",Quotes!$AS$9:$AS$258,0),0)</f>
        <v>4</v>
      </c>
    </row>
    <row r="66" spans="1:27" ht="42" customHeight="1" x14ac:dyDescent="0.35">
      <c r="A66" s="77" t="str">
        <f>IF($AA66=0,"",IF(LEN(INDEX(Quotes!$A$9:$A$258,$AA66)&amp;"")=0,"",INDEX(Quotes!$A$9:$A$258,$AA66)))</f>
        <v>1001.03-Q3</v>
      </c>
      <c r="B66" s="39"/>
      <c r="C66" s="39"/>
      <c r="D66" s="77" t="str">
        <f>IF($AA66=0,"",INDEX(Quotes!$U$9:$U$258,$AA66)&amp;" | "&amp;INDEX(Quotes!$E$9:$E$258,$AA66))</f>
        <v>NIPPON | Main scope</v>
      </c>
      <c r="E66" s="39"/>
      <c r="F66" s="39"/>
      <c r="G66" s="39"/>
      <c r="H66" s="39"/>
      <c r="I66" s="113" t="str">
        <f>IF($AA66=0,"",IF(LEN(INDEX(Quotes!$F$9:$F$258,$AA66)&amp;"")=0,"",INDEX(Quotes!$F$9:$F$258,$AA66)))</f>
        <v>Quote received</v>
      </c>
      <c r="J66" s="39"/>
      <c r="K66" s="39"/>
      <c r="L66" s="8"/>
      <c r="M66" s="110">
        <f>IF($AA66=0,"",IF(LEN(INDEX(Quotes!$G$9:$G$258,$AA66)&amp;"")=0,"",INDEX(Quotes!$G$9:$G$258,$AA66)))</f>
        <v>92498.47</v>
      </c>
      <c r="N66" s="39"/>
      <c r="O66" s="39"/>
      <c r="P66" s="110" t="str">
        <f>IF($AA66=0,"",IF(LEN(INDEX(Quotes!$H$9:$H$258,$AA66)&amp;"")=0,"",INDEX(Quotes!$H$9:$H$258,$AA66)))</f>
        <v/>
      </c>
      <c r="Q66" s="39"/>
      <c r="R66" s="39"/>
      <c r="S66" s="32" t="str">
        <f>IF($AA66=0,"",IF(LEN(INDEX(Quotes!$I$9:$I$258,$AA66)&amp;"")=0,"",INDEX(Quotes!$I$9:$I$258,$AA66)))</f>
        <v>EUR</v>
      </c>
      <c r="T66" s="76">
        <f>IF($AA66=0,"",IF(LEN(INDEX(Quotes!$AD$9:$AD$258,$AA66)&amp;"")=0,"",INDEX(Quotes!$AD$9:$AD$258,$AA66)))</f>
        <v>92498.47</v>
      </c>
      <c r="U66" s="39"/>
      <c r="V66" s="33" t="str">
        <f t="shared" si="0"/>
        <v>Quote</v>
      </c>
      <c r="AA66">
        <f>IFERROR(MATCH("J:"&amp;$AA$2&amp;"_N:3",Quotes!$AS$9:$AS$258,0),0)</f>
        <v>21</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11" priority="1" operator="equal">
      <formula>"Selected"</formula>
    </cfRule>
  </conditionalFormatting>
  <dataValidations count="8">
    <dataValidation type="list" allowBlank="1" showErrorMessage="1" errorTitle="Check this entry" error="Use a value from the shared list." sqref="D18" xr:uid="{00000000-0002-0000-0F00-000000000000}">
      <formula1>lstDepartment</formula1>
    </dataValidation>
    <dataValidation type="list" allowBlank="1" showErrorMessage="1" errorTitle="Check this entry" error="Use a value from the shared list." sqref="D19" xr:uid="{00000000-0002-0000-0F00-000001000000}">
      <formula1>lstJobStatus</formula1>
    </dataValidation>
    <dataValidation type="date" allowBlank="1" showErrorMessage="1" errorTitle="Check this entry" error="Enter a valid date or a non-negative number, as applicable." sqref="D21 P34:P36 J21" xr:uid="{00000000-0002-0000-0F00-000002000000}">
      <formula1>DATE(2000,1,1)</formula1>
      <formula2>DATE(2100,12,31)</formula2>
    </dataValidation>
    <dataValidation type="list" allowBlank="1" showErrorMessage="1" errorTitle="Check this entry" error="Use a value from the shared list." sqref="P14" xr:uid="{00000000-0002-0000-0F00-000004000000}">
      <formula1>PilotOffer0006</formula1>
    </dataValidation>
    <dataValidation type="list" allowBlank="1" showErrorMessage="1" errorTitle="Check this entry" error="Use a value from the shared list." sqref="P28 I64:I93" xr:uid="{00000000-0002-0000-0F00-000005000000}">
      <formula1>lstQuoteStatus</formula1>
    </dataValidation>
    <dataValidation type="list" allowBlank="1" showErrorMessage="1" errorTitle="Check this entry" error="Use a value from the shared list." sqref="P29 S64:S93" xr:uid="{00000000-0002-0000-0F00-000006000000}">
      <formula1>lstCurrency</formula1>
    </dataValidation>
    <dataValidation type="list" allowBlank="1" showErrorMessage="1" errorTitle="Check this entry" error="Use a value from the shared list." sqref="P37" xr:uid="{00000000-0002-0000-0F00-000007000000}">
      <formula1>lstYesNo</formula1>
    </dataValidation>
    <dataValidation type="decimal" operator="greaterThanOrEqual" allowBlank="1" showErrorMessage="1" errorTitle="Check this entry" error="Enter a valid date or a non-negative number, as applicable." sqref="P30:P31 P64:P93 M64:M93" xr:uid="{00000000-0002-0000-0F00-000008000000}">
      <formula1>0</formula1>
    </dataValidation>
  </dataValidations>
  <hyperlinks>
    <hyperlink ref="A4" location="'Overview'!A1" display="Overview" xr:uid="{00000000-0004-0000-0F00-000000000000}"/>
    <hyperlink ref="D4" location="'Jobs'!A1" display="Jobs" xr:uid="{00000000-0004-0000-0F00-000001000000}"/>
    <hyperlink ref="G4" location="'Suppliers'!A1" display="Suppliers" xr:uid="{00000000-0004-0000-0F00-000002000000}"/>
    <hyperlink ref="J4" location="'Budget'!A1" display="Budget" xr:uid="{00000000-0004-0000-0F00-000003000000}"/>
    <hyperlink ref="M4" location="'Quotes'!A1" display="Quotes" xr:uid="{00000000-0004-0000-0F00-000004000000}"/>
    <hyperlink ref="P4" location="'Print Summary'!A1" display="Print summary" xr:uid="{00000000-0004-0000-0F00-000005000000}"/>
    <hyperlink ref="S4" location="'Read Me'!A1" display="Guide / setup" xr:uid="{00000000-0004-0000-0F00-000006000000}"/>
    <hyperlink ref="A6" location="'Quotes'!A1" display="VIEW QUOTE REGISTER" xr:uid="{00000000-0004-0000-0F00-000007000000}"/>
    <hyperlink ref="H6" location="'Jobs'!A1" display="BACK TO JOBS" xr:uid="{00000000-0004-0000-0F00-000008000000}"/>
    <hyperlink ref="M6" location="'Supplier Jobs'!A1" display="SUPPLIER JOBS" xr:uid="{00000000-0004-0000-0F00-000009000000}"/>
    <hyperlink ref="M42" r:id="rId1" xr:uid="{00000000-0004-0000-0F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838</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177</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571</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32</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13</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14</v>
      </c>
    </row>
    <row r="8" spans="1:27" ht="22" customHeight="1" x14ac:dyDescent="0.35">
      <c r="A8" s="8"/>
      <c r="B8" s="8"/>
      <c r="C8" s="8"/>
      <c r="D8" s="8"/>
      <c r="E8" s="8"/>
      <c r="F8" s="8"/>
      <c r="G8" s="8"/>
      <c r="H8" s="8"/>
      <c r="I8" s="8"/>
      <c r="J8" s="8"/>
      <c r="K8" s="8"/>
      <c r="L8" s="8"/>
      <c r="M8" s="8"/>
      <c r="N8" s="8"/>
      <c r="O8" s="8"/>
      <c r="P8" s="8"/>
      <c r="Q8" s="8"/>
      <c r="R8" s="8"/>
      <c r="S8" s="8"/>
      <c r="T8" s="8"/>
      <c r="U8" s="8"/>
      <c r="V8" s="8"/>
      <c r="AA8" t="s">
        <v>839</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42681</v>
      </c>
      <c r="B10" s="39"/>
      <c r="C10" s="39"/>
      <c r="D10" s="39"/>
      <c r="E10" s="39"/>
      <c r="F10" s="39"/>
      <c r="G10" s="39"/>
      <c r="H10" s="116">
        <f>SUMIF(Quotes!$B$9:$B$258,$AA$2,Quotes!$AI$9:$AI$258)</f>
        <v>42681</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1303.01</v>
      </c>
      <c r="E14" s="39"/>
      <c r="F14" s="39"/>
      <c r="G14" s="39"/>
      <c r="H14" s="39"/>
      <c r="I14" s="39"/>
      <c r="J14" s="39"/>
      <c r="K14" s="39"/>
      <c r="L14" s="8"/>
      <c r="M14" s="68" t="s">
        <v>811</v>
      </c>
      <c r="N14" s="39"/>
      <c r="O14" s="39"/>
      <c r="P14" s="73" t="s">
        <v>840</v>
      </c>
      <c r="Q14" s="39"/>
      <c r="R14" s="39"/>
      <c r="S14" s="39"/>
      <c r="T14" s="39"/>
      <c r="U14" s="39"/>
      <c r="V14" s="39"/>
    </row>
    <row r="15" spans="1:27" ht="22" customHeight="1" x14ac:dyDescent="0.35">
      <c r="A15" s="68" t="s">
        <v>56</v>
      </c>
      <c r="B15" s="39"/>
      <c r="C15" s="39"/>
      <c r="D15" s="73" t="str">
        <f>IF($AA$5=0,"",IF(LEN(INDEX(Jobs!$B$9:$B$258,$AA$5)&amp;"")=0,"",INDEX(Jobs!$B$9:$B$258,$AA$5)))</f>
        <v>Steering gears overhaul</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A10</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 xml:space="preserve">Neuver maritime </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Engineering CCP overhauls</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CT00014</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Hilde Omvik Kyte</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support@neuver.com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48 28 85 00</v>
      </c>
      <c r="Q23" s="74"/>
      <c r="R23" s="74"/>
      <c r="S23" s="74"/>
      <c r="T23" s="74"/>
      <c r="U23" s="74"/>
      <c r="V23" s="74"/>
    </row>
    <row r="24" spans="1:22" ht="22" customHeight="1" x14ac:dyDescent="0.35">
      <c r="A24" s="96" t="str">
        <f>IF($AA$5=0,"",IF(LEN(INDEX(Jobs!$M$9:$M$258,$AA$5)&amp;"")=0,"",INDEX(Jobs!$M$9:$M$258,$AA$5)))</f>
        <v>2 pcs. of covers on deck 3 (main deck) to be removed for access to the actuators. Owner arranged and and paid Neuver service engineer to attend and to supervise all works. All spare parts are delivered by the Owner.</v>
      </c>
      <c r="B24" s="39"/>
      <c r="C24" s="39"/>
      <c r="D24" s="39"/>
      <c r="E24" s="39"/>
      <c r="F24" s="39"/>
      <c r="G24" s="39"/>
      <c r="H24" s="39"/>
      <c r="I24" s="39"/>
      <c r="J24" s="39"/>
      <c r="K24" s="39"/>
      <c r="L24" s="8"/>
      <c r="M24" s="68" t="s">
        <v>350</v>
      </c>
      <c r="N24" s="39"/>
      <c r="O24" s="39"/>
      <c r="P24" s="73" t="str">
        <f>IF($AA$7=0,"",IF(LEN(INDEX(Suppliers!$H$9:$H$508,$AA$7)&amp;"")=0,"",INDEX(Suppliers!$H$9:$H$508,$AA$7)))</f>
        <v>Norway</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Selected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42681</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Q105715</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https://stena.sharepoint.com/:b:/r/sites/KERRY/Shared%20Documents/Dry%20dock%202027/Specification%20items/1303.01%20Steering%20gears%20overhaul/Quotes/Neuver%20Service%20Quotation.pdf?d=w1562006030c147e6a4a87bc306e55bbe&amp;csf=1&amp;web=1&amp;e=teFGol</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2 pcs. of covers on deck 3 (main deck) to be removed for access to the actuators. Owner arranged and and paid Neuver service engineer to attend and to supervise all works. All spare parts are delivered by the Owner.</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Labor cost and travel expensis</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recived for man hours</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1303.01-Q1</v>
      </c>
      <c r="B64" s="39"/>
      <c r="C64" s="39"/>
      <c r="D64" s="77" t="str">
        <f>IF($AA64=0,"",INDEX(Quotes!$U$9:$U$258,$AA64)&amp;" | "&amp;INDEX(Quotes!$E$9:$E$258,$AA64))</f>
        <v>Neuver maritime  | Main scope</v>
      </c>
      <c r="E64" s="39"/>
      <c r="F64" s="39"/>
      <c r="G64" s="39"/>
      <c r="H64" s="39"/>
      <c r="I64" s="113" t="str">
        <f>IF($AA64=0,"",IF(LEN(INDEX(Quotes!$F$9:$F$258,$AA64)&amp;"")=0,"",INDEX(Quotes!$F$9:$F$258,$AA64)))</f>
        <v>Selected</v>
      </c>
      <c r="J64" s="39"/>
      <c r="K64" s="39"/>
      <c r="L64" s="8"/>
      <c r="M64" s="110">
        <f>IF($AA64=0,"",IF(LEN(INDEX(Quotes!$G$9:$G$258,$AA64)&amp;"")=0,"",INDEX(Quotes!$G$9:$G$258,$AA64)))</f>
        <v>42681</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42681</v>
      </c>
      <c r="U64" s="39"/>
      <c r="V64" s="33" t="str">
        <f t="shared" ref="V64:V93" si="0">IF($AA64=0,"",HYPERLINK("#'Quotes'!A"&amp;($AA64+8),"Quote"))</f>
        <v>Quote</v>
      </c>
      <c r="AA64">
        <f>IFERROR(MATCH("J:"&amp;$AA$2&amp;"_N:1",Quotes!$AS$9:$AS$258,0),0)</f>
        <v>13</v>
      </c>
    </row>
    <row r="65" spans="1:27" ht="42" customHeight="1" x14ac:dyDescent="0.35">
      <c r="A65" s="77" t="str">
        <f>IF($AA65=0,"",IF(LEN(INDEX(Quotes!$A$9:$A$258,$AA65)&amp;"")=0,"",INDEX(Quotes!$A$9:$A$258,$AA65)))</f>
        <v>1303.01-Q2</v>
      </c>
      <c r="B65" s="39"/>
      <c r="C65" s="39"/>
      <c r="D65" s="77" t="str">
        <f>IF($AA65=0,"",INDEX(Quotes!$U$9:$U$258,$AA65)&amp;" | "&amp;INDEX(Quotes!$E$9:$E$258,$AA65))</f>
        <v>Neuver maritime  | Main scope</v>
      </c>
      <c r="E65" s="39"/>
      <c r="F65" s="39"/>
      <c r="G65" s="39"/>
      <c r="H65" s="39"/>
      <c r="I65" s="113" t="str">
        <f>IF($AA65=0,"",IF(LEN(INDEX(Quotes!$F$9:$F$258,$AA65)&amp;"")=0,"",INDEX(Quotes!$F$9:$F$258,$AA65)))</f>
        <v>Quote received</v>
      </c>
      <c r="J65" s="39"/>
      <c r="K65" s="39"/>
      <c r="L65" s="8"/>
      <c r="M65" s="110">
        <f>IF($AA65=0,"",IF(LEN(INDEX(Quotes!$G$9:$G$258,$AA65)&amp;"")=0,"",INDEX(Quotes!$G$9:$G$258,$AA65)))</f>
        <v>54778.2</v>
      </c>
      <c r="N65" s="39"/>
      <c r="O65" s="39"/>
      <c r="P65" s="110" t="str">
        <f>IF($AA65=0,"",IF(LEN(INDEX(Quotes!$H$9:$H$258,$AA65)&amp;"")=0,"",INDEX(Quotes!$H$9:$H$258,$AA65)))</f>
        <v/>
      </c>
      <c r="Q65" s="39"/>
      <c r="R65" s="39"/>
      <c r="S65" s="32" t="str">
        <f>IF($AA65=0,"",IF(LEN(INDEX(Quotes!$I$9:$I$258,$AA65)&amp;"")=0,"",INDEX(Quotes!$I$9:$I$258,$AA65)))</f>
        <v>EUR</v>
      </c>
      <c r="T65" s="76">
        <f>IF($AA65=0,"",IF(LEN(INDEX(Quotes!$AD$9:$AD$258,$AA65)&amp;"")=0,"",INDEX(Quotes!$AD$9:$AD$258,$AA65)))</f>
        <v>54778.2</v>
      </c>
      <c r="U65" s="39"/>
      <c r="V65" s="33" t="str">
        <f t="shared" si="0"/>
        <v>Quote</v>
      </c>
      <c r="AA65">
        <f>IFERROR(MATCH("J:"&amp;$AA$2&amp;"_N:2",Quotes!$AS$9:$AS$258,0),0)</f>
        <v>14</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10" priority="1" operator="equal">
      <formula>"Selected"</formula>
    </cfRule>
  </conditionalFormatting>
  <dataValidations count="8">
    <dataValidation type="list" allowBlank="1" showErrorMessage="1" errorTitle="Check this entry" error="Use a value from the shared list." sqref="D18" xr:uid="{00000000-0002-0000-1000-000000000000}">
      <formula1>lstDepartment</formula1>
    </dataValidation>
    <dataValidation type="list" allowBlank="1" showErrorMessage="1" errorTitle="Check this entry" error="Use a value from the shared list." sqref="D19" xr:uid="{00000000-0002-0000-1000-000001000000}">
      <formula1>lstJobStatus</formula1>
    </dataValidation>
    <dataValidation type="date" allowBlank="1" showErrorMessage="1" errorTitle="Check this entry" error="Enter a valid date or a non-negative number, as applicable." sqref="D21 P34:P36 J21" xr:uid="{00000000-0002-0000-1000-000002000000}">
      <formula1>DATE(2000,1,1)</formula1>
      <formula2>DATE(2100,12,31)</formula2>
    </dataValidation>
    <dataValidation type="list" allowBlank="1" showErrorMessage="1" errorTitle="Check this entry" error="Use a value from the shared list." sqref="P14" xr:uid="{00000000-0002-0000-1000-000004000000}">
      <formula1>PilotOffer0007</formula1>
    </dataValidation>
    <dataValidation type="list" allowBlank="1" showErrorMessage="1" errorTitle="Check this entry" error="Use a value from the shared list." sqref="P28 I64:I93" xr:uid="{00000000-0002-0000-1000-000005000000}">
      <formula1>lstQuoteStatus</formula1>
    </dataValidation>
    <dataValidation type="list" allowBlank="1" showErrorMessage="1" errorTitle="Check this entry" error="Use a value from the shared list." sqref="P29 S64:S93" xr:uid="{00000000-0002-0000-1000-000006000000}">
      <formula1>lstCurrency</formula1>
    </dataValidation>
    <dataValidation type="list" allowBlank="1" showErrorMessage="1" errorTitle="Check this entry" error="Use a value from the shared list." sqref="P37" xr:uid="{00000000-0002-0000-1000-000007000000}">
      <formula1>lstYesNo</formula1>
    </dataValidation>
    <dataValidation type="decimal" operator="greaterThanOrEqual" allowBlank="1" showErrorMessage="1" errorTitle="Check this entry" error="Enter a valid date or a non-negative number, as applicable." sqref="P30:P31 P64:P93 M64:M93" xr:uid="{00000000-0002-0000-1000-000008000000}">
      <formula1>0</formula1>
    </dataValidation>
  </dataValidations>
  <hyperlinks>
    <hyperlink ref="A4" location="'Overview'!A1" display="Overview" xr:uid="{00000000-0004-0000-1000-000000000000}"/>
    <hyperlink ref="D4" location="'Jobs'!A1" display="Jobs" xr:uid="{00000000-0004-0000-1000-000001000000}"/>
    <hyperlink ref="G4" location="'Suppliers'!A1" display="Suppliers" xr:uid="{00000000-0004-0000-1000-000002000000}"/>
    <hyperlink ref="J4" location="'Budget'!A1" display="Budget" xr:uid="{00000000-0004-0000-1000-000003000000}"/>
    <hyperlink ref="M4" location="'Quotes'!A1" display="Quotes" xr:uid="{00000000-0004-0000-1000-000004000000}"/>
    <hyperlink ref="P4" location="'Print Summary'!A1" display="Print summary" xr:uid="{00000000-0004-0000-1000-000005000000}"/>
    <hyperlink ref="S4" location="'Read Me'!A1" display="Guide / setup" xr:uid="{00000000-0004-0000-1000-000006000000}"/>
    <hyperlink ref="A6" location="'Quotes'!A1" display="VIEW QUOTE REGISTER" xr:uid="{00000000-0004-0000-1000-000007000000}"/>
    <hyperlink ref="H6" location="'Jobs'!A1" display="BACK TO JOBS" xr:uid="{00000000-0004-0000-1000-000008000000}"/>
    <hyperlink ref="M6" location="'Supplier Jobs'!A1" display="SUPPLIER JOBS" xr:uid="{00000000-0004-0000-1000-000009000000}"/>
    <hyperlink ref="M42" r:id="rId1" xr:uid="{00000000-0004-0000-10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841</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227</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551</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48</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9</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11</v>
      </c>
    </row>
    <row r="8" spans="1:27" ht="22" customHeight="1" x14ac:dyDescent="0.35">
      <c r="A8" s="8"/>
      <c r="B8" s="8"/>
      <c r="C8" s="8"/>
      <c r="D8" s="8"/>
      <c r="E8" s="8"/>
      <c r="F8" s="8"/>
      <c r="G8" s="8"/>
      <c r="H8" s="8"/>
      <c r="I8" s="8"/>
      <c r="J8" s="8"/>
      <c r="K8" s="8"/>
      <c r="L8" s="8"/>
      <c r="M8" s="8"/>
      <c r="N8" s="8"/>
      <c r="O8" s="8"/>
      <c r="P8" s="8"/>
      <c r="Q8" s="8"/>
      <c r="R8" s="8"/>
      <c r="S8" s="8"/>
      <c r="T8" s="8"/>
      <c r="U8" s="8"/>
      <c r="V8" s="8"/>
      <c r="AA8" t="s">
        <v>842</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1500.01</v>
      </c>
      <c r="E14" s="39"/>
      <c r="F14" s="39"/>
      <c r="G14" s="39"/>
      <c r="H14" s="39"/>
      <c r="I14" s="39"/>
      <c r="J14" s="39"/>
      <c r="K14" s="39"/>
      <c r="L14" s="8"/>
      <c r="M14" s="68" t="s">
        <v>811</v>
      </c>
      <c r="N14" s="39"/>
      <c r="O14" s="39"/>
      <c r="P14" s="73" t="s">
        <v>843</v>
      </c>
      <c r="Q14" s="39"/>
      <c r="R14" s="39"/>
      <c r="S14" s="39"/>
      <c r="T14" s="39"/>
      <c r="U14" s="39"/>
      <c r="V14" s="39"/>
    </row>
    <row r="15" spans="1:27" ht="22" customHeight="1" x14ac:dyDescent="0.35">
      <c r="A15" s="68" t="s">
        <v>56</v>
      </c>
      <c r="B15" s="39"/>
      <c r="C15" s="39"/>
      <c r="D15" s="73" t="str">
        <f>IF($AA$5=0,"",IF(LEN(INDEX(Jobs!$B$9:$B$258,$AA$5)&amp;"")=0,"",INDEX(Jobs!$B$9:$B$258,$AA$5)))</f>
        <v>Fire detection system</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F1</v>
      </c>
      <c r="Q17" s="39"/>
      <c r="R17" s="39"/>
      <c r="S17" s="39"/>
      <c r="T17" s="39"/>
      <c r="U17" s="39"/>
      <c r="V17" s="39"/>
    </row>
    <row r="18" spans="1:22" ht="22" customHeight="1" x14ac:dyDescent="0.35">
      <c r="A18" s="68" t="s">
        <v>57</v>
      </c>
      <c r="B18" s="39"/>
      <c r="C18" s="39"/>
      <c r="D18" s="73" t="str">
        <f>IF($AA$5=0,"",IF(LEN(INDEX(Jobs!$C$9:$C$258,$AA$5)&amp;"")=0,"",INDEX(Jobs!$C$9:$C$258,$AA$5)))</f>
        <v>Deck</v>
      </c>
      <c r="E18" s="74"/>
      <c r="F18" s="74"/>
      <c r="G18" s="74"/>
      <c r="H18" s="74"/>
      <c r="I18" s="74"/>
      <c r="J18" s="74"/>
      <c r="K18" s="74"/>
      <c r="L18" s="8"/>
      <c r="M18" s="68" t="s">
        <v>814</v>
      </c>
      <c r="N18" s="39"/>
      <c r="O18" s="39"/>
      <c r="P18" s="73" t="str">
        <f>IF($AA$7=0,"",IF(LEN(INDEX(Suppliers!$B$9:$B$508,$AA$7)&amp;"")=0,"",INDEX(Suppliers!$B$9:$B$508,$AA$7)))</f>
        <v>Autronica Fire and Security AS</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Fire and Security Maritime</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CT00011</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Stian Hilde</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stian.hilde@autronicagroup.com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f>IF($AA$7=0,"",IF(LEN(INDEX(Suppliers!$G$9:$G$508,$AA$7)&amp;"")=0,"",INDEX(Suppliers!$G$9:$G$508,$AA$7)))</f>
        <v>91919555</v>
      </c>
      <c r="Q23" s="74"/>
      <c r="R23" s="74"/>
      <c r="S23" s="74"/>
      <c r="T23" s="74"/>
      <c r="U23" s="74"/>
      <c r="V23" s="74"/>
    </row>
    <row r="24" spans="1:22" ht="22" customHeight="1" x14ac:dyDescent="0.35">
      <c r="A24" s="96" t="str">
        <f>IF($AA$5=0,"",IF(LEN(INDEX(Jobs!$M$9:$M$258,$AA$5)&amp;"")=0,"",INDEX(Jobs!$M$9:$M$258,$AA$5)))</f>
        <v>Fire detection system to be upgraded during the dry dock by an External contractor</v>
      </c>
      <c r="B24" s="39"/>
      <c r="C24" s="39"/>
      <c r="D24" s="39"/>
      <c r="E24" s="39"/>
      <c r="F24" s="39"/>
      <c r="G24" s="39"/>
      <c r="H24" s="39"/>
      <c r="I24" s="39"/>
      <c r="J24" s="39"/>
      <c r="K24" s="39"/>
      <c r="L24" s="8"/>
      <c r="M24" s="68" t="s">
        <v>350</v>
      </c>
      <c r="N24" s="39"/>
      <c r="O24" s="39"/>
      <c r="P24" s="73" t="str">
        <f>IF($AA$7=0,"",IF(LEN(INDEX(Suppliers!$H$9:$H$508,$AA$7)&amp;"")=0,"",INDEX(Suppliers!$H$9:$H$508,$AA$7)))</f>
        <v>Norway</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79618</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Q-329241</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1500.01%20Fire%20detection%20system/Q-329241-STENA%20RORO%20NAVIGATION%20LTD%20(DRC%20KERRY)--KERRY%20(1).pdf?d=wdf0630e0ecdb4cc5ba450720d784418e&amp;csf=1&amp;web=1&amp;e=HhQnOK</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Fire detection system to be upgraded during the dry dock by an External contractor</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recived for update fire system</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1500.01-Q1</v>
      </c>
      <c r="B64" s="39"/>
      <c r="C64" s="39"/>
      <c r="D64" s="77" t="str">
        <f>IF($AA64=0,"",INDEX(Quotes!$U$9:$U$258,$AA64)&amp;" | "&amp;INDEX(Quotes!$E$9:$E$258,$AA64))</f>
        <v>Autronica Fire and Security AS | Main scope</v>
      </c>
      <c r="E64" s="39"/>
      <c r="F64" s="39"/>
      <c r="G64" s="39"/>
      <c r="H64" s="39"/>
      <c r="I64" s="113" t="str">
        <f>IF($AA64=0,"",IF(LEN(INDEX(Quotes!$F$9:$F$258,$AA64)&amp;"")=0,"",INDEX(Quotes!$F$9:$F$258,$AA64)))</f>
        <v>Quote received</v>
      </c>
      <c r="J64" s="39"/>
      <c r="K64" s="39"/>
      <c r="L64" s="8"/>
      <c r="M64" s="110">
        <f>IF($AA64=0,"",IF(LEN(INDEX(Quotes!$G$9:$G$258,$AA64)&amp;"")=0,"",INDEX(Quotes!$G$9:$G$258,$AA64)))</f>
        <v>79618</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79618</v>
      </c>
      <c r="U64" s="39"/>
      <c r="V64" s="33" t="str">
        <f t="shared" ref="V64:V93" si="0">IF($AA64=0,"",HYPERLINK("#'Quotes'!A"&amp;($AA64+8),"Quote"))</f>
        <v>Quote</v>
      </c>
      <c r="AA64">
        <f>IFERROR(MATCH("J:"&amp;$AA$2&amp;"_N:1",Quotes!$AS$9:$AS$258,0),0)</f>
        <v>9</v>
      </c>
    </row>
    <row r="65" spans="1:27" ht="42" customHeight="1" x14ac:dyDescent="0.35">
      <c r="A65" s="77" t="str">
        <f>IF($AA65=0,"",IF(LEN(INDEX(Quotes!$A$9:$A$258,$AA65)&amp;"")=0,"",INDEX(Quotes!$A$9:$A$258,$AA65)))</f>
        <v>1500.01-Q2</v>
      </c>
      <c r="B65" s="39"/>
      <c r="C65" s="39"/>
      <c r="D65" s="77" t="str">
        <f>IF($AA65=0,"",INDEX(Quotes!$U$9:$U$258,$AA65)&amp;" | "&amp;INDEX(Quotes!$E$9:$E$258,$AA65))</f>
        <v>Consillium | Main scope</v>
      </c>
      <c r="E65" s="39"/>
      <c r="F65" s="39"/>
      <c r="G65" s="39"/>
      <c r="H65" s="39"/>
      <c r="I65" s="113" t="str">
        <f>IF($AA65=0,"",IF(LEN(INDEX(Quotes!$F$9:$F$258,$AA65)&amp;"")=0,"",INDEX(Quotes!$F$9:$F$258,$AA65)))</f>
        <v>Clarification</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Quote</v>
      </c>
      <c r="AA65">
        <f>IFERROR(MATCH("J:"&amp;$AA$2&amp;"_N:2",Quotes!$AS$9:$AS$258,0),0)</f>
        <v>10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9" priority="1" operator="equal">
      <formula>"Selected"</formula>
    </cfRule>
  </conditionalFormatting>
  <dataValidations count="8">
    <dataValidation type="list" allowBlank="1" showErrorMessage="1" errorTitle="Check this entry" error="Use a value from the shared list." sqref="D18" xr:uid="{00000000-0002-0000-1100-000000000000}">
      <formula1>lstDepartment</formula1>
    </dataValidation>
    <dataValidation type="list" allowBlank="1" showErrorMessage="1" errorTitle="Check this entry" error="Use a value from the shared list." sqref="D19" xr:uid="{00000000-0002-0000-1100-000001000000}">
      <formula1>lstJobStatus</formula1>
    </dataValidation>
    <dataValidation type="date" allowBlank="1" showErrorMessage="1" errorTitle="Check this entry" error="Enter a valid date or a non-negative number, as applicable." sqref="D21 P34:P36 J21" xr:uid="{00000000-0002-0000-1100-000002000000}">
      <formula1>DATE(2000,1,1)</formula1>
      <formula2>DATE(2100,12,31)</formula2>
    </dataValidation>
    <dataValidation type="list" allowBlank="1" showErrorMessage="1" errorTitle="Check this entry" error="Use a value from the shared list." sqref="P14" xr:uid="{00000000-0002-0000-1100-000004000000}">
      <formula1>PilotOffer0008</formula1>
    </dataValidation>
    <dataValidation type="list" allowBlank="1" showErrorMessage="1" errorTitle="Check this entry" error="Use a value from the shared list." sqref="P28 I64:I93" xr:uid="{00000000-0002-0000-1100-000005000000}">
      <formula1>lstQuoteStatus</formula1>
    </dataValidation>
    <dataValidation type="list" allowBlank="1" showErrorMessage="1" errorTitle="Check this entry" error="Use a value from the shared list." sqref="P29 S64:S93" xr:uid="{00000000-0002-0000-1100-000006000000}">
      <formula1>lstCurrency</formula1>
    </dataValidation>
    <dataValidation type="list" allowBlank="1" showErrorMessage="1" errorTitle="Check this entry" error="Use a value from the shared list." sqref="P37" xr:uid="{00000000-0002-0000-1100-000007000000}">
      <formula1>lstYesNo</formula1>
    </dataValidation>
    <dataValidation type="decimal" operator="greaterThanOrEqual" allowBlank="1" showErrorMessage="1" errorTitle="Check this entry" error="Enter a valid date or a non-negative number, as applicable." sqref="P30:P31 P64:P93 M64:M93" xr:uid="{00000000-0002-0000-1100-000008000000}">
      <formula1>0</formula1>
    </dataValidation>
  </dataValidations>
  <hyperlinks>
    <hyperlink ref="A4" location="'Overview'!A1" display="Overview" xr:uid="{00000000-0004-0000-1100-000000000000}"/>
    <hyperlink ref="D4" location="'Jobs'!A1" display="Jobs" xr:uid="{00000000-0004-0000-1100-000001000000}"/>
    <hyperlink ref="G4" location="'Suppliers'!A1" display="Suppliers" xr:uid="{00000000-0004-0000-1100-000002000000}"/>
    <hyperlink ref="J4" location="'Budget'!A1" display="Budget" xr:uid="{00000000-0004-0000-1100-000003000000}"/>
    <hyperlink ref="M4" location="'Quotes'!A1" display="Quotes" xr:uid="{00000000-0004-0000-1100-000004000000}"/>
    <hyperlink ref="P4" location="'Print Summary'!A1" display="Print summary" xr:uid="{00000000-0004-0000-1100-000005000000}"/>
    <hyperlink ref="S4" location="'Read Me'!A1" display="Guide / setup" xr:uid="{00000000-0004-0000-1100-000006000000}"/>
    <hyperlink ref="A6" location="'Quotes'!A1" display="VIEW QUOTE REGISTER" xr:uid="{00000000-0004-0000-1100-000007000000}"/>
    <hyperlink ref="H6" location="'Jobs'!A1" display="BACK TO JOBS" xr:uid="{00000000-0004-0000-1100-000008000000}"/>
    <hyperlink ref="M6" location="'Supplier Jobs'!A1" display="SUPPLIER JOBS" xr:uid="{00000000-0004-0000-1100-000009000000}"/>
    <hyperlink ref="M42" r:id="rId1" xr:uid="{00000000-0004-0000-11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87F8C"/>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844</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246</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513</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845</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54</v>
      </c>
    </row>
    <row r="6" spans="1:27" ht="30" customHeight="1" x14ac:dyDescent="0.35">
      <c r="A6" s="93" t="s">
        <v>846</v>
      </c>
      <c r="B6" s="39"/>
      <c r="C6" s="39"/>
      <c r="D6" s="39"/>
      <c r="E6" s="39"/>
      <c r="F6" s="39"/>
      <c r="G6" s="8"/>
      <c r="H6" s="45" t="s">
        <v>801</v>
      </c>
      <c r="I6" s="39"/>
      <c r="J6" s="39"/>
      <c r="K6" s="39"/>
      <c r="L6" s="8"/>
      <c r="M6" s="45" t="s">
        <v>802</v>
      </c>
      <c r="N6" s="39"/>
      <c r="O6" s="39"/>
      <c r="P6" s="39"/>
      <c r="Q6" s="39"/>
      <c r="R6" s="8"/>
      <c r="S6" s="119" t="s">
        <v>847</v>
      </c>
      <c r="T6" s="39"/>
      <c r="U6" s="39"/>
      <c r="V6" s="39"/>
      <c r="AA6">
        <f>IFERROR(MATCH("Q:"&amp;$AA$3,Quotes!$AT$9:$AT$258,0),0)</f>
        <v>1</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1</v>
      </c>
    </row>
    <row r="8" spans="1:27" ht="22" customHeight="1" x14ac:dyDescent="0.35">
      <c r="A8" s="8"/>
      <c r="B8" s="8"/>
      <c r="C8" s="8"/>
      <c r="D8" s="8"/>
      <c r="E8" s="8"/>
      <c r="F8" s="8"/>
      <c r="G8" s="8"/>
      <c r="H8" s="8"/>
      <c r="I8" s="8"/>
      <c r="J8" s="8"/>
      <c r="K8" s="8"/>
      <c r="L8" s="8"/>
      <c r="M8" s="8"/>
      <c r="N8" s="8"/>
      <c r="O8" s="8"/>
      <c r="P8" s="8"/>
      <c r="Q8" s="8"/>
      <c r="R8" s="8"/>
      <c r="S8" s="8"/>
      <c r="T8" s="8"/>
      <c r="U8" s="8"/>
      <c r="V8" s="8"/>
      <c r="AA8" t="s">
        <v>848</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44800</v>
      </c>
      <c r="B10" s="39"/>
      <c r="C10" s="39"/>
      <c r="D10" s="39"/>
      <c r="E10" s="39"/>
      <c r="F10" s="39"/>
      <c r="G10" s="39"/>
      <c r="H10" s="116">
        <f>SUMIF(Quotes!$B$9:$B$258,$AA$2,Quotes!$AI$9:$AI$258)</f>
        <v>44800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3103.01</v>
      </c>
      <c r="E14" s="39"/>
      <c r="F14" s="39"/>
      <c r="G14" s="39"/>
      <c r="H14" s="39"/>
      <c r="I14" s="39"/>
      <c r="J14" s="39"/>
      <c r="K14" s="39"/>
      <c r="L14" s="8"/>
      <c r="M14" s="68" t="s">
        <v>811</v>
      </c>
      <c r="N14" s="39"/>
      <c r="O14" s="39"/>
      <c r="P14" s="73" t="s">
        <v>849</v>
      </c>
      <c r="Q14" s="39"/>
      <c r="R14" s="39"/>
      <c r="S14" s="39"/>
      <c r="T14" s="39"/>
      <c r="U14" s="39"/>
      <c r="V14" s="39"/>
    </row>
    <row r="15" spans="1:27" ht="22" customHeight="1" x14ac:dyDescent="0.35">
      <c r="A15" s="68" t="s">
        <v>56</v>
      </c>
      <c r="B15" s="39"/>
      <c r="C15" s="39"/>
      <c r="D15" s="73" t="str">
        <f>IF($AA$5=0,"",IF(LEN(INDEX(Jobs!$B$9:$B$258,$AA$5)&amp;"")=0,"",INDEX(Jobs!$B$9:$B$258,$AA$5)))</f>
        <v>Service of reduction gears STB/PS</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A1</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RENK</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Supervising engineers, for reduction gear overhaul</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CT00001</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RENKINFO</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info.renk-benelux@renk.com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
      </c>
      <c r="Q23" s="74"/>
      <c r="R23" s="74"/>
      <c r="S23" s="74"/>
      <c r="T23" s="74"/>
      <c r="U23" s="74"/>
      <c r="V23" s="74"/>
    </row>
    <row r="24" spans="1:22" ht="22" customHeight="1" x14ac:dyDescent="0.35">
      <c r="A24" s="96" t="str">
        <f>IF($AA$5=0,"",IF(LEN(INDEX(Jobs!$M$9:$M$258,$AA$5)&amp;"")=0,"",INDEX(Jobs!$M$9:$M$258,$AA$5)))</f>
        <v xml:space="preserve">Owners will appoint a manufacturer’s approved service contractor to carry out the service overhaul. Yard shall provide with 2 skilled fitters to help the service engineers carry out the job, 6 days 12 hours pr. day.  </v>
      </c>
      <c r="B24" s="39"/>
      <c r="C24" s="39"/>
      <c r="D24" s="39"/>
      <c r="E24" s="39"/>
      <c r="F24" s="39"/>
      <c r="G24" s="39"/>
      <c r="H24" s="39"/>
      <c r="I24" s="39"/>
      <c r="J24" s="39"/>
      <c r="K24" s="39"/>
      <c r="L24" s="8"/>
      <c r="M24" s="68" t="s">
        <v>350</v>
      </c>
      <c r="N24" s="39"/>
      <c r="O24" s="39"/>
      <c r="P24" s="73" t="str">
        <f>IF($AA$7=0,"",IF(LEN(INDEX(Suppliers!$H$9:$H$508,$AA$7)&amp;"")=0,"",INDEX(Suppliers!$H$9:$H$508,$AA$7)))</f>
        <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Selected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44800</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https://stena.sharepoint.com/:b:/r/sites/KERRY/Shared%20Documents/Dry%20dock%202027/Specification%20items/3103.01/Qoute/Quotation_7078856.pdf?d=wb457e4885dda4f86b03d64a9b32e5e34&amp;csf=1&amp;web=1&amp;e=AIu7S6</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 xml:space="preserve">Owners will appoint a manufacturer’s approved service contractor to carry out the service overhaul. Yard shall provide with 2 skilled fitters to help the service engineers carry out the job, 6 days 12 hours pr. day.  </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Service/overhaul + labour</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 xml:space="preserve">Waiting for qoute </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3103.01-Q1</v>
      </c>
      <c r="B64" s="39"/>
      <c r="C64" s="39"/>
      <c r="D64" s="77" t="str">
        <f>IF($AA64=0,"",INDEX(Quotes!$U$9:$U$258,$AA64)&amp;" | "&amp;INDEX(Quotes!$E$9:$E$258,$AA64))</f>
        <v>RENK | Main scope</v>
      </c>
      <c r="E64" s="39"/>
      <c r="F64" s="39"/>
      <c r="G64" s="39"/>
      <c r="H64" s="39"/>
      <c r="I64" s="113" t="str">
        <f>IF($AA64=0,"",IF(LEN(INDEX(Quotes!$F$9:$F$258,$AA64)&amp;"")=0,"",INDEX(Quotes!$F$9:$F$258,$AA64)))</f>
        <v>Selected</v>
      </c>
      <c r="J64" s="39"/>
      <c r="K64" s="39"/>
      <c r="L64" s="8"/>
      <c r="M64" s="110">
        <f>IF($AA64=0,"",IF(LEN(INDEX(Quotes!$G$9:$G$258,$AA64)&amp;"")=0,"",INDEX(Quotes!$G$9:$G$258,$AA64)))</f>
        <v>44800</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44800</v>
      </c>
      <c r="U64" s="39"/>
      <c r="V64" s="33" t="str">
        <f t="shared" ref="V64:V93" si="0">IF($AA64=0,"",HYPERLINK("#'Quotes'!A"&amp;($AA64+8),"Quote"))</f>
        <v>Quote</v>
      </c>
      <c r="AA64">
        <f>IFERROR(MATCH("J:"&amp;$AA$2&amp;"_N:1",Quotes!$AS$9:$AS$258,0),0)</f>
        <v>1</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8" priority="1" operator="equal">
      <formula>"Selected"</formula>
    </cfRule>
  </conditionalFormatting>
  <dataValidations count="8">
    <dataValidation type="list" allowBlank="1" showErrorMessage="1" errorTitle="Check this entry" error="Use a value from the shared list." sqref="D18" xr:uid="{00000000-0002-0000-1200-000000000000}">
      <formula1>lstDepartment</formula1>
    </dataValidation>
    <dataValidation type="list" allowBlank="1" showErrorMessage="1" errorTitle="Check this entry" error="Use a value from the shared list." sqref="D19" xr:uid="{00000000-0002-0000-1200-000001000000}">
      <formula1>lstJobStatus</formula1>
    </dataValidation>
    <dataValidation type="date" allowBlank="1" showErrorMessage="1" errorTitle="Check this entry" error="Enter a valid date or a non-negative number, as applicable." sqref="D21 P34:P36 J21" xr:uid="{00000000-0002-0000-1200-000002000000}">
      <formula1>DATE(2000,1,1)</formula1>
      <formula2>DATE(2100,12,31)</formula2>
    </dataValidation>
    <dataValidation type="list" allowBlank="1" showErrorMessage="1" errorTitle="Check this entry" error="Use a value from the shared list." sqref="P14" xr:uid="{00000000-0002-0000-1200-000004000000}">
      <formula1>PilotOffer0009</formula1>
    </dataValidation>
    <dataValidation type="list" allowBlank="1" showErrorMessage="1" errorTitle="Check this entry" error="Use a value from the shared list." sqref="P28 I64:I93" xr:uid="{00000000-0002-0000-1200-000005000000}">
      <formula1>lstQuoteStatus</formula1>
    </dataValidation>
    <dataValidation type="list" allowBlank="1" showErrorMessage="1" errorTitle="Check this entry" error="Use a value from the shared list." sqref="P29 S64:S93" xr:uid="{00000000-0002-0000-1200-000006000000}">
      <formula1>lstCurrency</formula1>
    </dataValidation>
    <dataValidation type="list" allowBlank="1" showErrorMessage="1" errorTitle="Check this entry" error="Use a value from the shared list." sqref="P37" xr:uid="{00000000-0002-0000-1200-000007000000}">
      <formula1>lstYesNo</formula1>
    </dataValidation>
    <dataValidation type="decimal" operator="greaterThanOrEqual" allowBlank="1" showErrorMessage="1" errorTitle="Check this entry" error="Enter a valid date or a non-negative number, as applicable." sqref="P30:P31 P64:P93 M64:M93" xr:uid="{00000000-0002-0000-1200-000008000000}">
      <formula1>0</formula1>
    </dataValidation>
  </dataValidations>
  <hyperlinks>
    <hyperlink ref="A4" location="'Overview'!A1" display="Overview" xr:uid="{00000000-0004-0000-1200-000000000000}"/>
    <hyperlink ref="D4" location="'Jobs'!A1" display="Jobs" xr:uid="{00000000-0004-0000-1200-000001000000}"/>
    <hyperlink ref="G4" location="'Suppliers'!A1" display="Suppliers" xr:uid="{00000000-0004-0000-1200-000002000000}"/>
    <hyperlink ref="J4" location="'Budget'!A1" display="Budget" xr:uid="{00000000-0004-0000-1200-000003000000}"/>
    <hyperlink ref="M4" location="'Quotes'!A1" display="Quotes" xr:uid="{00000000-0004-0000-1200-000004000000}"/>
    <hyperlink ref="P4" location="'Print Summary'!A1" display="Print summary" xr:uid="{00000000-0004-0000-1200-000005000000}"/>
    <hyperlink ref="S4" location="'Read Me'!A1" display="Guide / setup" xr:uid="{00000000-0004-0000-1200-000006000000}"/>
    <hyperlink ref="H6" location="'Jobs'!A1" display="BACK TO JOBS" xr:uid="{00000000-0004-0000-1200-000007000000}"/>
    <hyperlink ref="M6" location="'Supplier Jobs'!A1" display="SUPPLIER JOBS" xr:uid="{00000000-0004-0000-1200-000008000000}"/>
    <hyperlink ref="M42" r:id="rId1" xr:uid="{00000000-0004-0000-12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850</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265</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535</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60</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5</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5</v>
      </c>
    </row>
    <row r="8" spans="1:27" ht="22" customHeight="1" x14ac:dyDescent="0.35">
      <c r="A8" s="8"/>
      <c r="B8" s="8"/>
      <c r="C8" s="8"/>
      <c r="D8" s="8"/>
      <c r="E8" s="8"/>
      <c r="F8" s="8"/>
      <c r="G8" s="8"/>
      <c r="H8" s="8"/>
      <c r="I8" s="8"/>
      <c r="J8" s="8"/>
      <c r="K8" s="8"/>
      <c r="L8" s="8"/>
      <c r="M8" s="8"/>
      <c r="N8" s="8"/>
      <c r="O8" s="8"/>
      <c r="P8" s="8"/>
      <c r="Q8" s="8"/>
      <c r="R8" s="8"/>
      <c r="S8" s="8"/>
      <c r="T8" s="8"/>
      <c r="U8" s="8"/>
      <c r="V8" s="8"/>
      <c r="AA8" t="s">
        <v>851</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3149.01</v>
      </c>
      <c r="E14" s="39"/>
      <c r="F14" s="39"/>
      <c r="G14" s="39"/>
      <c r="H14" s="39"/>
      <c r="I14" s="39"/>
      <c r="J14" s="39"/>
      <c r="K14" s="39"/>
      <c r="L14" s="8"/>
      <c r="M14" s="68" t="s">
        <v>811</v>
      </c>
      <c r="N14" s="39"/>
      <c r="O14" s="39"/>
      <c r="P14" s="73" t="s">
        <v>852</v>
      </c>
      <c r="Q14" s="39"/>
      <c r="R14" s="39"/>
      <c r="S14" s="39"/>
      <c r="T14" s="39"/>
      <c r="U14" s="39"/>
      <c r="V14" s="39"/>
    </row>
    <row r="15" spans="1:27" ht="22" customHeight="1" x14ac:dyDescent="0.35">
      <c r="A15" s="68" t="s">
        <v>56</v>
      </c>
      <c r="B15" s="39"/>
      <c r="C15" s="39"/>
      <c r="D15" s="73" t="str">
        <f>IF($AA$5=0,"",IF(LEN(INDEX(Jobs!$B$9:$B$258,$AA$5)&amp;"")=0,"",INDEX(Jobs!$B$9:$B$258,$AA$5)))</f>
        <v>Main engine overhaul</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A5</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MAN</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Main engine spareparts</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CT00005</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N/A</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N/A</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N/A</v>
      </c>
      <c r="Q23" s="74"/>
      <c r="R23" s="74"/>
      <c r="S23" s="74"/>
      <c r="T23" s="74"/>
      <c r="U23" s="74"/>
      <c r="V23" s="74"/>
    </row>
    <row r="24" spans="1:22" ht="22" customHeight="1" x14ac:dyDescent="0.35">
      <c r="A24" s="96" t="str">
        <f>IF($AA$5=0,"",IF(LEN(INDEX(Jobs!$M$9:$M$258,$AA$5)&amp;"")=0,"",INDEX(Jobs!$M$9:$M$258,$AA$5)))</f>
        <v xml:space="preserve">All parts for the overhaul are delivered by the Owner. </v>
      </c>
      <c r="B24" s="39"/>
      <c r="C24" s="39"/>
      <c r="D24" s="39"/>
      <c r="E24" s="39"/>
      <c r="F24" s="39"/>
      <c r="G24" s="39"/>
      <c r="H24" s="39"/>
      <c r="I24" s="39"/>
      <c r="J24" s="39"/>
      <c r="K24" s="39"/>
      <c r="L24" s="8"/>
      <c r="M24" s="68" t="s">
        <v>350</v>
      </c>
      <c r="N24" s="39"/>
      <c r="O24" s="39"/>
      <c r="P24" s="73" t="str">
        <f>IF($AA$7=0,"",IF(LEN(INDEX(Suppliers!$H$9:$H$508,$AA$7)&amp;"")=0,"",INDEX(Suppliers!$H$9:$H$508,$AA$7)))</f>
        <v>N/A</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RFQ sent</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t="str">
        <f>IF($AA$6=0,"",IF(LEN(INDEX(Quotes!$G$9:$G$258,$AA$6)&amp;"")=0,"",INDEX(Quotes!$G$9:$G$258,$AA$6)))</f>
        <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 xml:space="preserve">All parts for the overhaul are delivered by the Owner. </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 xml:space="preserve">Qoute to be send </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Currency / FX missing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3149.01-Q1</v>
      </c>
      <c r="B64" s="39"/>
      <c r="C64" s="39"/>
      <c r="D64" s="77" t="str">
        <f>IF($AA64=0,"",INDEX(Quotes!$U$9:$U$258,$AA64)&amp;" | "&amp;INDEX(Quotes!$E$9:$E$258,$AA64))</f>
        <v>MAN | Main scope</v>
      </c>
      <c r="E64" s="39"/>
      <c r="F64" s="39"/>
      <c r="G64" s="39"/>
      <c r="H64" s="39"/>
      <c r="I64" s="113" t="str">
        <f>IF($AA64=0,"",IF(LEN(INDEX(Quotes!$F$9:$F$258,$AA64)&amp;"")=0,"",INDEX(Quotes!$F$9:$F$258,$AA64)))</f>
        <v>RFQ sent</v>
      </c>
      <c r="J64" s="39"/>
      <c r="K64" s="39"/>
      <c r="L64" s="8"/>
      <c r="M64" s="110" t="str">
        <f>IF($AA64=0,"",IF(LEN(INDEX(Quotes!$G$9:$G$258,$AA64)&amp;"")=0,"",INDEX(Quotes!$G$9:$G$258,$AA64)))</f>
        <v/>
      </c>
      <c r="N64" s="39"/>
      <c r="O64" s="39"/>
      <c r="P64" s="110" t="str">
        <f>IF($AA64=0,"",IF(LEN(INDEX(Quotes!$H$9:$H$258,$AA64)&amp;"")=0,"",INDEX(Quotes!$H$9:$H$258,$AA64)))</f>
        <v/>
      </c>
      <c r="Q64" s="39"/>
      <c r="R64" s="39"/>
      <c r="S64" s="32" t="str">
        <f>IF($AA64=0,"",IF(LEN(INDEX(Quotes!$I$9:$I$258,$AA64)&amp;"")=0,"",INDEX(Quotes!$I$9:$I$258,$AA64)))</f>
        <v/>
      </c>
      <c r="T64" s="76" t="str">
        <f>IF($AA64=0,"",IF(LEN(INDEX(Quotes!$AD$9:$AD$258,$AA64)&amp;"")=0,"",INDEX(Quotes!$AD$9:$AD$258,$AA64)))</f>
        <v/>
      </c>
      <c r="U64" s="39"/>
      <c r="V64" s="33" t="str">
        <f t="shared" ref="V64:V93" si="0">IF($AA64=0,"",HYPERLINK("#'Quotes'!A"&amp;($AA64+8),"Quote"))</f>
        <v>Quote</v>
      </c>
      <c r="AA64">
        <f>IFERROR(MATCH("J:"&amp;$AA$2&amp;"_N:1",Quotes!$AS$9:$AS$258,0),0)</f>
        <v>5</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7" priority="1" operator="equal">
      <formula>"Selected"</formula>
    </cfRule>
  </conditionalFormatting>
  <dataValidations count="8">
    <dataValidation type="list" allowBlank="1" showErrorMessage="1" errorTitle="Check this entry" error="Use a value from the shared list." sqref="D18" xr:uid="{00000000-0002-0000-1300-000000000000}">
      <formula1>lstDepartment</formula1>
    </dataValidation>
    <dataValidation type="list" allowBlank="1" showErrorMessage="1" errorTitle="Check this entry" error="Use a value from the shared list." sqref="D19" xr:uid="{00000000-0002-0000-1300-000001000000}">
      <formula1>lstJobStatus</formula1>
    </dataValidation>
    <dataValidation type="date" allowBlank="1" showErrorMessage="1" errorTitle="Check this entry" error="Enter a valid date or a non-negative number, as applicable." sqref="D21 P34:P36 J21" xr:uid="{00000000-0002-0000-1300-000002000000}">
      <formula1>DATE(2000,1,1)</formula1>
      <formula2>DATE(2100,12,31)</formula2>
    </dataValidation>
    <dataValidation type="list" allowBlank="1" showErrorMessage="1" errorTitle="Check this entry" error="Use a value from the shared list." sqref="P14" xr:uid="{00000000-0002-0000-1300-000004000000}">
      <formula1>PilotOffer0010</formula1>
    </dataValidation>
    <dataValidation type="list" allowBlank="1" showErrorMessage="1" errorTitle="Check this entry" error="Use a value from the shared list." sqref="P28 I64:I93" xr:uid="{00000000-0002-0000-1300-000005000000}">
      <formula1>lstQuoteStatus</formula1>
    </dataValidation>
    <dataValidation type="list" allowBlank="1" showErrorMessage="1" errorTitle="Check this entry" error="Use a value from the shared list." sqref="P29 S64:S93" xr:uid="{00000000-0002-0000-1300-000006000000}">
      <formula1>lstCurrency</formula1>
    </dataValidation>
    <dataValidation type="list" allowBlank="1" showErrorMessage="1" errorTitle="Check this entry" error="Use a value from the shared list." sqref="P37" xr:uid="{00000000-0002-0000-1300-000007000000}">
      <formula1>lstYesNo</formula1>
    </dataValidation>
    <dataValidation type="decimal" operator="greaterThanOrEqual" allowBlank="1" showErrorMessage="1" errorTitle="Check this entry" error="Enter a valid date or a non-negative number, as applicable." sqref="P30:P31 P64:P93 M64:M93" xr:uid="{00000000-0002-0000-1300-000008000000}">
      <formula1>0</formula1>
    </dataValidation>
  </dataValidations>
  <hyperlinks>
    <hyperlink ref="A4" location="'Overview'!A1" display="Overview" xr:uid="{00000000-0004-0000-1300-000000000000}"/>
    <hyperlink ref="D4" location="'Jobs'!A1" display="Jobs" xr:uid="{00000000-0004-0000-1300-000001000000}"/>
    <hyperlink ref="G4" location="'Suppliers'!A1" display="Suppliers" xr:uid="{00000000-0004-0000-1300-000002000000}"/>
    <hyperlink ref="J4" location="'Budget'!A1" display="Budget" xr:uid="{00000000-0004-0000-1300-000003000000}"/>
    <hyperlink ref="M4" location="'Quotes'!A1" display="Quotes" xr:uid="{00000000-0004-0000-1300-000004000000}"/>
    <hyperlink ref="P4" location="'Print Summary'!A1" display="Print summary" xr:uid="{00000000-0004-0000-1300-000005000000}"/>
    <hyperlink ref="S4" location="'Read Me'!A1" display="Guide / setup" xr:uid="{00000000-0004-0000-1300-000006000000}"/>
    <hyperlink ref="A6" location="'Quotes'!A1" display="VIEW QUOTE REGISTER" xr:uid="{00000000-0004-0000-1300-000007000000}"/>
    <hyperlink ref="H6" location="'Jobs'!A1" display="BACK TO JOBS" xr:uid="{00000000-0004-0000-1300-000008000000}"/>
    <hyperlink ref="M6" location="'Supplier Jobs'!A1" display="SUPPLIER JOBS" xr:uid="{00000000-0004-0000-1300-000009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853</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269</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542</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61</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7</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9</v>
      </c>
    </row>
    <row r="8" spans="1:27" ht="22" customHeight="1" x14ac:dyDescent="0.35">
      <c r="A8" s="8"/>
      <c r="B8" s="8"/>
      <c r="C8" s="8"/>
      <c r="D8" s="8"/>
      <c r="E8" s="8"/>
      <c r="F8" s="8"/>
      <c r="G8" s="8"/>
      <c r="H8" s="8"/>
      <c r="I8" s="8"/>
      <c r="J8" s="8"/>
      <c r="K8" s="8"/>
      <c r="L8" s="8"/>
      <c r="M8" s="8"/>
      <c r="N8" s="8"/>
      <c r="O8" s="8"/>
      <c r="P8" s="8"/>
      <c r="Q8" s="8"/>
      <c r="R8" s="8"/>
      <c r="S8" s="8"/>
      <c r="T8" s="8"/>
      <c r="U8" s="8"/>
      <c r="V8" s="8"/>
      <c r="AA8" t="s">
        <v>854</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3149.02</v>
      </c>
      <c r="E14" s="39"/>
      <c r="F14" s="39"/>
      <c r="G14" s="39"/>
      <c r="H14" s="39"/>
      <c r="I14" s="39"/>
      <c r="J14" s="39"/>
      <c r="K14" s="39"/>
      <c r="L14" s="8"/>
      <c r="M14" s="68" t="s">
        <v>811</v>
      </c>
      <c r="N14" s="39"/>
      <c r="O14" s="39"/>
      <c r="P14" s="73" t="s">
        <v>855</v>
      </c>
      <c r="Q14" s="39"/>
      <c r="R14" s="39"/>
      <c r="S14" s="39"/>
      <c r="T14" s="39"/>
      <c r="U14" s="39"/>
      <c r="V14" s="39"/>
    </row>
    <row r="15" spans="1:27" ht="22" customHeight="1" x14ac:dyDescent="0.35">
      <c r="A15" s="68" t="s">
        <v>56</v>
      </c>
      <c r="B15" s="39"/>
      <c r="C15" s="39"/>
      <c r="D15" s="73" t="str">
        <f>IF($AA$5=0,"",IF(LEN(INDEX(Jobs!$B$9:$B$258,$AA$5)&amp;"")=0,"",INDEX(Jobs!$B$9:$B$258,$AA$5)))</f>
        <v>Governor overhaul</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A8</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PJCircular</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Engineering governor overhaul</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CT00009</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pjcircular@pjcircular.com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 xml:space="preserve"> 39 29 15 53</v>
      </c>
      <c r="Q23" s="74"/>
      <c r="R23" s="74"/>
      <c r="S23" s="74"/>
      <c r="T23" s="74"/>
      <c r="U23" s="74"/>
      <c r="V23" s="74"/>
    </row>
    <row r="24" spans="1:22" ht="22" customHeight="1" x14ac:dyDescent="0.35">
      <c r="A24" s="96" t="str">
        <f>IF($AA$5=0,"",IF(LEN(INDEX(Jobs!$M$9:$M$258,$AA$5)&amp;"")=0,"",INDEX(Jobs!$M$9:$M$258,$AA$5)))</f>
        <v>Allow for removal of both governors from the main engines and preparation for transport to an authorized workshop for overhaul.</v>
      </c>
      <c r="B24" s="39"/>
      <c r="C24" s="39"/>
      <c r="D24" s="39"/>
      <c r="E24" s="39"/>
      <c r="F24" s="39"/>
      <c r="G24" s="39"/>
      <c r="H24" s="39"/>
      <c r="I24" s="39"/>
      <c r="J24" s="39"/>
      <c r="K24" s="39"/>
      <c r="L24" s="8"/>
      <c r="M24" s="68" t="s">
        <v>350</v>
      </c>
      <c r="N24" s="39"/>
      <c r="O24" s="39"/>
      <c r="P24" s="73" t="str">
        <f>IF($AA$7=0,"",IF(LEN(INDEX(Suppliers!$H$9:$H$508,$AA$7)&amp;"")=0,"",INDEX(Suppliers!$H$9:$H$508,$AA$7)))</f>
        <v>DK</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5970</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https://stena.sharepoint.com/:b:/r/sites/KERRY/Shared%20Documents/Dry%20dock%202027/Specification%20items/3149.02%20Governor%20overhaul/75270Q%20KERRY.pdf?d=w6f4c92a131414b58ab13c768e62aa6e0&amp;csf=1&amp;web=1&amp;e=mX2A5c</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Allow for removal of both governors from the main engines and preparation for transport to an authorized workshop for overhaul.</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Labor cost PJ for overhaul</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recived for overhaul labor</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3149.02-Q1</v>
      </c>
      <c r="B64" s="39"/>
      <c r="C64" s="39"/>
      <c r="D64" s="77" t="str">
        <f>IF($AA64=0,"",INDEX(Quotes!$U$9:$U$258,$AA64)&amp;" | "&amp;INDEX(Quotes!$E$9:$E$258,$AA64))</f>
        <v>PJCircular | Main scope</v>
      </c>
      <c r="E64" s="39"/>
      <c r="F64" s="39"/>
      <c r="G64" s="39"/>
      <c r="H64" s="39"/>
      <c r="I64" s="113" t="str">
        <f>IF($AA64=0,"",IF(LEN(INDEX(Quotes!$F$9:$F$258,$AA64)&amp;"")=0,"",INDEX(Quotes!$F$9:$F$258,$AA64)))</f>
        <v>Quote received</v>
      </c>
      <c r="J64" s="39"/>
      <c r="K64" s="39"/>
      <c r="L64" s="8"/>
      <c r="M64" s="110">
        <f>IF($AA64=0,"",IF(LEN(INDEX(Quotes!$G$9:$G$258,$AA64)&amp;"")=0,"",INDEX(Quotes!$G$9:$G$258,$AA64)))</f>
        <v>5970</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5970</v>
      </c>
      <c r="U64" s="39"/>
      <c r="V64" s="33" t="str">
        <f t="shared" ref="V64:V93" si="0">IF($AA64=0,"",HYPERLINK("#'Quotes'!A"&amp;($AA64+8),"Quote"))</f>
        <v>Quote</v>
      </c>
      <c r="AA64">
        <f>IFERROR(MATCH("J:"&amp;$AA$2&amp;"_N:1",Quotes!$AS$9:$AS$258,0),0)</f>
        <v>7</v>
      </c>
    </row>
    <row r="65" spans="1:27" ht="42" customHeight="1" x14ac:dyDescent="0.35">
      <c r="A65" s="77" t="str">
        <f>IF($AA65=0,"",IF(LEN(INDEX(Quotes!$A$9:$A$258,$AA65)&amp;"")=0,"",INDEX(Quotes!$A$9:$A$258,$AA65)))</f>
        <v>3149.02-Q2</v>
      </c>
      <c r="B65" s="39"/>
      <c r="C65" s="39"/>
      <c r="D65" s="77" t="str">
        <f>IF($AA65=0,"",INDEX(Quotes!$U$9:$U$258,$AA65)&amp;" | "&amp;INDEX(Quotes!$E$9:$E$258,$AA65))</f>
        <v>TURNER  | Main scope</v>
      </c>
      <c r="E65" s="39"/>
      <c r="F65" s="39"/>
      <c r="G65" s="39"/>
      <c r="H65" s="39"/>
      <c r="I65" s="113" t="str">
        <f>IF($AA65=0,"",IF(LEN(INDEX(Quotes!$F$9:$F$258,$AA65)&amp;"")=0,"",INDEX(Quotes!$F$9:$F$258,$AA65)))</f>
        <v>Quote received</v>
      </c>
      <c r="J65" s="39"/>
      <c r="K65" s="39"/>
      <c r="L65" s="8"/>
      <c r="M65" s="110">
        <f>IF($AA65=0,"",IF(LEN(INDEX(Quotes!$G$9:$G$258,$AA65)&amp;"")=0,"",INDEX(Quotes!$G$9:$G$258,$AA65)))</f>
        <v>9195.52</v>
      </c>
      <c r="N65" s="39"/>
      <c r="O65" s="39"/>
      <c r="P65" s="110" t="str">
        <f>IF($AA65=0,"",IF(LEN(INDEX(Quotes!$H$9:$H$258,$AA65)&amp;"")=0,"",INDEX(Quotes!$H$9:$H$258,$AA65)))</f>
        <v/>
      </c>
      <c r="Q65" s="39"/>
      <c r="R65" s="39"/>
      <c r="S65" s="32" t="str">
        <f>IF($AA65=0,"",IF(LEN(INDEX(Quotes!$I$9:$I$258,$AA65)&amp;"")=0,"",INDEX(Quotes!$I$9:$I$258,$AA65)))</f>
        <v>EUR</v>
      </c>
      <c r="T65" s="76">
        <f>IF($AA65=0,"",IF(LEN(INDEX(Quotes!$AD$9:$AD$258,$AA65)&amp;"")=0,"",INDEX(Quotes!$AD$9:$AD$258,$AA65)))</f>
        <v>9195.52</v>
      </c>
      <c r="U65" s="39"/>
      <c r="V65" s="33" t="str">
        <f t="shared" si="0"/>
        <v>Quote</v>
      </c>
      <c r="AA65">
        <f>IFERROR(MATCH("J:"&amp;$AA$2&amp;"_N:2",Quotes!$AS$9:$AS$258,0),0)</f>
        <v>8</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6" priority="1" operator="equal">
      <formula>"Selected"</formula>
    </cfRule>
  </conditionalFormatting>
  <dataValidations count="8">
    <dataValidation type="list" allowBlank="1" showErrorMessage="1" errorTitle="Check this entry" error="Use a value from the shared list." sqref="D18" xr:uid="{00000000-0002-0000-1400-000000000000}">
      <formula1>lstDepartment</formula1>
    </dataValidation>
    <dataValidation type="list" allowBlank="1" showErrorMessage="1" errorTitle="Check this entry" error="Use a value from the shared list." sqref="D19" xr:uid="{00000000-0002-0000-1400-000001000000}">
      <formula1>lstJobStatus</formula1>
    </dataValidation>
    <dataValidation type="date" allowBlank="1" showErrorMessage="1" errorTitle="Check this entry" error="Enter a valid date or a non-negative number, as applicable." sqref="D21 P34:P36 J21" xr:uid="{00000000-0002-0000-1400-000002000000}">
      <formula1>DATE(2000,1,1)</formula1>
      <formula2>DATE(2100,12,31)</formula2>
    </dataValidation>
    <dataValidation type="list" allowBlank="1" showErrorMessage="1" errorTitle="Check this entry" error="Use a value from the shared list." sqref="P14" xr:uid="{00000000-0002-0000-1400-000004000000}">
      <formula1>PilotOffer0011</formula1>
    </dataValidation>
    <dataValidation type="list" allowBlank="1" showErrorMessage="1" errorTitle="Check this entry" error="Use a value from the shared list." sqref="P28 I64:I93" xr:uid="{00000000-0002-0000-1400-000005000000}">
      <formula1>lstQuoteStatus</formula1>
    </dataValidation>
    <dataValidation type="list" allowBlank="1" showErrorMessage="1" errorTitle="Check this entry" error="Use a value from the shared list." sqref="P29 S64:S93" xr:uid="{00000000-0002-0000-1400-000006000000}">
      <formula1>lstCurrency</formula1>
    </dataValidation>
    <dataValidation type="list" allowBlank="1" showErrorMessage="1" errorTitle="Check this entry" error="Use a value from the shared list." sqref="P37" xr:uid="{00000000-0002-0000-1400-000007000000}">
      <formula1>lstYesNo</formula1>
    </dataValidation>
    <dataValidation type="decimal" operator="greaterThanOrEqual" allowBlank="1" showErrorMessage="1" errorTitle="Check this entry" error="Enter a valid date or a non-negative number, as applicable." sqref="P30:P31 P64:P93 M64:M93" xr:uid="{00000000-0002-0000-1400-000008000000}">
      <formula1>0</formula1>
    </dataValidation>
  </dataValidations>
  <hyperlinks>
    <hyperlink ref="A4" location="'Overview'!A1" display="Overview" xr:uid="{00000000-0004-0000-1400-000000000000}"/>
    <hyperlink ref="D4" location="'Jobs'!A1" display="Jobs" xr:uid="{00000000-0004-0000-1400-000001000000}"/>
    <hyperlink ref="G4" location="'Suppliers'!A1" display="Suppliers" xr:uid="{00000000-0004-0000-1400-000002000000}"/>
    <hyperlink ref="J4" location="'Budget'!A1" display="Budget" xr:uid="{00000000-0004-0000-1400-000003000000}"/>
    <hyperlink ref="M4" location="'Quotes'!A1" display="Quotes" xr:uid="{00000000-0004-0000-1400-000004000000}"/>
    <hyperlink ref="P4" location="'Print Summary'!A1" display="Print summary" xr:uid="{00000000-0004-0000-1400-000005000000}"/>
    <hyperlink ref="S4" location="'Read Me'!A1" display="Guide / setup" xr:uid="{00000000-0004-0000-1400-000006000000}"/>
    <hyperlink ref="A6" location="'Quotes'!A1" display="VIEW QUOTE REGISTER" xr:uid="{00000000-0004-0000-1400-000007000000}"/>
    <hyperlink ref="H6" location="'Jobs'!A1" display="BACK TO JOBS" xr:uid="{00000000-0004-0000-1400-000008000000}"/>
    <hyperlink ref="M6" location="'Supplier Jobs'!A1" display="SUPPLIER JOBS" xr:uid="{00000000-0004-0000-1400-000009000000}"/>
    <hyperlink ref="M42" r:id="rId1" xr:uid="{00000000-0004-0000-14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856</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312</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587</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75</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16</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7</v>
      </c>
    </row>
    <row r="8" spans="1:27" ht="22" customHeight="1" x14ac:dyDescent="0.35">
      <c r="A8" s="8"/>
      <c r="B8" s="8"/>
      <c r="C8" s="8"/>
      <c r="D8" s="8"/>
      <c r="E8" s="8"/>
      <c r="F8" s="8"/>
      <c r="G8" s="8"/>
      <c r="H8" s="8"/>
      <c r="I8" s="8"/>
      <c r="J8" s="8"/>
      <c r="K8" s="8"/>
      <c r="L8" s="8"/>
      <c r="M8" s="8"/>
      <c r="N8" s="8"/>
      <c r="O8" s="8"/>
      <c r="P8" s="8"/>
      <c r="Q8" s="8"/>
      <c r="R8" s="8"/>
      <c r="S8" s="8"/>
      <c r="T8" s="8"/>
      <c r="U8" s="8"/>
      <c r="V8" s="8"/>
      <c r="AA8" t="s">
        <v>857</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3802.01</v>
      </c>
      <c r="E14" s="39"/>
      <c r="F14" s="39"/>
      <c r="G14" s="39"/>
      <c r="H14" s="39"/>
      <c r="I14" s="39"/>
      <c r="J14" s="39"/>
      <c r="K14" s="39"/>
      <c r="L14" s="8"/>
      <c r="M14" s="68" t="s">
        <v>811</v>
      </c>
      <c r="N14" s="39"/>
      <c r="O14" s="39"/>
      <c r="P14" s="73" t="s">
        <v>858</v>
      </c>
      <c r="Q14" s="39"/>
      <c r="R14" s="39"/>
      <c r="S14" s="39"/>
      <c r="T14" s="39"/>
      <c r="U14" s="39"/>
      <c r="V14" s="39"/>
    </row>
    <row r="15" spans="1:27" ht="22" customHeight="1" x14ac:dyDescent="0.35">
      <c r="A15" s="68" t="s">
        <v>56</v>
      </c>
      <c r="B15" s="39"/>
      <c r="C15" s="39"/>
      <c r="D15" s="73" t="str">
        <f>IF($AA$5=0,"",IF(LEN(INDEX(Jobs!$B$9:$B$258,$AA$5)&amp;"")=0,"",INDEX(Jobs!$B$9:$B$258,$AA$5)))</f>
        <v>Stern tube seals</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A7</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WÀRTSILA</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ENGINE SPARES</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CT00007</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N/A</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N/A</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N/A</v>
      </c>
      <c r="Q23" s="74"/>
      <c r="R23" s="74"/>
      <c r="S23" s="74"/>
      <c r="T23" s="74"/>
      <c r="U23" s="74"/>
      <c r="V23" s="74"/>
    </row>
    <row r="24" spans="1:22" ht="22" customHeight="1" x14ac:dyDescent="0.35">
      <c r="A24" s="96" t="str">
        <f>IF($AA$5=0,"",IF(LEN(INDEX(Jobs!$M$9:$M$258,$AA$5)&amp;"")=0,"",INDEX(Jobs!$M$9:$M$258,$AA$5)))</f>
        <v>Following work to be performed on the stern tube seals. Owner arranged and paid service engineer to attend and will supervise the work below.  The yard is to assist the service engineer as found necessary. All spare parts are delivered by the Owner.</v>
      </c>
      <c r="B24" s="39"/>
      <c r="C24" s="39"/>
      <c r="D24" s="39"/>
      <c r="E24" s="39"/>
      <c r="F24" s="39"/>
      <c r="G24" s="39"/>
      <c r="H24" s="39"/>
      <c r="I24" s="39"/>
      <c r="J24" s="39"/>
      <c r="K24" s="39"/>
      <c r="L24" s="8"/>
      <c r="M24" s="68" t="s">
        <v>350</v>
      </c>
      <c r="N24" s="39"/>
      <c r="O24" s="39"/>
      <c r="P24" s="73" t="str">
        <f>IF($AA$7=0,"",IF(LEN(INDEX(Suppliers!$H$9:$H$508,$AA$7)&amp;"")=0,"",INDEX(Suppliers!$H$9:$H$508,$AA$7)))</f>
        <v>Sweden</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DKK</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290637.58</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f>IF($AA$6=0,"",IF(LEN(INDEX(Quotes!$M$9:$M$258,$AA$6)&amp;"")=0,"",INDEX(Quotes!$M$9:$M$258,$AA$6)))</f>
        <v>301354849</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https://stena.sharepoint.com/:b:/r/sites/KERRY/Shared%20Documents/Dry%20dock%202027/Specification%20items/3802.01%20Stern%20tube%20seals/0301354849_KERRY.PDF?d=w66263dba612b4284a33d8fe64c77c0eb&amp;csf=1&amp;web=1&amp;e=M2UatT</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Following work to be performed on the stern tube seals. Owner arranged and paid service engineer to attend and will supervise the work below.  The yard is to assist the service engineer as found necessary. All spare parts are delivered by the Owner.</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Spares for overhaul</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To qoute for spares for ME Overhaul</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3802.01-Q1</v>
      </c>
      <c r="B64" s="39"/>
      <c r="C64" s="39"/>
      <c r="D64" s="77" t="str">
        <f>IF($AA64=0,"",INDEX(Quotes!$U$9:$U$258,$AA64)&amp;" | "&amp;INDEX(Quotes!$E$9:$E$258,$AA64))</f>
        <v>WÀRTSILA | Main scope</v>
      </c>
      <c r="E64" s="39"/>
      <c r="F64" s="39"/>
      <c r="G64" s="39"/>
      <c r="H64" s="39"/>
      <c r="I64" s="113" t="str">
        <f>IF($AA64=0,"",IF(LEN(INDEX(Quotes!$F$9:$F$258,$AA64)&amp;"")=0,"",INDEX(Quotes!$F$9:$F$258,$AA64)))</f>
        <v>Quote received</v>
      </c>
      <c r="J64" s="39"/>
      <c r="K64" s="39"/>
      <c r="L64" s="8"/>
      <c r="M64" s="110">
        <f>IF($AA64=0,"",IF(LEN(INDEX(Quotes!$G$9:$G$258,$AA64)&amp;"")=0,"",INDEX(Quotes!$G$9:$G$258,$AA64)))</f>
        <v>290637.58</v>
      </c>
      <c r="N64" s="39"/>
      <c r="O64" s="39"/>
      <c r="P64" s="110" t="str">
        <f>IF($AA64=0,"",IF(LEN(INDEX(Quotes!$H$9:$H$258,$AA64)&amp;"")=0,"",INDEX(Quotes!$H$9:$H$258,$AA64)))</f>
        <v/>
      </c>
      <c r="Q64" s="39"/>
      <c r="R64" s="39"/>
      <c r="S64" s="32" t="str">
        <f>IF($AA64=0,"",IF(LEN(INDEX(Quotes!$I$9:$I$258,$AA64)&amp;"")=0,"",INDEX(Quotes!$I$9:$I$258,$AA64)))</f>
        <v>DKK</v>
      </c>
      <c r="T64" s="76">
        <f>IF($AA64=0,"",IF(LEN(INDEX(Quotes!$AD$9:$AD$258,$AA64)&amp;"")=0,"",INDEX(Quotes!$AD$9:$AD$258,$AA64)))</f>
        <v>38878.681024680627</v>
      </c>
      <c r="U64" s="39"/>
      <c r="V64" s="33" t="str">
        <f t="shared" ref="V64:V93" si="0">IF($AA64=0,"",HYPERLINK("#'Quotes'!A"&amp;($AA64+8),"Quote"))</f>
        <v>Quote</v>
      </c>
      <c r="AA64">
        <f>IFERROR(MATCH("J:"&amp;$AA$2&amp;"_N:1",Quotes!$AS$9:$AS$258,0),0)</f>
        <v>16</v>
      </c>
    </row>
    <row r="65" spans="1:27" ht="42" customHeight="1" x14ac:dyDescent="0.35">
      <c r="A65" s="77" t="str">
        <f>IF($AA65=0,"",IF(LEN(INDEX(Quotes!$A$9:$A$258,$AA65)&amp;"")=0,"",INDEX(Quotes!$A$9:$A$258,$AA65)))</f>
        <v>3802.01-Q2</v>
      </c>
      <c r="B65" s="39"/>
      <c r="C65" s="39"/>
      <c r="D65" s="77" t="str">
        <f>IF($AA65=0,"",INDEX(Quotes!$U$9:$U$258,$AA65)&amp;" | "&amp;INDEX(Quotes!$E$9:$E$258,$AA65))</f>
        <v>WÀRTSILA | Main scope</v>
      </c>
      <c r="E65" s="39"/>
      <c r="F65" s="39"/>
      <c r="G65" s="39"/>
      <c r="H65" s="39"/>
      <c r="I65" s="113" t="str">
        <f>IF($AA65=0,"",IF(LEN(INDEX(Quotes!$F$9:$F$258,$AA65)&amp;"")=0,"",INDEX(Quotes!$F$9:$F$258,$AA65)))</f>
        <v>Quote received</v>
      </c>
      <c r="J65" s="39"/>
      <c r="K65" s="39"/>
      <c r="L65" s="8"/>
      <c r="M65" s="110">
        <f>IF($AA65=0,"",IF(LEN(INDEX(Quotes!$G$9:$G$258,$AA65)&amp;"")=0,"",INDEX(Quotes!$G$9:$G$258,$AA65)))</f>
        <v>34420</v>
      </c>
      <c r="N65" s="39"/>
      <c r="O65" s="39"/>
      <c r="P65" s="110" t="str">
        <f>IF($AA65=0,"",IF(LEN(INDEX(Quotes!$H$9:$H$258,$AA65)&amp;"")=0,"",INDEX(Quotes!$H$9:$H$258,$AA65)))</f>
        <v/>
      </c>
      <c r="Q65" s="39"/>
      <c r="R65" s="39"/>
      <c r="S65" s="32" t="str">
        <f>IF($AA65=0,"",IF(LEN(INDEX(Quotes!$I$9:$I$258,$AA65)&amp;"")=0,"",INDEX(Quotes!$I$9:$I$258,$AA65)))</f>
        <v>EUR</v>
      </c>
      <c r="T65" s="76">
        <f>IF($AA65=0,"",IF(LEN(INDEX(Quotes!$AD$9:$AD$258,$AA65)&amp;"")=0,"",INDEX(Quotes!$AD$9:$AD$258,$AA65)))</f>
        <v>34420</v>
      </c>
      <c r="U65" s="39"/>
      <c r="V65" s="33" t="str">
        <f t="shared" si="0"/>
        <v>Quote</v>
      </c>
      <c r="AA65">
        <f>IFERROR(MATCH("J:"&amp;$AA$2&amp;"_N:2",Quotes!$AS$9:$AS$258,0),0)</f>
        <v>17</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5" priority="1" operator="equal">
      <formula>"Selected"</formula>
    </cfRule>
  </conditionalFormatting>
  <dataValidations count="8">
    <dataValidation type="list" allowBlank="1" showErrorMessage="1" errorTitle="Check this entry" error="Use a value from the shared list." sqref="D18" xr:uid="{00000000-0002-0000-1500-000000000000}">
      <formula1>lstDepartment</formula1>
    </dataValidation>
    <dataValidation type="list" allowBlank="1" showErrorMessage="1" errorTitle="Check this entry" error="Use a value from the shared list." sqref="D19" xr:uid="{00000000-0002-0000-1500-000001000000}">
      <formula1>lstJobStatus</formula1>
    </dataValidation>
    <dataValidation type="date" allowBlank="1" showErrorMessage="1" errorTitle="Check this entry" error="Enter a valid date or a non-negative number, as applicable." sqref="D21 P34:P36 J21" xr:uid="{00000000-0002-0000-1500-000002000000}">
      <formula1>DATE(2000,1,1)</formula1>
      <formula2>DATE(2100,12,31)</formula2>
    </dataValidation>
    <dataValidation type="list" allowBlank="1" showErrorMessage="1" errorTitle="Check this entry" error="Use a value from the shared list." sqref="P14" xr:uid="{00000000-0002-0000-1500-000004000000}">
      <formula1>PilotOffer0012</formula1>
    </dataValidation>
    <dataValidation type="list" allowBlank="1" showErrorMessage="1" errorTitle="Check this entry" error="Use a value from the shared list." sqref="P28 I64:I93" xr:uid="{00000000-0002-0000-1500-000005000000}">
      <formula1>lstQuoteStatus</formula1>
    </dataValidation>
    <dataValidation type="list" allowBlank="1" showErrorMessage="1" errorTitle="Check this entry" error="Use a value from the shared list." sqref="P29 S64:S93" xr:uid="{00000000-0002-0000-1500-000006000000}">
      <formula1>lstCurrency</formula1>
    </dataValidation>
    <dataValidation type="list" allowBlank="1" showErrorMessage="1" errorTitle="Check this entry" error="Use a value from the shared list." sqref="P37" xr:uid="{00000000-0002-0000-1500-000007000000}">
      <formula1>lstYesNo</formula1>
    </dataValidation>
    <dataValidation type="decimal" operator="greaterThanOrEqual" allowBlank="1" showErrorMessage="1" errorTitle="Check this entry" error="Enter a valid date or a non-negative number, as applicable." sqref="P30:P31 P64:P93 M64:M93" xr:uid="{00000000-0002-0000-1500-000008000000}">
      <formula1>0</formula1>
    </dataValidation>
  </dataValidations>
  <hyperlinks>
    <hyperlink ref="A4" location="'Overview'!A1" display="Overview" xr:uid="{00000000-0004-0000-1500-000000000000}"/>
    <hyperlink ref="D4" location="'Jobs'!A1" display="Jobs" xr:uid="{00000000-0004-0000-1500-000001000000}"/>
    <hyperlink ref="G4" location="'Suppliers'!A1" display="Suppliers" xr:uid="{00000000-0004-0000-1500-000002000000}"/>
    <hyperlink ref="J4" location="'Budget'!A1" display="Budget" xr:uid="{00000000-0004-0000-1500-000003000000}"/>
    <hyperlink ref="M4" location="'Quotes'!A1" display="Quotes" xr:uid="{00000000-0004-0000-1500-000004000000}"/>
    <hyperlink ref="P4" location="'Print Summary'!A1" display="Print summary" xr:uid="{00000000-0004-0000-1500-000005000000}"/>
    <hyperlink ref="S4" location="'Read Me'!A1" display="Guide / setup" xr:uid="{00000000-0004-0000-1500-000006000000}"/>
    <hyperlink ref="A6" location="'Quotes'!A1" display="VIEW QUOTE REGISTER" xr:uid="{00000000-0004-0000-1500-000007000000}"/>
    <hyperlink ref="H6" location="'Jobs'!A1" display="BACK TO JOBS" xr:uid="{00000000-0004-0000-1500-000008000000}"/>
    <hyperlink ref="M6" location="'Supplier Jobs'!A1" display="SUPPLIER JOBS" xr:uid="{00000000-0004-0000-1500-000009000000}"/>
    <hyperlink ref="M42" r:id="rId1" xr:uid="{00000000-0004-0000-15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859</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316</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596</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76</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18</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7</v>
      </c>
    </row>
    <row r="8" spans="1:27" ht="22" customHeight="1" x14ac:dyDescent="0.35">
      <c r="A8" s="8"/>
      <c r="B8" s="8"/>
      <c r="C8" s="8"/>
      <c r="D8" s="8"/>
      <c r="E8" s="8"/>
      <c r="F8" s="8"/>
      <c r="G8" s="8"/>
      <c r="H8" s="8"/>
      <c r="I8" s="8"/>
      <c r="J8" s="8"/>
      <c r="K8" s="8"/>
      <c r="L8" s="8"/>
      <c r="M8" s="8"/>
      <c r="N8" s="8"/>
      <c r="O8" s="8"/>
      <c r="P8" s="8"/>
      <c r="Q8" s="8"/>
      <c r="R8" s="8"/>
      <c r="S8" s="8"/>
      <c r="T8" s="8"/>
      <c r="U8" s="8"/>
      <c r="V8" s="8"/>
      <c r="AA8" t="s">
        <v>860</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3805.02</v>
      </c>
      <c r="E14" s="39"/>
      <c r="F14" s="39"/>
      <c r="G14" s="39"/>
      <c r="H14" s="39"/>
      <c r="I14" s="39"/>
      <c r="J14" s="39"/>
      <c r="K14" s="39"/>
      <c r="L14" s="8"/>
      <c r="M14" s="68" t="s">
        <v>811</v>
      </c>
      <c r="N14" s="39"/>
      <c r="O14" s="39"/>
      <c r="P14" s="73" t="s">
        <v>861</v>
      </c>
      <c r="Q14" s="39"/>
      <c r="R14" s="39"/>
      <c r="S14" s="39"/>
      <c r="T14" s="39"/>
      <c r="U14" s="39"/>
      <c r="V14" s="39"/>
    </row>
    <row r="15" spans="1:27" ht="22" customHeight="1" x14ac:dyDescent="0.35">
      <c r="A15" s="68" t="s">
        <v>56</v>
      </c>
      <c r="B15" s="39"/>
      <c r="C15" s="39"/>
      <c r="D15" s="73" t="str">
        <f>IF($AA$5=0,"",IF(LEN(INDEX(Jobs!$B$9:$B$258,$AA$5)&amp;"")=0,"",INDEX(Jobs!$B$9:$B$258,$AA$5)))</f>
        <v>Main propeller OD box overhaul</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A7</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WÀRTSILA</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ENGINE SPARES</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CT00007</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N/A</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N/A</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N/A</v>
      </c>
      <c r="Q23" s="74"/>
      <c r="R23" s="74"/>
      <c r="S23" s="74"/>
      <c r="T23" s="74"/>
      <c r="U23" s="74"/>
      <c r="V23" s="74"/>
    </row>
    <row r="24" spans="1:22" ht="22" customHeight="1" x14ac:dyDescent="0.35">
      <c r="A24" s="96" t="str">
        <f>IF($AA$5=0,"",IF(LEN(INDEX(Jobs!$M$9:$M$258,$AA$5)&amp;"")=0,"",INDEX(Jobs!$M$9:$M$258,$AA$5)))</f>
        <v xml:space="preserve">The Oil Distribution Boxes for each CPP propeller shaft to be overhauled.  </v>
      </c>
      <c r="B24" s="39"/>
      <c r="C24" s="39"/>
      <c r="D24" s="39"/>
      <c r="E24" s="39"/>
      <c r="F24" s="39"/>
      <c r="G24" s="39"/>
      <c r="H24" s="39"/>
      <c r="I24" s="39"/>
      <c r="J24" s="39"/>
      <c r="K24" s="39"/>
      <c r="L24" s="8"/>
      <c r="M24" s="68" t="s">
        <v>350</v>
      </c>
      <c r="N24" s="39"/>
      <c r="O24" s="39"/>
      <c r="P24" s="73" t="str">
        <f>IF($AA$7=0,"",IF(LEN(INDEX(Suppliers!$H$9:$H$508,$AA$7)&amp;"")=0,"",INDEX(Suppliers!$H$9:$H$508,$AA$7)))</f>
        <v>Sweden</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401719.08</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https://stena.sharepoint.com/:b:/r/sites/KERRY/Shared%20Documents/Dry%20dock%202027/Specification%20items/3801.01%20Propeller%20hub%20overhaul/W%C3%A4rtsil%C3%A4%20Service%20Offer%20-%20SO-152313%20-%201.0.pdf?d=w4997b397fb5248458334d5c676c222bc&amp;csf=1&amp;web=1&amp;e=UPSSvR</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 xml:space="preserve">The Oil Distribution Boxes for each CPP propeller shaft to be overhauled.  </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xml:space="preserve"> CPP and OD Box
overhaul of H04060 and H04061</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To qoute for spares for ME Overhaul</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3805.02-Q1</v>
      </c>
      <c r="B64" s="39"/>
      <c r="C64" s="39"/>
      <c r="D64" s="77" t="str">
        <f>IF($AA64=0,"",INDEX(Quotes!$U$9:$U$258,$AA64)&amp;" | "&amp;INDEX(Quotes!$E$9:$E$258,$AA64))</f>
        <v>WÀRTSILA | Main scope</v>
      </c>
      <c r="E64" s="39"/>
      <c r="F64" s="39"/>
      <c r="G64" s="39"/>
      <c r="H64" s="39"/>
      <c r="I64" s="113" t="str">
        <f>IF($AA64=0,"",IF(LEN(INDEX(Quotes!$F$9:$F$258,$AA64)&amp;"")=0,"",INDEX(Quotes!$F$9:$F$258,$AA64)))</f>
        <v>Quote received</v>
      </c>
      <c r="J64" s="39"/>
      <c r="K64" s="39"/>
      <c r="L64" s="8"/>
      <c r="M64" s="110">
        <f>IF($AA64=0,"",IF(LEN(INDEX(Quotes!$G$9:$G$258,$AA64)&amp;"")=0,"",INDEX(Quotes!$G$9:$G$258,$AA64)))</f>
        <v>401719.08</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401719.08</v>
      </c>
      <c r="U64" s="39"/>
      <c r="V64" s="33" t="str">
        <f t="shared" ref="V64:V93" si="0">IF($AA64=0,"",HYPERLINK("#'Quotes'!A"&amp;($AA64+8),"Quote"))</f>
        <v>Quote</v>
      </c>
      <c r="AA64">
        <f>IFERROR(MATCH("J:"&amp;$AA$2&amp;"_N:1",Quotes!$AS$9:$AS$258,0),0)</f>
        <v>18</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4" priority="1" operator="equal">
      <formula>"Selected"</formula>
    </cfRule>
  </conditionalFormatting>
  <dataValidations count="8">
    <dataValidation type="list" allowBlank="1" showErrorMessage="1" errorTitle="Check this entry" error="Use a value from the shared list." sqref="D18" xr:uid="{00000000-0002-0000-1600-000000000000}">
      <formula1>lstDepartment</formula1>
    </dataValidation>
    <dataValidation type="list" allowBlank="1" showErrorMessage="1" errorTitle="Check this entry" error="Use a value from the shared list." sqref="D19" xr:uid="{00000000-0002-0000-1600-000001000000}">
      <formula1>lstJobStatus</formula1>
    </dataValidation>
    <dataValidation type="date" allowBlank="1" showErrorMessage="1" errorTitle="Check this entry" error="Enter a valid date or a non-negative number, as applicable." sqref="D21 P34:P36 J21" xr:uid="{00000000-0002-0000-1600-000002000000}">
      <formula1>DATE(2000,1,1)</formula1>
      <formula2>DATE(2100,12,31)</formula2>
    </dataValidation>
    <dataValidation type="list" allowBlank="1" showErrorMessage="1" errorTitle="Check this entry" error="Use a value from the shared list." sqref="P14" xr:uid="{00000000-0002-0000-1600-000004000000}">
      <formula1>PilotOffer0013</formula1>
    </dataValidation>
    <dataValidation type="list" allowBlank="1" showErrorMessage="1" errorTitle="Check this entry" error="Use a value from the shared list." sqref="P28 I64:I93" xr:uid="{00000000-0002-0000-1600-000005000000}">
      <formula1>lstQuoteStatus</formula1>
    </dataValidation>
    <dataValidation type="list" allowBlank="1" showErrorMessage="1" errorTitle="Check this entry" error="Use a value from the shared list." sqref="P29 S64:S93" xr:uid="{00000000-0002-0000-1600-000006000000}">
      <formula1>lstCurrency</formula1>
    </dataValidation>
    <dataValidation type="list" allowBlank="1" showErrorMessage="1" errorTitle="Check this entry" error="Use a value from the shared list." sqref="P37" xr:uid="{00000000-0002-0000-1600-000007000000}">
      <formula1>lstYesNo</formula1>
    </dataValidation>
    <dataValidation type="decimal" operator="greaterThanOrEqual" allowBlank="1" showErrorMessage="1" errorTitle="Check this entry" error="Enter a valid date or a non-negative number, as applicable." sqref="P30:P31 P64:P93 M64:M93" xr:uid="{00000000-0002-0000-1600-000008000000}">
      <formula1>0</formula1>
    </dataValidation>
  </dataValidations>
  <hyperlinks>
    <hyperlink ref="A4" location="'Overview'!A1" display="Overview" xr:uid="{00000000-0004-0000-1600-000000000000}"/>
    <hyperlink ref="D4" location="'Jobs'!A1" display="Jobs" xr:uid="{00000000-0004-0000-1600-000001000000}"/>
    <hyperlink ref="G4" location="'Suppliers'!A1" display="Suppliers" xr:uid="{00000000-0004-0000-1600-000002000000}"/>
    <hyperlink ref="J4" location="'Budget'!A1" display="Budget" xr:uid="{00000000-0004-0000-1600-000003000000}"/>
    <hyperlink ref="M4" location="'Quotes'!A1" display="Quotes" xr:uid="{00000000-0004-0000-1600-000004000000}"/>
    <hyperlink ref="P4" location="'Print Summary'!A1" display="Print summary" xr:uid="{00000000-0004-0000-1600-000005000000}"/>
    <hyperlink ref="S4" location="'Read Me'!A1" display="Guide / setup" xr:uid="{00000000-0004-0000-1600-000006000000}"/>
    <hyperlink ref="A6" location="'Quotes'!A1" display="VIEW QUOTE REGISTER" xr:uid="{00000000-0004-0000-1600-000007000000}"/>
    <hyperlink ref="H6" location="'Jobs'!A1" display="BACK TO JOBS" xr:uid="{00000000-0004-0000-1600-000008000000}"/>
    <hyperlink ref="M6" location="'Supplier Jobs'!A1" display="SUPPLIER JOBS" xr:uid="{00000000-0004-0000-1600-000009000000}"/>
    <hyperlink ref="M42" r:id="rId1" xr:uid="{00000000-0004-0000-16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862</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323</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565</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78</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12</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13</v>
      </c>
    </row>
    <row r="8" spans="1:27" ht="22" customHeight="1" x14ac:dyDescent="0.35">
      <c r="A8" s="8"/>
      <c r="B8" s="8"/>
      <c r="C8" s="8"/>
      <c r="D8" s="8"/>
      <c r="E8" s="8"/>
      <c r="F8" s="8"/>
      <c r="G8" s="8"/>
      <c r="H8" s="8"/>
      <c r="I8" s="8"/>
      <c r="J8" s="8"/>
      <c r="K8" s="8"/>
      <c r="L8" s="8"/>
      <c r="M8" s="8"/>
      <c r="N8" s="8"/>
      <c r="O8" s="8"/>
      <c r="P8" s="8"/>
      <c r="Q8" s="8"/>
      <c r="R8" s="8"/>
      <c r="S8" s="8"/>
      <c r="T8" s="8"/>
      <c r="U8" s="8"/>
      <c r="V8" s="8"/>
      <c r="AA8" t="s">
        <v>863</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144229.46494464943</v>
      </c>
      <c r="B10" s="39"/>
      <c r="C10" s="39"/>
      <c r="D10" s="39"/>
      <c r="E10" s="39"/>
      <c r="F10" s="39"/>
      <c r="G10" s="39"/>
      <c r="H10" s="116">
        <f>SUMIF(Quotes!$B$9:$B$258,$AA$2,Quotes!$AI$9:$AI$258)</f>
        <v>144229.46494464943</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3811.01</v>
      </c>
      <c r="E14" s="39"/>
      <c r="F14" s="39"/>
      <c r="G14" s="39"/>
      <c r="H14" s="39"/>
      <c r="I14" s="39"/>
      <c r="J14" s="39"/>
      <c r="K14" s="39"/>
      <c r="L14" s="8"/>
      <c r="M14" s="68" t="s">
        <v>811</v>
      </c>
      <c r="N14" s="39"/>
      <c r="O14" s="39"/>
      <c r="P14" s="73" t="s">
        <v>864</v>
      </c>
      <c r="Q14" s="39"/>
      <c r="R14" s="39"/>
      <c r="S14" s="39"/>
      <c r="T14" s="39"/>
      <c r="U14" s="39"/>
      <c r="V14" s="39"/>
    </row>
    <row r="15" spans="1:27" ht="22" customHeight="1" x14ac:dyDescent="0.35">
      <c r="A15" s="68" t="s">
        <v>56</v>
      </c>
      <c r="B15" s="39"/>
      <c r="C15" s="39"/>
      <c r="D15" s="73" t="str">
        <f>IF($AA$5=0,"",IF(LEN(INDEX(Jobs!$B$9:$B$258,$AA$5)&amp;"")=0,"",INDEX(Jobs!$B$9:$B$258,$AA$5)))</f>
        <v>Bow thrusters overhaul</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A9</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BRUNVOLL</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 xml:space="preserve">PLC/THRUSTER </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CT00013</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office@brunvoll.no</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71 21 96 00</v>
      </c>
      <c r="Q23" s="74"/>
      <c r="R23" s="74"/>
      <c r="S23" s="74"/>
      <c r="T23" s="74"/>
      <c r="U23" s="74"/>
      <c r="V23" s="74"/>
    </row>
    <row r="24" spans="1:22" ht="22" customHeight="1" x14ac:dyDescent="0.35">
      <c r="A24" s="96" t="str">
        <f>IF($AA$5=0,"",IF(LEN(INDEX(Jobs!$M$9:$M$258,$AA$5)&amp;"")=0,"",INDEX(Jobs!$M$9:$M$258,$AA$5)))</f>
        <v>2 pcs. of bow thrusters to be dismantled for replacement of the propeller shaft seal and blade seals.</v>
      </c>
      <c r="B24" s="39"/>
      <c r="C24" s="39"/>
      <c r="D24" s="39"/>
      <c r="E24" s="39"/>
      <c r="F24" s="39"/>
      <c r="G24" s="39"/>
      <c r="H24" s="39"/>
      <c r="I24" s="39"/>
      <c r="J24" s="39"/>
      <c r="K24" s="39"/>
      <c r="L24" s="8"/>
      <c r="M24" s="68" t="s">
        <v>350</v>
      </c>
      <c r="N24" s="39"/>
      <c r="O24" s="39"/>
      <c r="P24" s="73" t="str">
        <f>IF($AA$7=0,"",IF(LEN(INDEX(Suppliers!$H$9:$H$508,$AA$7)&amp;"")=0,"",INDEX(Suppliers!$H$9:$H$508,$AA$7)))</f>
        <v>Norway</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Service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Selected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NOK</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392210</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f>IF($AA$6=0,"",IF(LEN(INDEX(Quotes!$M$9:$M$258,$AA$6)&amp;"")=0,"",INDEX(Quotes!$M$9:$M$258,$AA$6)))</f>
        <v>4258303</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https://stena.sharepoint.com/:b:/r/sites/KERRY/Shared%20Documents/Dry%20dock%202027/Specification%20items/3811.01%20Bow%20thrusters%20overhaul/Quote%20service/0004258303_0_0.pdf?d=w7d517b2ab93847399ada98fdb3257796&amp;csf=1&amp;web=1&amp;e=7bNjnt</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2 pcs. of bow thrusters to be dismantled for replacement of the propeller shaft seal and blade seals.</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xml:space="preserve">Service only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 xml:space="preserve">Qoute recived </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3811.01-Q1</v>
      </c>
      <c r="B64" s="39"/>
      <c r="C64" s="39"/>
      <c r="D64" s="77" t="str">
        <f>IF($AA64=0,"",INDEX(Quotes!$U$9:$U$258,$AA64)&amp;" | "&amp;INDEX(Quotes!$E$9:$E$258,$AA64))</f>
        <v>BRUNVOLL | Service</v>
      </c>
      <c r="E64" s="39"/>
      <c r="F64" s="39"/>
      <c r="G64" s="39"/>
      <c r="H64" s="39"/>
      <c r="I64" s="113" t="str">
        <f>IF($AA64=0,"",IF(LEN(INDEX(Quotes!$F$9:$F$258,$AA64)&amp;"")=0,"",INDEX(Quotes!$F$9:$F$258,$AA64)))</f>
        <v>Selected</v>
      </c>
      <c r="J64" s="39"/>
      <c r="K64" s="39"/>
      <c r="L64" s="8"/>
      <c r="M64" s="110">
        <f>IF($AA64=0,"",IF(LEN(INDEX(Quotes!$G$9:$G$258,$AA64)&amp;"")=0,"",INDEX(Quotes!$G$9:$G$258,$AA64)))</f>
        <v>392210</v>
      </c>
      <c r="N64" s="39"/>
      <c r="O64" s="39"/>
      <c r="P64" s="110" t="str">
        <f>IF($AA64=0,"",IF(LEN(INDEX(Quotes!$H$9:$H$258,$AA64)&amp;"")=0,"",INDEX(Quotes!$H$9:$H$258,$AA64)))</f>
        <v/>
      </c>
      <c r="Q64" s="39"/>
      <c r="R64" s="39"/>
      <c r="S64" s="32" t="str">
        <f>IF($AA64=0,"",IF(LEN(INDEX(Quotes!$I$9:$I$258,$AA64)&amp;"")=0,"",INDEX(Quotes!$I$9:$I$258,$AA64)))</f>
        <v>NOK</v>
      </c>
      <c r="T64" s="76">
        <f>IF($AA64=0,"",IF(LEN(INDEX(Quotes!$AD$9:$AD$258,$AA64)&amp;"")=0,"",INDEX(Quotes!$AD$9:$AD$258,$AA64)))</f>
        <v>36181.734317343173</v>
      </c>
      <c r="U64" s="39"/>
      <c r="V64" s="33" t="str">
        <f t="shared" ref="V64:V93" si="0">IF($AA64=0,"",HYPERLINK("#'Quotes'!A"&amp;($AA64+8),"Quote"))</f>
        <v>Quote</v>
      </c>
      <c r="AA64">
        <f>IFERROR(MATCH("J:"&amp;$AA$2&amp;"_N:1",Quotes!$AS$9:$AS$258,0),0)</f>
        <v>12</v>
      </c>
    </row>
    <row r="65" spans="1:27" ht="42" customHeight="1" x14ac:dyDescent="0.35">
      <c r="A65" s="77" t="str">
        <f>IF($AA65=0,"",IF(LEN(INDEX(Quotes!$A$9:$A$258,$AA65)&amp;"")=0,"",INDEX(Quotes!$A$9:$A$258,$AA65)))</f>
        <v>3811.01-Q2</v>
      </c>
      <c r="B65" s="39"/>
      <c r="C65" s="39"/>
      <c r="D65" s="77" t="str">
        <f>IF($AA65=0,"",INDEX(Quotes!$U$9:$U$258,$AA65)&amp;" | "&amp;INDEX(Quotes!$E$9:$E$258,$AA65))</f>
        <v>BRUNVOLL | Spares</v>
      </c>
      <c r="E65" s="39"/>
      <c r="F65" s="39"/>
      <c r="G65" s="39"/>
      <c r="H65" s="39"/>
      <c r="I65" s="113" t="str">
        <f>IF($AA65=0,"",IF(LEN(INDEX(Quotes!$F$9:$F$258,$AA65)&amp;"")=0,"",INDEX(Quotes!$F$9:$F$258,$AA65)))</f>
        <v>Selected</v>
      </c>
      <c r="J65" s="39"/>
      <c r="K65" s="39"/>
      <c r="L65" s="8"/>
      <c r="M65" s="110">
        <f>IF($AA65=0,"",IF(LEN(INDEX(Quotes!$G$9:$G$258,$AA65)&amp;"")=0,"",INDEX(Quotes!$G$9:$G$258,$AA65)))</f>
        <v>1171237.3999999999</v>
      </c>
      <c r="N65" s="39"/>
      <c r="O65" s="39"/>
      <c r="P65" s="110" t="str">
        <f>IF($AA65=0,"",IF(LEN(INDEX(Quotes!$H$9:$H$258,$AA65)&amp;"")=0,"",INDEX(Quotes!$H$9:$H$258,$AA65)))</f>
        <v/>
      </c>
      <c r="Q65" s="39"/>
      <c r="R65" s="39"/>
      <c r="S65" s="32" t="str">
        <f>IF($AA65=0,"",IF(LEN(INDEX(Quotes!$I$9:$I$258,$AA65)&amp;"")=0,"",INDEX(Quotes!$I$9:$I$258,$AA65)))</f>
        <v>NOK</v>
      </c>
      <c r="T65" s="76">
        <f>IF($AA65=0,"",IF(LEN(INDEX(Quotes!$AD$9:$AD$258,$AA65)&amp;"")=0,"",INDEX(Quotes!$AD$9:$AD$258,$AA65)))</f>
        <v>108047.73062730627</v>
      </c>
      <c r="U65" s="39"/>
      <c r="V65" s="33" t="str">
        <f t="shared" si="0"/>
        <v>Quote</v>
      </c>
      <c r="AA65">
        <f>IFERROR(MATCH("J:"&amp;$AA$2&amp;"_N:2",Quotes!$AS$9:$AS$258,0),0)</f>
        <v>15</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3" priority="1" operator="equal">
      <formula>"Selected"</formula>
    </cfRule>
  </conditionalFormatting>
  <dataValidations count="8">
    <dataValidation type="list" allowBlank="1" showErrorMessage="1" errorTitle="Check this entry" error="Use a value from the shared list." sqref="D18" xr:uid="{00000000-0002-0000-1700-000000000000}">
      <formula1>lstDepartment</formula1>
    </dataValidation>
    <dataValidation type="list" allowBlank="1" showErrorMessage="1" errorTitle="Check this entry" error="Use a value from the shared list." sqref="D19" xr:uid="{00000000-0002-0000-1700-000001000000}">
      <formula1>lstJobStatus</formula1>
    </dataValidation>
    <dataValidation type="date" allowBlank="1" showErrorMessage="1" errorTitle="Check this entry" error="Enter a valid date or a non-negative number, as applicable." sqref="D21 P34:P36 J21" xr:uid="{00000000-0002-0000-1700-000002000000}">
      <formula1>DATE(2000,1,1)</formula1>
      <formula2>DATE(2100,12,31)</formula2>
    </dataValidation>
    <dataValidation type="list" allowBlank="1" showErrorMessage="1" errorTitle="Check this entry" error="Use a value from the shared list." sqref="P14" xr:uid="{00000000-0002-0000-1700-000004000000}">
      <formula1>PilotOffer0014</formula1>
    </dataValidation>
    <dataValidation type="list" allowBlank="1" showErrorMessage="1" errorTitle="Check this entry" error="Use a value from the shared list." sqref="P28 I64:I93" xr:uid="{00000000-0002-0000-1700-000005000000}">
      <formula1>lstQuoteStatus</formula1>
    </dataValidation>
    <dataValidation type="list" allowBlank="1" showErrorMessage="1" errorTitle="Check this entry" error="Use a value from the shared list." sqref="P29 S64:S93" xr:uid="{00000000-0002-0000-1700-000006000000}">
      <formula1>lstCurrency</formula1>
    </dataValidation>
    <dataValidation type="list" allowBlank="1" showErrorMessage="1" errorTitle="Check this entry" error="Use a value from the shared list." sqref="P37" xr:uid="{00000000-0002-0000-1700-000007000000}">
      <formula1>lstYesNo</formula1>
    </dataValidation>
    <dataValidation type="decimal" operator="greaterThanOrEqual" allowBlank="1" showErrorMessage="1" errorTitle="Check this entry" error="Enter a valid date or a non-negative number, as applicable." sqref="P30:P31 P64:P93 M64:M93" xr:uid="{00000000-0002-0000-1700-000008000000}">
      <formula1>0</formula1>
    </dataValidation>
  </dataValidations>
  <hyperlinks>
    <hyperlink ref="A4" location="'Overview'!A1" display="Overview" xr:uid="{00000000-0004-0000-1700-000000000000}"/>
    <hyperlink ref="D4" location="'Jobs'!A1" display="Jobs" xr:uid="{00000000-0004-0000-1700-000001000000}"/>
    <hyperlink ref="G4" location="'Suppliers'!A1" display="Suppliers" xr:uid="{00000000-0004-0000-1700-000002000000}"/>
    <hyperlink ref="J4" location="'Budget'!A1" display="Budget" xr:uid="{00000000-0004-0000-1700-000003000000}"/>
    <hyperlink ref="M4" location="'Quotes'!A1" display="Quotes" xr:uid="{00000000-0004-0000-1700-000004000000}"/>
    <hyperlink ref="P4" location="'Print Summary'!A1" display="Print summary" xr:uid="{00000000-0004-0000-1700-000005000000}"/>
    <hyperlink ref="S4" location="'Read Me'!A1" display="Guide / setup" xr:uid="{00000000-0004-0000-1700-000006000000}"/>
    <hyperlink ref="A6" location="'Quotes'!A1" display="VIEW QUOTE REGISTER" xr:uid="{00000000-0004-0000-1700-000007000000}"/>
    <hyperlink ref="H6" location="'Jobs'!A1" display="BACK TO JOBS" xr:uid="{00000000-0004-0000-1700-000008000000}"/>
    <hyperlink ref="M6" location="'Supplier Jobs'!A1" display="SUPPLIER JOBS" xr:uid="{00000000-0004-0000-1700-000009000000}"/>
    <hyperlink ref="M42" r:id="rId1" xr:uid="{00000000-0004-0000-17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865</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327</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559</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79</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11</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13</v>
      </c>
    </row>
    <row r="8" spans="1:27" ht="22" customHeight="1" x14ac:dyDescent="0.35">
      <c r="A8" s="8"/>
      <c r="B8" s="8"/>
      <c r="C8" s="8"/>
      <c r="D8" s="8"/>
      <c r="E8" s="8"/>
      <c r="F8" s="8"/>
      <c r="G8" s="8"/>
      <c r="H8" s="8"/>
      <c r="I8" s="8"/>
      <c r="J8" s="8"/>
      <c r="K8" s="8"/>
      <c r="L8" s="8"/>
      <c r="M8" s="8"/>
      <c r="N8" s="8"/>
      <c r="O8" s="8"/>
      <c r="P8" s="8"/>
      <c r="Q8" s="8"/>
      <c r="R8" s="8"/>
      <c r="S8" s="8"/>
      <c r="T8" s="8"/>
      <c r="U8" s="8"/>
      <c r="V8" s="8"/>
      <c r="AA8" t="s">
        <v>866</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3811.02</v>
      </c>
      <c r="E14" s="39"/>
      <c r="F14" s="39"/>
      <c r="G14" s="39"/>
      <c r="H14" s="39"/>
      <c r="I14" s="39"/>
      <c r="J14" s="39"/>
      <c r="K14" s="39"/>
      <c r="L14" s="8"/>
      <c r="M14" s="68" t="s">
        <v>811</v>
      </c>
      <c r="N14" s="39"/>
      <c r="O14" s="39"/>
      <c r="P14" s="73" t="s">
        <v>867</v>
      </c>
      <c r="Q14" s="39"/>
      <c r="R14" s="39"/>
      <c r="S14" s="39"/>
      <c r="T14" s="39"/>
      <c r="U14" s="39"/>
      <c r="V14" s="39"/>
    </row>
    <row r="15" spans="1:27" ht="22" customHeight="1" x14ac:dyDescent="0.35">
      <c r="A15" s="68" t="s">
        <v>56</v>
      </c>
      <c r="B15" s="39"/>
      <c r="C15" s="39"/>
      <c r="D15" s="73" t="str">
        <f>IF($AA$5=0,"",IF(LEN(INDEX(Jobs!$B$9:$B$258,$AA$5)&amp;"")=0,"",INDEX(Jobs!$B$9:$B$258,$AA$5)))</f>
        <v>Thruster PLC upgrade - YARD INFO ONLY</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A9</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BRUNVOLL</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 xml:space="preserve">PLC/THRUSTER </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CT00013</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office@brunvoll.no</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71 21 96 00</v>
      </c>
      <c r="Q23" s="74"/>
      <c r="R23" s="74"/>
      <c r="S23" s="74"/>
      <c r="T23" s="74"/>
      <c r="U23" s="74"/>
      <c r="V23" s="74"/>
    </row>
    <row r="24" spans="1:22" ht="22" customHeight="1" x14ac:dyDescent="0.35">
      <c r="A24" s="96" t="str">
        <f>IF($AA$5=0,"",IF(LEN(INDEX(Jobs!$M$9:$M$258,$AA$5)&amp;"")=0,"",INDEX(Jobs!$M$9:$M$258,$AA$5)))</f>
        <v>Owners’ subcontractor will carry out an upgrade of the PLC systems for the thruster starter panels during the docking period. The vessel shall be allowed to dock out without the use of the thrusters, as the upgrade cannot be commissioned until the thruster units are operational.</v>
      </c>
      <c r="B24" s="39"/>
      <c r="C24" s="39"/>
      <c r="D24" s="39"/>
      <c r="E24" s="39"/>
      <c r="F24" s="39"/>
      <c r="G24" s="39"/>
      <c r="H24" s="39"/>
      <c r="I24" s="39"/>
      <c r="J24" s="39"/>
      <c r="K24" s="39"/>
      <c r="L24" s="8"/>
      <c r="M24" s="68" t="s">
        <v>350</v>
      </c>
      <c r="N24" s="39"/>
      <c r="O24" s="39"/>
      <c r="P24" s="73" t="str">
        <f>IF($AA$7=0,"",IF(LEN(INDEX(Suppliers!$H$9:$H$508,$AA$7)&amp;"")=0,"",INDEX(Suppliers!$H$9:$H$508,$AA$7)))</f>
        <v>Norway</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Quote received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NOK</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525692</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f>IF($AA$6=0,"",IF(LEN(INDEX(Quotes!$M$9:$M$258,$AA$6)&amp;"")=0,"",INDEX(Quotes!$M$9:$M$258,$AA$6)))</f>
        <v>4258326</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https://stena.sharepoint.com/:b:/r/sites/KERRY/Shared%20Documents/Dry%20dock%202027/Specification%20items/3811.02%20Thruster%20PLC%20upgrade/0004258326_0_0.pdf?d=wf56756d737494c3d81d021ab017550da&amp;csf=1&amp;web=1&amp;e=L5J0TD</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Owners’ subcontractor will carry out an upgrade of the PLC systems for the thruster starter panels during the docking period. The vessel shall be allowed to dock out without the use of the thrusters, as the upgrade cannot be commissioned until the thruster units are operational.</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For PLC update</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 xml:space="preserve">Qoute recived </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3811.02-Q1</v>
      </c>
      <c r="B64" s="39"/>
      <c r="C64" s="39"/>
      <c r="D64" s="77" t="str">
        <f>IF($AA64=0,"",INDEX(Quotes!$U$9:$U$258,$AA64)&amp;" | "&amp;INDEX(Quotes!$E$9:$E$258,$AA64))</f>
        <v>BRUNVOLL | Main scope</v>
      </c>
      <c r="E64" s="39"/>
      <c r="F64" s="39"/>
      <c r="G64" s="39"/>
      <c r="H64" s="39"/>
      <c r="I64" s="113" t="str">
        <f>IF($AA64=0,"",IF(LEN(INDEX(Quotes!$F$9:$F$258,$AA64)&amp;"")=0,"",INDEX(Quotes!$F$9:$F$258,$AA64)))</f>
        <v>Quote received</v>
      </c>
      <c r="J64" s="39"/>
      <c r="K64" s="39"/>
      <c r="L64" s="8"/>
      <c r="M64" s="110">
        <f>IF($AA64=0,"",IF(LEN(INDEX(Quotes!$G$9:$G$258,$AA64)&amp;"")=0,"",INDEX(Quotes!$G$9:$G$258,$AA64)))</f>
        <v>525692</v>
      </c>
      <c r="N64" s="39"/>
      <c r="O64" s="39"/>
      <c r="P64" s="110" t="str">
        <f>IF($AA64=0,"",IF(LEN(INDEX(Quotes!$H$9:$H$258,$AA64)&amp;"")=0,"",INDEX(Quotes!$H$9:$H$258,$AA64)))</f>
        <v/>
      </c>
      <c r="Q64" s="39"/>
      <c r="R64" s="39"/>
      <c r="S64" s="32" t="str">
        <f>IF($AA64=0,"",IF(LEN(INDEX(Quotes!$I$9:$I$258,$AA64)&amp;"")=0,"",INDEX(Quotes!$I$9:$I$258,$AA64)))</f>
        <v>NOK</v>
      </c>
      <c r="T64" s="76">
        <f>IF($AA64=0,"",IF(LEN(INDEX(Quotes!$AD$9:$AD$258,$AA64)&amp;"")=0,"",INDEX(Quotes!$AD$9:$AD$258,$AA64)))</f>
        <v>48495.571955719555</v>
      </c>
      <c r="U64" s="39"/>
      <c r="V64" s="33" t="str">
        <f t="shared" ref="V64:V93" si="0">IF($AA64=0,"",HYPERLINK("#'Quotes'!A"&amp;($AA64+8),"Quote"))</f>
        <v>Quote</v>
      </c>
      <c r="AA64">
        <f>IFERROR(MATCH("J:"&amp;$AA$2&amp;"_N:1",Quotes!$AS$9:$AS$258,0),0)</f>
        <v>11</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2" priority="1" operator="equal">
      <formula>"Selected"</formula>
    </cfRule>
  </conditionalFormatting>
  <dataValidations count="8">
    <dataValidation type="list" allowBlank="1" showErrorMessage="1" errorTitle="Check this entry" error="Use a value from the shared list." sqref="D18" xr:uid="{00000000-0002-0000-1800-000000000000}">
      <formula1>lstDepartment</formula1>
    </dataValidation>
    <dataValidation type="list" allowBlank="1" showErrorMessage="1" errorTitle="Check this entry" error="Use a value from the shared list." sqref="D19" xr:uid="{00000000-0002-0000-1800-000001000000}">
      <formula1>lstJobStatus</formula1>
    </dataValidation>
    <dataValidation type="date" allowBlank="1" showErrorMessage="1" errorTitle="Check this entry" error="Enter a valid date or a non-negative number, as applicable." sqref="D21 P34:P36 J21" xr:uid="{00000000-0002-0000-1800-000002000000}">
      <formula1>DATE(2000,1,1)</formula1>
      <formula2>DATE(2100,12,31)</formula2>
    </dataValidation>
    <dataValidation type="list" allowBlank="1" showErrorMessage="1" errorTitle="Check this entry" error="Use a value from the shared list." sqref="P14" xr:uid="{00000000-0002-0000-1800-000004000000}">
      <formula1>PilotOffer0015</formula1>
    </dataValidation>
    <dataValidation type="list" allowBlank="1" showErrorMessage="1" errorTitle="Check this entry" error="Use a value from the shared list." sqref="P28 I64:I93" xr:uid="{00000000-0002-0000-1800-000005000000}">
      <formula1>lstQuoteStatus</formula1>
    </dataValidation>
    <dataValidation type="list" allowBlank="1" showErrorMessage="1" errorTitle="Check this entry" error="Use a value from the shared list." sqref="P29 S64:S93" xr:uid="{00000000-0002-0000-1800-000006000000}">
      <formula1>lstCurrency</formula1>
    </dataValidation>
    <dataValidation type="list" allowBlank="1" showErrorMessage="1" errorTitle="Check this entry" error="Use a value from the shared list." sqref="P37" xr:uid="{00000000-0002-0000-1800-000007000000}">
      <formula1>lstYesNo</formula1>
    </dataValidation>
    <dataValidation type="decimal" operator="greaterThanOrEqual" allowBlank="1" showErrorMessage="1" errorTitle="Check this entry" error="Enter a valid date or a non-negative number, as applicable." sqref="P30:P31 P64:P93 M64:M93" xr:uid="{00000000-0002-0000-1800-000008000000}">
      <formula1>0</formula1>
    </dataValidation>
  </dataValidations>
  <hyperlinks>
    <hyperlink ref="A4" location="'Overview'!A1" display="Overview" xr:uid="{00000000-0004-0000-1800-000000000000}"/>
    <hyperlink ref="D4" location="'Jobs'!A1" display="Jobs" xr:uid="{00000000-0004-0000-1800-000001000000}"/>
    <hyperlink ref="G4" location="'Suppliers'!A1" display="Suppliers" xr:uid="{00000000-0004-0000-1800-000002000000}"/>
    <hyperlink ref="J4" location="'Budget'!A1" display="Budget" xr:uid="{00000000-0004-0000-1800-000003000000}"/>
    <hyperlink ref="M4" location="'Quotes'!A1" display="Quotes" xr:uid="{00000000-0004-0000-1800-000004000000}"/>
    <hyperlink ref="P4" location="'Print Summary'!A1" display="Print summary" xr:uid="{00000000-0004-0000-1800-000005000000}"/>
    <hyperlink ref="S4" location="'Read Me'!A1" display="Guide / setup" xr:uid="{00000000-0004-0000-1800-000006000000}"/>
    <hyperlink ref="A6" location="'Quotes'!A1" display="VIEW QUOTE REGISTER" xr:uid="{00000000-0004-0000-1800-000007000000}"/>
    <hyperlink ref="H6" location="'Jobs'!A1" display="BACK TO JOBS" xr:uid="{00000000-0004-0000-1800-000008000000}"/>
    <hyperlink ref="M6" location="'Supplier Jobs'!A1" display="SUPPLIER JOBS" xr:uid="{00000000-0004-0000-1800-000009000000}"/>
    <hyperlink ref="M42" r:id="rId1" xr:uid="{00000000-0004-0000-18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868</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c r="AA2" t="s">
        <v>331</v>
      </c>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c r="AA3" t="s">
        <v>537</v>
      </c>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799</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80</v>
      </c>
    </row>
    <row r="6" spans="1:27" ht="30" customHeight="1" x14ac:dyDescent="0.35">
      <c r="A6" s="45" t="s">
        <v>800</v>
      </c>
      <c r="B6" s="39"/>
      <c r="C6" s="39"/>
      <c r="D6" s="39"/>
      <c r="E6" s="39"/>
      <c r="F6" s="39"/>
      <c r="G6" s="8"/>
      <c r="H6" s="45" t="s">
        <v>801</v>
      </c>
      <c r="I6" s="39"/>
      <c r="J6" s="39"/>
      <c r="K6" s="39"/>
      <c r="L6" s="8"/>
      <c r="M6" s="45" t="s">
        <v>802</v>
      </c>
      <c r="N6" s="39"/>
      <c r="O6" s="39"/>
      <c r="P6" s="39"/>
      <c r="Q6" s="39"/>
      <c r="R6" s="8"/>
      <c r="S6" s="111" t="s">
        <v>803</v>
      </c>
      <c r="T6" s="39"/>
      <c r="U6" s="39"/>
      <c r="V6" s="39"/>
      <c r="AA6">
        <f>IFERROR(MATCH("Q:"&amp;$AA$3,Quotes!$AT$9:$AT$258,0),0)</f>
        <v>6</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6</v>
      </c>
    </row>
    <row r="8" spans="1:27" ht="22" customHeight="1" x14ac:dyDescent="0.35">
      <c r="A8" s="8"/>
      <c r="B8" s="8"/>
      <c r="C8" s="8"/>
      <c r="D8" s="8"/>
      <c r="E8" s="8"/>
      <c r="F8" s="8"/>
      <c r="G8" s="8"/>
      <c r="H8" s="8"/>
      <c r="I8" s="8"/>
      <c r="J8" s="8"/>
      <c r="K8" s="8"/>
      <c r="L8" s="8"/>
      <c r="M8" s="8"/>
      <c r="N8" s="8"/>
      <c r="O8" s="8"/>
      <c r="P8" s="8"/>
      <c r="Q8" s="8"/>
      <c r="R8" s="8"/>
      <c r="S8" s="8"/>
      <c r="T8" s="8"/>
      <c r="U8" s="8"/>
      <c r="V8" s="8"/>
      <c r="AA8" t="s">
        <v>869</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250000</v>
      </c>
      <c r="B10" s="39"/>
      <c r="C10" s="39"/>
      <c r="D10" s="39"/>
      <c r="E10" s="39"/>
      <c r="F10" s="39"/>
      <c r="G10" s="39"/>
      <c r="H10" s="116">
        <f>SUMIF(Quotes!$B$9:$B$258,$AA$2,Quotes!$AI$9:$AI$258)</f>
        <v>250000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3812.01</v>
      </c>
      <c r="E14" s="39"/>
      <c r="F14" s="39"/>
      <c r="G14" s="39"/>
      <c r="H14" s="39"/>
      <c r="I14" s="39"/>
      <c r="J14" s="39"/>
      <c r="K14" s="39"/>
      <c r="L14" s="8"/>
      <c r="M14" s="68" t="s">
        <v>811</v>
      </c>
      <c r="N14" s="39"/>
      <c r="O14" s="39"/>
      <c r="P14" s="73" t="s">
        <v>870</v>
      </c>
      <c r="Q14" s="39"/>
      <c r="R14" s="39"/>
      <c r="S14" s="39"/>
      <c r="T14" s="39"/>
      <c r="U14" s="39"/>
      <c r="V14" s="39"/>
    </row>
    <row r="15" spans="1:27" ht="22" customHeight="1" x14ac:dyDescent="0.35">
      <c r="A15" s="68" t="s">
        <v>56</v>
      </c>
      <c r="B15" s="39"/>
      <c r="C15" s="39"/>
      <c r="D15" s="73" t="str">
        <f>IF($AA$5=0,"",IF(LEN(INDEX(Jobs!$B$9:$B$258,$AA$5)&amp;"")=0,"",INDEX(Jobs!$B$9:$B$258,$AA$5)))</f>
        <v>Stabilizers</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A6</v>
      </c>
      <c r="Q17" s="39"/>
      <c r="R17" s="39"/>
      <c r="S17" s="39"/>
      <c r="T17" s="39"/>
      <c r="U17" s="39"/>
      <c r="V17" s="39"/>
    </row>
    <row r="18" spans="1:22" ht="22" customHeight="1" x14ac:dyDescent="0.35">
      <c r="A18" s="68" t="s">
        <v>57</v>
      </c>
      <c r="B18" s="39"/>
      <c r="C18" s="39"/>
      <c r="D18" s="73" t="str">
        <f>IF($AA$5=0,"",IF(LEN(INDEX(Jobs!$C$9:$C$258,$AA$5)&amp;"")=0,"",INDEX(Jobs!$C$9:$C$258,$AA$5)))</f>
        <v>Engine</v>
      </c>
      <c r="E18" s="74"/>
      <c r="F18" s="74"/>
      <c r="G18" s="74"/>
      <c r="H18" s="74"/>
      <c r="I18" s="74"/>
      <c r="J18" s="74"/>
      <c r="K18" s="74"/>
      <c r="L18" s="8"/>
      <c r="M18" s="68" t="s">
        <v>814</v>
      </c>
      <c r="N18" s="39"/>
      <c r="O18" s="39"/>
      <c r="P18" s="73" t="str">
        <f>IF($AA$7=0,"",IF(LEN(INDEX(Suppliers!$B$9:$B$508,$AA$7)&amp;"")=0,"",INDEX(Suppliers!$B$9:$B$508,$AA$7)))</f>
        <v>PINNFABB</v>
      </c>
      <c r="Q18" s="74"/>
      <c r="R18" s="74"/>
      <c r="S18" s="74"/>
      <c r="T18" s="74"/>
      <c r="U18" s="74"/>
      <c r="V18" s="74"/>
    </row>
    <row r="19" spans="1:22" ht="22" customHeight="1" x14ac:dyDescent="0.35">
      <c r="A19" s="68" t="s">
        <v>58</v>
      </c>
      <c r="B19" s="39"/>
      <c r="C19" s="39"/>
      <c r="D19" s="73" t="str">
        <f>IF($AA$5=0,"",IF(LEN(INDEX(Jobs!$D$9:$D$258,$AA$5)&amp;"")=0,"",INDEX(Jobs!$D$9:$D$258,$AA$5)))</f>
        <v>Draft</v>
      </c>
      <c r="E19" s="74"/>
      <c r="F19" s="74"/>
      <c r="G19" s="74"/>
      <c r="H19" s="74"/>
      <c r="I19" s="74"/>
      <c r="J19" s="74"/>
      <c r="K19" s="74"/>
      <c r="L19" s="8"/>
      <c r="M19" s="68" t="s">
        <v>345</v>
      </c>
      <c r="N19" s="39"/>
      <c r="O19" s="39"/>
      <c r="P19" s="73" t="str">
        <f>IF($AA$7=0,"",IF(LEN(INDEX(Suppliers!$C$9:$C$508,$AA$7)&amp;"")=0,"",INDEX(Suppliers!$C$9:$C$508,$AA$7)))</f>
        <v>Stabilizers spareparts and engineers</v>
      </c>
      <c r="Q19" s="74"/>
      <c r="R19" s="74"/>
      <c r="S19" s="74"/>
      <c r="T19" s="74"/>
      <c r="U19" s="74"/>
      <c r="V19" s="74"/>
    </row>
    <row r="20" spans="1:22" ht="22" customHeight="1" x14ac:dyDescent="0.35">
      <c r="A20" s="68" t="s">
        <v>63</v>
      </c>
      <c r="B20" s="39"/>
      <c r="C20" s="39"/>
      <c r="D20" s="73" t="str">
        <f>IF($AA$5=0,"",IF(LEN(INDEX(Jobs!$I$9:$I$258,$AA$5)&amp;"")=0,"",INDEX(Jobs!$I$9:$I$258,$AA$5)))</f>
        <v>Unknown</v>
      </c>
      <c r="E20" s="74"/>
      <c r="F20" s="74"/>
      <c r="G20" s="74"/>
      <c r="H20" s="74"/>
      <c r="I20" s="74"/>
      <c r="J20" s="74"/>
      <c r="K20" s="74"/>
      <c r="L20" s="8"/>
      <c r="M20" s="68" t="s">
        <v>815</v>
      </c>
      <c r="N20" s="39"/>
      <c r="O20" s="39"/>
      <c r="P20" s="48" t="str">
        <f>IF($AA$7=0,"",IF(LEN(INDEX(Suppliers!$D$9:$D$508,$AA$7)&amp;"")=0,"",INDEX(Suppliers!$D$9:$D$508,$AA$7)))</f>
        <v>CT00006</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 xml:space="preserve">MATT </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matteo.fabbricotti@pinfabb.com</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f>IF($AA$7=0,"",IF(LEN(INDEX(Suppliers!$G$9:$G$508,$AA$7)&amp;"")=0,"",INDEX(Suppliers!$G$9:$G$508,$AA$7)))</f>
        <v>3470637034</v>
      </c>
      <c r="Q23" s="74"/>
      <c r="R23" s="74"/>
      <c r="S23" s="74"/>
      <c r="T23" s="74"/>
      <c r="U23" s="74"/>
      <c r="V23" s="74"/>
    </row>
    <row r="24" spans="1:22" ht="22" customHeight="1" x14ac:dyDescent="0.35">
      <c r="A24" s="96" t="str">
        <f>IF($AA$5=0,"",IF(LEN(INDEX(Jobs!$M$9:$M$258,$AA$5)&amp;"")=0,"",INDEX(Jobs!$M$9:$M$258,$AA$5)))</f>
        <v>Allow for both stabilizer fins to be replaced with new Owner delivered fins. The Owner will arrange and pay for a Pinfab service engineer to attend onboard and is to supervise all work. The Yard shall provide all necessary labour, tools, lifting equipment, transport and assistance as required.</v>
      </c>
      <c r="B24" s="39"/>
      <c r="C24" s="39"/>
      <c r="D24" s="39"/>
      <c r="E24" s="39"/>
      <c r="F24" s="39"/>
      <c r="G24" s="39"/>
      <c r="H24" s="39"/>
      <c r="I24" s="39"/>
      <c r="J24" s="39"/>
      <c r="K24" s="39"/>
      <c r="L24" s="8"/>
      <c r="M24" s="68" t="s">
        <v>350</v>
      </c>
      <c r="N24" s="39"/>
      <c r="O24" s="39"/>
      <c r="P24" s="73" t="str">
        <f>IF($AA$7=0,"",IF(LEN(INDEX(Suppliers!$H$9:$H$508,$AA$7)&amp;"")=0,"",INDEX(Suppliers!$H$9:$H$508,$AA$7)))</f>
        <v>Italy</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Main scope</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Selected</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EUR</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f>IF($AA$6=0,"",IF(LEN(INDEX(Quotes!$G$9:$G$258,$AA$6)&amp;"")=0,"",INDEX(Quotes!$G$9:$G$258,$AA$6)))</f>
        <v>250000</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Yes</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https://stena.sharepoint.com/:b:/r/sites/KERRY/Shared%20Documents/Dry%20dock%202027/Specification%20items/3812.01%20Stabilizers/Q3432026%20KER.pdf?d=wfae0e3e6b37442c0a41207b07117bb82&amp;csf=1&amp;web=1&amp;e=puS2v6</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Allow for both stabilizer fins to be replaced with new Owner delivered fins. The Owner will arrange and pay for a Pinfab service engineer to attend onboard and is to supervise all work. The Yard shall provide all necessary labour, tools, lifting equipment, transport and assistance as required.</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New stabilizer shaft + blade</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Qoute to be recived for spareparts</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Final price pending</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3812.01-Q1</v>
      </c>
      <c r="B64" s="39"/>
      <c r="C64" s="39"/>
      <c r="D64" s="77" t="str">
        <f>IF($AA64=0,"",INDEX(Quotes!$U$9:$U$258,$AA64)&amp;" | "&amp;INDEX(Quotes!$E$9:$E$258,$AA64))</f>
        <v>PINNFABB | Main scope</v>
      </c>
      <c r="E64" s="39"/>
      <c r="F64" s="39"/>
      <c r="G64" s="39"/>
      <c r="H64" s="39"/>
      <c r="I64" s="113" t="str">
        <f>IF($AA64=0,"",IF(LEN(INDEX(Quotes!$F$9:$F$258,$AA64)&amp;"")=0,"",INDEX(Quotes!$F$9:$F$258,$AA64)))</f>
        <v>Selected</v>
      </c>
      <c r="J64" s="39"/>
      <c r="K64" s="39"/>
      <c r="L64" s="8"/>
      <c r="M64" s="110">
        <f>IF($AA64=0,"",IF(LEN(INDEX(Quotes!$G$9:$G$258,$AA64)&amp;"")=0,"",INDEX(Quotes!$G$9:$G$258,$AA64)))</f>
        <v>250000</v>
      </c>
      <c r="N64" s="39"/>
      <c r="O64" s="39"/>
      <c r="P64" s="110" t="str">
        <f>IF($AA64=0,"",IF(LEN(INDEX(Quotes!$H$9:$H$258,$AA64)&amp;"")=0,"",INDEX(Quotes!$H$9:$H$258,$AA64)))</f>
        <v/>
      </c>
      <c r="Q64" s="39"/>
      <c r="R64" s="39"/>
      <c r="S64" s="32" t="str">
        <f>IF($AA64=0,"",IF(LEN(INDEX(Quotes!$I$9:$I$258,$AA64)&amp;"")=0,"",INDEX(Quotes!$I$9:$I$258,$AA64)))</f>
        <v>EUR</v>
      </c>
      <c r="T64" s="76">
        <f>IF($AA64=0,"",IF(LEN(INDEX(Quotes!$AD$9:$AD$258,$AA64)&amp;"")=0,"",INDEX(Quotes!$AD$9:$AD$258,$AA64)))</f>
        <v>250000</v>
      </c>
      <c r="U64" s="39"/>
      <c r="V64" s="33" t="str">
        <f t="shared" ref="V64:V93" si="0">IF($AA64=0,"",HYPERLINK("#'Quotes'!A"&amp;($AA64+8),"Quote"))</f>
        <v>Quote</v>
      </c>
      <c r="AA64">
        <f>IFERROR(MATCH("J:"&amp;$AA$2&amp;"_N:1",Quotes!$AS$9:$AS$258,0),0)</f>
        <v>6</v>
      </c>
    </row>
    <row r="65" spans="1:27" ht="42" customHeight="1" x14ac:dyDescent="0.35">
      <c r="A65" s="77" t="str">
        <f>IF($AA65=0,"",IF(LEN(INDEX(Quotes!$A$9:$A$258,$AA65)&amp;"")=0,"",INDEX(Quotes!$A$9:$A$258,$AA65)))</f>
        <v>3812.01-Q2</v>
      </c>
      <c r="B65" s="39"/>
      <c r="C65" s="39"/>
      <c r="D65" s="77" t="str">
        <f>IF($AA65=0,"",INDEX(Quotes!$U$9:$U$258,$AA65)&amp;" | "&amp;INDEX(Quotes!$E$9:$E$258,$AA65))</f>
        <v>PINNFABB | Main scope</v>
      </c>
      <c r="E65" s="39"/>
      <c r="F65" s="39"/>
      <c r="G65" s="39"/>
      <c r="H65" s="39"/>
      <c r="I65" s="113" t="str">
        <f>IF($AA65=0,"",IF(LEN(INDEX(Quotes!$F$9:$F$258,$AA65)&amp;"")=0,"",INDEX(Quotes!$F$9:$F$258,$AA65)))</f>
        <v>Quote received</v>
      </c>
      <c r="J65" s="39"/>
      <c r="K65" s="39"/>
      <c r="L65" s="8"/>
      <c r="M65" s="110">
        <f>IF($AA65=0,"",IF(LEN(INDEX(Quotes!$G$9:$G$258,$AA65)&amp;"")=0,"",INDEX(Quotes!$G$9:$G$258,$AA65)))</f>
        <v>57705</v>
      </c>
      <c r="N65" s="39"/>
      <c r="O65" s="39"/>
      <c r="P65" s="110" t="str">
        <f>IF($AA65=0,"",IF(LEN(INDEX(Quotes!$H$9:$H$258,$AA65)&amp;"")=0,"",INDEX(Quotes!$H$9:$H$258,$AA65)))</f>
        <v/>
      </c>
      <c r="Q65" s="39"/>
      <c r="R65" s="39"/>
      <c r="S65" s="32" t="str">
        <f>IF($AA65=0,"",IF(LEN(INDEX(Quotes!$I$9:$I$258,$AA65)&amp;"")=0,"",INDEX(Quotes!$I$9:$I$258,$AA65)))</f>
        <v>EUR</v>
      </c>
      <c r="T65" s="76">
        <f>IF($AA65=0,"",IF(LEN(INDEX(Quotes!$AD$9:$AD$258,$AA65)&amp;"")=0,"",INDEX(Quotes!$AD$9:$AD$258,$AA65)))</f>
        <v>57705</v>
      </c>
      <c r="U65" s="39"/>
      <c r="V65" s="33" t="str">
        <f t="shared" si="0"/>
        <v>Quote</v>
      </c>
      <c r="AA65">
        <f>IFERROR(MATCH("J:"&amp;$AA$2&amp;"_N:2",Quotes!$AS$9:$AS$258,0),0)</f>
        <v>19</v>
      </c>
    </row>
    <row r="66" spans="1:27" ht="42" customHeight="1" x14ac:dyDescent="0.35">
      <c r="A66" s="77" t="str">
        <f>IF($AA66=0,"",IF(LEN(INDEX(Quotes!$A$9:$A$258,$AA66)&amp;"")=0,"",INDEX(Quotes!$A$9:$A$258,$AA66)))</f>
        <v>3812.01-Q3</v>
      </c>
      <c r="B66" s="39"/>
      <c r="C66" s="39"/>
      <c r="D66" s="77" t="str">
        <f>IF($AA66=0,"",INDEX(Quotes!$U$9:$U$258,$AA66)&amp;" | "&amp;INDEX(Quotes!$E$9:$E$258,$AA66))</f>
        <v>PINNFABB | Main scope</v>
      </c>
      <c r="E66" s="39"/>
      <c r="F66" s="39"/>
      <c r="G66" s="39"/>
      <c r="H66" s="39"/>
      <c r="I66" s="113" t="str">
        <f>IF($AA66=0,"",IF(LEN(INDEX(Quotes!$F$9:$F$258,$AA66)&amp;"")=0,"",INDEX(Quotes!$F$9:$F$258,$AA66)))</f>
        <v>Quote received</v>
      </c>
      <c r="J66" s="39"/>
      <c r="K66" s="39"/>
      <c r="L66" s="8"/>
      <c r="M66" s="110">
        <f>IF($AA66=0,"",IF(LEN(INDEX(Quotes!$G$9:$G$258,$AA66)&amp;"")=0,"",INDEX(Quotes!$G$9:$G$258,$AA66)))</f>
        <v>95922</v>
      </c>
      <c r="N66" s="39"/>
      <c r="O66" s="39"/>
      <c r="P66" s="110" t="str">
        <f>IF($AA66=0,"",IF(LEN(INDEX(Quotes!$H$9:$H$258,$AA66)&amp;"")=0,"",INDEX(Quotes!$H$9:$H$258,$AA66)))</f>
        <v/>
      </c>
      <c r="Q66" s="39"/>
      <c r="R66" s="39"/>
      <c r="S66" s="32" t="str">
        <f>IF($AA66=0,"",IF(LEN(INDEX(Quotes!$I$9:$I$258,$AA66)&amp;"")=0,"",INDEX(Quotes!$I$9:$I$258,$AA66)))</f>
        <v>EUR</v>
      </c>
      <c r="T66" s="76">
        <f>IF($AA66=0,"",IF(LEN(INDEX(Quotes!$AD$9:$AD$258,$AA66)&amp;"")=0,"",INDEX(Quotes!$AD$9:$AD$258,$AA66)))</f>
        <v>95922</v>
      </c>
      <c r="U66" s="39"/>
      <c r="V66" s="33" t="str">
        <f t="shared" si="0"/>
        <v>Quote</v>
      </c>
      <c r="AA66">
        <f>IFERROR(MATCH("J:"&amp;$AA$2&amp;"_N:3",Quotes!$AS$9:$AS$258,0),0)</f>
        <v>20</v>
      </c>
    </row>
    <row r="67" spans="1:27" ht="42" customHeight="1" x14ac:dyDescent="0.35">
      <c r="A67" s="77" t="str">
        <f>IF($AA67=0,"",IF(LEN(INDEX(Quotes!$A$9:$A$258,$AA67)&amp;"")=0,"",INDEX(Quotes!$A$9:$A$258,$AA67)))</f>
        <v>3812.01-Q4</v>
      </c>
      <c r="B67" s="39"/>
      <c r="C67" s="39"/>
      <c r="D67" s="77" t="str">
        <f>IF($AA67=0,"",INDEX(Quotes!$U$9:$U$258,$AA67)&amp;" | "&amp;INDEX(Quotes!$E$9:$E$258,$AA67))</f>
        <v>PINNFABB | Main scope</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Quote</v>
      </c>
      <c r="AA67">
        <f>IFERROR(MATCH("J:"&amp;$AA$2&amp;"_N:4",Quotes!$AS$9:$AS$258,0),0)</f>
        <v>22</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1" priority="1" operator="equal">
      <formula>"Selected"</formula>
    </cfRule>
  </conditionalFormatting>
  <dataValidations count="8">
    <dataValidation type="list" allowBlank="1" showErrorMessage="1" errorTitle="Check this entry" error="Use a value from the shared list." sqref="D18" xr:uid="{00000000-0002-0000-1900-000000000000}">
      <formula1>lstDepartment</formula1>
    </dataValidation>
    <dataValidation type="list" allowBlank="1" showErrorMessage="1" errorTitle="Check this entry" error="Use a value from the shared list." sqref="D19" xr:uid="{00000000-0002-0000-1900-000001000000}">
      <formula1>lstJobStatus</formula1>
    </dataValidation>
    <dataValidation type="date" allowBlank="1" showErrorMessage="1" errorTitle="Check this entry" error="Enter a valid date or a non-negative number, as applicable." sqref="D21 P34:P36 J21" xr:uid="{00000000-0002-0000-1900-000002000000}">
      <formula1>DATE(2000,1,1)</formula1>
      <formula2>DATE(2100,12,31)</formula2>
    </dataValidation>
    <dataValidation type="list" allowBlank="1" showErrorMessage="1" errorTitle="Check this entry" error="Use a value from the shared list." sqref="P14" xr:uid="{00000000-0002-0000-1900-000004000000}">
      <formula1>PilotOffer0016</formula1>
    </dataValidation>
    <dataValidation type="list" allowBlank="1" showErrorMessage="1" errorTitle="Check this entry" error="Use a value from the shared list." sqref="P28 I64:I93" xr:uid="{00000000-0002-0000-1900-000005000000}">
      <formula1>lstQuoteStatus</formula1>
    </dataValidation>
    <dataValidation type="list" allowBlank="1" showErrorMessage="1" errorTitle="Check this entry" error="Use a value from the shared list." sqref="P29 S64:S93" xr:uid="{00000000-0002-0000-1900-000006000000}">
      <formula1>lstCurrency</formula1>
    </dataValidation>
    <dataValidation type="list" allowBlank="1" showErrorMessage="1" errorTitle="Check this entry" error="Use a value from the shared list." sqref="P37" xr:uid="{00000000-0002-0000-1900-000007000000}">
      <formula1>lstYesNo</formula1>
    </dataValidation>
    <dataValidation type="decimal" operator="greaterThanOrEqual" allowBlank="1" showErrorMessage="1" errorTitle="Check this entry" error="Enter a valid date or a non-negative number, as applicable." sqref="P30:P31 P64:P93 M64:M93" xr:uid="{00000000-0002-0000-1900-000008000000}">
      <formula1>0</formula1>
    </dataValidation>
  </dataValidations>
  <hyperlinks>
    <hyperlink ref="A4" location="'Overview'!A1" display="Overview" xr:uid="{00000000-0004-0000-1900-000000000000}"/>
    <hyperlink ref="D4" location="'Jobs'!A1" display="Jobs" xr:uid="{00000000-0004-0000-1900-000001000000}"/>
    <hyperlink ref="G4" location="'Suppliers'!A1" display="Suppliers" xr:uid="{00000000-0004-0000-1900-000002000000}"/>
    <hyperlink ref="J4" location="'Budget'!A1" display="Budget" xr:uid="{00000000-0004-0000-1900-000003000000}"/>
    <hyperlink ref="M4" location="'Quotes'!A1" display="Quotes" xr:uid="{00000000-0004-0000-1900-000004000000}"/>
    <hyperlink ref="P4" location="'Print Summary'!A1" display="Print summary" xr:uid="{00000000-0004-0000-1900-000005000000}"/>
    <hyperlink ref="S4" location="'Read Me'!A1" display="Guide / setup" xr:uid="{00000000-0004-0000-1900-000006000000}"/>
    <hyperlink ref="A6" location="'Quotes'!A1" display="VIEW QUOTE REGISTER" xr:uid="{00000000-0004-0000-1900-000007000000}"/>
    <hyperlink ref="H6" location="'Jobs'!A1" display="BACK TO JOBS" xr:uid="{00000000-0004-0000-1900-000008000000}"/>
    <hyperlink ref="M6" location="'Supplier Jobs'!A1" display="SUPPLIER JOBS" xr:uid="{00000000-0004-0000-1900-000009000000}"/>
    <hyperlink ref="M42" r:id="rId1" xr:uid="{00000000-0004-0000-1900-00000A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J26"/>
  <sheetViews>
    <sheetView workbookViewId="0"/>
  </sheetViews>
  <sheetFormatPr defaultRowHeight="14.5" x14ac:dyDescent="0.35"/>
  <sheetData>
    <row r="1" spans="1:10" x14ac:dyDescent="0.35">
      <c r="A1" t="s">
        <v>871</v>
      </c>
      <c r="B1" t="s">
        <v>872</v>
      </c>
    </row>
    <row r="6" spans="1:10" x14ac:dyDescent="0.35">
      <c r="A6" t="s">
        <v>873</v>
      </c>
      <c r="B6">
        <f>IFERROR(Allowance/VLOOKUP(AllowanceCurrency,Lists!$E$9:$F$14,2,FALSE),0)</f>
        <v>2000000</v>
      </c>
      <c r="D6" t="s">
        <v>179</v>
      </c>
      <c r="E6">
        <f>SUMIF(Quotes!$Y$9:$Y$258,D6,Quotes!$AH$9:$AH$258)</f>
        <v>481710.46494464943</v>
      </c>
      <c r="F6">
        <f>SUMIF(Quotes!$Y$9:$Y$258,D6,Quotes!$AI$9:$AI$258)</f>
        <v>481710.46494464943</v>
      </c>
      <c r="G6">
        <f>SUMIF(Quotes!$Y$9:$Y$258,D6,Quotes!$AJ$9:$AJ$258)</f>
        <v>0</v>
      </c>
      <c r="I6" t="s">
        <v>874</v>
      </c>
      <c r="J6">
        <f>MAX(0,B8)</f>
        <v>490137.24308657972</v>
      </c>
    </row>
    <row r="7" spans="1:10" x14ac:dyDescent="0.35">
      <c r="A7" t="s">
        <v>875</v>
      </c>
      <c r="B7">
        <f>SUM(Quotes!$AH$9:$AH$258)</f>
        <v>490137.24308657972</v>
      </c>
      <c r="D7" t="s">
        <v>159</v>
      </c>
      <c r="E7">
        <f>SUMIF(Quotes!$Y$9:$Y$258,D7,Quotes!$AH$9:$AH$258)</f>
        <v>0</v>
      </c>
      <c r="F7">
        <f>SUMIF(Quotes!$Y$9:$Y$258,D7,Quotes!$AI$9:$AI$258)</f>
        <v>0</v>
      </c>
      <c r="G7">
        <f>SUMIF(Quotes!$Y$9:$Y$258,D7,Quotes!$AJ$9:$AJ$258)</f>
        <v>0</v>
      </c>
      <c r="I7" t="s">
        <v>638</v>
      </c>
      <c r="J7">
        <f>MAX(0,B10)</f>
        <v>1509862.7569134203</v>
      </c>
    </row>
    <row r="8" spans="1:10" x14ac:dyDescent="0.35">
      <c r="A8" t="s">
        <v>876</v>
      </c>
      <c r="B8">
        <f>SUM(Quotes!$AI$9:$AI$258)</f>
        <v>490137.24308657972</v>
      </c>
      <c r="D8" t="s">
        <v>776</v>
      </c>
      <c r="E8">
        <f>SUMIF(Quotes!$Y$9:$Y$258,D8,Quotes!$AH$9:$AH$258)</f>
        <v>0</v>
      </c>
      <c r="F8">
        <f>SUMIF(Quotes!$Y$9:$Y$258,D8,Quotes!$AI$9:$AI$258)</f>
        <v>0</v>
      </c>
      <c r="G8">
        <f>SUMIF(Quotes!$Y$9:$Y$258,D8,Quotes!$AJ$9:$AJ$258)</f>
        <v>0</v>
      </c>
    </row>
    <row r="9" spans="1:10" x14ac:dyDescent="0.35">
      <c r="A9" t="s">
        <v>877</v>
      </c>
      <c r="B9">
        <f>SUM(Quotes!$AJ$9:$AJ$258)</f>
        <v>0</v>
      </c>
      <c r="D9" t="s">
        <v>75</v>
      </c>
      <c r="E9">
        <f>SUMIF(Quotes!$Y$9:$Y$258,D9,Quotes!$AH$9:$AH$258)</f>
        <v>8426.7781419303046</v>
      </c>
      <c r="F9">
        <f>SUMIF(Quotes!$Y$9:$Y$258,D9,Quotes!$AI$9:$AI$258)</f>
        <v>8426.7781419303046</v>
      </c>
      <c r="G9">
        <f>SUMIF(Quotes!$Y$9:$Y$258,D9,Quotes!$AJ$9:$AJ$258)</f>
        <v>0</v>
      </c>
    </row>
    <row r="10" spans="1:10" x14ac:dyDescent="0.35">
      <c r="A10" t="s">
        <v>878</v>
      </c>
      <c r="B10">
        <f>B6-B8</f>
        <v>1509862.7569134203</v>
      </c>
      <c r="D10" t="s">
        <v>116</v>
      </c>
      <c r="E10">
        <f>SUMIF(Quotes!$Y$9:$Y$258,D10,Quotes!$AH$9:$AH$258)</f>
        <v>0</v>
      </c>
      <c r="F10">
        <f>SUMIF(Quotes!$Y$9:$Y$258,D10,Quotes!$AI$9:$AI$258)</f>
        <v>0</v>
      </c>
      <c r="G10">
        <f>SUMIF(Quotes!$Y$9:$Y$258,D10,Quotes!$AJ$9:$AJ$258)</f>
        <v>0</v>
      </c>
    </row>
    <row r="11" spans="1:10" x14ac:dyDescent="0.35">
      <c r="A11" t="s">
        <v>879</v>
      </c>
      <c r="B11">
        <f>IFERROR(B9/SUM(Quotes!$AN$9:$AN$258),0)</f>
        <v>0</v>
      </c>
      <c r="D11" t="s">
        <v>163</v>
      </c>
      <c r="E11">
        <f>SUMIF(Quotes!$Y$9:$Y$258,D11,Quotes!$AH$9:$AH$258)</f>
        <v>0</v>
      </c>
      <c r="F11">
        <f>SUMIF(Quotes!$Y$9:$Y$258,D11,Quotes!$AI$9:$AI$258)</f>
        <v>0</v>
      </c>
      <c r="G11">
        <f>SUMIF(Quotes!$Y$9:$Y$258,D11,Quotes!$AJ$9:$AJ$258)</f>
        <v>0</v>
      </c>
    </row>
    <row r="12" spans="1:10" x14ac:dyDescent="0.35">
      <c r="A12" t="s">
        <v>880</v>
      </c>
      <c r="B12">
        <f>COUNTIF(Quotes!$F$9:$F$258,"Selected")</f>
        <v>6</v>
      </c>
      <c r="D12" t="s">
        <v>790</v>
      </c>
      <c r="E12">
        <f>SUMIF(Quotes!$Y$9:$Y$258,D12,Quotes!$AH$9:$AH$258)</f>
        <v>0</v>
      </c>
      <c r="F12">
        <f>SUMIF(Quotes!$Y$9:$Y$258,D12,Quotes!$AI$9:$AI$258)</f>
        <v>0</v>
      </c>
      <c r="G12">
        <f>SUMIF(Quotes!$Y$9:$Y$258,D12,Quotes!$AJ$9:$AJ$258)</f>
        <v>0</v>
      </c>
    </row>
    <row r="13" spans="1:10" x14ac:dyDescent="0.35">
      <c r="A13" t="s">
        <v>881</v>
      </c>
      <c r="B13">
        <f>COUNTIFS(Quotes!$F$9:$F$258,"Selected",Quotes!$H$9:$H$258,"&gt;=0",Quotes!$H$9:$H$258,"&lt;&gt;")</f>
        <v>0</v>
      </c>
    </row>
    <row r="14" spans="1:10" x14ac:dyDescent="0.35">
      <c r="A14" t="s">
        <v>882</v>
      </c>
      <c r="B14">
        <f>B12-B13</f>
        <v>6</v>
      </c>
    </row>
    <row r="15" spans="1:10" x14ac:dyDescent="0.35">
      <c r="A15" t="s">
        <v>883</v>
      </c>
      <c r="B15">
        <f>COUNT(Jobs!$Q$9:$Q$258)</f>
        <v>12</v>
      </c>
    </row>
    <row r="16" spans="1:10" x14ac:dyDescent="0.35">
      <c r="A16" t="s">
        <v>884</v>
      </c>
      <c r="B16">
        <f>COUNTA(Jobs!$A$9:$A$258)</f>
        <v>81</v>
      </c>
    </row>
    <row r="17" spans="1:2" x14ac:dyDescent="0.35">
      <c r="A17" t="s">
        <v>885</v>
      </c>
      <c r="B17">
        <f>COUNTA(Quotes!$A$9:$A$258)</f>
        <v>22</v>
      </c>
    </row>
    <row r="18" spans="1:2" x14ac:dyDescent="0.35">
      <c r="A18" t="s">
        <v>886</v>
      </c>
      <c r="B18">
        <f>SUM(Suppliers!$O$9:$O$508)</f>
        <v>14</v>
      </c>
    </row>
    <row r="19" spans="1:2" x14ac:dyDescent="0.35">
      <c r="A19" t="s">
        <v>887</v>
      </c>
      <c r="B19">
        <f>COUNTIFS(Quotes!$F$9:$F$258,"Selected",Quotes!$AM$9:$AM$258,"&lt;&gt;OK",Quotes!$AM$9:$AM$258,"&lt;&gt;Final price pending",Quotes!$AM$9:$AM$258,"&lt;&gt;Price increased")</f>
        <v>0</v>
      </c>
    </row>
    <row r="20" spans="1:2" x14ac:dyDescent="0.35">
      <c r="A20" t="s">
        <v>888</v>
      </c>
      <c r="B20">
        <f>COUNTIFS(Quotes!$F$9:$F$258,"Selected",Quotes!$AM$9:$AM$258,"Selected scope overlap")</f>
        <v>0</v>
      </c>
    </row>
    <row r="21" spans="1:2" x14ac:dyDescent="0.35">
      <c r="A21" t="s">
        <v>889</v>
      </c>
      <c r="B21">
        <f>IFERROR(B8/B6,0)</f>
        <v>0.24506862154328987</v>
      </c>
    </row>
    <row r="22" spans="1:2" x14ac:dyDescent="0.35">
      <c r="A22" t="s">
        <v>890</v>
      </c>
      <c r="B22">
        <f>COUNTIFS(Quotes!$F$9:$F$258,"Selected",Quotes!$AO$9:$AO$258,"&lt;&gt;OK")</f>
        <v>0</v>
      </c>
    </row>
    <row r="23" spans="1:2" x14ac:dyDescent="0.35">
      <c r="A23" t="s">
        <v>891</v>
      </c>
      <c r="B23">
        <f>SUM(Quotes!$AN$9:$AN$258)</f>
        <v>0</v>
      </c>
    </row>
    <row r="24" spans="1:2" x14ac:dyDescent="0.35">
      <c r="A24" t="s">
        <v>892</v>
      </c>
      <c r="B24">
        <f>COUNTA(Suppliers!$D$9:$D$508)</f>
        <v>16</v>
      </c>
    </row>
    <row r="25" spans="1:2" x14ac:dyDescent="0.35">
      <c r="A25" t="s">
        <v>893</v>
      </c>
      <c r="B25">
        <f>COUNTIF(Jobs!$P$9:$P$258,"&lt;&gt;")</f>
        <v>12</v>
      </c>
    </row>
    <row r="26" spans="1:2" x14ac:dyDescent="0.35">
      <c r="A26" t="s">
        <v>894</v>
      </c>
      <c r="B26">
        <f>COUNTIFS(Quotes!$F$9:$F$258,"Selected",Quotes!$AD$9:$AD$258,"")</f>
        <v>0</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W86"/>
  <sheetViews>
    <sheetView workbookViewId="0"/>
  </sheetViews>
  <sheetFormatPr defaultRowHeight="14.5" x14ac:dyDescent="0.35"/>
  <sheetData>
    <row r="1" spans="1:23" x14ac:dyDescent="0.35">
      <c r="A1" s="1" t="s">
        <v>4</v>
      </c>
    </row>
    <row r="2" spans="1:23" x14ac:dyDescent="0.35">
      <c r="A2" s="1" t="s">
        <v>895</v>
      </c>
    </row>
    <row r="3" spans="1:23" x14ac:dyDescent="0.35">
      <c r="A3" s="1" t="s">
        <v>896</v>
      </c>
    </row>
    <row r="4" spans="1:23" x14ac:dyDescent="0.35">
      <c r="A4" s="1" t="s">
        <v>897</v>
      </c>
      <c r="B4" s="1" t="s">
        <v>898</v>
      </c>
      <c r="C4" s="1" t="s">
        <v>897</v>
      </c>
      <c r="D4" s="1" t="s">
        <v>897</v>
      </c>
      <c r="E4" s="1" t="s">
        <v>897</v>
      </c>
      <c r="F4" s="1" t="s">
        <v>897</v>
      </c>
      <c r="G4" s="1" t="s">
        <v>897</v>
      </c>
      <c r="H4" s="1" t="s">
        <v>897</v>
      </c>
      <c r="I4" s="1" t="s">
        <v>897</v>
      </c>
      <c r="J4" s="1" t="s">
        <v>897</v>
      </c>
      <c r="K4" s="1" t="s">
        <v>898</v>
      </c>
      <c r="L4" s="1" t="s">
        <v>898</v>
      </c>
      <c r="M4" s="1" t="s">
        <v>898</v>
      </c>
      <c r="N4" s="1" t="s">
        <v>898</v>
      </c>
      <c r="O4" s="1" t="s">
        <v>898</v>
      </c>
      <c r="P4" s="1" t="s">
        <v>898</v>
      </c>
      <c r="Q4" s="1" t="s">
        <v>898</v>
      </c>
      <c r="R4" s="1" t="s">
        <v>898</v>
      </c>
      <c r="S4" s="1" t="s">
        <v>898</v>
      </c>
      <c r="T4" s="1" t="s">
        <v>898</v>
      </c>
      <c r="U4" s="1" t="s">
        <v>898</v>
      </c>
      <c r="V4" s="1" t="s">
        <v>898</v>
      </c>
      <c r="W4" s="1" t="s">
        <v>898</v>
      </c>
    </row>
    <row r="5" spans="1:23" x14ac:dyDescent="0.35">
      <c r="A5" s="1" t="s">
        <v>55</v>
      </c>
      <c r="B5" s="1" t="s">
        <v>899</v>
      </c>
      <c r="C5" s="1" t="s">
        <v>900</v>
      </c>
      <c r="D5" s="1" t="s">
        <v>57</v>
      </c>
      <c r="E5" s="1" t="s">
        <v>63</v>
      </c>
      <c r="F5" s="1" t="s">
        <v>64</v>
      </c>
      <c r="G5" s="1" t="s">
        <v>65</v>
      </c>
      <c r="H5" s="1" t="s">
        <v>901</v>
      </c>
      <c r="I5" s="1" t="s">
        <v>902</v>
      </c>
      <c r="J5" s="1" t="s">
        <v>69</v>
      </c>
      <c r="K5" s="1" t="s">
        <v>903</v>
      </c>
      <c r="L5" s="1" t="s">
        <v>747</v>
      </c>
      <c r="M5" s="1" t="s">
        <v>904</v>
      </c>
      <c r="N5" s="1" t="s">
        <v>905</v>
      </c>
      <c r="O5" s="1" t="s">
        <v>906</v>
      </c>
      <c r="P5" s="1" t="s">
        <v>907</v>
      </c>
      <c r="Q5" s="1" t="s">
        <v>908</v>
      </c>
      <c r="R5" s="1" t="s">
        <v>909</v>
      </c>
      <c r="S5" s="1" t="s">
        <v>910</v>
      </c>
      <c r="T5" s="1" t="s">
        <v>911</v>
      </c>
      <c r="U5" s="1" t="s">
        <v>912</v>
      </c>
      <c r="V5" s="1" t="s">
        <v>913</v>
      </c>
      <c r="W5" s="1" t="s">
        <v>914</v>
      </c>
    </row>
    <row r="6" spans="1:23" x14ac:dyDescent="0.35">
      <c r="A6" s="1" t="s">
        <v>73</v>
      </c>
      <c r="B6" s="1" t="s">
        <v>743</v>
      </c>
      <c r="C6" s="1" t="s">
        <v>74</v>
      </c>
      <c r="D6" s="1" t="s">
        <v>75</v>
      </c>
      <c r="E6" s="1" t="s">
        <v>77</v>
      </c>
      <c r="H6" s="1" t="s">
        <v>76</v>
      </c>
      <c r="I6" s="1" t="s">
        <v>78</v>
      </c>
      <c r="J6" s="1" t="s">
        <v>79</v>
      </c>
      <c r="K6" s="1" t="s">
        <v>745</v>
      </c>
      <c r="L6" s="1">
        <v>9243447</v>
      </c>
      <c r="M6" s="1">
        <v>0</v>
      </c>
      <c r="N6" s="1">
        <v>0</v>
      </c>
      <c r="O6" s="1">
        <v>0</v>
      </c>
      <c r="P6" s="1" t="s">
        <v>915</v>
      </c>
      <c r="V6" s="1" t="s">
        <v>916</v>
      </c>
      <c r="W6" s="1" t="s">
        <v>917</v>
      </c>
    </row>
    <row r="7" spans="1:23" x14ac:dyDescent="0.35">
      <c r="A7" s="1" t="s">
        <v>80</v>
      </c>
      <c r="B7" s="1" t="s">
        <v>743</v>
      </c>
      <c r="C7" s="1" t="s">
        <v>81</v>
      </c>
      <c r="D7" s="1" t="s">
        <v>75</v>
      </c>
      <c r="H7" s="1" t="s">
        <v>82</v>
      </c>
      <c r="I7" s="1" t="s">
        <v>83</v>
      </c>
      <c r="J7" s="1" t="s">
        <v>79</v>
      </c>
      <c r="K7" s="1" t="s">
        <v>745</v>
      </c>
      <c r="L7" s="1">
        <v>9243447</v>
      </c>
      <c r="M7" s="1">
        <v>1</v>
      </c>
      <c r="N7" s="1">
        <v>1</v>
      </c>
      <c r="O7" s="1">
        <v>1</v>
      </c>
      <c r="P7" s="1" t="s">
        <v>366</v>
      </c>
      <c r="Q7" s="2">
        <v>62994.38</v>
      </c>
      <c r="R7" s="1" t="s">
        <v>523</v>
      </c>
      <c r="S7" s="2">
        <v>62994.38</v>
      </c>
      <c r="V7" s="1" t="s">
        <v>917</v>
      </c>
      <c r="W7" s="1" t="s">
        <v>917</v>
      </c>
    </row>
    <row r="8" spans="1:23" x14ac:dyDescent="0.35">
      <c r="A8" s="1" t="s">
        <v>85</v>
      </c>
      <c r="B8" s="1" t="s">
        <v>743</v>
      </c>
      <c r="C8" s="1" t="s">
        <v>86</v>
      </c>
      <c r="D8" s="1" t="s">
        <v>75</v>
      </c>
      <c r="E8" s="1" t="s">
        <v>77</v>
      </c>
      <c r="H8" s="1" t="s">
        <v>87</v>
      </c>
      <c r="I8" s="1" t="s">
        <v>88</v>
      </c>
      <c r="J8" s="1" t="s">
        <v>79</v>
      </c>
      <c r="K8" s="1" t="s">
        <v>745</v>
      </c>
      <c r="L8" s="1">
        <v>9243447</v>
      </c>
      <c r="M8" s="1">
        <v>3</v>
      </c>
      <c r="N8" s="1">
        <v>3</v>
      </c>
      <c r="O8" s="1">
        <v>0</v>
      </c>
      <c r="P8" s="1" t="s">
        <v>915</v>
      </c>
      <c r="T8" s="2">
        <v>30832.74</v>
      </c>
      <c r="V8" s="1" t="s">
        <v>917</v>
      </c>
      <c r="W8" s="1" t="s">
        <v>917</v>
      </c>
    </row>
    <row r="9" spans="1:23" x14ac:dyDescent="0.35">
      <c r="A9" s="1" t="s">
        <v>90</v>
      </c>
      <c r="B9" s="1" t="s">
        <v>743</v>
      </c>
      <c r="C9" s="1" t="s">
        <v>91</v>
      </c>
      <c r="D9" s="1" t="s">
        <v>75</v>
      </c>
      <c r="E9" s="1" t="s">
        <v>77</v>
      </c>
      <c r="H9" s="1" t="s">
        <v>76</v>
      </c>
      <c r="I9" s="1" t="s">
        <v>92</v>
      </c>
      <c r="J9" s="1" t="s">
        <v>79</v>
      </c>
      <c r="K9" s="1" t="s">
        <v>745</v>
      </c>
      <c r="L9" s="1">
        <v>9243447</v>
      </c>
      <c r="M9" s="1">
        <v>0</v>
      </c>
      <c r="N9" s="1">
        <v>0</v>
      </c>
      <c r="O9" s="1">
        <v>0</v>
      </c>
      <c r="P9" s="1" t="s">
        <v>915</v>
      </c>
      <c r="V9" s="1" t="s">
        <v>916</v>
      </c>
      <c r="W9" s="1" t="s">
        <v>917</v>
      </c>
    </row>
    <row r="10" spans="1:23" x14ac:dyDescent="0.35">
      <c r="A10" s="1" t="s">
        <v>93</v>
      </c>
      <c r="B10" s="1" t="s">
        <v>743</v>
      </c>
      <c r="C10" s="1" t="s">
        <v>94</v>
      </c>
      <c r="D10" s="1" t="s">
        <v>75</v>
      </c>
      <c r="E10" s="1" t="s">
        <v>77</v>
      </c>
      <c r="H10" s="1" t="s">
        <v>76</v>
      </c>
      <c r="I10" s="1" t="s">
        <v>95</v>
      </c>
      <c r="J10" s="1" t="s">
        <v>79</v>
      </c>
      <c r="K10" s="1" t="s">
        <v>745</v>
      </c>
      <c r="L10" s="1">
        <v>9243447</v>
      </c>
      <c r="M10" s="1">
        <v>0</v>
      </c>
      <c r="N10" s="1">
        <v>0</v>
      </c>
      <c r="O10" s="1">
        <v>0</v>
      </c>
      <c r="P10" s="1" t="s">
        <v>915</v>
      </c>
      <c r="V10" s="1" t="s">
        <v>916</v>
      </c>
      <c r="W10" s="1" t="s">
        <v>917</v>
      </c>
    </row>
    <row r="11" spans="1:23" x14ac:dyDescent="0.35">
      <c r="A11" s="1" t="s">
        <v>96</v>
      </c>
      <c r="B11" s="1" t="s">
        <v>743</v>
      </c>
      <c r="C11" s="1" t="s">
        <v>97</v>
      </c>
      <c r="D11" s="1" t="s">
        <v>75</v>
      </c>
      <c r="E11" s="1" t="s">
        <v>77</v>
      </c>
      <c r="H11" s="1" t="s">
        <v>76</v>
      </c>
      <c r="I11" s="1" t="s">
        <v>98</v>
      </c>
      <c r="J11" s="1" t="s">
        <v>79</v>
      </c>
      <c r="K11" s="1" t="s">
        <v>745</v>
      </c>
      <c r="L11" s="1">
        <v>9243447</v>
      </c>
      <c r="M11" s="1">
        <v>0</v>
      </c>
      <c r="N11" s="1">
        <v>0</v>
      </c>
      <c r="O11" s="1">
        <v>0</v>
      </c>
      <c r="P11" s="1" t="s">
        <v>915</v>
      </c>
      <c r="V11" s="1" t="s">
        <v>916</v>
      </c>
      <c r="W11" s="1" t="s">
        <v>917</v>
      </c>
    </row>
    <row r="12" spans="1:23" x14ac:dyDescent="0.35">
      <c r="A12" s="1" t="s">
        <v>99</v>
      </c>
      <c r="B12" s="1" t="s">
        <v>743</v>
      </c>
      <c r="C12" s="1" t="s">
        <v>100</v>
      </c>
      <c r="D12" s="1" t="s">
        <v>75</v>
      </c>
      <c r="E12" s="1" t="s">
        <v>77</v>
      </c>
      <c r="H12" s="1" t="s">
        <v>76</v>
      </c>
      <c r="I12" s="1" t="s">
        <v>101</v>
      </c>
      <c r="J12" s="1" t="s">
        <v>79</v>
      </c>
      <c r="K12" s="1" t="s">
        <v>745</v>
      </c>
      <c r="L12" s="1">
        <v>9243447</v>
      </c>
      <c r="M12" s="1">
        <v>0</v>
      </c>
      <c r="N12" s="1">
        <v>0</v>
      </c>
      <c r="O12" s="1">
        <v>0</v>
      </c>
      <c r="P12" s="1" t="s">
        <v>915</v>
      </c>
      <c r="V12" s="1" t="s">
        <v>916</v>
      </c>
      <c r="W12" s="1" t="s">
        <v>917</v>
      </c>
    </row>
    <row r="13" spans="1:23" x14ac:dyDescent="0.35">
      <c r="A13" s="1" t="s">
        <v>102</v>
      </c>
      <c r="B13" s="1" t="s">
        <v>743</v>
      </c>
      <c r="C13" s="1" t="s">
        <v>103</v>
      </c>
      <c r="D13" s="1" t="s">
        <v>75</v>
      </c>
      <c r="E13" s="1" t="s">
        <v>77</v>
      </c>
      <c r="H13" s="1" t="s">
        <v>76</v>
      </c>
      <c r="I13" s="1" t="s">
        <v>104</v>
      </c>
      <c r="J13" s="1" t="s">
        <v>79</v>
      </c>
      <c r="K13" s="1" t="s">
        <v>745</v>
      </c>
      <c r="L13" s="1">
        <v>9243447</v>
      </c>
      <c r="M13" s="1">
        <v>0</v>
      </c>
      <c r="N13" s="1">
        <v>0</v>
      </c>
      <c r="O13" s="1">
        <v>0</v>
      </c>
      <c r="P13" s="1" t="s">
        <v>915</v>
      </c>
      <c r="V13" s="1" t="s">
        <v>916</v>
      </c>
      <c r="W13" s="1" t="s">
        <v>917</v>
      </c>
    </row>
    <row r="14" spans="1:23" x14ac:dyDescent="0.35">
      <c r="A14" s="1" t="s">
        <v>105</v>
      </c>
      <c r="B14" s="1" t="s">
        <v>743</v>
      </c>
      <c r="C14" s="1" t="s">
        <v>106</v>
      </c>
      <c r="D14" s="1" t="s">
        <v>75</v>
      </c>
      <c r="E14" s="1" t="s">
        <v>77</v>
      </c>
      <c r="H14" s="1" t="s">
        <v>76</v>
      </c>
      <c r="I14" s="1" t="s">
        <v>107</v>
      </c>
      <c r="J14" s="1" t="s">
        <v>79</v>
      </c>
      <c r="K14" s="1" t="s">
        <v>745</v>
      </c>
      <c r="L14" s="1">
        <v>9243447</v>
      </c>
      <c r="M14" s="1">
        <v>0</v>
      </c>
      <c r="N14" s="1">
        <v>0</v>
      </c>
      <c r="O14" s="1">
        <v>0</v>
      </c>
      <c r="P14" s="1" t="s">
        <v>915</v>
      </c>
      <c r="V14" s="1" t="s">
        <v>916</v>
      </c>
      <c r="W14" s="1" t="s">
        <v>917</v>
      </c>
    </row>
    <row r="15" spans="1:23" x14ac:dyDescent="0.35">
      <c r="A15" s="1" t="s">
        <v>108</v>
      </c>
      <c r="B15" s="1" t="s">
        <v>743</v>
      </c>
      <c r="C15" s="1" t="s">
        <v>109</v>
      </c>
      <c r="D15" s="1" t="s">
        <v>75</v>
      </c>
      <c r="E15" s="1" t="s">
        <v>77</v>
      </c>
      <c r="H15" s="1" t="s">
        <v>76</v>
      </c>
      <c r="I15" s="1" t="s">
        <v>110</v>
      </c>
      <c r="J15" s="1" t="s">
        <v>79</v>
      </c>
      <c r="K15" s="1" t="s">
        <v>745</v>
      </c>
      <c r="L15" s="1">
        <v>9243447</v>
      </c>
      <c r="M15" s="1">
        <v>0</v>
      </c>
      <c r="N15" s="1">
        <v>0</v>
      </c>
      <c r="O15" s="1">
        <v>0</v>
      </c>
      <c r="P15" s="1" t="s">
        <v>915</v>
      </c>
      <c r="V15" s="1" t="s">
        <v>916</v>
      </c>
      <c r="W15" s="1" t="s">
        <v>917</v>
      </c>
    </row>
    <row r="16" spans="1:23" x14ac:dyDescent="0.35">
      <c r="A16" s="1" t="s">
        <v>111</v>
      </c>
      <c r="B16" s="1" t="s">
        <v>743</v>
      </c>
      <c r="C16" s="1" t="s">
        <v>112</v>
      </c>
      <c r="D16" s="1" t="s">
        <v>75</v>
      </c>
      <c r="E16" s="1" t="s">
        <v>77</v>
      </c>
      <c r="H16" s="1" t="s">
        <v>76</v>
      </c>
      <c r="I16" s="1" t="s">
        <v>113</v>
      </c>
      <c r="J16" s="1" t="s">
        <v>79</v>
      </c>
      <c r="K16" s="1" t="s">
        <v>745</v>
      </c>
      <c r="L16" s="1">
        <v>9243447</v>
      </c>
      <c r="M16" s="1">
        <v>0</v>
      </c>
      <c r="N16" s="1">
        <v>0</v>
      </c>
      <c r="O16" s="1">
        <v>0</v>
      </c>
      <c r="P16" s="1" t="s">
        <v>915</v>
      </c>
      <c r="V16" s="1" t="s">
        <v>916</v>
      </c>
      <c r="W16" s="1" t="s">
        <v>917</v>
      </c>
    </row>
    <row r="17" spans="1:23" x14ac:dyDescent="0.35">
      <c r="A17" s="1" t="s">
        <v>114</v>
      </c>
      <c r="B17" s="1" t="s">
        <v>743</v>
      </c>
      <c r="C17" s="1" t="s">
        <v>115</v>
      </c>
      <c r="D17" s="1" t="s">
        <v>116</v>
      </c>
      <c r="E17" s="1" t="s">
        <v>77</v>
      </c>
      <c r="H17" s="1" t="s">
        <v>76</v>
      </c>
      <c r="I17" s="1" t="s">
        <v>117</v>
      </c>
      <c r="J17" s="1" t="s">
        <v>79</v>
      </c>
      <c r="K17" s="1" t="s">
        <v>745</v>
      </c>
      <c r="L17" s="1">
        <v>9243447</v>
      </c>
      <c r="M17" s="1">
        <v>0</v>
      </c>
      <c r="N17" s="1">
        <v>0</v>
      </c>
      <c r="O17" s="1">
        <v>0</v>
      </c>
      <c r="P17" s="1" t="s">
        <v>915</v>
      </c>
      <c r="V17" s="1" t="s">
        <v>916</v>
      </c>
      <c r="W17" s="1" t="s">
        <v>917</v>
      </c>
    </row>
    <row r="18" spans="1:23" x14ac:dyDescent="0.35">
      <c r="A18" s="1" t="s">
        <v>118</v>
      </c>
      <c r="B18" s="1" t="s">
        <v>743</v>
      </c>
      <c r="C18" s="1" t="s">
        <v>119</v>
      </c>
      <c r="D18" s="1" t="s">
        <v>116</v>
      </c>
      <c r="E18" s="1" t="s">
        <v>77</v>
      </c>
      <c r="H18" s="1" t="s">
        <v>76</v>
      </c>
      <c r="I18" s="1" t="s">
        <v>120</v>
      </c>
      <c r="J18" s="1" t="s">
        <v>79</v>
      </c>
      <c r="K18" s="1" t="s">
        <v>745</v>
      </c>
      <c r="L18" s="1">
        <v>9243447</v>
      </c>
      <c r="M18" s="1">
        <v>0</v>
      </c>
      <c r="N18" s="1">
        <v>0</v>
      </c>
      <c r="O18" s="1">
        <v>0</v>
      </c>
      <c r="P18" s="1" t="s">
        <v>915</v>
      </c>
      <c r="V18" s="1" t="s">
        <v>916</v>
      </c>
      <c r="W18" s="1" t="s">
        <v>917</v>
      </c>
    </row>
    <row r="19" spans="1:23" x14ac:dyDescent="0.35">
      <c r="A19" s="1" t="s">
        <v>121</v>
      </c>
      <c r="B19" s="1" t="s">
        <v>743</v>
      </c>
      <c r="C19" s="1" t="s">
        <v>122</v>
      </c>
      <c r="D19" s="1" t="s">
        <v>75</v>
      </c>
      <c r="E19" s="1" t="s">
        <v>77</v>
      </c>
      <c r="H19" s="1" t="s">
        <v>76</v>
      </c>
      <c r="I19" s="1" t="s">
        <v>123</v>
      </c>
      <c r="J19" s="1" t="s">
        <v>79</v>
      </c>
      <c r="K19" s="1" t="s">
        <v>745</v>
      </c>
      <c r="L19" s="1">
        <v>9243447</v>
      </c>
      <c r="M19" s="1">
        <v>0</v>
      </c>
      <c r="N19" s="1">
        <v>0</v>
      </c>
      <c r="O19" s="1">
        <v>0</v>
      </c>
      <c r="P19" s="1" t="s">
        <v>915</v>
      </c>
      <c r="V19" s="1" t="s">
        <v>916</v>
      </c>
      <c r="W19" s="1" t="s">
        <v>917</v>
      </c>
    </row>
    <row r="20" spans="1:23" x14ac:dyDescent="0.35">
      <c r="A20" s="1" t="s">
        <v>124</v>
      </c>
      <c r="B20" s="1" t="s">
        <v>743</v>
      </c>
      <c r="C20" s="1" t="s">
        <v>125</v>
      </c>
      <c r="D20" s="1" t="s">
        <v>75</v>
      </c>
      <c r="E20" s="1" t="s">
        <v>77</v>
      </c>
      <c r="H20" s="1" t="s">
        <v>76</v>
      </c>
      <c r="I20" s="1" t="s">
        <v>126</v>
      </c>
      <c r="J20" s="1" t="s">
        <v>79</v>
      </c>
      <c r="K20" s="1" t="s">
        <v>745</v>
      </c>
      <c r="L20" s="1">
        <v>9243447</v>
      </c>
      <c r="M20" s="1">
        <v>0</v>
      </c>
      <c r="N20" s="1">
        <v>0</v>
      </c>
      <c r="O20" s="1">
        <v>0</v>
      </c>
      <c r="P20" s="1" t="s">
        <v>915</v>
      </c>
      <c r="V20" s="1" t="s">
        <v>916</v>
      </c>
      <c r="W20" s="1" t="s">
        <v>917</v>
      </c>
    </row>
    <row r="21" spans="1:23" x14ac:dyDescent="0.35">
      <c r="A21" s="1" t="s">
        <v>127</v>
      </c>
      <c r="B21" s="1" t="s">
        <v>743</v>
      </c>
      <c r="C21" s="1" t="s">
        <v>128</v>
      </c>
      <c r="D21" s="1" t="s">
        <v>116</v>
      </c>
      <c r="E21" s="1" t="s">
        <v>77</v>
      </c>
      <c r="H21" s="1" t="s">
        <v>76</v>
      </c>
      <c r="I21" s="1" t="s">
        <v>129</v>
      </c>
      <c r="J21" s="1" t="s">
        <v>79</v>
      </c>
      <c r="K21" s="1" t="s">
        <v>745</v>
      </c>
      <c r="L21" s="1">
        <v>9243447</v>
      </c>
      <c r="M21" s="1">
        <v>0</v>
      </c>
      <c r="N21" s="1">
        <v>0</v>
      </c>
      <c r="O21" s="1">
        <v>0</v>
      </c>
      <c r="P21" s="1" t="s">
        <v>915</v>
      </c>
      <c r="V21" s="1" t="s">
        <v>916</v>
      </c>
      <c r="W21" s="1" t="s">
        <v>917</v>
      </c>
    </row>
    <row r="22" spans="1:23" x14ac:dyDescent="0.35">
      <c r="A22" s="1" t="s">
        <v>130</v>
      </c>
      <c r="B22" s="1" t="s">
        <v>743</v>
      </c>
      <c r="C22" s="1" t="s">
        <v>131</v>
      </c>
      <c r="D22" s="1" t="s">
        <v>116</v>
      </c>
      <c r="E22" s="1" t="s">
        <v>77</v>
      </c>
      <c r="H22" s="1" t="s">
        <v>76</v>
      </c>
      <c r="I22" s="1" t="s">
        <v>132</v>
      </c>
      <c r="J22" s="1" t="s">
        <v>79</v>
      </c>
      <c r="K22" s="1" t="s">
        <v>745</v>
      </c>
      <c r="L22" s="1">
        <v>9243447</v>
      </c>
      <c r="M22" s="1">
        <v>0</v>
      </c>
      <c r="N22" s="1">
        <v>0</v>
      </c>
      <c r="O22" s="1">
        <v>0</v>
      </c>
      <c r="P22" s="1" t="s">
        <v>915</v>
      </c>
      <c r="V22" s="1" t="s">
        <v>916</v>
      </c>
      <c r="W22" s="1" t="s">
        <v>917</v>
      </c>
    </row>
    <row r="23" spans="1:23" x14ac:dyDescent="0.35">
      <c r="A23" s="1" t="s">
        <v>133</v>
      </c>
      <c r="B23" s="1" t="s">
        <v>743</v>
      </c>
      <c r="C23" s="1" t="s">
        <v>134</v>
      </c>
      <c r="D23" s="1" t="s">
        <v>116</v>
      </c>
      <c r="E23" s="1" t="s">
        <v>77</v>
      </c>
      <c r="H23" s="1" t="s">
        <v>76</v>
      </c>
      <c r="I23" s="1" t="s">
        <v>135</v>
      </c>
      <c r="J23" s="1" t="s">
        <v>79</v>
      </c>
      <c r="K23" s="1" t="s">
        <v>745</v>
      </c>
      <c r="L23" s="1">
        <v>9243447</v>
      </c>
      <c r="M23" s="1">
        <v>0</v>
      </c>
      <c r="N23" s="1">
        <v>0</v>
      </c>
      <c r="O23" s="1">
        <v>0</v>
      </c>
      <c r="P23" s="1" t="s">
        <v>915</v>
      </c>
      <c r="V23" s="1" t="s">
        <v>916</v>
      </c>
      <c r="W23" s="1" t="s">
        <v>917</v>
      </c>
    </row>
    <row r="24" spans="1:23" x14ac:dyDescent="0.35">
      <c r="A24" s="1" t="s">
        <v>136</v>
      </c>
      <c r="B24" s="1" t="s">
        <v>743</v>
      </c>
      <c r="C24" s="1" t="s">
        <v>137</v>
      </c>
      <c r="D24" s="1" t="s">
        <v>116</v>
      </c>
      <c r="E24" s="1" t="s">
        <v>77</v>
      </c>
      <c r="H24" s="1" t="s">
        <v>76</v>
      </c>
      <c r="I24" s="1" t="s">
        <v>138</v>
      </c>
      <c r="J24" s="1" t="s">
        <v>79</v>
      </c>
      <c r="K24" s="1" t="s">
        <v>745</v>
      </c>
      <c r="L24" s="1">
        <v>9243447</v>
      </c>
      <c r="M24" s="1">
        <v>0</v>
      </c>
      <c r="N24" s="1">
        <v>0</v>
      </c>
      <c r="O24" s="1">
        <v>0</v>
      </c>
      <c r="P24" s="1" t="s">
        <v>915</v>
      </c>
      <c r="V24" s="1" t="s">
        <v>916</v>
      </c>
      <c r="W24" s="1" t="s">
        <v>917</v>
      </c>
    </row>
    <row r="25" spans="1:23" x14ac:dyDescent="0.35">
      <c r="A25" s="1" t="s">
        <v>139</v>
      </c>
      <c r="B25" s="1" t="s">
        <v>743</v>
      </c>
      <c r="C25" s="1" t="s">
        <v>140</v>
      </c>
      <c r="D25" s="1" t="s">
        <v>116</v>
      </c>
      <c r="E25" s="1" t="s">
        <v>77</v>
      </c>
      <c r="H25" s="1" t="s">
        <v>76</v>
      </c>
      <c r="I25" s="1" t="s">
        <v>141</v>
      </c>
      <c r="J25" s="1" t="s">
        <v>79</v>
      </c>
      <c r="K25" s="1" t="s">
        <v>745</v>
      </c>
      <c r="L25" s="1">
        <v>9243447</v>
      </c>
      <c r="M25" s="1">
        <v>0</v>
      </c>
      <c r="N25" s="1">
        <v>0</v>
      </c>
      <c r="O25" s="1">
        <v>0</v>
      </c>
      <c r="P25" s="1" t="s">
        <v>915</v>
      </c>
      <c r="V25" s="1" t="s">
        <v>916</v>
      </c>
      <c r="W25" s="1" t="s">
        <v>917</v>
      </c>
    </row>
    <row r="26" spans="1:23" x14ac:dyDescent="0.35">
      <c r="A26" s="1" t="s">
        <v>142</v>
      </c>
      <c r="B26" s="1" t="s">
        <v>743</v>
      </c>
      <c r="C26" s="1" t="s">
        <v>143</v>
      </c>
      <c r="D26" s="1" t="s">
        <v>116</v>
      </c>
      <c r="E26" s="1" t="s">
        <v>77</v>
      </c>
      <c r="H26" s="1" t="s">
        <v>76</v>
      </c>
      <c r="I26" s="1" t="s">
        <v>144</v>
      </c>
      <c r="J26" s="1" t="s">
        <v>79</v>
      </c>
      <c r="K26" s="1" t="s">
        <v>745</v>
      </c>
      <c r="L26" s="1">
        <v>9243447</v>
      </c>
      <c r="M26" s="1">
        <v>0</v>
      </c>
      <c r="N26" s="1">
        <v>0</v>
      </c>
      <c r="O26" s="1">
        <v>0</v>
      </c>
      <c r="P26" s="1" t="s">
        <v>915</v>
      </c>
      <c r="V26" s="1" t="s">
        <v>916</v>
      </c>
      <c r="W26" s="1" t="s">
        <v>917</v>
      </c>
    </row>
    <row r="27" spans="1:23" x14ac:dyDescent="0.35">
      <c r="A27" s="1" t="s">
        <v>145</v>
      </c>
      <c r="B27" s="1" t="s">
        <v>743</v>
      </c>
      <c r="C27" s="1" t="s">
        <v>146</v>
      </c>
      <c r="D27" s="1" t="s">
        <v>116</v>
      </c>
      <c r="E27" s="1" t="s">
        <v>77</v>
      </c>
      <c r="H27" s="1" t="s">
        <v>76</v>
      </c>
      <c r="I27" s="1" t="s">
        <v>147</v>
      </c>
      <c r="J27" s="1" t="s">
        <v>79</v>
      </c>
      <c r="K27" s="1" t="s">
        <v>745</v>
      </c>
      <c r="L27" s="1">
        <v>9243447</v>
      </c>
      <c r="M27" s="1">
        <v>0</v>
      </c>
      <c r="N27" s="1">
        <v>0</v>
      </c>
      <c r="O27" s="1">
        <v>0</v>
      </c>
      <c r="P27" s="1" t="s">
        <v>915</v>
      </c>
      <c r="V27" s="1" t="s">
        <v>916</v>
      </c>
      <c r="W27" s="1" t="s">
        <v>917</v>
      </c>
    </row>
    <row r="28" spans="1:23" x14ac:dyDescent="0.35">
      <c r="A28" s="1" t="s">
        <v>148</v>
      </c>
      <c r="B28" s="1" t="s">
        <v>743</v>
      </c>
      <c r="C28" s="1" t="s">
        <v>149</v>
      </c>
      <c r="D28" s="1" t="s">
        <v>116</v>
      </c>
      <c r="E28" s="1" t="s">
        <v>77</v>
      </c>
      <c r="H28" s="1" t="s">
        <v>76</v>
      </c>
      <c r="I28" s="1" t="s">
        <v>150</v>
      </c>
      <c r="J28" s="1" t="s">
        <v>79</v>
      </c>
      <c r="K28" s="1" t="s">
        <v>745</v>
      </c>
      <c r="L28" s="1">
        <v>9243447</v>
      </c>
      <c r="M28" s="1">
        <v>0</v>
      </c>
      <c r="N28" s="1">
        <v>0</v>
      </c>
      <c r="O28" s="1">
        <v>0</v>
      </c>
      <c r="P28" s="1" t="s">
        <v>915</v>
      </c>
      <c r="V28" s="1" t="s">
        <v>916</v>
      </c>
      <c r="W28" s="1" t="s">
        <v>917</v>
      </c>
    </row>
    <row r="29" spans="1:23" x14ac:dyDescent="0.35">
      <c r="A29" s="1" t="s">
        <v>151</v>
      </c>
      <c r="B29" s="1" t="s">
        <v>743</v>
      </c>
      <c r="C29" s="1" t="s">
        <v>152</v>
      </c>
      <c r="D29" s="1" t="s">
        <v>116</v>
      </c>
      <c r="E29" s="1" t="s">
        <v>77</v>
      </c>
      <c r="H29" s="1" t="s">
        <v>76</v>
      </c>
      <c r="I29" s="1" t="s">
        <v>153</v>
      </c>
      <c r="J29" s="1" t="s">
        <v>79</v>
      </c>
      <c r="K29" s="1" t="s">
        <v>745</v>
      </c>
      <c r="L29" s="1">
        <v>9243447</v>
      </c>
      <c r="M29" s="1">
        <v>0</v>
      </c>
      <c r="N29" s="1">
        <v>0</v>
      </c>
      <c r="O29" s="1">
        <v>0</v>
      </c>
      <c r="P29" s="1" t="s">
        <v>915</v>
      </c>
      <c r="V29" s="1" t="s">
        <v>916</v>
      </c>
      <c r="W29" s="1" t="s">
        <v>917</v>
      </c>
    </row>
    <row r="30" spans="1:23" x14ac:dyDescent="0.35">
      <c r="A30" s="1" t="s">
        <v>154</v>
      </c>
      <c r="B30" s="1" t="s">
        <v>743</v>
      </c>
      <c r="C30" s="1" t="s">
        <v>155</v>
      </c>
      <c r="D30" s="1" t="s">
        <v>116</v>
      </c>
      <c r="E30" s="1" t="s">
        <v>77</v>
      </c>
      <c r="H30" s="1" t="s">
        <v>76</v>
      </c>
      <c r="I30" s="1" t="s">
        <v>156</v>
      </c>
      <c r="J30" s="1" t="s">
        <v>79</v>
      </c>
      <c r="K30" s="1" t="s">
        <v>745</v>
      </c>
      <c r="L30" s="1">
        <v>9243447</v>
      </c>
      <c r="M30" s="1">
        <v>0</v>
      </c>
      <c r="N30" s="1">
        <v>0</v>
      </c>
      <c r="O30" s="1">
        <v>0</v>
      </c>
      <c r="P30" s="1" t="s">
        <v>915</v>
      </c>
      <c r="V30" s="1" t="s">
        <v>916</v>
      </c>
      <c r="W30" s="1" t="s">
        <v>917</v>
      </c>
    </row>
    <row r="31" spans="1:23" x14ac:dyDescent="0.35">
      <c r="A31" s="1" t="s">
        <v>157</v>
      </c>
      <c r="B31" s="1" t="s">
        <v>743</v>
      </c>
      <c r="C31" s="1" t="s">
        <v>158</v>
      </c>
      <c r="D31" s="1" t="s">
        <v>159</v>
      </c>
      <c r="E31" s="1" t="s">
        <v>77</v>
      </c>
      <c r="H31" s="1" t="s">
        <v>76</v>
      </c>
      <c r="I31" s="1" t="s">
        <v>160</v>
      </c>
      <c r="J31" s="1" t="s">
        <v>79</v>
      </c>
      <c r="K31" s="1" t="s">
        <v>745</v>
      </c>
      <c r="L31" s="1">
        <v>9243447</v>
      </c>
      <c r="M31" s="1">
        <v>0</v>
      </c>
      <c r="N31" s="1">
        <v>0</v>
      </c>
      <c r="O31" s="1">
        <v>0</v>
      </c>
      <c r="P31" s="1" t="s">
        <v>915</v>
      </c>
      <c r="V31" s="1" t="s">
        <v>916</v>
      </c>
      <c r="W31" s="1" t="s">
        <v>917</v>
      </c>
    </row>
    <row r="32" spans="1:23" x14ac:dyDescent="0.35">
      <c r="A32" s="1" t="s">
        <v>161</v>
      </c>
      <c r="B32" s="1" t="s">
        <v>743</v>
      </c>
      <c r="C32" s="1" t="s">
        <v>162</v>
      </c>
      <c r="D32" s="1" t="s">
        <v>163</v>
      </c>
      <c r="E32" s="1" t="s">
        <v>77</v>
      </c>
      <c r="H32" s="1" t="s">
        <v>76</v>
      </c>
      <c r="I32" s="1" t="s">
        <v>164</v>
      </c>
      <c r="J32" s="1" t="s">
        <v>79</v>
      </c>
      <c r="K32" s="1" t="s">
        <v>745</v>
      </c>
      <c r="L32" s="1">
        <v>9243447</v>
      </c>
      <c r="M32" s="1">
        <v>0</v>
      </c>
      <c r="N32" s="1">
        <v>0</v>
      </c>
      <c r="O32" s="1">
        <v>0</v>
      </c>
      <c r="P32" s="1" t="s">
        <v>915</v>
      </c>
      <c r="V32" s="1" t="s">
        <v>916</v>
      </c>
      <c r="W32" s="1" t="s">
        <v>917</v>
      </c>
    </row>
    <row r="33" spans="1:23" x14ac:dyDescent="0.35">
      <c r="A33" s="1" t="s">
        <v>165</v>
      </c>
      <c r="B33" s="1" t="s">
        <v>743</v>
      </c>
      <c r="C33" s="1" t="s">
        <v>166</v>
      </c>
      <c r="D33" s="1" t="s">
        <v>163</v>
      </c>
      <c r="E33" s="1" t="s">
        <v>77</v>
      </c>
      <c r="H33" s="1" t="s">
        <v>76</v>
      </c>
      <c r="I33" s="1" t="s">
        <v>167</v>
      </c>
      <c r="J33" s="1" t="s">
        <v>79</v>
      </c>
      <c r="K33" s="1" t="s">
        <v>745</v>
      </c>
      <c r="L33" s="1">
        <v>9243447</v>
      </c>
      <c r="M33" s="1">
        <v>0</v>
      </c>
      <c r="N33" s="1">
        <v>0</v>
      </c>
      <c r="O33" s="1">
        <v>0</v>
      </c>
      <c r="P33" s="1" t="s">
        <v>915</v>
      </c>
      <c r="V33" s="1" t="s">
        <v>916</v>
      </c>
      <c r="W33" s="1" t="s">
        <v>917</v>
      </c>
    </row>
    <row r="34" spans="1:23" x14ac:dyDescent="0.35">
      <c r="A34" s="1" t="s">
        <v>168</v>
      </c>
      <c r="B34" s="1" t="s">
        <v>743</v>
      </c>
      <c r="C34" s="1" t="s">
        <v>169</v>
      </c>
      <c r="D34" s="1" t="s">
        <v>163</v>
      </c>
      <c r="E34" s="1" t="s">
        <v>77</v>
      </c>
      <c r="H34" s="1" t="s">
        <v>76</v>
      </c>
      <c r="I34" s="1" t="s">
        <v>170</v>
      </c>
      <c r="J34" s="1" t="s">
        <v>79</v>
      </c>
      <c r="K34" s="1" t="s">
        <v>745</v>
      </c>
      <c r="L34" s="1">
        <v>9243447</v>
      </c>
      <c r="M34" s="1">
        <v>0</v>
      </c>
      <c r="N34" s="1">
        <v>0</v>
      </c>
      <c r="O34" s="1">
        <v>0</v>
      </c>
      <c r="P34" s="1" t="s">
        <v>915</v>
      </c>
      <c r="V34" s="1" t="s">
        <v>916</v>
      </c>
      <c r="W34" s="1" t="s">
        <v>917</v>
      </c>
    </row>
    <row r="35" spans="1:23" x14ac:dyDescent="0.35">
      <c r="A35" s="1" t="s">
        <v>171</v>
      </c>
      <c r="B35" s="1" t="s">
        <v>743</v>
      </c>
      <c r="C35" s="1" t="s">
        <v>172</v>
      </c>
      <c r="D35" s="1" t="s">
        <v>163</v>
      </c>
      <c r="E35" s="1" t="s">
        <v>77</v>
      </c>
      <c r="H35" s="1" t="s">
        <v>76</v>
      </c>
      <c r="I35" s="1" t="s">
        <v>173</v>
      </c>
      <c r="J35" s="1" t="s">
        <v>79</v>
      </c>
      <c r="K35" s="1" t="s">
        <v>745</v>
      </c>
      <c r="L35" s="1">
        <v>9243447</v>
      </c>
      <c r="M35" s="1">
        <v>0</v>
      </c>
      <c r="N35" s="1">
        <v>0</v>
      </c>
      <c r="O35" s="1">
        <v>0</v>
      </c>
      <c r="P35" s="1" t="s">
        <v>915</v>
      </c>
      <c r="V35" s="1" t="s">
        <v>916</v>
      </c>
      <c r="W35" s="1" t="s">
        <v>917</v>
      </c>
    </row>
    <row r="36" spans="1:23" x14ac:dyDescent="0.35">
      <c r="A36" s="1" t="s">
        <v>174</v>
      </c>
      <c r="B36" s="1" t="s">
        <v>743</v>
      </c>
      <c r="C36" s="1" t="s">
        <v>175</v>
      </c>
      <c r="D36" s="1" t="s">
        <v>163</v>
      </c>
      <c r="E36" s="1" t="s">
        <v>77</v>
      </c>
      <c r="H36" s="1" t="s">
        <v>76</v>
      </c>
      <c r="I36" s="1" t="s">
        <v>176</v>
      </c>
      <c r="J36" s="1" t="s">
        <v>79</v>
      </c>
      <c r="K36" s="1" t="s">
        <v>745</v>
      </c>
      <c r="L36" s="1">
        <v>9243447</v>
      </c>
      <c r="M36" s="1">
        <v>0</v>
      </c>
      <c r="N36" s="1">
        <v>0</v>
      </c>
      <c r="O36" s="1">
        <v>0</v>
      </c>
      <c r="P36" s="1" t="s">
        <v>915</v>
      </c>
      <c r="V36" s="1" t="s">
        <v>916</v>
      </c>
      <c r="W36" s="1" t="s">
        <v>917</v>
      </c>
    </row>
    <row r="37" spans="1:23" x14ac:dyDescent="0.35">
      <c r="A37" s="1" t="s">
        <v>177</v>
      </c>
      <c r="B37" s="1" t="s">
        <v>743</v>
      </c>
      <c r="C37" s="1" t="s">
        <v>178</v>
      </c>
      <c r="D37" s="1" t="s">
        <v>179</v>
      </c>
      <c r="E37" s="1" t="s">
        <v>77</v>
      </c>
      <c r="H37" s="1" t="s">
        <v>76</v>
      </c>
      <c r="I37" s="1" t="s">
        <v>180</v>
      </c>
      <c r="J37" s="1" t="s">
        <v>79</v>
      </c>
      <c r="K37" s="1" t="s">
        <v>745</v>
      </c>
      <c r="L37" s="1">
        <v>9243447</v>
      </c>
      <c r="M37" s="1">
        <v>2</v>
      </c>
      <c r="N37" s="1">
        <v>2</v>
      </c>
      <c r="O37" s="1">
        <v>1</v>
      </c>
      <c r="P37" s="1" t="s">
        <v>447</v>
      </c>
      <c r="Q37" s="2">
        <v>42681</v>
      </c>
      <c r="R37" s="1" t="s">
        <v>516</v>
      </c>
      <c r="T37" s="2">
        <v>42681</v>
      </c>
      <c r="V37" s="1" t="s">
        <v>917</v>
      </c>
      <c r="W37" s="1" t="s">
        <v>917</v>
      </c>
    </row>
    <row r="38" spans="1:23" x14ac:dyDescent="0.35">
      <c r="A38" s="1" t="s">
        <v>182</v>
      </c>
      <c r="B38" s="1" t="s">
        <v>743</v>
      </c>
      <c r="C38" s="1" t="s">
        <v>183</v>
      </c>
      <c r="D38" s="1" t="s">
        <v>179</v>
      </c>
      <c r="E38" s="1" t="s">
        <v>77</v>
      </c>
      <c r="H38" s="1" t="s">
        <v>76</v>
      </c>
      <c r="I38" s="1" t="s">
        <v>184</v>
      </c>
      <c r="J38" s="1" t="s">
        <v>79</v>
      </c>
      <c r="K38" s="1" t="s">
        <v>745</v>
      </c>
      <c r="L38" s="1">
        <v>9243447</v>
      </c>
      <c r="M38" s="1">
        <v>0</v>
      </c>
      <c r="N38" s="1">
        <v>0</v>
      </c>
      <c r="O38" s="1">
        <v>0</v>
      </c>
      <c r="P38" s="1" t="s">
        <v>915</v>
      </c>
      <c r="V38" s="1" t="s">
        <v>916</v>
      </c>
      <c r="W38" s="1" t="s">
        <v>917</v>
      </c>
    </row>
    <row r="39" spans="1:23" x14ac:dyDescent="0.35">
      <c r="A39" s="1" t="s">
        <v>185</v>
      </c>
      <c r="B39" s="1" t="s">
        <v>743</v>
      </c>
      <c r="C39" s="1" t="s">
        <v>186</v>
      </c>
      <c r="D39" s="1" t="s">
        <v>179</v>
      </c>
      <c r="E39" s="1" t="s">
        <v>77</v>
      </c>
      <c r="H39" s="1" t="s">
        <v>76</v>
      </c>
      <c r="I39" s="1" t="s">
        <v>187</v>
      </c>
      <c r="J39" s="1" t="s">
        <v>79</v>
      </c>
      <c r="K39" s="1" t="s">
        <v>745</v>
      </c>
      <c r="L39" s="1">
        <v>9243447</v>
      </c>
      <c r="M39" s="1">
        <v>0</v>
      </c>
      <c r="N39" s="1">
        <v>0</v>
      </c>
      <c r="O39" s="1">
        <v>0</v>
      </c>
      <c r="P39" s="1" t="s">
        <v>915</v>
      </c>
      <c r="V39" s="1" t="s">
        <v>916</v>
      </c>
      <c r="W39" s="1" t="s">
        <v>917</v>
      </c>
    </row>
    <row r="40" spans="1:23" x14ac:dyDescent="0.35">
      <c r="A40" s="1" t="s">
        <v>188</v>
      </c>
      <c r="B40" s="1" t="s">
        <v>743</v>
      </c>
      <c r="C40" s="1" t="s">
        <v>189</v>
      </c>
      <c r="D40" s="1" t="s">
        <v>116</v>
      </c>
      <c r="E40" s="1" t="s">
        <v>77</v>
      </c>
      <c r="H40" s="1" t="s">
        <v>76</v>
      </c>
      <c r="I40" s="1" t="s">
        <v>190</v>
      </c>
      <c r="J40" s="1" t="s">
        <v>79</v>
      </c>
      <c r="K40" s="1" t="s">
        <v>745</v>
      </c>
      <c r="L40" s="1">
        <v>9243447</v>
      </c>
      <c r="M40" s="1">
        <v>0</v>
      </c>
      <c r="N40" s="1">
        <v>0</v>
      </c>
      <c r="O40" s="1">
        <v>0</v>
      </c>
      <c r="P40" s="1" t="s">
        <v>915</v>
      </c>
      <c r="V40" s="1" t="s">
        <v>916</v>
      </c>
      <c r="W40" s="1" t="s">
        <v>917</v>
      </c>
    </row>
    <row r="41" spans="1:23" x14ac:dyDescent="0.35">
      <c r="A41" s="1" t="s">
        <v>191</v>
      </c>
      <c r="B41" s="1" t="s">
        <v>743</v>
      </c>
      <c r="C41" s="1" t="s">
        <v>192</v>
      </c>
      <c r="D41" s="1" t="s">
        <v>116</v>
      </c>
      <c r="E41" s="1" t="s">
        <v>77</v>
      </c>
      <c r="H41" s="1" t="s">
        <v>76</v>
      </c>
      <c r="I41" s="1" t="s">
        <v>193</v>
      </c>
      <c r="J41" s="1" t="s">
        <v>79</v>
      </c>
      <c r="K41" s="1" t="s">
        <v>745</v>
      </c>
      <c r="L41" s="1">
        <v>9243447</v>
      </c>
      <c r="M41" s="1">
        <v>0</v>
      </c>
      <c r="N41" s="1">
        <v>0</v>
      </c>
      <c r="O41" s="1">
        <v>0</v>
      </c>
      <c r="P41" s="1" t="s">
        <v>915</v>
      </c>
      <c r="V41" s="1" t="s">
        <v>916</v>
      </c>
      <c r="W41" s="1" t="s">
        <v>917</v>
      </c>
    </row>
    <row r="42" spans="1:23" x14ac:dyDescent="0.35">
      <c r="A42" s="1" t="s">
        <v>194</v>
      </c>
      <c r="B42" s="1" t="s">
        <v>743</v>
      </c>
      <c r="C42" s="1" t="s">
        <v>195</v>
      </c>
      <c r="D42" s="1" t="s">
        <v>116</v>
      </c>
      <c r="E42" s="1" t="s">
        <v>77</v>
      </c>
      <c r="H42" s="1" t="s">
        <v>76</v>
      </c>
      <c r="I42" s="1" t="s">
        <v>196</v>
      </c>
      <c r="J42" s="1" t="s">
        <v>79</v>
      </c>
      <c r="K42" s="1" t="s">
        <v>745</v>
      </c>
      <c r="L42" s="1">
        <v>9243447</v>
      </c>
      <c r="M42" s="1">
        <v>0</v>
      </c>
      <c r="N42" s="1">
        <v>0</v>
      </c>
      <c r="O42" s="1">
        <v>0</v>
      </c>
      <c r="P42" s="1" t="s">
        <v>915</v>
      </c>
      <c r="V42" s="1" t="s">
        <v>916</v>
      </c>
      <c r="W42" s="1" t="s">
        <v>917</v>
      </c>
    </row>
    <row r="43" spans="1:23" x14ac:dyDescent="0.35">
      <c r="A43" s="1" t="s">
        <v>197</v>
      </c>
      <c r="B43" s="1" t="s">
        <v>743</v>
      </c>
      <c r="C43" s="1" t="s">
        <v>198</v>
      </c>
      <c r="D43" s="1" t="s">
        <v>116</v>
      </c>
      <c r="E43" s="1" t="s">
        <v>77</v>
      </c>
      <c r="H43" s="1" t="s">
        <v>76</v>
      </c>
      <c r="I43" s="1" t="s">
        <v>199</v>
      </c>
      <c r="J43" s="1" t="s">
        <v>79</v>
      </c>
      <c r="K43" s="1" t="s">
        <v>745</v>
      </c>
      <c r="L43" s="1">
        <v>9243447</v>
      </c>
      <c r="M43" s="1">
        <v>0</v>
      </c>
      <c r="N43" s="1">
        <v>0</v>
      </c>
      <c r="O43" s="1">
        <v>0</v>
      </c>
      <c r="P43" s="1" t="s">
        <v>915</v>
      </c>
      <c r="V43" s="1" t="s">
        <v>916</v>
      </c>
      <c r="W43" s="1" t="s">
        <v>917</v>
      </c>
    </row>
    <row r="44" spans="1:23" x14ac:dyDescent="0.35">
      <c r="A44" s="1" t="s">
        <v>200</v>
      </c>
      <c r="B44" s="1" t="s">
        <v>743</v>
      </c>
      <c r="C44" s="1" t="s">
        <v>201</v>
      </c>
      <c r="D44" s="1" t="s">
        <v>116</v>
      </c>
      <c r="E44" s="1" t="s">
        <v>77</v>
      </c>
      <c r="H44" s="1" t="s">
        <v>76</v>
      </c>
      <c r="I44" s="1" t="s">
        <v>202</v>
      </c>
      <c r="J44" s="1" t="s">
        <v>79</v>
      </c>
      <c r="K44" s="1" t="s">
        <v>745</v>
      </c>
      <c r="L44" s="1">
        <v>9243447</v>
      </c>
      <c r="M44" s="1">
        <v>0</v>
      </c>
      <c r="N44" s="1">
        <v>0</v>
      </c>
      <c r="O44" s="1">
        <v>0</v>
      </c>
      <c r="P44" s="1" t="s">
        <v>915</v>
      </c>
      <c r="V44" s="1" t="s">
        <v>916</v>
      </c>
      <c r="W44" s="1" t="s">
        <v>917</v>
      </c>
    </row>
    <row r="45" spans="1:23" x14ac:dyDescent="0.35">
      <c r="A45" s="1" t="s">
        <v>203</v>
      </c>
      <c r="B45" s="1" t="s">
        <v>743</v>
      </c>
      <c r="C45" s="1" t="s">
        <v>204</v>
      </c>
      <c r="D45" s="1" t="s">
        <v>116</v>
      </c>
      <c r="E45" s="1" t="s">
        <v>77</v>
      </c>
      <c r="H45" s="1" t="s">
        <v>76</v>
      </c>
      <c r="I45" s="1" t="s">
        <v>205</v>
      </c>
      <c r="J45" s="1" t="s">
        <v>79</v>
      </c>
      <c r="K45" s="1" t="s">
        <v>745</v>
      </c>
      <c r="L45" s="1">
        <v>9243447</v>
      </c>
      <c r="M45" s="1">
        <v>0</v>
      </c>
      <c r="N45" s="1">
        <v>0</v>
      </c>
      <c r="O45" s="1">
        <v>0</v>
      </c>
      <c r="P45" s="1" t="s">
        <v>915</v>
      </c>
      <c r="V45" s="1" t="s">
        <v>916</v>
      </c>
      <c r="W45" s="1" t="s">
        <v>917</v>
      </c>
    </row>
    <row r="46" spans="1:23" x14ac:dyDescent="0.35">
      <c r="A46" s="1" t="s">
        <v>206</v>
      </c>
      <c r="B46" s="1" t="s">
        <v>743</v>
      </c>
      <c r="C46" s="1" t="s">
        <v>207</v>
      </c>
      <c r="D46" s="1" t="s">
        <v>116</v>
      </c>
      <c r="E46" s="1" t="s">
        <v>77</v>
      </c>
      <c r="H46" s="1" t="s">
        <v>76</v>
      </c>
      <c r="I46" s="1" t="s">
        <v>208</v>
      </c>
      <c r="J46" s="1" t="s">
        <v>79</v>
      </c>
      <c r="K46" s="1" t="s">
        <v>745</v>
      </c>
      <c r="L46" s="1">
        <v>9243447</v>
      </c>
      <c r="M46" s="1">
        <v>0</v>
      </c>
      <c r="N46" s="1">
        <v>0</v>
      </c>
      <c r="O46" s="1">
        <v>0</v>
      </c>
      <c r="P46" s="1" t="s">
        <v>915</v>
      </c>
      <c r="V46" s="1" t="s">
        <v>916</v>
      </c>
      <c r="W46" s="1" t="s">
        <v>917</v>
      </c>
    </row>
    <row r="47" spans="1:23" x14ac:dyDescent="0.35">
      <c r="A47" s="1" t="s">
        <v>209</v>
      </c>
      <c r="B47" s="1" t="s">
        <v>743</v>
      </c>
      <c r="C47" s="1" t="s">
        <v>210</v>
      </c>
      <c r="D47" s="1" t="s">
        <v>179</v>
      </c>
      <c r="E47" s="1" t="s">
        <v>77</v>
      </c>
      <c r="H47" s="1" t="s">
        <v>76</v>
      </c>
      <c r="I47" s="1" t="s">
        <v>211</v>
      </c>
      <c r="J47" s="1" t="s">
        <v>79</v>
      </c>
      <c r="K47" s="1" t="s">
        <v>745</v>
      </c>
      <c r="L47" s="1">
        <v>9243447</v>
      </c>
      <c r="M47" s="1">
        <v>0</v>
      </c>
      <c r="N47" s="1">
        <v>0</v>
      </c>
      <c r="O47" s="1">
        <v>0</v>
      </c>
      <c r="P47" s="1" t="s">
        <v>915</v>
      </c>
      <c r="V47" s="1" t="s">
        <v>916</v>
      </c>
      <c r="W47" s="1" t="s">
        <v>917</v>
      </c>
    </row>
    <row r="48" spans="1:23" x14ac:dyDescent="0.35">
      <c r="A48" s="1" t="s">
        <v>212</v>
      </c>
      <c r="B48" s="1" t="s">
        <v>743</v>
      </c>
      <c r="C48" s="1" t="s">
        <v>213</v>
      </c>
      <c r="D48" s="1" t="s">
        <v>179</v>
      </c>
      <c r="E48" s="1" t="s">
        <v>77</v>
      </c>
      <c r="H48" s="1" t="s">
        <v>76</v>
      </c>
      <c r="I48" s="1" t="s">
        <v>214</v>
      </c>
      <c r="J48" s="1" t="s">
        <v>79</v>
      </c>
      <c r="K48" s="1" t="s">
        <v>745</v>
      </c>
      <c r="L48" s="1">
        <v>9243447</v>
      </c>
      <c r="M48" s="1">
        <v>0</v>
      </c>
      <c r="N48" s="1">
        <v>0</v>
      </c>
      <c r="O48" s="1">
        <v>0</v>
      </c>
      <c r="P48" s="1" t="s">
        <v>915</v>
      </c>
      <c r="V48" s="1" t="s">
        <v>916</v>
      </c>
      <c r="W48" s="1" t="s">
        <v>917</v>
      </c>
    </row>
    <row r="49" spans="1:23" x14ac:dyDescent="0.35">
      <c r="A49" s="1" t="s">
        <v>215</v>
      </c>
      <c r="B49" s="1" t="s">
        <v>743</v>
      </c>
      <c r="C49" s="1" t="s">
        <v>216</v>
      </c>
      <c r="D49" s="1" t="s">
        <v>116</v>
      </c>
      <c r="E49" s="1" t="s">
        <v>77</v>
      </c>
      <c r="H49" s="1" t="s">
        <v>76</v>
      </c>
      <c r="I49" s="1" t="s">
        <v>217</v>
      </c>
      <c r="J49" s="1" t="s">
        <v>79</v>
      </c>
      <c r="K49" s="1" t="s">
        <v>745</v>
      </c>
      <c r="L49" s="1">
        <v>9243447</v>
      </c>
      <c r="M49" s="1">
        <v>0</v>
      </c>
      <c r="N49" s="1">
        <v>0</v>
      </c>
      <c r="O49" s="1">
        <v>0</v>
      </c>
      <c r="P49" s="1" t="s">
        <v>915</v>
      </c>
      <c r="V49" s="1" t="s">
        <v>916</v>
      </c>
      <c r="W49" s="1" t="s">
        <v>917</v>
      </c>
    </row>
    <row r="50" spans="1:23" x14ac:dyDescent="0.35">
      <c r="A50" s="1" t="s">
        <v>218</v>
      </c>
      <c r="B50" s="1" t="s">
        <v>743</v>
      </c>
      <c r="C50" s="1" t="s">
        <v>219</v>
      </c>
      <c r="D50" s="1" t="s">
        <v>116</v>
      </c>
      <c r="E50" s="1" t="s">
        <v>77</v>
      </c>
      <c r="H50" s="1" t="s">
        <v>76</v>
      </c>
      <c r="I50" s="1" t="s">
        <v>220</v>
      </c>
      <c r="J50" s="1" t="s">
        <v>79</v>
      </c>
      <c r="K50" s="1" t="s">
        <v>745</v>
      </c>
      <c r="L50" s="1">
        <v>9243447</v>
      </c>
      <c r="M50" s="1">
        <v>0</v>
      </c>
      <c r="N50" s="1">
        <v>0</v>
      </c>
      <c r="O50" s="1">
        <v>0</v>
      </c>
      <c r="P50" s="1" t="s">
        <v>915</v>
      </c>
      <c r="V50" s="1" t="s">
        <v>916</v>
      </c>
      <c r="W50" s="1" t="s">
        <v>917</v>
      </c>
    </row>
    <row r="51" spans="1:23" x14ac:dyDescent="0.35">
      <c r="A51" s="1" t="s">
        <v>221</v>
      </c>
      <c r="B51" s="1" t="s">
        <v>743</v>
      </c>
      <c r="C51" s="1" t="s">
        <v>222</v>
      </c>
      <c r="D51" s="1" t="s">
        <v>116</v>
      </c>
      <c r="E51" s="1" t="s">
        <v>77</v>
      </c>
      <c r="H51" s="1" t="s">
        <v>76</v>
      </c>
      <c r="I51" s="1" t="s">
        <v>223</v>
      </c>
      <c r="J51" s="1" t="s">
        <v>79</v>
      </c>
      <c r="K51" s="1" t="s">
        <v>745</v>
      </c>
      <c r="L51" s="1">
        <v>9243447</v>
      </c>
      <c r="M51" s="1">
        <v>0</v>
      </c>
      <c r="N51" s="1">
        <v>0</v>
      </c>
      <c r="O51" s="1">
        <v>0</v>
      </c>
      <c r="P51" s="1" t="s">
        <v>915</v>
      </c>
      <c r="V51" s="1" t="s">
        <v>916</v>
      </c>
      <c r="W51" s="1" t="s">
        <v>917</v>
      </c>
    </row>
    <row r="52" spans="1:23" x14ac:dyDescent="0.35">
      <c r="A52" s="1" t="s">
        <v>224</v>
      </c>
      <c r="B52" s="1" t="s">
        <v>743</v>
      </c>
      <c r="C52" s="1" t="s">
        <v>225</v>
      </c>
      <c r="D52" s="1" t="s">
        <v>116</v>
      </c>
      <c r="E52" s="1" t="s">
        <v>77</v>
      </c>
      <c r="H52" s="1" t="s">
        <v>76</v>
      </c>
      <c r="I52" s="1" t="s">
        <v>226</v>
      </c>
      <c r="J52" s="1" t="s">
        <v>79</v>
      </c>
      <c r="K52" s="1" t="s">
        <v>745</v>
      </c>
      <c r="L52" s="1">
        <v>9243447</v>
      </c>
      <c r="M52" s="1">
        <v>0</v>
      </c>
      <c r="N52" s="1">
        <v>0</v>
      </c>
      <c r="O52" s="1">
        <v>0</v>
      </c>
      <c r="P52" s="1" t="s">
        <v>915</v>
      </c>
      <c r="V52" s="1" t="s">
        <v>916</v>
      </c>
      <c r="W52" s="1" t="s">
        <v>917</v>
      </c>
    </row>
    <row r="53" spans="1:23" x14ac:dyDescent="0.35">
      <c r="A53" s="1" t="s">
        <v>227</v>
      </c>
      <c r="B53" s="1" t="s">
        <v>743</v>
      </c>
      <c r="C53" s="1" t="s">
        <v>228</v>
      </c>
      <c r="D53" s="1" t="s">
        <v>116</v>
      </c>
      <c r="E53" s="1" t="s">
        <v>77</v>
      </c>
      <c r="H53" s="1" t="s">
        <v>76</v>
      </c>
      <c r="I53" s="1" t="s">
        <v>229</v>
      </c>
      <c r="J53" s="1" t="s">
        <v>79</v>
      </c>
      <c r="K53" s="1" t="s">
        <v>745</v>
      </c>
      <c r="L53" s="1">
        <v>9243447</v>
      </c>
      <c r="M53" s="1">
        <v>2</v>
      </c>
      <c r="N53" s="1">
        <v>2</v>
      </c>
      <c r="O53" s="1">
        <v>0</v>
      </c>
      <c r="P53" s="1" t="s">
        <v>915</v>
      </c>
      <c r="T53" s="2">
        <v>79618</v>
      </c>
      <c r="V53" s="1" t="s">
        <v>917</v>
      </c>
      <c r="W53" s="1" t="s">
        <v>917</v>
      </c>
    </row>
    <row r="54" spans="1:23" x14ac:dyDescent="0.35">
      <c r="A54" s="1" t="s">
        <v>231</v>
      </c>
      <c r="B54" s="1" t="s">
        <v>743</v>
      </c>
      <c r="C54" s="1" t="s">
        <v>232</v>
      </c>
      <c r="D54" s="1" t="s">
        <v>159</v>
      </c>
      <c r="E54" s="1" t="s">
        <v>77</v>
      </c>
      <c r="H54" s="1" t="s">
        <v>76</v>
      </c>
      <c r="I54" s="1" t="s">
        <v>233</v>
      </c>
      <c r="J54" s="1" t="s">
        <v>79</v>
      </c>
      <c r="K54" s="1" t="s">
        <v>745</v>
      </c>
      <c r="L54" s="1">
        <v>9243447</v>
      </c>
      <c r="M54" s="1">
        <v>0</v>
      </c>
      <c r="N54" s="1">
        <v>0</v>
      </c>
      <c r="O54" s="1">
        <v>0</v>
      </c>
      <c r="P54" s="1" t="s">
        <v>915</v>
      </c>
      <c r="V54" s="1" t="s">
        <v>916</v>
      </c>
      <c r="W54" s="1" t="s">
        <v>917</v>
      </c>
    </row>
    <row r="55" spans="1:23" x14ac:dyDescent="0.35">
      <c r="A55" s="1" t="s">
        <v>234</v>
      </c>
      <c r="B55" s="1" t="s">
        <v>743</v>
      </c>
      <c r="C55" s="1" t="s">
        <v>235</v>
      </c>
      <c r="D55" s="1" t="s">
        <v>159</v>
      </c>
      <c r="E55" s="1" t="s">
        <v>77</v>
      </c>
      <c r="H55" s="1" t="s">
        <v>76</v>
      </c>
      <c r="I55" s="1" t="s">
        <v>236</v>
      </c>
      <c r="J55" s="1" t="s">
        <v>79</v>
      </c>
      <c r="K55" s="1" t="s">
        <v>745</v>
      </c>
      <c r="L55" s="1">
        <v>9243447</v>
      </c>
      <c r="M55" s="1">
        <v>0</v>
      </c>
      <c r="N55" s="1">
        <v>0</v>
      </c>
      <c r="O55" s="1">
        <v>0</v>
      </c>
      <c r="P55" s="1" t="s">
        <v>915</v>
      </c>
      <c r="V55" s="1" t="s">
        <v>916</v>
      </c>
      <c r="W55" s="1" t="s">
        <v>917</v>
      </c>
    </row>
    <row r="56" spans="1:23" x14ac:dyDescent="0.35">
      <c r="A56" s="1" t="s">
        <v>237</v>
      </c>
      <c r="B56" s="1" t="s">
        <v>743</v>
      </c>
      <c r="C56" s="1" t="s">
        <v>238</v>
      </c>
      <c r="D56" s="1" t="s">
        <v>116</v>
      </c>
      <c r="E56" s="1" t="s">
        <v>77</v>
      </c>
      <c r="H56" s="1" t="s">
        <v>76</v>
      </c>
      <c r="I56" s="1" t="s">
        <v>239</v>
      </c>
      <c r="J56" s="1" t="s">
        <v>79</v>
      </c>
      <c r="K56" s="1" t="s">
        <v>745</v>
      </c>
      <c r="L56" s="1">
        <v>9243447</v>
      </c>
      <c r="M56" s="1">
        <v>0</v>
      </c>
      <c r="N56" s="1">
        <v>0</v>
      </c>
      <c r="O56" s="1">
        <v>0</v>
      </c>
      <c r="P56" s="1" t="s">
        <v>915</v>
      </c>
      <c r="V56" s="1" t="s">
        <v>916</v>
      </c>
      <c r="W56" s="1" t="s">
        <v>917</v>
      </c>
    </row>
    <row r="57" spans="1:23" x14ac:dyDescent="0.35">
      <c r="A57" s="1" t="s">
        <v>240</v>
      </c>
      <c r="B57" s="1" t="s">
        <v>743</v>
      </c>
      <c r="C57" s="1" t="s">
        <v>241</v>
      </c>
      <c r="D57" s="1" t="s">
        <v>159</v>
      </c>
      <c r="E57" s="1" t="s">
        <v>77</v>
      </c>
      <c r="H57" s="1" t="s">
        <v>76</v>
      </c>
      <c r="I57" s="1" t="s">
        <v>242</v>
      </c>
      <c r="J57" s="1" t="s">
        <v>79</v>
      </c>
      <c r="K57" s="1" t="s">
        <v>745</v>
      </c>
      <c r="L57" s="1">
        <v>9243447</v>
      </c>
      <c r="M57" s="1">
        <v>0</v>
      </c>
      <c r="N57" s="1">
        <v>0</v>
      </c>
      <c r="O57" s="1">
        <v>0</v>
      </c>
      <c r="P57" s="1" t="s">
        <v>915</v>
      </c>
      <c r="V57" s="1" t="s">
        <v>916</v>
      </c>
      <c r="W57" s="1" t="s">
        <v>917</v>
      </c>
    </row>
    <row r="58" spans="1:23" x14ac:dyDescent="0.35">
      <c r="A58" s="1" t="s">
        <v>243</v>
      </c>
      <c r="B58" s="1" t="s">
        <v>743</v>
      </c>
      <c r="C58" s="1" t="s">
        <v>244</v>
      </c>
      <c r="D58" s="1" t="s">
        <v>116</v>
      </c>
      <c r="E58" s="1" t="s">
        <v>77</v>
      </c>
      <c r="H58" s="1" t="s">
        <v>76</v>
      </c>
      <c r="I58" s="1" t="s">
        <v>245</v>
      </c>
      <c r="J58" s="1" t="s">
        <v>79</v>
      </c>
      <c r="K58" s="1" t="s">
        <v>745</v>
      </c>
      <c r="L58" s="1">
        <v>9243447</v>
      </c>
      <c r="M58" s="1">
        <v>0</v>
      </c>
      <c r="N58" s="1">
        <v>0</v>
      </c>
      <c r="O58" s="1">
        <v>0</v>
      </c>
      <c r="P58" s="1" t="s">
        <v>915</v>
      </c>
      <c r="V58" s="1" t="s">
        <v>916</v>
      </c>
      <c r="W58" s="1" t="s">
        <v>917</v>
      </c>
    </row>
    <row r="59" spans="1:23" x14ac:dyDescent="0.35">
      <c r="A59" s="1" t="s">
        <v>246</v>
      </c>
      <c r="B59" s="1" t="s">
        <v>743</v>
      </c>
      <c r="C59" s="1" t="s">
        <v>247</v>
      </c>
      <c r="D59" s="1" t="s">
        <v>179</v>
      </c>
      <c r="E59" s="1" t="s">
        <v>77</v>
      </c>
      <c r="H59" s="1" t="s">
        <v>76</v>
      </c>
      <c r="I59" s="1" t="s">
        <v>248</v>
      </c>
      <c r="J59" s="1" t="s">
        <v>79</v>
      </c>
      <c r="K59" s="1" t="s">
        <v>745</v>
      </c>
      <c r="L59" s="1">
        <v>9243447</v>
      </c>
      <c r="M59" s="1">
        <v>1</v>
      </c>
      <c r="N59" s="1">
        <v>1</v>
      </c>
      <c r="O59" s="1">
        <v>1</v>
      </c>
      <c r="P59" s="1" t="s">
        <v>357</v>
      </c>
      <c r="Q59" s="2">
        <v>44800</v>
      </c>
      <c r="R59" s="1" t="s">
        <v>516</v>
      </c>
      <c r="T59" s="2">
        <v>44800</v>
      </c>
      <c r="V59" s="1" t="s">
        <v>917</v>
      </c>
      <c r="W59" s="1" t="s">
        <v>917</v>
      </c>
    </row>
    <row r="60" spans="1:23" x14ac:dyDescent="0.35">
      <c r="A60" s="1" t="s">
        <v>250</v>
      </c>
      <c r="B60" s="1" t="s">
        <v>743</v>
      </c>
      <c r="C60" s="1" t="s">
        <v>251</v>
      </c>
      <c r="D60" s="1" t="s">
        <v>179</v>
      </c>
      <c r="E60" s="1" t="s">
        <v>77</v>
      </c>
      <c r="H60" s="1" t="s">
        <v>76</v>
      </c>
      <c r="I60" s="1" t="s">
        <v>252</v>
      </c>
      <c r="J60" s="1" t="s">
        <v>79</v>
      </c>
      <c r="K60" s="1" t="s">
        <v>745</v>
      </c>
      <c r="L60" s="1">
        <v>9243447</v>
      </c>
      <c r="M60" s="1">
        <v>0</v>
      </c>
      <c r="N60" s="1">
        <v>0</v>
      </c>
      <c r="O60" s="1">
        <v>0</v>
      </c>
      <c r="P60" s="1" t="s">
        <v>915</v>
      </c>
      <c r="V60" s="1" t="s">
        <v>916</v>
      </c>
      <c r="W60" s="1" t="s">
        <v>917</v>
      </c>
    </row>
    <row r="61" spans="1:23" x14ac:dyDescent="0.35">
      <c r="A61" s="1" t="s">
        <v>253</v>
      </c>
      <c r="B61" s="1" t="s">
        <v>743</v>
      </c>
      <c r="C61" s="1" t="s">
        <v>254</v>
      </c>
      <c r="D61" s="1" t="s">
        <v>179</v>
      </c>
      <c r="E61" s="1" t="s">
        <v>77</v>
      </c>
      <c r="H61" s="1" t="s">
        <v>76</v>
      </c>
      <c r="I61" s="1" t="s">
        <v>255</v>
      </c>
      <c r="J61" s="1" t="s">
        <v>79</v>
      </c>
      <c r="K61" s="1" t="s">
        <v>745</v>
      </c>
      <c r="L61" s="1">
        <v>9243447</v>
      </c>
      <c r="M61" s="1">
        <v>0</v>
      </c>
      <c r="N61" s="1">
        <v>0</v>
      </c>
      <c r="O61" s="1">
        <v>0</v>
      </c>
      <c r="P61" s="1" t="s">
        <v>915</v>
      </c>
      <c r="V61" s="1" t="s">
        <v>916</v>
      </c>
      <c r="W61" s="1" t="s">
        <v>917</v>
      </c>
    </row>
    <row r="62" spans="1:23" x14ac:dyDescent="0.35">
      <c r="A62" s="1" t="s">
        <v>256</v>
      </c>
      <c r="B62" s="1" t="s">
        <v>743</v>
      </c>
      <c r="C62" s="1" t="s">
        <v>257</v>
      </c>
      <c r="D62" s="1" t="s">
        <v>179</v>
      </c>
      <c r="E62" s="1" t="s">
        <v>77</v>
      </c>
      <c r="H62" s="1" t="s">
        <v>76</v>
      </c>
      <c r="I62" s="1" t="s">
        <v>258</v>
      </c>
      <c r="J62" s="1" t="s">
        <v>79</v>
      </c>
      <c r="K62" s="1" t="s">
        <v>745</v>
      </c>
      <c r="L62" s="1">
        <v>9243447</v>
      </c>
      <c r="M62" s="1">
        <v>0</v>
      </c>
      <c r="N62" s="1">
        <v>0</v>
      </c>
      <c r="O62" s="1">
        <v>0</v>
      </c>
      <c r="P62" s="1" t="s">
        <v>915</v>
      </c>
      <c r="V62" s="1" t="s">
        <v>916</v>
      </c>
      <c r="W62" s="1" t="s">
        <v>917</v>
      </c>
    </row>
    <row r="63" spans="1:23" x14ac:dyDescent="0.35">
      <c r="A63" s="1" t="s">
        <v>259</v>
      </c>
      <c r="B63" s="1" t="s">
        <v>743</v>
      </c>
      <c r="C63" s="1" t="s">
        <v>260</v>
      </c>
      <c r="D63" s="1" t="s">
        <v>179</v>
      </c>
      <c r="E63" s="1" t="s">
        <v>77</v>
      </c>
      <c r="H63" s="1" t="s">
        <v>76</v>
      </c>
      <c r="I63" s="1" t="s">
        <v>261</v>
      </c>
      <c r="J63" s="1" t="s">
        <v>79</v>
      </c>
      <c r="K63" s="1" t="s">
        <v>745</v>
      </c>
      <c r="L63" s="1">
        <v>9243447</v>
      </c>
      <c r="M63" s="1">
        <v>0</v>
      </c>
      <c r="N63" s="1">
        <v>0</v>
      </c>
      <c r="O63" s="1">
        <v>0</v>
      </c>
      <c r="P63" s="1" t="s">
        <v>915</v>
      </c>
      <c r="V63" s="1" t="s">
        <v>916</v>
      </c>
      <c r="W63" s="1" t="s">
        <v>917</v>
      </c>
    </row>
    <row r="64" spans="1:23" x14ac:dyDescent="0.35">
      <c r="A64" s="1" t="s">
        <v>262</v>
      </c>
      <c r="B64" s="1" t="s">
        <v>743</v>
      </c>
      <c r="C64" s="1" t="s">
        <v>263</v>
      </c>
      <c r="D64" s="1" t="s">
        <v>179</v>
      </c>
      <c r="E64" s="1" t="s">
        <v>77</v>
      </c>
      <c r="H64" s="1" t="s">
        <v>76</v>
      </c>
      <c r="I64" s="1" t="s">
        <v>264</v>
      </c>
      <c r="J64" s="1" t="s">
        <v>79</v>
      </c>
      <c r="K64" s="1" t="s">
        <v>745</v>
      </c>
      <c r="L64" s="1">
        <v>9243447</v>
      </c>
      <c r="M64" s="1">
        <v>0</v>
      </c>
      <c r="N64" s="1">
        <v>0</v>
      </c>
      <c r="O64" s="1">
        <v>0</v>
      </c>
      <c r="P64" s="1" t="s">
        <v>915</v>
      </c>
      <c r="V64" s="1" t="s">
        <v>916</v>
      </c>
      <c r="W64" s="1" t="s">
        <v>917</v>
      </c>
    </row>
    <row r="65" spans="1:23" x14ac:dyDescent="0.35">
      <c r="A65" s="1" t="s">
        <v>265</v>
      </c>
      <c r="B65" s="1" t="s">
        <v>743</v>
      </c>
      <c r="C65" s="1" t="s">
        <v>266</v>
      </c>
      <c r="D65" s="1" t="s">
        <v>179</v>
      </c>
      <c r="E65" s="1" t="s">
        <v>77</v>
      </c>
      <c r="H65" s="1" t="s">
        <v>76</v>
      </c>
      <c r="I65" s="1" t="s">
        <v>267</v>
      </c>
      <c r="J65" s="1" t="s">
        <v>79</v>
      </c>
      <c r="K65" s="1" t="s">
        <v>745</v>
      </c>
      <c r="L65" s="1">
        <v>9243447</v>
      </c>
      <c r="M65" s="1">
        <v>1</v>
      </c>
      <c r="N65" s="1">
        <v>0</v>
      </c>
      <c r="O65" s="1">
        <v>0</v>
      </c>
      <c r="P65" s="1" t="s">
        <v>915</v>
      </c>
      <c r="V65" s="1" t="s">
        <v>917</v>
      </c>
      <c r="W65" s="1" t="s">
        <v>917</v>
      </c>
    </row>
    <row r="66" spans="1:23" x14ac:dyDescent="0.35">
      <c r="A66" s="1" t="s">
        <v>269</v>
      </c>
      <c r="B66" s="1" t="s">
        <v>743</v>
      </c>
      <c r="C66" s="1" t="s">
        <v>270</v>
      </c>
      <c r="D66" s="1" t="s">
        <v>179</v>
      </c>
      <c r="E66" s="1" t="s">
        <v>77</v>
      </c>
      <c r="H66" s="1" t="s">
        <v>76</v>
      </c>
      <c r="I66" s="1" t="s">
        <v>271</v>
      </c>
      <c r="J66" s="1" t="s">
        <v>79</v>
      </c>
      <c r="K66" s="1" t="s">
        <v>745</v>
      </c>
      <c r="L66" s="1">
        <v>9243447</v>
      </c>
      <c r="M66" s="1">
        <v>2</v>
      </c>
      <c r="N66" s="1">
        <v>2</v>
      </c>
      <c r="O66" s="1">
        <v>0</v>
      </c>
      <c r="P66" s="1" t="s">
        <v>915</v>
      </c>
      <c r="T66" s="2">
        <v>5970</v>
      </c>
      <c r="V66" s="1" t="s">
        <v>917</v>
      </c>
      <c r="W66" s="1" t="s">
        <v>917</v>
      </c>
    </row>
    <row r="67" spans="1:23" x14ac:dyDescent="0.35">
      <c r="A67" s="1" t="s">
        <v>273</v>
      </c>
      <c r="B67" s="1" t="s">
        <v>743</v>
      </c>
      <c r="C67" s="1" t="s">
        <v>274</v>
      </c>
      <c r="D67" s="1" t="s">
        <v>179</v>
      </c>
      <c r="E67" s="1" t="s">
        <v>77</v>
      </c>
      <c r="H67" s="1" t="s">
        <v>76</v>
      </c>
      <c r="I67" s="1" t="s">
        <v>275</v>
      </c>
      <c r="J67" s="1" t="s">
        <v>79</v>
      </c>
      <c r="K67" s="1" t="s">
        <v>745</v>
      </c>
      <c r="L67" s="1">
        <v>9243447</v>
      </c>
      <c r="M67" s="1">
        <v>0</v>
      </c>
      <c r="N67" s="1">
        <v>0</v>
      </c>
      <c r="O67" s="1">
        <v>0</v>
      </c>
      <c r="P67" s="1" t="s">
        <v>915</v>
      </c>
      <c r="V67" s="1" t="s">
        <v>916</v>
      </c>
      <c r="W67" s="1" t="s">
        <v>917</v>
      </c>
    </row>
    <row r="68" spans="1:23" x14ac:dyDescent="0.35">
      <c r="A68" s="1" t="s">
        <v>276</v>
      </c>
      <c r="B68" s="1" t="s">
        <v>743</v>
      </c>
      <c r="C68" s="1" t="s">
        <v>277</v>
      </c>
      <c r="D68" s="1" t="s">
        <v>179</v>
      </c>
      <c r="E68" s="1" t="s">
        <v>77</v>
      </c>
      <c r="H68" s="1" t="s">
        <v>76</v>
      </c>
      <c r="I68" s="1" t="s">
        <v>278</v>
      </c>
      <c r="J68" s="1" t="s">
        <v>79</v>
      </c>
      <c r="K68" s="1" t="s">
        <v>745</v>
      </c>
      <c r="L68" s="1">
        <v>9243447</v>
      </c>
      <c r="M68" s="1">
        <v>0</v>
      </c>
      <c r="N68" s="1">
        <v>0</v>
      </c>
      <c r="O68" s="1">
        <v>0</v>
      </c>
      <c r="P68" s="1" t="s">
        <v>915</v>
      </c>
      <c r="V68" s="1" t="s">
        <v>916</v>
      </c>
      <c r="W68" s="1" t="s">
        <v>917</v>
      </c>
    </row>
    <row r="69" spans="1:23" x14ac:dyDescent="0.35">
      <c r="A69" s="1" t="s">
        <v>279</v>
      </c>
      <c r="B69" s="1" t="s">
        <v>743</v>
      </c>
      <c r="C69" s="1" t="s">
        <v>280</v>
      </c>
      <c r="D69" s="1" t="s">
        <v>179</v>
      </c>
      <c r="E69" s="1" t="s">
        <v>77</v>
      </c>
      <c r="H69" s="1" t="s">
        <v>76</v>
      </c>
      <c r="I69" s="1" t="s">
        <v>281</v>
      </c>
      <c r="J69" s="1" t="s">
        <v>79</v>
      </c>
      <c r="K69" s="1" t="s">
        <v>745</v>
      </c>
      <c r="L69" s="1">
        <v>9243447</v>
      </c>
      <c r="M69" s="1">
        <v>0</v>
      </c>
      <c r="N69" s="1">
        <v>0</v>
      </c>
      <c r="O69" s="1">
        <v>0</v>
      </c>
      <c r="P69" s="1" t="s">
        <v>915</v>
      </c>
      <c r="V69" s="1" t="s">
        <v>916</v>
      </c>
      <c r="W69" s="1" t="s">
        <v>917</v>
      </c>
    </row>
    <row r="70" spans="1:23" x14ac:dyDescent="0.35">
      <c r="A70" s="1" t="s">
        <v>282</v>
      </c>
      <c r="B70" s="1" t="s">
        <v>743</v>
      </c>
      <c r="C70" s="1" t="s">
        <v>283</v>
      </c>
      <c r="D70" s="1" t="s">
        <v>179</v>
      </c>
      <c r="E70" s="1" t="s">
        <v>77</v>
      </c>
      <c r="H70" s="1" t="s">
        <v>76</v>
      </c>
      <c r="I70" s="1" t="s">
        <v>284</v>
      </c>
      <c r="J70" s="1" t="s">
        <v>79</v>
      </c>
      <c r="K70" s="1" t="s">
        <v>745</v>
      </c>
      <c r="L70" s="1">
        <v>9243447</v>
      </c>
      <c r="M70" s="1">
        <v>0</v>
      </c>
      <c r="N70" s="1">
        <v>0</v>
      </c>
      <c r="O70" s="1">
        <v>0</v>
      </c>
      <c r="P70" s="1" t="s">
        <v>915</v>
      </c>
      <c r="V70" s="1" t="s">
        <v>916</v>
      </c>
      <c r="W70" s="1" t="s">
        <v>917</v>
      </c>
    </row>
    <row r="71" spans="1:23" x14ac:dyDescent="0.35">
      <c r="A71" s="1" t="s">
        <v>285</v>
      </c>
      <c r="B71" s="1" t="s">
        <v>743</v>
      </c>
      <c r="C71" s="1" t="s">
        <v>286</v>
      </c>
      <c r="D71" s="1" t="s">
        <v>179</v>
      </c>
      <c r="E71" s="1" t="s">
        <v>77</v>
      </c>
      <c r="H71" s="1" t="s">
        <v>76</v>
      </c>
      <c r="I71" s="1" t="s">
        <v>287</v>
      </c>
      <c r="J71" s="1" t="s">
        <v>79</v>
      </c>
      <c r="K71" s="1" t="s">
        <v>745</v>
      </c>
      <c r="L71" s="1">
        <v>9243447</v>
      </c>
      <c r="M71" s="1">
        <v>0</v>
      </c>
      <c r="N71" s="1">
        <v>0</v>
      </c>
      <c r="O71" s="1">
        <v>0</v>
      </c>
      <c r="P71" s="1" t="s">
        <v>915</v>
      </c>
      <c r="V71" s="1" t="s">
        <v>916</v>
      </c>
      <c r="W71" s="1" t="s">
        <v>917</v>
      </c>
    </row>
    <row r="72" spans="1:23" x14ac:dyDescent="0.35">
      <c r="A72" s="1" t="s">
        <v>288</v>
      </c>
      <c r="B72" s="1" t="s">
        <v>743</v>
      </c>
      <c r="C72" s="1" t="s">
        <v>289</v>
      </c>
      <c r="D72" s="1" t="s">
        <v>179</v>
      </c>
      <c r="E72" s="1" t="s">
        <v>77</v>
      </c>
      <c r="H72" s="1" t="s">
        <v>76</v>
      </c>
      <c r="I72" s="1" t="s">
        <v>290</v>
      </c>
      <c r="J72" s="1" t="s">
        <v>79</v>
      </c>
      <c r="K72" s="1" t="s">
        <v>745</v>
      </c>
      <c r="L72" s="1">
        <v>9243447</v>
      </c>
      <c r="M72" s="1">
        <v>0</v>
      </c>
      <c r="N72" s="1">
        <v>0</v>
      </c>
      <c r="O72" s="1">
        <v>0</v>
      </c>
      <c r="P72" s="1" t="s">
        <v>915</v>
      </c>
      <c r="V72" s="1" t="s">
        <v>916</v>
      </c>
      <c r="W72" s="1" t="s">
        <v>917</v>
      </c>
    </row>
    <row r="73" spans="1:23" x14ac:dyDescent="0.35">
      <c r="A73" s="1" t="s">
        <v>291</v>
      </c>
      <c r="B73" s="1" t="s">
        <v>743</v>
      </c>
      <c r="C73" s="1" t="s">
        <v>292</v>
      </c>
      <c r="D73" s="1" t="s">
        <v>179</v>
      </c>
      <c r="E73" s="1" t="s">
        <v>77</v>
      </c>
      <c r="H73" s="1" t="s">
        <v>76</v>
      </c>
      <c r="I73" s="1" t="s">
        <v>293</v>
      </c>
      <c r="J73" s="1" t="s">
        <v>79</v>
      </c>
      <c r="K73" s="1" t="s">
        <v>745</v>
      </c>
      <c r="L73" s="1">
        <v>9243447</v>
      </c>
      <c r="M73" s="1">
        <v>0</v>
      </c>
      <c r="N73" s="1">
        <v>0</v>
      </c>
      <c r="O73" s="1">
        <v>0</v>
      </c>
      <c r="P73" s="1" t="s">
        <v>915</v>
      </c>
      <c r="V73" s="1" t="s">
        <v>916</v>
      </c>
      <c r="W73" s="1" t="s">
        <v>917</v>
      </c>
    </row>
    <row r="74" spans="1:23" x14ac:dyDescent="0.35">
      <c r="A74" s="1" t="s">
        <v>294</v>
      </c>
      <c r="B74" s="1" t="s">
        <v>743</v>
      </c>
      <c r="C74" s="1" t="s">
        <v>295</v>
      </c>
      <c r="D74" s="1" t="s">
        <v>179</v>
      </c>
      <c r="E74" s="1" t="s">
        <v>77</v>
      </c>
      <c r="H74" s="1" t="s">
        <v>76</v>
      </c>
      <c r="I74" s="1" t="s">
        <v>296</v>
      </c>
      <c r="J74" s="1" t="s">
        <v>79</v>
      </c>
      <c r="K74" s="1" t="s">
        <v>745</v>
      </c>
      <c r="L74" s="1">
        <v>9243447</v>
      </c>
      <c r="M74" s="1">
        <v>0</v>
      </c>
      <c r="N74" s="1">
        <v>0</v>
      </c>
      <c r="O74" s="1">
        <v>0</v>
      </c>
      <c r="P74" s="1" t="s">
        <v>915</v>
      </c>
      <c r="V74" s="1" t="s">
        <v>916</v>
      </c>
      <c r="W74" s="1" t="s">
        <v>917</v>
      </c>
    </row>
    <row r="75" spans="1:23" x14ac:dyDescent="0.35">
      <c r="A75" s="1" t="s">
        <v>297</v>
      </c>
      <c r="B75" s="1" t="s">
        <v>743</v>
      </c>
      <c r="C75" s="1" t="s">
        <v>298</v>
      </c>
      <c r="D75" s="1" t="s">
        <v>179</v>
      </c>
      <c r="E75" s="1" t="s">
        <v>77</v>
      </c>
      <c r="H75" s="1" t="s">
        <v>76</v>
      </c>
      <c r="I75" s="1" t="s">
        <v>299</v>
      </c>
      <c r="J75" s="1" t="s">
        <v>79</v>
      </c>
      <c r="K75" s="1" t="s">
        <v>745</v>
      </c>
      <c r="L75" s="1">
        <v>9243447</v>
      </c>
      <c r="M75" s="1">
        <v>0</v>
      </c>
      <c r="N75" s="1">
        <v>0</v>
      </c>
      <c r="O75" s="1">
        <v>0</v>
      </c>
      <c r="P75" s="1" t="s">
        <v>915</v>
      </c>
      <c r="V75" s="1" t="s">
        <v>916</v>
      </c>
      <c r="W75" s="1" t="s">
        <v>917</v>
      </c>
    </row>
    <row r="76" spans="1:23" x14ac:dyDescent="0.35">
      <c r="A76" s="1" t="s">
        <v>300</v>
      </c>
      <c r="B76" s="1" t="s">
        <v>743</v>
      </c>
      <c r="C76" s="1" t="s">
        <v>301</v>
      </c>
      <c r="D76" s="1" t="s">
        <v>179</v>
      </c>
      <c r="E76" s="1" t="s">
        <v>77</v>
      </c>
      <c r="H76" s="1" t="s">
        <v>76</v>
      </c>
      <c r="I76" s="1" t="s">
        <v>302</v>
      </c>
      <c r="J76" s="1" t="s">
        <v>79</v>
      </c>
      <c r="K76" s="1" t="s">
        <v>745</v>
      </c>
      <c r="L76" s="1">
        <v>9243447</v>
      </c>
      <c r="M76" s="1">
        <v>0</v>
      </c>
      <c r="N76" s="1">
        <v>0</v>
      </c>
      <c r="O76" s="1">
        <v>0</v>
      </c>
      <c r="P76" s="1" t="s">
        <v>915</v>
      </c>
      <c r="V76" s="1" t="s">
        <v>916</v>
      </c>
      <c r="W76" s="1" t="s">
        <v>917</v>
      </c>
    </row>
    <row r="77" spans="1:23" x14ac:dyDescent="0.35">
      <c r="A77" s="1" t="s">
        <v>303</v>
      </c>
      <c r="B77" s="1" t="s">
        <v>743</v>
      </c>
      <c r="C77" s="1" t="s">
        <v>304</v>
      </c>
      <c r="D77" s="1" t="s">
        <v>179</v>
      </c>
      <c r="E77" s="1" t="s">
        <v>77</v>
      </c>
      <c r="H77" s="1" t="s">
        <v>76</v>
      </c>
      <c r="I77" s="1" t="s">
        <v>305</v>
      </c>
      <c r="J77" s="1" t="s">
        <v>79</v>
      </c>
      <c r="K77" s="1" t="s">
        <v>745</v>
      </c>
      <c r="L77" s="1">
        <v>9243447</v>
      </c>
      <c r="M77" s="1">
        <v>0</v>
      </c>
      <c r="N77" s="1">
        <v>0</v>
      </c>
      <c r="O77" s="1">
        <v>0</v>
      </c>
      <c r="P77" s="1" t="s">
        <v>915</v>
      </c>
      <c r="V77" s="1" t="s">
        <v>916</v>
      </c>
      <c r="W77" s="1" t="s">
        <v>917</v>
      </c>
    </row>
    <row r="78" spans="1:23" x14ac:dyDescent="0.35">
      <c r="A78" s="1" t="s">
        <v>306</v>
      </c>
      <c r="B78" s="1" t="s">
        <v>743</v>
      </c>
      <c r="C78" s="1" t="s">
        <v>307</v>
      </c>
      <c r="D78" s="1" t="s">
        <v>179</v>
      </c>
      <c r="E78" s="1" t="s">
        <v>77</v>
      </c>
      <c r="H78" s="1" t="s">
        <v>76</v>
      </c>
      <c r="I78" s="1" t="s">
        <v>308</v>
      </c>
      <c r="J78" s="1" t="s">
        <v>79</v>
      </c>
      <c r="K78" s="1" t="s">
        <v>745</v>
      </c>
      <c r="L78" s="1">
        <v>9243447</v>
      </c>
      <c r="M78" s="1">
        <v>0</v>
      </c>
      <c r="N78" s="1">
        <v>0</v>
      </c>
      <c r="O78" s="1">
        <v>0</v>
      </c>
      <c r="P78" s="1" t="s">
        <v>915</v>
      </c>
      <c r="V78" s="1" t="s">
        <v>916</v>
      </c>
      <c r="W78" s="1" t="s">
        <v>917</v>
      </c>
    </row>
    <row r="79" spans="1:23" x14ac:dyDescent="0.35">
      <c r="A79" s="1" t="s">
        <v>309</v>
      </c>
      <c r="B79" s="1" t="s">
        <v>743</v>
      </c>
      <c r="C79" s="1" t="s">
        <v>310</v>
      </c>
      <c r="D79" s="1" t="s">
        <v>179</v>
      </c>
      <c r="E79" s="1" t="s">
        <v>77</v>
      </c>
      <c r="H79" s="1" t="s">
        <v>76</v>
      </c>
      <c r="I79" s="1" t="s">
        <v>311</v>
      </c>
      <c r="J79" s="1" t="s">
        <v>79</v>
      </c>
      <c r="K79" s="1" t="s">
        <v>745</v>
      </c>
      <c r="L79" s="1">
        <v>9243447</v>
      </c>
      <c r="M79" s="1">
        <v>0</v>
      </c>
      <c r="N79" s="1">
        <v>0</v>
      </c>
      <c r="O79" s="1">
        <v>0</v>
      </c>
      <c r="P79" s="1" t="s">
        <v>915</v>
      </c>
      <c r="V79" s="1" t="s">
        <v>916</v>
      </c>
      <c r="W79" s="1" t="s">
        <v>917</v>
      </c>
    </row>
    <row r="80" spans="1:23" x14ac:dyDescent="0.35">
      <c r="A80" s="1" t="s">
        <v>312</v>
      </c>
      <c r="B80" s="1" t="s">
        <v>743</v>
      </c>
      <c r="C80" s="1" t="s">
        <v>313</v>
      </c>
      <c r="D80" s="1" t="s">
        <v>179</v>
      </c>
      <c r="E80" s="1" t="s">
        <v>77</v>
      </c>
      <c r="H80" s="1" t="s">
        <v>76</v>
      </c>
      <c r="I80" s="1" t="s">
        <v>314</v>
      </c>
      <c r="J80" s="1" t="s">
        <v>79</v>
      </c>
      <c r="K80" s="1" t="s">
        <v>745</v>
      </c>
      <c r="L80" s="1">
        <v>9243447</v>
      </c>
      <c r="M80" s="1">
        <v>2</v>
      </c>
      <c r="N80" s="1">
        <v>2</v>
      </c>
      <c r="O80" s="1">
        <v>0</v>
      </c>
      <c r="P80" s="1" t="s">
        <v>915</v>
      </c>
      <c r="S80" s="2">
        <v>290637.58</v>
      </c>
      <c r="T80" s="2">
        <v>34420</v>
      </c>
      <c r="V80" s="1" t="s">
        <v>917</v>
      </c>
      <c r="W80" s="1" t="s">
        <v>917</v>
      </c>
    </row>
    <row r="81" spans="1:23" x14ac:dyDescent="0.35">
      <c r="A81" s="1" t="s">
        <v>316</v>
      </c>
      <c r="B81" s="1" t="s">
        <v>743</v>
      </c>
      <c r="C81" s="1" t="s">
        <v>317</v>
      </c>
      <c r="D81" s="1" t="s">
        <v>179</v>
      </c>
      <c r="E81" s="1" t="s">
        <v>77</v>
      </c>
      <c r="H81" s="1" t="s">
        <v>76</v>
      </c>
      <c r="I81" s="1" t="s">
        <v>318</v>
      </c>
      <c r="J81" s="1" t="s">
        <v>79</v>
      </c>
      <c r="K81" s="1" t="s">
        <v>745</v>
      </c>
      <c r="L81" s="1">
        <v>9243447</v>
      </c>
      <c r="M81" s="1">
        <v>1</v>
      </c>
      <c r="N81" s="1">
        <v>1</v>
      </c>
      <c r="O81" s="1">
        <v>0</v>
      </c>
      <c r="P81" s="1" t="s">
        <v>915</v>
      </c>
      <c r="T81" s="2">
        <v>401719.08</v>
      </c>
      <c r="V81" s="1" t="s">
        <v>917</v>
      </c>
      <c r="W81" s="1" t="s">
        <v>917</v>
      </c>
    </row>
    <row r="82" spans="1:23" x14ac:dyDescent="0.35">
      <c r="A82" s="1" t="s">
        <v>320</v>
      </c>
      <c r="B82" s="1" t="s">
        <v>743</v>
      </c>
      <c r="C82" s="1" t="s">
        <v>321</v>
      </c>
      <c r="D82" s="1" t="s">
        <v>179</v>
      </c>
      <c r="E82" s="1" t="s">
        <v>77</v>
      </c>
      <c r="H82" s="1" t="s">
        <v>76</v>
      </c>
      <c r="I82" s="1" t="s">
        <v>322</v>
      </c>
      <c r="J82" s="1" t="s">
        <v>79</v>
      </c>
      <c r="K82" s="1" t="s">
        <v>745</v>
      </c>
      <c r="L82" s="1">
        <v>9243447</v>
      </c>
      <c r="M82" s="1">
        <v>0</v>
      </c>
      <c r="N82" s="1">
        <v>0</v>
      </c>
      <c r="O82" s="1">
        <v>0</v>
      </c>
      <c r="P82" s="1" t="s">
        <v>915</v>
      </c>
      <c r="V82" s="1" t="s">
        <v>916</v>
      </c>
      <c r="W82" s="1" t="s">
        <v>917</v>
      </c>
    </row>
    <row r="83" spans="1:23" x14ac:dyDescent="0.35">
      <c r="A83" s="1" t="s">
        <v>323</v>
      </c>
      <c r="B83" s="1" t="s">
        <v>743</v>
      </c>
      <c r="C83" s="1" t="s">
        <v>324</v>
      </c>
      <c r="D83" s="1" t="s">
        <v>179</v>
      </c>
      <c r="E83" s="1" t="s">
        <v>77</v>
      </c>
      <c r="H83" s="1" t="s">
        <v>76</v>
      </c>
      <c r="I83" s="1" t="s">
        <v>325</v>
      </c>
      <c r="J83" s="1" t="s">
        <v>79</v>
      </c>
      <c r="K83" s="1" t="s">
        <v>745</v>
      </c>
      <c r="L83" s="1">
        <v>9243447</v>
      </c>
      <c r="M83" s="1">
        <v>2</v>
      </c>
      <c r="N83" s="1">
        <v>2</v>
      </c>
      <c r="O83" s="1">
        <v>2</v>
      </c>
      <c r="P83" s="1" t="s">
        <v>918</v>
      </c>
      <c r="V83" s="1" t="s">
        <v>918</v>
      </c>
      <c r="W83" s="1" t="s">
        <v>917</v>
      </c>
    </row>
    <row r="84" spans="1:23" x14ac:dyDescent="0.35">
      <c r="A84" s="1" t="s">
        <v>327</v>
      </c>
      <c r="B84" s="1" t="s">
        <v>743</v>
      </c>
      <c r="C84" s="1" t="s">
        <v>328</v>
      </c>
      <c r="D84" s="1" t="s">
        <v>179</v>
      </c>
      <c r="E84" s="1" t="s">
        <v>77</v>
      </c>
      <c r="H84" s="1" t="s">
        <v>76</v>
      </c>
      <c r="I84" s="1" t="s">
        <v>329</v>
      </c>
      <c r="J84" s="1" t="s">
        <v>79</v>
      </c>
      <c r="K84" s="1" t="s">
        <v>745</v>
      </c>
      <c r="L84" s="1">
        <v>9243447</v>
      </c>
      <c r="M84" s="1">
        <v>1</v>
      </c>
      <c r="N84" s="1">
        <v>1</v>
      </c>
      <c r="O84" s="1">
        <v>0</v>
      </c>
      <c r="P84" s="1" t="s">
        <v>915</v>
      </c>
      <c r="V84" s="1" t="s">
        <v>917</v>
      </c>
      <c r="W84" s="1" t="s">
        <v>917</v>
      </c>
    </row>
    <row r="85" spans="1:23" x14ac:dyDescent="0.35">
      <c r="A85" s="1" t="s">
        <v>331</v>
      </c>
      <c r="B85" s="1" t="s">
        <v>743</v>
      </c>
      <c r="C85" s="1" t="s">
        <v>332</v>
      </c>
      <c r="D85" s="1" t="s">
        <v>179</v>
      </c>
      <c r="E85" s="1" t="s">
        <v>77</v>
      </c>
      <c r="H85" s="1" t="s">
        <v>76</v>
      </c>
      <c r="I85" s="1" t="s">
        <v>333</v>
      </c>
      <c r="J85" s="1" t="s">
        <v>79</v>
      </c>
      <c r="K85" s="1" t="s">
        <v>745</v>
      </c>
      <c r="L85" s="1">
        <v>9243447</v>
      </c>
      <c r="M85" s="1">
        <v>4</v>
      </c>
      <c r="N85" s="1">
        <v>3</v>
      </c>
      <c r="O85" s="1">
        <v>1</v>
      </c>
      <c r="P85" s="1" t="s">
        <v>392</v>
      </c>
      <c r="Q85" s="2">
        <v>250000</v>
      </c>
      <c r="R85" s="1" t="s">
        <v>516</v>
      </c>
      <c r="T85" s="2">
        <v>57705</v>
      </c>
      <c r="V85" s="1" t="s">
        <v>917</v>
      </c>
      <c r="W85" s="1" t="s">
        <v>917</v>
      </c>
    </row>
    <row r="86" spans="1:23" x14ac:dyDescent="0.35">
      <c r="A86" s="1" t="s">
        <v>335</v>
      </c>
      <c r="B86" s="1" t="s">
        <v>743</v>
      </c>
      <c r="C86" s="1" t="s">
        <v>336</v>
      </c>
      <c r="D86" s="1" t="s">
        <v>179</v>
      </c>
      <c r="E86" s="1" t="s">
        <v>77</v>
      </c>
      <c r="H86" s="1" t="s">
        <v>76</v>
      </c>
      <c r="I86" s="1" t="s">
        <v>337</v>
      </c>
      <c r="J86" s="1" t="s">
        <v>79</v>
      </c>
      <c r="K86" s="1" t="s">
        <v>745</v>
      </c>
      <c r="L86" s="1">
        <v>9243447</v>
      </c>
      <c r="M86" s="1">
        <v>0</v>
      </c>
      <c r="N86" s="1">
        <v>0</v>
      </c>
      <c r="O86" s="1">
        <v>0</v>
      </c>
      <c r="P86" s="1" t="s">
        <v>915</v>
      </c>
      <c r="V86" s="1" t="s">
        <v>916</v>
      </c>
      <c r="W86" s="1" t="s">
        <v>917</v>
      </c>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Y255"/>
  <sheetViews>
    <sheetView workbookViewId="0"/>
  </sheetViews>
  <sheetFormatPr defaultRowHeight="14.5" x14ac:dyDescent="0.35"/>
  <sheetData>
    <row r="1" spans="1:51" x14ac:dyDescent="0.35">
      <c r="A1" s="1" t="s">
        <v>7</v>
      </c>
      <c r="AD1" s="1" t="s">
        <v>919</v>
      </c>
    </row>
    <row r="2" spans="1:51" x14ac:dyDescent="0.35">
      <c r="A2" s="1" t="s">
        <v>920</v>
      </c>
      <c r="AD2" s="1" t="s">
        <v>921</v>
      </c>
    </row>
    <row r="3" spans="1:51" x14ac:dyDescent="0.35">
      <c r="A3" s="1" t="s">
        <v>922</v>
      </c>
      <c r="AD3" s="1" t="s">
        <v>923</v>
      </c>
      <c r="AQ3" s="1" t="s">
        <v>924</v>
      </c>
    </row>
    <row r="4" spans="1:51" x14ac:dyDescent="0.35">
      <c r="A4" s="1" t="s">
        <v>898</v>
      </c>
      <c r="B4" s="1" t="s">
        <v>897</v>
      </c>
      <c r="C4" s="1" t="s">
        <v>898</v>
      </c>
      <c r="D4" s="1" t="s">
        <v>897</v>
      </c>
      <c r="E4" s="1" t="s">
        <v>897</v>
      </c>
      <c r="F4" s="1" t="s">
        <v>897</v>
      </c>
      <c r="G4" s="1" t="s">
        <v>897</v>
      </c>
      <c r="H4" s="1" t="s">
        <v>897</v>
      </c>
      <c r="I4" s="1" t="s">
        <v>897</v>
      </c>
      <c r="J4" s="1" t="s">
        <v>897</v>
      </c>
      <c r="K4" s="1" t="s">
        <v>897</v>
      </c>
      <c r="L4" s="1" t="s">
        <v>897</v>
      </c>
      <c r="M4" s="1" t="s">
        <v>898</v>
      </c>
      <c r="N4" s="1" t="s">
        <v>897</v>
      </c>
      <c r="O4" s="1" t="s">
        <v>897</v>
      </c>
      <c r="P4" s="1" t="s">
        <v>898</v>
      </c>
      <c r="Q4" s="1" t="s">
        <v>898</v>
      </c>
      <c r="R4" s="1" t="s">
        <v>898</v>
      </c>
      <c r="S4" s="1" t="s">
        <v>898</v>
      </c>
      <c r="T4" s="1" t="s">
        <v>898</v>
      </c>
      <c r="U4" s="1" t="s">
        <v>898</v>
      </c>
      <c r="V4" s="1" t="s">
        <v>898</v>
      </c>
      <c r="W4" s="1" t="s">
        <v>898</v>
      </c>
      <c r="X4" s="1" t="s">
        <v>898</v>
      </c>
      <c r="Y4" s="1" t="s">
        <v>898</v>
      </c>
      <c r="Z4" s="1" t="s">
        <v>898</v>
      </c>
      <c r="AA4" s="1" t="s">
        <v>898</v>
      </c>
      <c r="AD4" s="1" t="s">
        <v>897</v>
      </c>
      <c r="AE4" s="1" t="s">
        <v>898</v>
      </c>
      <c r="AF4" s="1" t="s">
        <v>898</v>
      </c>
      <c r="AG4" s="1" t="s">
        <v>898</v>
      </c>
      <c r="AH4" s="1" t="s">
        <v>898</v>
      </c>
      <c r="AI4" s="1" t="s">
        <v>897</v>
      </c>
      <c r="AJ4" s="1" t="s">
        <v>898</v>
      </c>
      <c r="AK4" s="1" t="s">
        <v>898</v>
      </c>
      <c r="AL4" s="1" t="s">
        <v>898</v>
      </c>
      <c r="AM4" s="1" t="s">
        <v>898</v>
      </c>
      <c r="AN4" s="1" t="s">
        <v>898</v>
      </c>
      <c r="AO4" s="1" t="s">
        <v>898</v>
      </c>
      <c r="AP4" s="1" t="s">
        <v>898</v>
      </c>
      <c r="AQ4" s="1" t="s">
        <v>897</v>
      </c>
      <c r="AR4" s="1" t="s">
        <v>898</v>
      </c>
      <c r="AS4" s="1" t="s">
        <v>898</v>
      </c>
      <c r="AT4" s="1" t="s">
        <v>898</v>
      </c>
      <c r="AU4" s="1" t="s">
        <v>898</v>
      </c>
      <c r="AV4" s="1" t="s">
        <v>898</v>
      </c>
      <c r="AW4" s="1" t="s">
        <v>898</v>
      </c>
      <c r="AX4" s="1" t="s">
        <v>898</v>
      </c>
    </row>
    <row r="5" spans="1:51" x14ac:dyDescent="0.35">
      <c r="A5" s="1" t="s">
        <v>469</v>
      </c>
      <c r="B5" s="1" t="s">
        <v>471</v>
      </c>
      <c r="C5" s="1" t="s">
        <v>55</v>
      </c>
      <c r="D5" s="1" t="s">
        <v>343</v>
      </c>
      <c r="E5" s="1" t="s">
        <v>925</v>
      </c>
      <c r="F5" s="1" t="s">
        <v>87</v>
      </c>
      <c r="G5" s="1" t="s">
        <v>484</v>
      </c>
      <c r="H5" s="1" t="s">
        <v>926</v>
      </c>
      <c r="I5" s="1" t="s">
        <v>476</v>
      </c>
      <c r="J5" s="1" t="s">
        <v>927</v>
      </c>
      <c r="K5" s="1" t="s">
        <v>483</v>
      </c>
      <c r="L5" s="1" t="s">
        <v>928</v>
      </c>
      <c r="M5" s="1" t="s">
        <v>929</v>
      </c>
      <c r="N5" s="1" t="s">
        <v>902</v>
      </c>
      <c r="O5" s="1" t="s">
        <v>69</v>
      </c>
      <c r="P5" s="1" t="s">
        <v>930</v>
      </c>
      <c r="Q5" s="1" t="s">
        <v>903</v>
      </c>
      <c r="R5" s="1" t="s">
        <v>931</v>
      </c>
      <c r="S5" s="1" t="s">
        <v>901</v>
      </c>
      <c r="T5" s="1" t="s">
        <v>932</v>
      </c>
      <c r="U5" s="1" t="s">
        <v>933</v>
      </c>
      <c r="V5" s="1" t="s">
        <v>934</v>
      </c>
      <c r="W5" s="1" t="s">
        <v>935</v>
      </c>
      <c r="X5" s="1" t="s">
        <v>936</v>
      </c>
      <c r="Y5" s="1" t="s">
        <v>937</v>
      </c>
      <c r="Z5" s="1" t="s">
        <v>938</v>
      </c>
      <c r="AA5" s="1" t="s">
        <v>57</v>
      </c>
      <c r="AB5" s="1" t="s">
        <v>939</v>
      </c>
      <c r="AC5" s="1" t="s">
        <v>940</v>
      </c>
      <c r="AD5" s="1" t="s">
        <v>941</v>
      </c>
      <c r="AE5" s="1" t="s">
        <v>942</v>
      </c>
      <c r="AF5" s="1" t="s">
        <v>501</v>
      </c>
      <c r="AG5" s="1" t="s">
        <v>500</v>
      </c>
      <c r="AH5" s="1" t="s">
        <v>943</v>
      </c>
      <c r="AI5" s="1" t="s">
        <v>944</v>
      </c>
      <c r="AJ5" s="1" t="s">
        <v>945</v>
      </c>
      <c r="AK5" s="1" t="s">
        <v>946</v>
      </c>
      <c r="AL5" s="1" t="s">
        <v>947</v>
      </c>
      <c r="AM5" s="1" t="s">
        <v>948</v>
      </c>
      <c r="AN5" s="1" t="s">
        <v>949</v>
      </c>
      <c r="AO5" s="1" t="s">
        <v>950</v>
      </c>
      <c r="AP5" s="1" t="s">
        <v>951</v>
      </c>
      <c r="AQ5" s="1" t="s">
        <v>952</v>
      </c>
      <c r="AR5" s="1" t="s">
        <v>953</v>
      </c>
      <c r="AS5" s="1" t="s">
        <v>954</v>
      </c>
      <c r="AT5" s="1" t="s">
        <v>955</v>
      </c>
      <c r="AU5" s="1" t="s">
        <v>493</v>
      </c>
      <c r="AV5" s="1" t="s">
        <v>494</v>
      </c>
      <c r="AW5" s="1" t="s">
        <v>495</v>
      </c>
      <c r="AX5" s="1" t="s">
        <v>508</v>
      </c>
      <c r="AY5" s="1" t="s">
        <v>956</v>
      </c>
    </row>
    <row r="6" spans="1:51" x14ac:dyDescent="0.35">
      <c r="A6" s="1" t="s">
        <v>513</v>
      </c>
      <c r="B6" s="1" t="s">
        <v>520</v>
      </c>
      <c r="C6" s="1" t="s">
        <v>246</v>
      </c>
      <c r="D6" s="1" t="s">
        <v>356</v>
      </c>
      <c r="H6" s="2">
        <v>44800</v>
      </c>
      <c r="I6" s="1" t="s">
        <v>516</v>
      </c>
      <c r="K6" s="1" t="s">
        <v>515</v>
      </c>
      <c r="L6" s="1" t="s">
        <v>519</v>
      </c>
      <c r="M6" s="1" t="s">
        <v>957</v>
      </c>
      <c r="N6" s="1" t="s">
        <v>518</v>
      </c>
      <c r="O6" s="1" t="s">
        <v>79</v>
      </c>
      <c r="P6" s="1" t="s">
        <v>247</v>
      </c>
      <c r="Q6" s="1" t="s">
        <v>745</v>
      </c>
      <c r="R6" s="1" t="s">
        <v>357</v>
      </c>
      <c r="S6" s="1" t="s">
        <v>76</v>
      </c>
      <c r="T6" s="1" t="s">
        <v>958</v>
      </c>
      <c r="W6" s="1">
        <v>1</v>
      </c>
      <c r="X6" s="1">
        <v>1</v>
      </c>
      <c r="Y6" s="1" t="s">
        <v>959</v>
      </c>
      <c r="Z6" s="1" t="s">
        <v>246</v>
      </c>
      <c r="AA6" s="1" t="s">
        <v>179</v>
      </c>
      <c r="AB6" s="2">
        <v>44800</v>
      </c>
      <c r="AH6" s="1" t="s">
        <v>960</v>
      </c>
      <c r="AJ6" s="3">
        <v>1</v>
      </c>
      <c r="AK6" s="3">
        <v>44800</v>
      </c>
      <c r="AM6" s="3">
        <v>44800</v>
      </c>
      <c r="AN6" s="3">
        <v>0</v>
      </c>
      <c r="AO6" s="1">
        <v>1</v>
      </c>
      <c r="AP6" s="3">
        <v>0</v>
      </c>
      <c r="AQ6" s="3" t="s">
        <v>517</v>
      </c>
      <c r="AR6" s="3">
        <v>1</v>
      </c>
      <c r="AS6" s="3" t="s">
        <v>961</v>
      </c>
      <c r="AT6" s="3">
        <v>1</v>
      </c>
      <c r="AU6" s="3" t="s">
        <v>360</v>
      </c>
      <c r="AV6" s="3" t="s">
        <v>361</v>
      </c>
      <c r="AY6" s="1">
        <v>44800</v>
      </c>
    </row>
    <row r="7" spans="1:51" x14ac:dyDescent="0.35">
      <c r="A7" s="1" t="s">
        <v>522</v>
      </c>
      <c r="B7" s="1" t="s">
        <v>526</v>
      </c>
      <c r="C7" s="1" t="s">
        <v>80</v>
      </c>
      <c r="D7" s="1" t="s">
        <v>365</v>
      </c>
      <c r="H7" s="2">
        <v>62994.38</v>
      </c>
      <c r="I7" s="1" t="s">
        <v>523</v>
      </c>
      <c r="K7" s="1" t="s">
        <v>515</v>
      </c>
      <c r="L7" s="1" t="s">
        <v>525</v>
      </c>
      <c r="M7" s="1" t="s">
        <v>957</v>
      </c>
      <c r="O7" s="1" t="s">
        <v>79</v>
      </c>
      <c r="P7" s="1" t="s">
        <v>81</v>
      </c>
      <c r="Q7" s="1" t="s">
        <v>745</v>
      </c>
      <c r="R7" s="1" t="s">
        <v>366</v>
      </c>
      <c r="S7" s="1" t="s">
        <v>82</v>
      </c>
      <c r="T7" s="1" t="s">
        <v>962</v>
      </c>
      <c r="W7" s="1">
        <v>1</v>
      </c>
      <c r="X7" s="1">
        <v>2</v>
      </c>
      <c r="Y7" s="1" t="s">
        <v>963</v>
      </c>
      <c r="Z7" s="1" t="s">
        <v>80</v>
      </c>
      <c r="AA7" s="1" t="s">
        <v>75</v>
      </c>
      <c r="AB7" s="2">
        <v>8426.7781419303046</v>
      </c>
      <c r="AH7" s="1" t="s">
        <v>960</v>
      </c>
      <c r="AJ7" s="3">
        <v>7.4755000000000003</v>
      </c>
      <c r="AK7" s="3">
        <v>8426.7781419303046</v>
      </c>
      <c r="AM7" s="3">
        <v>8426.7781419303046</v>
      </c>
      <c r="AN7" s="3">
        <v>0</v>
      </c>
      <c r="AO7" s="1">
        <v>2</v>
      </c>
      <c r="AP7" s="3">
        <v>0</v>
      </c>
      <c r="AQ7" s="3" t="s">
        <v>524</v>
      </c>
      <c r="AR7" s="3">
        <v>1</v>
      </c>
      <c r="AS7" s="3" t="s">
        <v>964</v>
      </c>
      <c r="AT7" s="3">
        <v>2</v>
      </c>
      <c r="AU7" s="3" t="s">
        <v>369</v>
      </c>
      <c r="AV7" s="3" t="s">
        <v>370</v>
      </c>
      <c r="AW7" s="3">
        <v>70268900</v>
      </c>
      <c r="AX7" s="3" t="s">
        <v>965</v>
      </c>
      <c r="AY7" s="1">
        <v>62994.38</v>
      </c>
    </row>
    <row r="8" spans="1:51" x14ac:dyDescent="0.35">
      <c r="A8" s="1" t="s">
        <v>527</v>
      </c>
      <c r="B8" s="1" t="s">
        <v>530</v>
      </c>
      <c r="C8" s="1" t="s">
        <v>85</v>
      </c>
      <c r="D8" s="1" t="s">
        <v>373</v>
      </c>
      <c r="H8" s="2">
        <v>30832.74</v>
      </c>
      <c r="I8" s="1" t="s">
        <v>516</v>
      </c>
      <c r="K8" s="1" t="s">
        <v>82</v>
      </c>
      <c r="L8" s="1" t="s">
        <v>529</v>
      </c>
      <c r="M8" s="1" t="s">
        <v>957</v>
      </c>
      <c r="O8" s="1" t="s">
        <v>79</v>
      </c>
      <c r="P8" s="1" t="s">
        <v>86</v>
      </c>
      <c r="Q8" s="1" t="s">
        <v>745</v>
      </c>
      <c r="R8" s="1" t="s">
        <v>374</v>
      </c>
      <c r="S8" s="1" t="s">
        <v>87</v>
      </c>
      <c r="T8" s="1" t="s">
        <v>966</v>
      </c>
      <c r="W8" s="1">
        <v>1</v>
      </c>
      <c r="Y8" s="1" t="s">
        <v>967</v>
      </c>
      <c r="AA8" s="1" t="s">
        <v>75</v>
      </c>
      <c r="AB8" s="2">
        <v>30832.74</v>
      </c>
      <c r="AH8" s="1" t="s">
        <v>960</v>
      </c>
      <c r="AJ8" s="3">
        <v>1</v>
      </c>
      <c r="AK8" s="3">
        <v>30832.74</v>
      </c>
      <c r="AM8" s="3">
        <v>30832.74</v>
      </c>
      <c r="AN8" s="3">
        <v>0</v>
      </c>
      <c r="AP8" s="3">
        <v>0</v>
      </c>
      <c r="AQ8" s="3" t="s">
        <v>528</v>
      </c>
      <c r="AR8" s="3">
        <v>1</v>
      </c>
      <c r="AS8" s="3" t="s">
        <v>968</v>
      </c>
      <c r="AT8" s="3">
        <v>3</v>
      </c>
      <c r="AU8" s="3" t="s">
        <v>377</v>
      </c>
      <c r="AV8" s="3" t="s">
        <v>378</v>
      </c>
      <c r="AW8" s="3">
        <v>709187649</v>
      </c>
      <c r="AY8" s="1">
        <v>30832.74</v>
      </c>
    </row>
    <row r="9" spans="1:51" x14ac:dyDescent="0.35">
      <c r="A9" s="1" t="s">
        <v>531</v>
      </c>
      <c r="B9" s="1" t="s">
        <v>530</v>
      </c>
      <c r="C9" s="1" t="s">
        <v>85</v>
      </c>
      <c r="D9" s="1" t="s">
        <v>380</v>
      </c>
      <c r="H9" s="2">
        <v>66843.320000000007</v>
      </c>
      <c r="I9" s="1" t="s">
        <v>516</v>
      </c>
      <c r="K9" s="1" t="s">
        <v>82</v>
      </c>
      <c r="L9" s="1" t="s">
        <v>534</v>
      </c>
      <c r="M9" s="1" t="s">
        <v>957</v>
      </c>
      <c r="N9" s="1" t="s">
        <v>533</v>
      </c>
      <c r="O9" s="1" t="s">
        <v>79</v>
      </c>
      <c r="P9" s="1" t="s">
        <v>86</v>
      </c>
      <c r="Q9" s="1" t="s">
        <v>745</v>
      </c>
      <c r="R9" s="1" t="s">
        <v>381</v>
      </c>
      <c r="S9" s="1" t="s">
        <v>87</v>
      </c>
      <c r="T9" s="1" t="s">
        <v>969</v>
      </c>
      <c r="W9" s="1">
        <v>2</v>
      </c>
      <c r="Y9" s="1" t="s">
        <v>970</v>
      </c>
      <c r="AA9" s="1" t="s">
        <v>75</v>
      </c>
      <c r="AB9" s="2">
        <v>66843.320000000007</v>
      </c>
      <c r="AH9" s="1" t="s">
        <v>960</v>
      </c>
      <c r="AJ9" s="3">
        <v>1</v>
      </c>
      <c r="AK9" s="3">
        <v>66843.320000000007</v>
      </c>
      <c r="AM9" s="3">
        <v>66843.320000000007</v>
      </c>
      <c r="AN9" s="3">
        <v>0</v>
      </c>
      <c r="AP9" s="3">
        <v>0</v>
      </c>
      <c r="AQ9" s="3" t="s">
        <v>532</v>
      </c>
      <c r="AR9" s="3">
        <v>1</v>
      </c>
      <c r="AS9" s="3" t="s">
        <v>971</v>
      </c>
      <c r="AT9" s="3">
        <v>4</v>
      </c>
      <c r="AU9" s="3" t="s">
        <v>383</v>
      </c>
      <c r="AV9" s="3" t="s">
        <v>384</v>
      </c>
      <c r="AW9" s="3">
        <v>627136325</v>
      </c>
      <c r="AY9" s="1">
        <v>66843.320000000007</v>
      </c>
    </row>
    <row r="10" spans="1:51" x14ac:dyDescent="0.35">
      <c r="A10" s="1" t="s">
        <v>535</v>
      </c>
      <c r="B10" s="1" t="s">
        <v>536</v>
      </c>
      <c r="C10" s="1" t="s">
        <v>265</v>
      </c>
      <c r="D10" s="1" t="s">
        <v>386</v>
      </c>
      <c r="K10" s="1" t="s">
        <v>87</v>
      </c>
      <c r="O10" s="1" t="s">
        <v>79</v>
      </c>
      <c r="P10" s="1" t="s">
        <v>266</v>
      </c>
      <c r="Q10" s="1" t="s">
        <v>745</v>
      </c>
      <c r="R10" s="1" t="s">
        <v>387</v>
      </c>
      <c r="S10" s="1" t="s">
        <v>76</v>
      </c>
      <c r="T10" s="1" t="s">
        <v>972</v>
      </c>
      <c r="W10" s="1">
        <v>1</v>
      </c>
      <c r="Y10" s="1" t="s">
        <v>973</v>
      </c>
      <c r="AA10" s="1" t="s">
        <v>179</v>
      </c>
      <c r="AH10" s="1" t="s">
        <v>974</v>
      </c>
      <c r="AN10" s="3">
        <v>0</v>
      </c>
      <c r="AP10" s="3">
        <v>0</v>
      </c>
      <c r="AR10" s="3">
        <v>1</v>
      </c>
      <c r="AS10" s="3" t="s">
        <v>975</v>
      </c>
      <c r="AT10" s="3">
        <v>5</v>
      </c>
      <c r="AU10" s="3" t="s">
        <v>370</v>
      </c>
      <c r="AV10" s="3" t="s">
        <v>370</v>
      </c>
      <c r="AW10" s="3" t="s">
        <v>370</v>
      </c>
      <c r="AX10" s="3" t="s">
        <v>965</v>
      </c>
    </row>
    <row r="11" spans="1:51" x14ac:dyDescent="0.35">
      <c r="A11" s="1" t="s">
        <v>537</v>
      </c>
      <c r="B11" s="1" t="s">
        <v>541</v>
      </c>
      <c r="C11" s="1" t="s">
        <v>331</v>
      </c>
      <c r="D11" s="1" t="s">
        <v>391</v>
      </c>
      <c r="H11" s="2">
        <v>250000</v>
      </c>
      <c r="I11" s="1" t="s">
        <v>516</v>
      </c>
      <c r="K11" s="1" t="s">
        <v>515</v>
      </c>
      <c r="L11" s="1" t="s">
        <v>540</v>
      </c>
      <c r="M11" s="1" t="s">
        <v>957</v>
      </c>
      <c r="N11" s="1" t="s">
        <v>539</v>
      </c>
      <c r="O11" s="1" t="s">
        <v>79</v>
      </c>
      <c r="P11" s="1" t="s">
        <v>332</v>
      </c>
      <c r="Q11" s="1" t="s">
        <v>745</v>
      </c>
      <c r="R11" s="1" t="s">
        <v>392</v>
      </c>
      <c r="S11" s="1" t="s">
        <v>76</v>
      </c>
      <c r="T11" s="1" t="s">
        <v>976</v>
      </c>
      <c r="W11" s="1">
        <v>1</v>
      </c>
      <c r="X11" s="1">
        <v>3</v>
      </c>
      <c r="Y11" s="1" t="s">
        <v>977</v>
      </c>
      <c r="Z11" s="1" t="s">
        <v>331</v>
      </c>
      <c r="AA11" s="1" t="s">
        <v>179</v>
      </c>
      <c r="AB11" s="2">
        <v>250000</v>
      </c>
      <c r="AH11" s="1" t="s">
        <v>960</v>
      </c>
      <c r="AJ11" s="3">
        <v>1</v>
      </c>
      <c r="AK11" s="3">
        <v>250000</v>
      </c>
      <c r="AM11" s="3">
        <v>250000</v>
      </c>
      <c r="AN11" s="3">
        <v>0</v>
      </c>
      <c r="AO11" s="1">
        <v>3</v>
      </c>
      <c r="AP11" s="3">
        <v>0</v>
      </c>
      <c r="AQ11" s="3" t="s">
        <v>538</v>
      </c>
      <c r="AR11" s="3">
        <v>1</v>
      </c>
      <c r="AS11" s="3" t="s">
        <v>978</v>
      </c>
      <c r="AT11" s="3">
        <v>6</v>
      </c>
      <c r="AU11" s="3" t="s">
        <v>395</v>
      </c>
      <c r="AV11" s="3" t="s">
        <v>396</v>
      </c>
      <c r="AW11" s="3">
        <v>3470637034</v>
      </c>
      <c r="AY11" s="1">
        <v>250000</v>
      </c>
    </row>
    <row r="12" spans="1:51" x14ac:dyDescent="0.35">
      <c r="A12" s="1" t="s">
        <v>542</v>
      </c>
      <c r="B12" s="1" t="s">
        <v>546</v>
      </c>
      <c r="C12" s="1" t="s">
        <v>269</v>
      </c>
      <c r="D12" s="1" t="s">
        <v>410</v>
      </c>
      <c r="H12" s="2">
        <v>5970</v>
      </c>
      <c r="I12" s="1" t="s">
        <v>516</v>
      </c>
      <c r="K12" s="1" t="s">
        <v>82</v>
      </c>
      <c r="L12" s="1" t="s">
        <v>545</v>
      </c>
      <c r="M12" s="1" t="s">
        <v>957</v>
      </c>
      <c r="N12" s="1" t="s">
        <v>544</v>
      </c>
      <c r="O12" s="1" t="s">
        <v>79</v>
      </c>
      <c r="P12" s="1" t="s">
        <v>270</v>
      </c>
      <c r="Q12" s="1" t="s">
        <v>745</v>
      </c>
      <c r="R12" s="1" t="s">
        <v>411</v>
      </c>
      <c r="S12" s="1" t="s">
        <v>76</v>
      </c>
      <c r="T12" s="1" t="s">
        <v>979</v>
      </c>
      <c r="W12" s="1">
        <v>1</v>
      </c>
      <c r="Y12" s="1" t="s">
        <v>980</v>
      </c>
      <c r="AA12" s="1" t="s">
        <v>179</v>
      </c>
      <c r="AB12" s="2">
        <v>5970</v>
      </c>
      <c r="AH12" s="1" t="s">
        <v>960</v>
      </c>
      <c r="AJ12" s="3">
        <v>1</v>
      </c>
      <c r="AK12" s="3">
        <v>5970</v>
      </c>
      <c r="AM12" s="3">
        <v>5970</v>
      </c>
      <c r="AN12" s="3">
        <v>0</v>
      </c>
      <c r="AP12" s="3">
        <v>0</v>
      </c>
      <c r="AQ12" s="3" t="s">
        <v>543</v>
      </c>
      <c r="AR12" s="3">
        <v>1</v>
      </c>
      <c r="AS12" s="3" t="s">
        <v>981</v>
      </c>
      <c r="AT12" s="3">
        <v>9</v>
      </c>
      <c r="AV12" s="3" t="s">
        <v>414</v>
      </c>
      <c r="AW12" s="3" t="s">
        <v>415</v>
      </c>
      <c r="AY12" s="1">
        <v>5970</v>
      </c>
    </row>
    <row r="13" spans="1:51" x14ac:dyDescent="0.35">
      <c r="A13" s="1" t="s">
        <v>547</v>
      </c>
      <c r="B13" s="1" t="s">
        <v>546</v>
      </c>
      <c r="C13" s="1" t="s">
        <v>269</v>
      </c>
      <c r="D13" s="1" t="s">
        <v>418</v>
      </c>
      <c r="H13" s="2">
        <v>9195.52</v>
      </c>
      <c r="I13" s="1" t="s">
        <v>516</v>
      </c>
      <c r="K13" s="1" t="s">
        <v>82</v>
      </c>
      <c r="L13" s="1" t="s">
        <v>550</v>
      </c>
      <c r="M13" s="1" t="s">
        <v>957</v>
      </c>
      <c r="N13" s="1" t="s">
        <v>549</v>
      </c>
      <c r="O13" s="1" t="s">
        <v>79</v>
      </c>
      <c r="P13" s="1" t="s">
        <v>270</v>
      </c>
      <c r="Q13" s="1" t="s">
        <v>745</v>
      </c>
      <c r="R13" s="1" t="s">
        <v>419</v>
      </c>
      <c r="S13" s="1" t="s">
        <v>76</v>
      </c>
      <c r="T13" s="1" t="s">
        <v>982</v>
      </c>
      <c r="W13" s="1">
        <v>2</v>
      </c>
      <c r="Y13" s="1" t="s">
        <v>983</v>
      </c>
      <c r="AA13" s="1" t="s">
        <v>179</v>
      </c>
      <c r="AB13" s="2">
        <v>9195.52</v>
      </c>
      <c r="AH13" s="1" t="s">
        <v>960</v>
      </c>
      <c r="AJ13" s="3">
        <v>1</v>
      </c>
      <c r="AK13" s="3">
        <v>9195.52</v>
      </c>
      <c r="AM13" s="3">
        <v>9195.52</v>
      </c>
      <c r="AN13" s="3">
        <v>0</v>
      </c>
      <c r="AP13" s="3">
        <v>0</v>
      </c>
      <c r="AQ13" s="3" t="s">
        <v>548</v>
      </c>
      <c r="AR13" s="3">
        <v>1</v>
      </c>
      <c r="AS13" s="3" t="s">
        <v>984</v>
      </c>
      <c r="AT13" s="3">
        <v>10</v>
      </c>
      <c r="AU13" s="3" t="s">
        <v>370</v>
      </c>
      <c r="AV13" s="3" t="s">
        <v>421</v>
      </c>
      <c r="AW13" s="3" t="s">
        <v>422</v>
      </c>
      <c r="AY13" s="1">
        <v>9195.52</v>
      </c>
    </row>
    <row r="14" spans="1:51" x14ac:dyDescent="0.35">
      <c r="A14" s="1" t="s">
        <v>551</v>
      </c>
      <c r="B14" s="1" t="s">
        <v>555</v>
      </c>
      <c r="C14" s="1" t="s">
        <v>227</v>
      </c>
      <c r="D14" s="1" t="s">
        <v>424</v>
      </c>
      <c r="E14" s="1" t="s">
        <v>552</v>
      </c>
      <c r="H14" s="2">
        <v>79618</v>
      </c>
      <c r="I14" s="1" t="s">
        <v>516</v>
      </c>
      <c r="K14" s="1" t="s">
        <v>82</v>
      </c>
      <c r="L14" s="1" t="s">
        <v>554</v>
      </c>
      <c r="M14" s="1" t="s">
        <v>957</v>
      </c>
      <c r="O14" s="1" t="s">
        <v>79</v>
      </c>
      <c r="P14" s="1" t="s">
        <v>228</v>
      </c>
      <c r="Q14" s="1" t="s">
        <v>745</v>
      </c>
      <c r="R14" s="1" t="s">
        <v>425</v>
      </c>
      <c r="S14" s="1" t="s">
        <v>76</v>
      </c>
      <c r="T14" s="1" t="s">
        <v>985</v>
      </c>
      <c r="W14" s="1">
        <v>1</v>
      </c>
      <c r="Y14" s="1" t="s">
        <v>986</v>
      </c>
      <c r="AA14" s="1" t="s">
        <v>116</v>
      </c>
      <c r="AB14" s="2">
        <v>79618</v>
      </c>
      <c r="AH14" s="1" t="s">
        <v>960</v>
      </c>
      <c r="AJ14" s="3">
        <v>1</v>
      </c>
      <c r="AK14" s="3">
        <v>79618</v>
      </c>
      <c r="AM14" s="3">
        <v>79618</v>
      </c>
      <c r="AN14" s="3">
        <v>0</v>
      </c>
      <c r="AP14" s="3">
        <v>0</v>
      </c>
      <c r="AQ14" s="3" t="s">
        <v>553</v>
      </c>
      <c r="AR14" s="3">
        <v>1</v>
      </c>
      <c r="AS14" s="3" t="s">
        <v>987</v>
      </c>
      <c r="AT14" s="3">
        <v>11</v>
      </c>
      <c r="AU14" s="3" t="s">
        <v>428</v>
      </c>
      <c r="AV14" s="3" t="s">
        <v>429</v>
      </c>
      <c r="AW14" s="3">
        <v>91919555</v>
      </c>
      <c r="AY14" s="1">
        <v>79618</v>
      </c>
    </row>
    <row r="15" spans="1:51" x14ac:dyDescent="0.35">
      <c r="A15" s="1" t="s">
        <v>556</v>
      </c>
      <c r="B15" s="1" t="s">
        <v>555</v>
      </c>
      <c r="C15" s="1" t="s">
        <v>227</v>
      </c>
      <c r="D15" s="1" t="s">
        <v>432</v>
      </c>
      <c r="E15" s="1" t="s">
        <v>558</v>
      </c>
      <c r="K15" s="1" t="s">
        <v>557</v>
      </c>
      <c r="O15" s="1" t="s">
        <v>79</v>
      </c>
      <c r="P15" s="1" t="s">
        <v>228</v>
      </c>
      <c r="Q15" s="1" t="s">
        <v>745</v>
      </c>
      <c r="R15" s="1" t="s">
        <v>433</v>
      </c>
      <c r="S15" s="1" t="s">
        <v>76</v>
      </c>
      <c r="T15" s="1" t="s">
        <v>988</v>
      </c>
      <c r="W15" s="1">
        <v>2</v>
      </c>
      <c r="Y15" s="1" t="s">
        <v>989</v>
      </c>
      <c r="AA15" s="1" t="s">
        <v>116</v>
      </c>
      <c r="AH15" s="1" t="s">
        <v>974</v>
      </c>
      <c r="AN15" s="3">
        <v>0</v>
      </c>
      <c r="AP15" s="3">
        <v>0</v>
      </c>
      <c r="AR15" s="3">
        <v>1</v>
      </c>
      <c r="AS15" s="3" t="s">
        <v>990</v>
      </c>
      <c r="AT15" s="3">
        <v>12</v>
      </c>
      <c r="AU15" s="3" t="s">
        <v>435</v>
      </c>
      <c r="AV15" s="3" t="s">
        <v>436</v>
      </c>
      <c r="AW15" s="3" t="s">
        <v>437</v>
      </c>
    </row>
    <row r="16" spans="1:51" x14ac:dyDescent="0.35">
      <c r="A16" s="1" t="s">
        <v>559</v>
      </c>
      <c r="B16" s="1" t="s">
        <v>564</v>
      </c>
      <c r="C16" s="1" t="s">
        <v>327</v>
      </c>
      <c r="D16" s="1" t="s">
        <v>439</v>
      </c>
      <c r="E16" s="1">
        <v>4258326</v>
      </c>
      <c r="H16" s="2">
        <v>525692</v>
      </c>
      <c r="I16" s="1" t="s">
        <v>560</v>
      </c>
      <c r="K16" s="1" t="s">
        <v>82</v>
      </c>
      <c r="L16" s="1" t="s">
        <v>563</v>
      </c>
      <c r="M16" s="1" t="s">
        <v>957</v>
      </c>
      <c r="N16" s="1" t="s">
        <v>562</v>
      </c>
      <c r="O16" s="1" t="s">
        <v>79</v>
      </c>
      <c r="P16" s="1" t="s">
        <v>328</v>
      </c>
      <c r="Q16" s="1" t="s">
        <v>745</v>
      </c>
      <c r="R16" s="1" t="s">
        <v>440</v>
      </c>
      <c r="S16" s="1" t="s">
        <v>76</v>
      </c>
      <c r="T16" s="1" t="s">
        <v>991</v>
      </c>
      <c r="W16" s="1">
        <v>1</v>
      </c>
      <c r="Y16" s="1" t="s">
        <v>992</v>
      </c>
      <c r="AA16" s="1" t="s">
        <v>179</v>
      </c>
      <c r="AB16" s="2">
        <v>48495.571955719563</v>
      </c>
      <c r="AH16" s="1" t="s">
        <v>960</v>
      </c>
      <c r="AJ16" s="3">
        <v>10.84</v>
      </c>
      <c r="AK16" s="3">
        <v>48495.571955719563</v>
      </c>
      <c r="AM16" s="3">
        <v>48495.571955719563</v>
      </c>
      <c r="AN16" s="3">
        <v>0</v>
      </c>
      <c r="AP16" s="3">
        <v>0</v>
      </c>
      <c r="AQ16" s="3" t="s">
        <v>561</v>
      </c>
      <c r="AR16" s="3">
        <v>1</v>
      </c>
      <c r="AS16" s="3" t="s">
        <v>993</v>
      </c>
      <c r="AT16" s="3">
        <v>13</v>
      </c>
      <c r="AV16" s="3" t="s">
        <v>443</v>
      </c>
      <c r="AW16" s="3" t="s">
        <v>444</v>
      </c>
      <c r="AY16" s="1">
        <v>525692</v>
      </c>
    </row>
    <row r="17" spans="1:51" x14ac:dyDescent="0.35">
      <c r="A17" s="1" t="s">
        <v>565</v>
      </c>
      <c r="B17" s="1" t="s">
        <v>570</v>
      </c>
      <c r="C17" s="1" t="s">
        <v>323</v>
      </c>
      <c r="D17" s="1" t="s">
        <v>439</v>
      </c>
      <c r="E17" s="1">
        <v>4258303</v>
      </c>
      <c r="H17" s="2">
        <v>392210</v>
      </c>
      <c r="I17" s="1" t="s">
        <v>560</v>
      </c>
      <c r="K17" s="1" t="s">
        <v>515</v>
      </c>
      <c r="L17" s="1" t="s">
        <v>569</v>
      </c>
      <c r="M17" s="1" t="s">
        <v>957</v>
      </c>
      <c r="N17" s="1" t="s">
        <v>568</v>
      </c>
      <c r="O17" s="1" t="s">
        <v>79</v>
      </c>
      <c r="P17" s="1" t="s">
        <v>324</v>
      </c>
      <c r="Q17" s="1" t="s">
        <v>745</v>
      </c>
      <c r="R17" s="1" t="s">
        <v>440</v>
      </c>
      <c r="S17" s="1" t="s">
        <v>76</v>
      </c>
      <c r="T17" s="1" t="s">
        <v>994</v>
      </c>
      <c r="W17" s="1">
        <v>1</v>
      </c>
      <c r="X17" s="1">
        <v>4</v>
      </c>
      <c r="Y17" s="1" t="s">
        <v>995</v>
      </c>
      <c r="Z17" s="1" t="s">
        <v>323</v>
      </c>
      <c r="AA17" s="1" t="s">
        <v>179</v>
      </c>
      <c r="AB17" s="2">
        <v>36181.734317343173</v>
      </c>
      <c r="AH17" s="1" t="s">
        <v>960</v>
      </c>
      <c r="AJ17" s="3">
        <v>10.84</v>
      </c>
      <c r="AK17" s="3">
        <v>36181.734317343173</v>
      </c>
      <c r="AM17" s="3">
        <v>36181.734317343173</v>
      </c>
      <c r="AN17" s="3">
        <v>0</v>
      </c>
      <c r="AO17" s="1">
        <v>4</v>
      </c>
      <c r="AP17" s="3">
        <v>0</v>
      </c>
      <c r="AQ17" s="3" t="s">
        <v>567</v>
      </c>
      <c r="AR17" s="3">
        <v>2</v>
      </c>
      <c r="AS17" s="3" t="s">
        <v>996</v>
      </c>
      <c r="AT17" s="3">
        <v>13</v>
      </c>
      <c r="AV17" s="3" t="s">
        <v>443</v>
      </c>
      <c r="AW17" s="3" t="s">
        <v>444</v>
      </c>
      <c r="AY17" s="1">
        <v>392210</v>
      </c>
    </row>
    <row r="18" spans="1:51" x14ac:dyDescent="0.35">
      <c r="A18" s="1" t="s">
        <v>571</v>
      </c>
      <c r="B18" s="1" t="s">
        <v>576</v>
      </c>
      <c r="C18" s="1" t="s">
        <v>177</v>
      </c>
      <c r="D18" s="1" t="s">
        <v>446</v>
      </c>
      <c r="E18" s="1" t="s">
        <v>572</v>
      </c>
      <c r="H18" s="2">
        <v>42681</v>
      </c>
      <c r="I18" s="1" t="s">
        <v>516</v>
      </c>
      <c r="K18" s="1" t="s">
        <v>515</v>
      </c>
      <c r="L18" s="1" t="s">
        <v>575</v>
      </c>
      <c r="M18" s="1" t="s">
        <v>957</v>
      </c>
      <c r="N18" s="1" t="s">
        <v>574</v>
      </c>
      <c r="P18" s="1" t="s">
        <v>178</v>
      </c>
      <c r="Q18" s="1" t="s">
        <v>745</v>
      </c>
      <c r="R18" s="1" t="s">
        <v>447</v>
      </c>
      <c r="S18" s="1" t="s">
        <v>76</v>
      </c>
      <c r="T18" s="1" t="s">
        <v>997</v>
      </c>
      <c r="W18" s="1">
        <v>1</v>
      </c>
      <c r="X18" s="1">
        <v>5</v>
      </c>
      <c r="Y18" s="1" t="s">
        <v>998</v>
      </c>
      <c r="Z18" s="1" t="s">
        <v>177</v>
      </c>
      <c r="AA18" s="1" t="s">
        <v>179</v>
      </c>
      <c r="AB18" s="2">
        <v>42681</v>
      </c>
      <c r="AH18" s="1" t="s">
        <v>960</v>
      </c>
      <c r="AJ18" s="3">
        <v>1</v>
      </c>
      <c r="AK18" s="3">
        <v>42681</v>
      </c>
      <c r="AM18" s="3">
        <v>42681</v>
      </c>
      <c r="AN18" s="3">
        <v>0</v>
      </c>
      <c r="AO18" s="1">
        <v>5</v>
      </c>
      <c r="AP18" s="3">
        <v>0</v>
      </c>
      <c r="AQ18" s="3" t="s">
        <v>573</v>
      </c>
      <c r="AR18" s="3">
        <v>1</v>
      </c>
      <c r="AS18" s="3" t="s">
        <v>999</v>
      </c>
      <c r="AT18" s="3">
        <v>14</v>
      </c>
      <c r="AU18" s="3" t="s">
        <v>450</v>
      </c>
      <c r="AV18" s="3" t="s">
        <v>451</v>
      </c>
      <c r="AW18" s="3" t="s">
        <v>452</v>
      </c>
      <c r="AY18" s="1">
        <v>42681</v>
      </c>
    </row>
    <row r="19" spans="1:51" x14ac:dyDescent="0.35">
      <c r="A19" s="1" t="s">
        <v>577</v>
      </c>
      <c r="B19" s="1" t="s">
        <v>576</v>
      </c>
      <c r="C19" s="1" t="s">
        <v>177</v>
      </c>
      <c r="D19" s="1" t="s">
        <v>446</v>
      </c>
      <c r="E19" s="1" t="s">
        <v>578</v>
      </c>
      <c r="H19" s="2">
        <v>54778.2</v>
      </c>
      <c r="I19" s="1" t="s">
        <v>516</v>
      </c>
      <c r="K19" s="1" t="s">
        <v>82</v>
      </c>
      <c r="L19" s="1" t="s">
        <v>581</v>
      </c>
      <c r="M19" s="1" t="s">
        <v>957</v>
      </c>
      <c r="N19" s="1" t="s">
        <v>580</v>
      </c>
      <c r="P19" s="1" t="s">
        <v>178</v>
      </c>
      <c r="Q19" s="1" t="s">
        <v>745</v>
      </c>
      <c r="R19" s="1" t="s">
        <v>447</v>
      </c>
      <c r="S19" s="1" t="s">
        <v>76</v>
      </c>
      <c r="T19" s="1" t="s">
        <v>1000</v>
      </c>
      <c r="W19" s="1">
        <v>2</v>
      </c>
      <c r="Y19" s="1" t="s">
        <v>1001</v>
      </c>
      <c r="AA19" s="1" t="s">
        <v>179</v>
      </c>
      <c r="AB19" s="2">
        <v>54778.2</v>
      </c>
      <c r="AH19" s="1" t="s">
        <v>960</v>
      </c>
      <c r="AJ19" s="3">
        <v>1</v>
      </c>
      <c r="AK19" s="3">
        <v>54778.2</v>
      </c>
      <c r="AM19" s="3">
        <v>54778.2</v>
      </c>
      <c r="AN19" s="3">
        <v>0</v>
      </c>
      <c r="AP19" s="3">
        <v>0</v>
      </c>
      <c r="AQ19" s="3" t="s">
        <v>579</v>
      </c>
      <c r="AR19" s="3">
        <v>2</v>
      </c>
      <c r="AS19" s="3" t="s">
        <v>1002</v>
      </c>
      <c r="AT19" s="3">
        <v>14</v>
      </c>
      <c r="AU19" s="3" t="s">
        <v>450</v>
      </c>
      <c r="AV19" s="3" t="s">
        <v>451</v>
      </c>
      <c r="AW19" s="3" t="s">
        <v>452</v>
      </c>
      <c r="AY19" s="1">
        <v>54778.2</v>
      </c>
    </row>
    <row r="20" spans="1:51" x14ac:dyDescent="0.35">
      <c r="A20" s="1" t="s">
        <v>582</v>
      </c>
      <c r="B20" s="1" t="s">
        <v>570</v>
      </c>
      <c r="C20" s="1" t="s">
        <v>323</v>
      </c>
      <c r="D20" s="1" t="s">
        <v>439</v>
      </c>
      <c r="H20" s="2">
        <v>1171237.3999999999</v>
      </c>
      <c r="I20" s="1" t="s">
        <v>560</v>
      </c>
      <c r="K20" s="1" t="s">
        <v>515</v>
      </c>
      <c r="L20" s="1" t="s">
        <v>586</v>
      </c>
      <c r="M20" s="1" t="s">
        <v>957</v>
      </c>
      <c r="N20" s="1" t="s">
        <v>585</v>
      </c>
      <c r="P20" s="1" t="s">
        <v>324</v>
      </c>
      <c r="Q20" s="1" t="s">
        <v>745</v>
      </c>
      <c r="R20" s="1" t="s">
        <v>440</v>
      </c>
      <c r="S20" s="1" t="s">
        <v>76</v>
      </c>
      <c r="T20" s="1" t="s">
        <v>1003</v>
      </c>
      <c r="W20" s="1">
        <v>2</v>
      </c>
      <c r="X20" s="1">
        <v>6</v>
      </c>
      <c r="Y20" s="1" t="s">
        <v>1004</v>
      </c>
      <c r="Z20" s="1" t="s">
        <v>323</v>
      </c>
      <c r="AA20" s="1" t="s">
        <v>179</v>
      </c>
      <c r="AB20" s="2">
        <v>108047.7306273063</v>
      </c>
      <c r="AH20" s="1" t="s">
        <v>960</v>
      </c>
      <c r="AJ20" s="3">
        <v>10.84</v>
      </c>
      <c r="AK20" s="3">
        <v>108047.7306273063</v>
      </c>
      <c r="AM20" s="3">
        <v>108047.7306273063</v>
      </c>
      <c r="AN20" s="3">
        <v>0</v>
      </c>
      <c r="AO20" s="1">
        <v>6</v>
      </c>
      <c r="AP20" s="3">
        <v>0</v>
      </c>
      <c r="AQ20" s="3" t="s">
        <v>584</v>
      </c>
      <c r="AR20" s="3">
        <v>3</v>
      </c>
      <c r="AS20" s="3" t="s">
        <v>1005</v>
      </c>
      <c r="AT20" s="3">
        <v>13</v>
      </c>
      <c r="AV20" s="3" t="s">
        <v>443</v>
      </c>
      <c r="AW20" s="3" t="s">
        <v>444</v>
      </c>
      <c r="AY20" s="1">
        <v>1171237.3999999999</v>
      </c>
    </row>
    <row r="21" spans="1:51" x14ac:dyDescent="0.35">
      <c r="A21" s="1" t="s">
        <v>587</v>
      </c>
      <c r="B21" s="1" t="s">
        <v>591</v>
      </c>
      <c r="C21" s="1" t="s">
        <v>312</v>
      </c>
      <c r="D21" s="1" t="s">
        <v>399</v>
      </c>
      <c r="E21" s="1">
        <v>301354849</v>
      </c>
      <c r="H21" s="2">
        <v>290637.58</v>
      </c>
      <c r="I21" s="1" t="s">
        <v>523</v>
      </c>
      <c r="K21" s="1" t="s">
        <v>82</v>
      </c>
      <c r="L21" s="1" t="s">
        <v>590</v>
      </c>
      <c r="M21" s="1" t="s">
        <v>957</v>
      </c>
      <c r="N21" s="1" t="s">
        <v>589</v>
      </c>
      <c r="P21" s="1" t="s">
        <v>313</v>
      </c>
      <c r="Q21" s="1" t="s">
        <v>745</v>
      </c>
      <c r="R21" s="1" t="s">
        <v>400</v>
      </c>
      <c r="S21" s="1" t="s">
        <v>76</v>
      </c>
      <c r="T21" s="1" t="s">
        <v>1006</v>
      </c>
      <c r="W21" s="1">
        <v>1</v>
      </c>
      <c r="Y21" s="1" t="s">
        <v>1007</v>
      </c>
      <c r="AA21" s="1" t="s">
        <v>179</v>
      </c>
      <c r="AB21" s="2">
        <v>38878.681024680627</v>
      </c>
      <c r="AH21" s="1" t="s">
        <v>960</v>
      </c>
      <c r="AJ21" s="3">
        <v>7.4755000000000003</v>
      </c>
      <c r="AK21" s="3">
        <v>38878.681024680627</v>
      </c>
      <c r="AM21" s="3">
        <v>38878.681024680627</v>
      </c>
      <c r="AN21" s="3">
        <v>0</v>
      </c>
      <c r="AP21" s="3">
        <v>0</v>
      </c>
      <c r="AQ21" s="3" t="s">
        <v>588</v>
      </c>
      <c r="AR21" s="3">
        <v>1</v>
      </c>
      <c r="AS21" s="3" t="s">
        <v>1008</v>
      </c>
      <c r="AT21" s="3">
        <v>7</v>
      </c>
      <c r="AU21" s="3" t="s">
        <v>370</v>
      </c>
      <c r="AV21" s="3" t="s">
        <v>370</v>
      </c>
      <c r="AW21" s="3" t="s">
        <v>370</v>
      </c>
      <c r="AX21" s="3" t="s">
        <v>965</v>
      </c>
      <c r="AY21" s="1">
        <v>290637.58</v>
      </c>
    </row>
    <row r="22" spans="1:51" x14ac:dyDescent="0.35">
      <c r="A22" s="1" t="s">
        <v>592</v>
      </c>
      <c r="B22" s="1" t="s">
        <v>591</v>
      </c>
      <c r="C22" s="1" t="s">
        <v>312</v>
      </c>
      <c r="D22" s="1" t="s">
        <v>399</v>
      </c>
      <c r="H22" s="2">
        <v>34420</v>
      </c>
      <c r="I22" s="1" t="s">
        <v>516</v>
      </c>
      <c r="K22" s="1" t="s">
        <v>82</v>
      </c>
      <c r="L22" s="1" t="s">
        <v>595</v>
      </c>
      <c r="M22" s="1" t="s">
        <v>957</v>
      </c>
      <c r="N22" s="1" t="s">
        <v>594</v>
      </c>
      <c r="P22" s="1" t="s">
        <v>313</v>
      </c>
      <c r="Q22" s="1" t="s">
        <v>745</v>
      </c>
      <c r="R22" s="1" t="s">
        <v>400</v>
      </c>
      <c r="S22" s="1" t="s">
        <v>76</v>
      </c>
      <c r="T22" s="1" t="s">
        <v>1009</v>
      </c>
      <c r="W22" s="1">
        <v>2</v>
      </c>
      <c r="Y22" s="1" t="s">
        <v>1010</v>
      </c>
      <c r="AA22" s="1" t="s">
        <v>179</v>
      </c>
      <c r="AB22" s="2">
        <v>34420</v>
      </c>
      <c r="AH22" s="1" t="s">
        <v>960</v>
      </c>
      <c r="AJ22" s="3">
        <v>1</v>
      </c>
      <c r="AK22" s="3">
        <v>34420</v>
      </c>
      <c r="AM22" s="3">
        <v>34420</v>
      </c>
      <c r="AN22" s="3">
        <v>0</v>
      </c>
      <c r="AP22" s="3">
        <v>0</v>
      </c>
      <c r="AQ22" s="3" t="s">
        <v>593</v>
      </c>
      <c r="AR22" s="3">
        <v>2</v>
      </c>
      <c r="AS22" s="3" t="s">
        <v>1011</v>
      </c>
      <c r="AT22" s="3">
        <v>7</v>
      </c>
      <c r="AU22" s="3" t="s">
        <v>370</v>
      </c>
      <c r="AV22" s="3" t="s">
        <v>370</v>
      </c>
      <c r="AW22" s="3" t="s">
        <v>370</v>
      </c>
      <c r="AX22" s="3" t="s">
        <v>965</v>
      </c>
      <c r="AY22" s="1">
        <v>34420</v>
      </c>
    </row>
    <row r="23" spans="1:51" x14ac:dyDescent="0.35">
      <c r="A23" s="1" t="s">
        <v>596</v>
      </c>
      <c r="B23" s="1" t="s">
        <v>600</v>
      </c>
      <c r="C23" s="1" t="s">
        <v>316</v>
      </c>
      <c r="D23" s="1" t="s">
        <v>399</v>
      </c>
      <c r="H23" s="2">
        <v>401719.08</v>
      </c>
      <c r="I23" s="1" t="s">
        <v>516</v>
      </c>
      <c r="K23" s="1" t="s">
        <v>82</v>
      </c>
      <c r="L23" s="1" t="s">
        <v>599</v>
      </c>
      <c r="M23" s="1" t="s">
        <v>957</v>
      </c>
      <c r="N23" s="1" t="s">
        <v>598</v>
      </c>
      <c r="P23" s="1" t="s">
        <v>317</v>
      </c>
      <c r="Q23" s="1" t="s">
        <v>745</v>
      </c>
      <c r="R23" s="1" t="s">
        <v>400</v>
      </c>
      <c r="S23" s="1" t="s">
        <v>76</v>
      </c>
      <c r="T23" s="1" t="s">
        <v>1012</v>
      </c>
      <c r="W23" s="1">
        <v>1</v>
      </c>
      <c r="Y23" s="1" t="s">
        <v>1013</v>
      </c>
      <c r="AA23" s="1" t="s">
        <v>179</v>
      </c>
      <c r="AB23" s="2">
        <v>401719.08</v>
      </c>
      <c r="AH23" s="1" t="s">
        <v>960</v>
      </c>
      <c r="AJ23" s="3">
        <v>1</v>
      </c>
      <c r="AK23" s="3">
        <v>401719.08</v>
      </c>
      <c r="AM23" s="3">
        <v>401719.08</v>
      </c>
      <c r="AN23" s="3">
        <v>0</v>
      </c>
      <c r="AP23" s="3">
        <v>0</v>
      </c>
      <c r="AQ23" s="3" t="s">
        <v>597</v>
      </c>
      <c r="AR23" s="3">
        <v>3</v>
      </c>
      <c r="AS23" s="3" t="s">
        <v>1014</v>
      </c>
      <c r="AT23" s="3">
        <v>7</v>
      </c>
      <c r="AU23" s="3" t="s">
        <v>370</v>
      </c>
      <c r="AV23" s="3" t="s">
        <v>370</v>
      </c>
      <c r="AW23" s="3" t="s">
        <v>370</v>
      </c>
      <c r="AX23" s="3" t="s">
        <v>965</v>
      </c>
      <c r="AY23" s="1">
        <v>401719.08</v>
      </c>
    </row>
    <row r="24" spans="1:51" x14ac:dyDescent="0.35">
      <c r="A24" s="1" t="s">
        <v>601</v>
      </c>
      <c r="B24" s="1" t="s">
        <v>541</v>
      </c>
      <c r="C24" s="1" t="s">
        <v>331</v>
      </c>
      <c r="D24" s="1" t="s">
        <v>391</v>
      </c>
      <c r="H24" s="2">
        <v>57705</v>
      </c>
      <c r="I24" s="1" t="s">
        <v>516</v>
      </c>
      <c r="K24" s="1" t="s">
        <v>82</v>
      </c>
      <c r="L24" s="1" t="s">
        <v>540</v>
      </c>
      <c r="M24" s="1" t="s">
        <v>957</v>
      </c>
      <c r="N24" s="1" t="s">
        <v>603</v>
      </c>
      <c r="P24" s="1" t="s">
        <v>332</v>
      </c>
      <c r="Q24" s="1" t="s">
        <v>745</v>
      </c>
      <c r="R24" s="1" t="s">
        <v>392</v>
      </c>
      <c r="S24" s="1" t="s">
        <v>76</v>
      </c>
      <c r="T24" s="1" t="s">
        <v>976</v>
      </c>
      <c r="W24" s="1">
        <v>2</v>
      </c>
      <c r="Y24" s="1" t="s">
        <v>1015</v>
      </c>
      <c r="AA24" s="1" t="s">
        <v>179</v>
      </c>
      <c r="AB24" s="2">
        <v>57705</v>
      </c>
      <c r="AH24" s="1" t="s">
        <v>960</v>
      </c>
      <c r="AJ24" s="3">
        <v>1</v>
      </c>
      <c r="AK24" s="3">
        <v>57705</v>
      </c>
      <c r="AM24" s="3">
        <v>57705</v>
      </c>
      <c r="AN24" s="3">
        <v>0</v>
      </c>
      <c r="AP24" s="3">
        <v>0</v>
      </c>
      <c r="AQ24" s="3" t="s">
        <v>602</v>
      </c>
      <c r="AR24" s="3">
        <v>2</v>
      </c>
      <c r="AS24" s="3" t="s">
        <v>1016</v>
      </c>
      <c r="AT24" s="3">
        <v>6</v>
      </c>
      <c r="AU24" s="3" t="s">
        <v>395</v>
      </c>
      <c r="AV24" s="3" t="s">
        <v>396</v>
      </c>
      <c r="AW24" s="3">
        <v>3470637034</v>
      </c>
      <c r="AY24" s="1">
        <v>57705</v>
      </c>
    </row>
    <row r="25" spans="1:51" x14ac:dyDescent="0.35">
      <c r="A25" s="1" t="s">
        <v>604</v>
      </c>
      <c r="B25" s="1" t="s">
        <v>541</v>
      </c>
      <c r="C25" s="1" t="s">
        <v>331</v>
      </c>
      <c r="D25" s="1" t="s">
        <v>391</v>
      </c>
      <c r="H25" s="2">
        <v>95922</v>
      </c>
      <c r="I25" s="1" t="s">
        <v>516</v>
      </c>
      <c r="K25" s="1" t="s">
        <v>82</v>
      </c>
      <c r="L25" s="1" t="s">
        <v>540</v>
      </c>
      <c r="M25" s="1" t="s">
        <v>957</v>
      </c>
      <c r="N25" s="1" t="s">
        <v>605</v>
      </c>
      <c r="P25" s="1" t="s">
        <v>332</v>
      </c>
      <c r="Q25" s="1" t="s">
        <v>745</v>
      </c>
      <c r="R25" s="1" t="s">
        <v>392</v>
      </c>
      <c r="S25" s="1" t="s">
        <v>76</v>
      </c>
      <c r="T25" s="1" t="s">
        <v>976</v>
      </c>
      <c r="W25" s="1">
        <v>3</v>
      </c>
      <c r="Y25" s="1" t="s">
        <v>1017</v>
      </c>
      <c r="AA25" s="1" t="s">
        <v>179</v>
      </c>
      <c r="AB25" s="2">
        <v>95922</v>
      </c>
      <c r="AH25" s="1" t="s">
        <v>960</v>
      </c>
      <c r="AJ25" s="3">
        <v>1</v>
      </c>
      <c r="AK25" s="3">
        <v>95922</v>
      </c>
      <c r="AM25" s="3">
        <v>95922</v>
      </c>
      <c r="AN25" s="3">
        <v>0</v>
      </c>
      <c r="AP25" s="3">
        <v>0</v>
      </c>
      <c r="AQ25" s="3" t="s">
        <v>602</v>
      </c>
      <c r="AR25" s="3">
        <v>3</v>
      </c>
      <c r="AS25" s="3" t="s">
        <v>1018</v>
      </c>
      <c r="AT25" s="3">
        <v>6</v>
      </c>
      <c r="AU25" s="3" t="s">
        <v>395</v>
      </c>
      <c r="AV25" s="3" t="s">
        <v>396</v>
      </c>
      <c r="AW25" s="3">
        <v>3470637034</v>
      </c>
      <c r="AY25" s="1">
        <v>95922</v>
      </c>
    </row>
    <row r="26" spans="1:51" x14ac:dyDescent="0.35">
      <c r="A26" s="1" t="s">
        <v>606</v>
      </c>
      <c r="B26" s="1" t="s">
        <v>530</v>
      </c>
      <c r="C26" s="1" t="s">
        <v>85</v>
      </c>
      <c r="D26" s="1" t="s">
        <v>457</v>
      </c>
      <c r="H26" s="2">
        <v>92498.47</v>
      </c>
      <c r="I26" s="1" t="s">
        <v>516</v>
      </c>
      <c r="K26" s="1" t="s">
        <v>82</v>
      </c>
      <c r="L26" s="1" t="s">
        <v>609</v>
      </c>
      <c r="M26" s="1" t="s">
        <v>957</v>
      </c>
      <c r="N26" s="1" t="s">
        <v>608</v>
      </c>
      <c r="O26" s="1" t="s">
        <v>79</v>
      </c>
      <c r="P26" s="1" t="s">
        <v>86</v>
      </c>
      <c r="Q26" s="1" t="s">
        <v>745</v>
      </c>
      <c r="R26" s="1" t="s">
        <v>458</v>
      </c>
      <c r="S26" s="1" t="s">
        <v>87</v>
      </c>
      <c r="T26" s="1" t="s">
        <v>1019</v>
      </c>
      <c r="W26" s="1">
        <v>3</v>
      </c>
      <c r="Y26" s="1" t="s">
        <v>1020</v>
      </c>
      <c r="AA26" s="1" t="s">
        <v>75</v>
      </c>
      <c r="AB26" s="2">
        <v>92498.47</v>
      </c>
      <c r="AH26" s="1" t="s">
        <v>960</v>
      </c>
      <c r="AJ26" s="3">
        <v>1</v>
      </c>
      <c r="AK26" s="3">
        <v>92498.47</v>
      </c>
      <c r="AM26" s="3">
        <v>92498.47</v>
      </c>
      <c r="AN26" s="3">
        <v>0</v>
      </c>
      <c r="AP26" s="3">
        <v>0</v>
      </c>
      <c r="AQ26" s="3" t="s">
        <v>607</v>
      </c>
      <c r="AR26" s="3">
        <v>1</v>
      </c>
      <c r="AS26" s="3" t="s">
        <v>1021</v>
      </c>
      <c r="AT26" s="3">
        <v>16</v>
      </c>
      <c r="AU26" s="3" t="s">
        <v>460</v>
      </c>
      <c r="AV26" s="3" t="s">
        <v>461</v>
      </c>
      <c r="AW26" s="3" t="s">
        <v>370</v>
      </c>
      <c r="AY26" s="1">
        <v>92498.47</v>
      </c>
    </row>
    <row r="27" spans="1:51" x14ac:dyDescent="0.35">
      <c r="A27" s="1" t="s">
        <v>610</v>
      </c>
      <c r="B27" s="1" t="s">
        <v>541</v>
      </c>
      <c r="C27" s="1" t="s">
        <v>331</v>
      </c>
      <c r="D27" s="1" t="s">
        <v>391</v>
      </c>
      <c r="P27" s="1" t="s">
        <v>332</v>
      </c>
      <c r="Q27" s="1" t="s">
        <v>745</v>
      </c>
      <c r="R27" s="1" t="s">
        <v>392</v>
      </c>
      <c r="S27" s="1" t="s">
        <v>76</v>
      </c>
      <c r="T27" s="1" t="s">
        <v>976</v>
      </c>
      <c r="W27" s="1">
        <v>4</v>
      </c>
      <c r="Y27" s="1" t="s">
        <v>1022</v>
      </c>
      <c r="AA27" s="1" t="s">
        <v>179</v>
      </c>
      <c r="AH27" s="1" t="s">
        <v>974</v>
      </c>
      <c r="AN27" s="3">
        <v>0</v>
      </c>
      <c r="AP27" s="3">
        <v>0</v>
      </c>
      <c r="AR27" s="3">
        <v>4</v>
      </c>
      <c r="AS27" s="3" t="s">
        <v>1023</v>
      </c>
      <c r="AT27" s="3">
        <v>6</v>
      </c>
      <c r="AU27" s="3" t="s">
        <v>395</v>
      </c>
      <c r="AV27" s="3" t="s">
        <v>396</v>
      </c>
      <c r="AW27" s="3">
        <v>3470637034</v>
      </c>
    </row>
    <row r="28" spans="1:51" x14ac:dyDescent="0.35">
      <c r="AN28" s="3">
        <v>0</v>
      </c>
    </row>
    <row r="29" spans="1:51" x14ac:dyDescent="0.35">
      <c r="AN29" s="3">
        <v>0</v>
      </c>
    </row>
    <row r="30" spans="1:51" x14ac:dyDescent="0.35">
      <c r="AN30" s="3">
        <v>0</v>
      </c>
    </row>
    <row r="31" spans="1:51" x14ac:dyDescent="0.35">
      <c r="AN31" s="3">
        <v>0</v>
      </c>
    </row>
    <row r="32" spans="1:51" x14ac:dyDescent="0.35">
      <c r="AN32" s="3">
        <v>0</v>
      </c>
    </row>
    <row r="33" spans="40:40" x14ac:dyDescent="0.35">
      <c r="AN33" s="3">
        <v>0</v>
      </c>
    </row>
    <row r="34" spans="40:40" x14ac:dyDescent="0.35">
      <c r="AN34" s="3">
        <v>0</v>
      </c>
    </row>
    <row r="35" spans="40:40" x14ac:dyDescent="0.35">
      <c r="AN35" s="3">
        <v>0</v>
      </c>
    </row>
    <row r="36" spans="40:40" x14ac:dyDescent="0.35">
      <c r="AN36" s="3">
        <v>0</v>
      </c>
    </row>
    <row r="37" spans="40:40" x14ac:dyDescent="0.35">
      <c r="AN37" s="3">
        <v>0</v>
      </c>
    </row>
    <row r="38" spans="40:40" x14ac:dyDescent="0.35">
      <c r="AN38" s="3">
        <v>0</v>
      </c>
    </row>
    <row r="39" spans="40:40" x14ac:dyDescent="0.35">
      <c r="AN39" s="3">
        <v>0</v>
      </c>
    </row>
    <row r="40" spans="40:40" x14ac:dyDescent="0.35">
      <c r="AN40" s="3">
        <v>0</v>
      </c>
    </row>
    <row r="41" spans="40:40" x14ac:dyDescent="0.35">
      <c r="AN41" s="3">
        <v>0</v>
      </c>
    </row>
    <row r="42" spans="40:40" x14ac:dyDescent="0.35">
      <c r="AN42" s="3">
        <v>0</v>
      </c>
    </row>
    <row r="43" spans="40:40" x14ac:dyDescent="0.35">
      <c r="AN43" s="3">
        <v>0</v>
      </c>
    </row>
    <row r="44" spans="40:40" x14ac:dyDescent="0.35">
      <c r="AN44" s="3">
        <v>0</v>
      </c>
    </row>
    <row r="45" spans="40:40" x14ac:dyDescent="0.35">
      <c r="AN45" s="3">
        <v>0</v>
      </c>
    </row>
    <row r="46" spans="40:40" x14ac:dyDescent="0.35">
      <c r="AN46" s="3">
        <v>0</v>
      </c>
    </row>
    <row r="47" spans="40:40" x14ac:dyDescent="0.35">
      <c r="AN47" s="3">
        <v>0</v>
      </c>
    </row>
    <row r="48" spans="40:40" x14ac:dyDescent="0.35">
      <c r="AN48" s="3">
        <v>0</v>
      </c>
    </row>
    <row r="49" spans="40:40" x14ac:dyDescent="0.35">
      <c r="AN49" s="3">
        <v>0</v>
      </c>
    </row>
    <row r="50" spans="40:40" x14ac:dyDescent="0.35">
      <c r="AN50" s="3">
        <v>0</v>
      </c>
    </row>
    <row r="51" spans="40:40" x14ac:dyDescent="0.35">
      <c r="AN51" s="3">
        <v>0</v>
      </c>
    </row>
    <row r="52" spans="40:40" x14ac:dyDescent="0.35">
      <c r="AN52" s="3">
        <v>0</v>
      </c>
    </row>
    <row r="53" spans="40:40" x14ac:dyDescent="0.35">
      <c r="AN53" s="3">
        <v>0</v>
      </c>
    </row>
    <row r="54" spans="40:40" x14ac:dyDescent="0.35">
      <c r="AN54" s="3">
        <v>0</v>
      </c>
    </row>
    <row r="55" spans="40:40" x14ac:dyDescent="0.35">
      <c r="AN55" s="3">
        <v>0</v>
      </c>
    </row>
    <row r="56" spans="40:40" x14ac:dyDescent="0.35">
      <c r="AN56" s="3">
        <v>0</v>
      </c>
    </row>
    <row r="57" spans="40:40" x14ac:dyDescent="0.35">
      <c r="AN57" s="3">
        <v>0</v>
      </c>
    </row>
    <row r="58" spans="40:40" x14ac:dyDescent="0.35">
      <c r="AN58" s="3">
        <v>0</v>
      </c>
    </row>
    <row r="59" spans="40:40" x14ac:dyDescent="0.35">
      <c r="AN59" s="3">
        <v>0</v>
      </c>
    </row>
    <row r="60" spans="40:40" x14ac:dyDescent="0.35">
      <c r="AN60" s="3">
        <v>0</v>
      </c>
    </row>
    <row r="61" spans="40:40" x14ac:dyDescent="0.35">
      <c r="AN61" s="3">
        <v>0</v>
      </c>
    </row>
    <row r="62" spans="40:40" x14ac:dyDescent="0.35">
      <c r="AN62" s="3">
        <v>0</v>
      </c>
    </row>
    <row r="63" spans="40:40" x14ac:dyDescent="0.35">
      <c r="AN63" s="3">
        <v>0</v>
      </c>
    </row>
    <row r="64" spans="40:40" x14ac:dyDescent="0.35">
      <c r="AN64" s="3">
        <v>0</v>
      </c>
    </row>
    <row r="65" spans="40:40" x14ac:dyDescent="0.35">
      <c r="AN65" s="3">
        <v>0</v>
      </c>
    </row>
    <row r="66" spans="40:40" x14ac:dyDescent="0.35">
      <c r="AN66" s="3">
        <v>0</v>
      </c>
    </row>
    <row r="67" spans="40:40" x14ac:dyDescent="0.35">
      <c r="AN67" s="3">
        <v>0</v>
      </c>
    </row>
    <row r="68" spans="40:40" x14ac:dyDescent="0.35">
      <c r="AN68" s="3">
        <v>0</v>
      </c>
    </row>
    <row r="69" spans="40:40" x14ac:dyDescent="0.35">
      <c r="AN69" s="3">
        <v>0</v>
      </c>
    </row>
    <row r="70" spans="40:40" x14ac:dyDescent="0.35">
      <c r="AN70" s="3">
        <v>0</v>
      </c>
    </row>
    <row r="71" spans="40:40" x14ac:dyDescent="0.35">
      <c r="AN71" s="3">
        <v>0</v>
      </c>
    </row>
    <row r="72" spans="40:40" x14ac:dyDescent="0.35">
      <c r="AN72" s="3">
        <v>0</v>
      </c>
    </row>
    <row r="73" spans="40:40" x14ac:dyDescent="0.35">
      <c r="AN73" s="3">
        <v>0</v>
      </c>
    </row>
    <row r="74" spans="40:40" x14ac:dyDescent="0.35">
      <c r="AN74" s="3">
        <v>0</v>
      </c>
    </row>
    <row r="75" spans="40:40" x14ac:dyDescent="0.35">
      <c r="AN75" s="3">
        <v>0</v>
      </c>
    </row>
    <row r="76" spans="40:40" x14ac:dyDescent="0.35">
      <c r="AN76" s="3">
        <v>0</v>
      </c>
    </row>
    <row r="77" spans="40:40" x14ac:dyDescent="0.35">
      <c r="AN77" s="3">
        <v>0</v>
      </c>
    </row>
    <row r="78" spans="40:40" x14ac:dyDescent="0.35">
      <c r="AN78" s="3">
        <v>0</v>
      </c>
    </row>
    <row r="79" spans="40:40" x14ac:dyDescent="0.35">
      <c r="AN79" s="3">
        <v>0</v>
      </c>
    </row>
    <row r="80" spans="40:40" x14ac:dyDescent="0.35">
      <c r="AN80" s="3">
        <v>0</v>
      </c>
    </row>
    <row r="81" spans="40:40" x14ac:dyDescent="0.35">
      <c r="AN81" s="3">
        <v>0</v>
      </c>
    </row>
    <row r="82" spans="40:40" x14ac:dyDescent="0.35">
      <c r="AN82" s="3">
        <v>0</v>
      </c>
    </row>
    <row r="83" spans="40:40" x14ac:dyDescent="0.35">
      <c r="AN83" s="3">
        <v>0</v>
      </c>
    </row>
    <row r="84" spans="40:40" x14ac:dyDescent="0.35">
      <c r="AN84" s="3">
        <v>0</v>
      </c>
    </row>
    <row r="85" spans="40:40" x14ac:dyDescent="0.35">
      <c r="AN85" s="3">
        <v>0</v>
      </c>
    </row>
    <row r="86" spans="40:40" x14ac:dyDescent="0.35">
      <c r="AN86" s="3">
        <v>0</v>
      </c>
    </row>
    <row r="87" spans="40:40" x14ac:dyDescent="0.35">
      <c r="AN87" s="3">
        <v>0</v>
      </c>
    </row>
    <row r="88" spans="40:40" x14ac:dyDescent="0.35">
      <c r="AN88" s="3">
        <v>0</v>
      </c>
    </row>
    <row r="89" spans="40:40" x14ac:dyDescent="0.35">
      <c r="AN89" s="3">
        <v>0</v>
      </c>
    </row>
    <row r="90" spans="40:40" x14ac:dyDescent="0.35">
      <c r="AN90" s="3">
        <v>0</v>
      </c>
    </row>
    <row r="91" spans="40:40" x14ac:dyDescent="0.35">
      <c r="AN91" s="3">
        <v>0</v>
      </c>
    </row>
    <row r="92" spans="40:40" x14ac:dyDescent="0.35">
      <c r="AN92" s="3">
        <v>0</v>
      </c>
    </row>
    <row r="93" spans="40:40" x14ac:dyDescent="0.35">
      <c r="AN93" s="3">
        <v>0</v>
      </c>
    </row>
    <row r="94" spans="40:40" x14ac:dyDescent="0.35">
      <c r="AN94" s="3">
        <v>0</v>
      </c>
    </row>
    <row r="95" spans="40:40" x14ac:dyDescent="0.35">
      <c r="AN95" s="3">
        <v>0</v>
      </c>
    </row>
    <row r="96" spans="40:40" x14ac:dyDescent="0.35">
      <c r="AN96" s="3">
        <v>0</v>
      </c>
    </row>
    <row r="97" spans="40:40" x14ac:dyDescent="0.35">
      <c r="AN97" s="3">
        <v>0</v>
      </c>
    </row>
    <row r="98" spans="40:40" x14ac:dyDescent="0.35">
      <c r="AN98" s="3">
        <v>0</v>
      </c>
    </row>
    <row r="99" spans="40:40" x14ac:dyDescent="0.35">
      <c r="AN99" s="3">
        <v>0</v>
      </c>
    </row>
    <row r="100" spans="40:40" x14ac:dyDescent="0.35">
      <c r="AN100" s="3">
        <v>0</v>
      </c>
    </row>
    <row r="101" spans="40:40" x14ac:dyDescent="0.35">
      <c r="AN101" s="3">
        <v>0</v>
      </c>
    </row>
    <row r="102" spans="40:40" x14ac:dyDescent="0.35">
      <c r="AN102" s="3">
        <v>0</v>
      </c>
    </row>
    <row r="103" spans="40:40" x14ac:dyDescent="0.35">
      <c r="AN103" s="3">
        <v>0</v>
      </c>
    </row>
    <row r="104" spans="40:40" x14ac:dyDescent="0.35">
      <c r="AN104" s="3">
        <v>0</v>
      </c>
    </row>
    <row r="105" spans="40:40" x14ac:dyDescent="0.35">
      <c r="AN105" s="3">
        <v>0</v>
      </c>
    </row>
    <row r="106" spans="40:40" x14ac:dyDescent="0.35">
      <c r="AN106" s="3">
        <v>0</v>
      </c>
    </row>
    <row r="107" spans="40:40" x14ac:dyDescent="0.35">
      <c r="AN107" s="3">
        <v>0</v>
      </c>
    </row>
    <row r="108" spans="40:40" x14ac:dyDescent="0.35">
      <c r="AN108" s="3">
        <v>0</v>
      </c>
    </row>
    <row r="109" spans="40:40" x14ac:dyDescent="0.35">
      <c r="AN109" s="3">
        <v>0</v>
      </c>
    </row>
    <row r="110" spans="40:40" x14ac:dyDescent="0.35">
      <c r="AN110" s="3">
        <v>0</v>
      </c>
    </row>
    <row r="111" spans="40:40" x14ac:dyDescent="0.35">
      <c r="AN111" s="3">
        <v>0</v>
      </c>
    </row>
    <row r="112" spans="40:40" x14ac:dyDescent="0.35">
      <c r="AN112" s="3">
        <v>0</v>
      </c>
    </row>
    <row r="113" spans="40:40" x14ac:dyDescent="0.35">
      <c r="AN113" s="3">
        <v>0</v>
      </c>
    </row>
    <row r="114" spans="40:40" x14ac:dyDescent="0.35">
      <c r="AN114" s="3">
        <v>0</v>
      </c>
    </row>
    <row r="115" spans="40:40" x14ac:dyDescent="0.35">
      <c r="AN115" s="3">
        <v>0</v>
      </c>
    </row>
    <row r="116" spans="40:40" x14ac:dyDescent="0.35">
      <c r="AN116" s="3">
        <v>0</v>
      </c>
    </row>
    <row r="117" spans="40:40" x14ac:dyDescent="0.35">
      <c r="AN117" s="3">
        <v>0</v>
      </c>
    </row>
    <row r="118" spans="40:40" x14ac:dyDescent="0.35">
      <c r="AN118" s="3">
        <v>0</v>
      </c>
    </row>
    <row r="119" spans="40:40" x14ac:dyDescent="0.35">
      <c r="AN119" s="3">
        <v>0</v>
      </c>
    </row>
    <row r="120" spans="40:40" x14ac:dyDescent="0.35">
      <c r="AN120" s="3">
        <v>0</v>
      </c>
    </row>
    <row r="121" spans="40:40" x14ac:dyDescent="0.35">
      <c r="AN121" s="3">
        <v>0</v>
      </c>
    </row>
    <row r="122" spans="40:40" x14ac:dyDescent="0.35">
      <c r="AN122" s="3">
        <v>0</v>
      </c>
    </row>
    <row r="123" spans="40:40" x14ac:dyDescent="0.35">
      <c r="AN123" s="3">
        <v>0</v>
      </c>
    </row>
    <row r="124" spans="40:40" x14ac:dyDescent="0.35">
      <c r="AN124" s="3">
        <v>0</v>
      </c>
    </row>
    <row r="125" spans="40:40" x14ac:dyDescent="0.35">
      <c r="AN125" s="3">
        <v>0</v>
      </c>
    </row>
    <row r="126" spans="40:40" x14ac:dyDescent="0.35">
      <c r="AN126" s="3">
        <v>0</v>
      </c>
    </row>
    <row r="127" spans="40:40" x14ac:dyDescent="0.35">
      <c r="AN127" s="3">
        <v>0</v>
      </c>
    </row>
    <row r="128" spans="40:40" x14ac:dyDescent="0.35">
      <c r="AN128" s="3">
        <v>0</v>
      </c>
    </row>
    <row r="129" spans="40:40" x14ac:dyDescent="0.35">
      <c r="AN129" s="3">
        <v>0</v>
      </c>
    </row>
    <row r="130" spans="40:40" x14ac:dyDescent="0.35">
      <c r="AN130" s="3">
        <v>0</v>
      </c>
    </row>
    <row r="131" spans="40:40" x14ac:dyDescent="0.35">
      <c r="AN131" s="3">
        <v>0</v>
      </c>
    </row>
    <row r="132" spans="40:40" x14ac:dyDescent="0.35">
      <c r="AN132" s="3">
        <v>0</v>
      </c>
    </row>
    <row r="133" spans="40:40" x14ac:dyDescent="0.35">
      <c r="AN133" s="3">
        <v>0</v>
      </c>
    </row>
    <row r="134" spans="40:40" x14ac:dyDescent="0.35">
      <c r="AN134" s="3">
        <v>0</v>
      </c>
    </row>
    <row r="135" spans="40:40" x14ac:dyDescent="0.35">
      <c r="AN135" s="3">
        <v>0</v>
      </c>
    </row>
    <row r="136" spans="40:40" x14ac:dyDescent="0.35">
      <c r="AN136" s="3">
        <v>0</v>
      </c>
    </row>
    <row r="137" spans="40:40" x14ac:dyDescent="0.35">
      <c r="AN137" s="3">
        <v>0</v>
      </c>
    </row>
    <row r="138" spans="40:40" x14ac:dyDescent="0.35">
      <c r="AN138" s="3">
        <v>0</v>
      </c>
    </row>
    <row r="139" spans="40:40" x14ac:dyDescent="0.35">
      <c r="AN139" s="3">
        <v>0</v>
      </c>
    </row>
    <row r="140" spans="40:40" x14ac:dyDescent="0.35">
      <c r="AN140" s="3">
        <v>0</v>
      </c>
    </row>
    <row r="141" spans="40:40" x14ac:dyDescent="0.35">
      <c r="AN141" s="3">
        <v>0</v>
      </c>
    </row>
    <row r="142" spans="40:40" x14ac:dyDescent="0.35">
      <c r="AN142" s="3">
        <v>0</v>
      </c>
    </row>
    <row r="143" spans="40:40" x14ac:dyDescent="0.35">
      <c r="AN143" s="3">
        <v>0</v>
      </c>
    </row>
    <row r="144" spans="40:40" x14ac:dyDescent="0.35">
      <c r="AN144" s="3">
        <v>0</v>
      </c>
    </row>
    <row r="145" spans="40:40" x14ac:dyDescent="0.35">
      <c r="AN145" s="3">
        <v>0</v>
      </c>
    </row>
    <row r="146" spans="40:40" x14ac:dyDescent="0.35">
      <c r="AN146" s="3">
        <v>0</v>
      </c>
    </row>
    <row r="147" spans="40:40" x14ac:dyDescent="0.35">
      <c r="AN147" s="3">
        <v>0</v>
      </c>
    </row>
    <row r="148" spans="40:40" x14ac:dyDescent="0.35">
      <c r="AN148" s="3">
        <v>0</v>
      </c>
    </row>
    <row r="149" spans="40:40" x14ac:dyDescent="0.35">
      <c r="AN149" s="3">
        <v>0</v>
      </c>
    </row>
    <row r="150" spans="40:40" x14ac:dyDescent="0.35">
      <c r="AN150" s="3">
        <v>0</v>
      </c>
    </row>
    <row r="151" spans="40:40" x14ac:dyDescent="0.35">
      <c r="AN151" s="3">
        <v>0</v>
      </c>
    </row>
    <row r="152" spans="40:40" x14ac:dyDescent="0.35">
      <c r="AN152" s="3">
        <v>0</v>
      </c>
    </row>
    <row r="153" spans="40:40" x14ac:dyDescent="0.35">
      <c r="AN153" s="3">
        <v>0</v>
      </c>
    </row>
    <row r="154" spans="40:40" x14ac:dyDescent="0.35">
      <c r="AN154" s="3">
        <v>0</v>
      </c>
    </row>
    <row r="155" spans="40:40" x14ac:dyDescent="0.35">
      <c r="AN155" s="3">
        <v>0</v>
      </c>
    </row>
    <row r="156" spans="40:40" x14ac:dyDescent="0.35">
      <c r="AN156" s="3">
        <v>0</v>
      </c>
    </row>
    <row r="157" spans="40:40" x14ac:dyDescent="0.35">
      <c r="AN157" s="3">
        <v>0</v>
      </c>
    </row>
    <row r="158" spans="40:40" x14ac:dyDescent="0.35">
      <c r="AN158" s="3">
        <v>0</v>
      </c>
    </row>
    <row r="159" spans="40:40" x14ac:dyDescent="0.35">
      <c r="AN159" s="3">
        <v>0</v>
      </c>
    </row>
    <row r="160" spans="40:40" x14ac:dyDescent="0.35">
      <c r="AN160" s="3">
        <v>0</v>
      </c>
    </row>
    <row r="161" spans="40:40" x14ac:dyDescent="0.35">
      <c r="AN161" s="3">
        <v>0</v>
      </c>
    </row>
    <row r="162" spans="40:40" x14ac:dyDescent="0.35">
      <c r="AN162" s="3">
        <v>0</v>
      </c>
    </row>
    <row r="163" spans="40:40" x14ac:dyDescent="0.35">
      <c r="AN163" s="3">
        <v>0</v>
      </c>
    </row>
    <row r="164" spans="40:40" x14ac:dyDescent="0.35">
      <c r="AN164" s="3">
        <v>0</v>
      </c>
    </row>
    <row r="165" spans="40:40" x14ac:dyDescent="0.35">
      <c r="AN165" s="3">
        <v>0</v>
      </c>
    </row>
    <row r="166" spans="40:40" x14ac:dyDescent="0.35">
      <c r="AN166" s="3">
        <v>0</v>
      </c>
    </row>
    <row r="167" spans="40:40" x14ac:dyDescent="0.35">
      <c r="AN167" s="3">
        <v>0</v>
      </c>
    </row>
    <row r="168" spans="40:40" x14ac:dyDescent="0.35">
      <c r="AN168" s="3">
        <v>0</v>
      </c>
    </row>
    <row r="169" spans="40:40" x14ac:dyDescent="0.35">
      <c r="AN169" s="3">
        <v>0</v>
      </c>
    </row>
    <row r="170" spans="40:40" x14ac:dyDescent="0.35">
      <c r="AN170" s="3">
        <v>0</v>
      </c>
    </row>
    <row r="171" spans="40:40" x14ac:dyDescent="0.35">
      <c r="AN171" s="3">
        <v>0</v>
      </c>
    </row>
    <row r="172" spans="40:40" x14ac:dyDescent="0.35">
      <c r="AN172" s="3">
        <v>0</v>
      </c>
    </row>
    <row r="173" spans="40:40" x14ac:dyDescent="0.35">
      <c r="AN173" s="3">
        <v>0</v>
      </c>
    </row>
    <row r="174" spans="40:40" x14ac:dyDescent="0.35">
      <c r="AN174" s="3">
        <v>0</v>
      </c>
    </row>
    <row r="175" spans="40:40" x14ac:dyDescent="0.35">
      <c r="AN175" s="3">
        <v>0</v>
      </c>
    </row>
    <row r="176" spans="40:40" x14ac:dyDescent="0.35">
      <c r="AN176" s="3">
        <v>0</v>
      </c>
    </row>
    <row r="177" spans="40:40" x14ac:dyDescent="0.35">
      <c r="AN177" s="3">
        <v>0</v>
      </c>
    </row>
    <row r="178" spans="40:40" x14ac:dyDescent="0.35">
      <c r="AN178" s="3">
        <v>0</v>
      </c>
    </row>
    <row r="179" spans="40:40" x14ac:dyDescent="0.35">
      <c r="AN179" s="3">
        <v>0</v>
      </c>
    </row>
    <row r="180" spans="40:40" x14ac:dyDescent="0.35">
      <c r="AN180" s="3">
        <v>0</v>
      </c>
    </row>
    <row r="181" spans="40:40" x14ac:dyDescent="0.35">
      <c r="AN181" s="3">
        <v>0</v>
      </c>
    </row>
    <row r="182" spans="40:40" x14ac:dyDescent="0.35">
      <c r="AN182" s="3">
        <v>0</v>
      </c>
    </row>
    <row r="183" spans="40:40" x14ac:dyDescent="0.35">
      <c r="AN183" s="3">
        <v>0</v>
      </c>
    </row>
    <row r="184" spans="40:40" x14ac:dyDescent="0.35">
      <c r="AN184" s="3">
        <v>0</v>
      </c>
    </row>
    <row r="185" spans="40:40" x14ac:dyDescent="0.35">
      <c r="AN185" s="3">
        <v>0</v>
      </c>
    </row>
    <row r="186" spans="40:40" x14ac:dyDescent="0.35">
      <c r="AN186" s="3">
        <v>0</v>
      </c>
    </row>
    <row r="187" spans="40:40" x14ac:dyDescent="0.35">
      <c r="AN187" s="3">
        <v>0</v>
      </c>
    </row>
    <row r="188" spans="40:40" x14ac:dyDescent="0.35">
      <c r="AN188" s="3">
        <v>0</v>
      </c>
    </row>
    <row r="189" spans="40:40" x14ac:dyDescent="0.35">
      <c r="AN189" s="3">
        <v>0</v>
      </c>
    </row>
    <row r="190" spans="40:40" x14ac:dyDescent="0.35">
      <c r="AN190" s="3">
        <v>0</v>
      </c>
    </row>
    <row r="191" spans="40:40" x14ac:dyDescent="0.35">
      <c r="AN191" s="3">
        <v>0</v>
      </c>
    </row>
    <row r="192" spans="40:40" x14ac:dyDescent="0.35">
      <c r="AN192" s="3">
        <v>0</v>
      </c>
    </row>
    <row r="193" spans="40:40" x14ac:dyDescent="0.35">
      <c r="AN193" s="3">
        <v>0</v>
      </c>
    </row>
    <row r="194" spans="40:40" x14ac:dyDescent="0.35">
      <c r="AN194" s="3">
        <v>0</v>
      </c>
    </row>
    <row r="195" spans="40:40" x14ac:dyDescent="0.35">
      <c r="AN195" s="3">
        <v>0</v>
      </c>
    </row>
    <row r="196" spans="40:40" x14ac:dyDescent="0.35">
      <c r="AN196" s="3">
        <v>0</v>
      </c>
    </row>
    <row r="197" spans="40:40" x14ac:dyDescent="0.35">
      <c r="AN197" s="3">
        <v>0</v>
      </c>
    </row>
    <row r="198" spans="40:40" x14ac:dyDescent="0.35">
      <c r="AN198" s="3">
        <v>0</v>
      </c>
    </row>
    <row r="199" spans="40:40" x14ac:dyDescent="0.35">
      <c r="AN199" s="3">
        <v>0</v>
      </c>
    </row>
    <row r="200" spans="40:40" x14ac:dyDescent="0.35">
      <c r="AN200" s="3">
        <v>0</v>
      </c>
    </row>
    <row r="201" spans="40:40" x14ac:dyDescent="0.35">
      <c r="AN201" s="3">
        <v>0</v>
      </c>
    </row>
    <row r="202" spans="40:40" x14ac:dyDescent="0.35">
      <c r="AN202" s="3">
        <v>0</v>
      </c>
    </row>
    <row r="203" spans="40:40" x14ac:dyDescent="0.35">
      <c r="AN203" s="3">
        <v>0</v>
      </c>
    </row>
    <row r="204" spans="40:40" x14ac:dyDescent="0.35">
      <c r="AN204" s="3">
        <v>0</v>
      </c>
    </row>
    <row r="205" spans="40:40" x14ac:dyDescent="0.35">
      <c r="AN205" s="3">
        <v>0</v>
      </c>
    </row>
    <row r="206" spans="40:40" x14ac:dyDescent="0.35">
      <c r="AN206" s="3">
        <v>0</v>
      </c>
    </row>
    <row r="207" spans="40:40" x14ac:dyDescent="0.35">
      <c r="AN207" s="3">
        <v>0</v>
      </c>
    </row>
    <row r="208" spans="40:40" x14ac:dyDescent="0.35">
      <c r="AN208" s="3">
        <v>0</v>
      </c>
    </row>
    <row r="209" spans="40:40" x14ac:dyDescent="0.35">
      <c r="AN209" s="3">
        <v>0</v>
      </c>
    </row>
    <row r="210" spans="40:40" x14ac:dyDescent="0.35">
      <c r="AN210" s="3">
        <v>0</v>
      </c>
    </row>
    <row r="211" spans="40:40" x14ac:dyDescent="0.35">
      <c r="AN211" s="3">
        <v>0</v>
      </c>
    </row>
    <row r="212" spans="40:40" x14ac:dyDescent="0.35">
      <c r="AN212" s="3">
        <v>0</v>
      </c>
    </row>
    <row r="213" spans="40:40" x14ac:dyDescent="0.35">
      <c r="AN213" s="3">
        <v>0</v>
      </c>
    </row>
    <row r="214" spans="40:40" x14ac:dyDescent="0.35">
      <c r="AN214" s="3">
        <v>0</v>
      </c>
    </row>
    <row r="215" spans="40:40" x14ac:dyDescent="0.35">
      <c r="AN215" s="3">
        <v>0</v>
      </c>
    </row>
    <row r="216" spans="40:40" x14ac:dyDescent="0.35">
      <c r="AN216" s="3">
        <v>0</v>
      </c>
    </row>
    <row r="217" spans="40:40" x14ac:dyDescent="0.35">
      <c r="AN217" s="3">
        <v>0</v>
      </c>
    </row>
    <row r="218" spans="40:40" x14ac:dyDescent="0.35">
      <c r="AN218" s="3">
        <v>0</v>
      </c>
    </row>
    <row r="219" spans="40:40" x14ac:dyDescent="0.35">
      <c r="AN219" s="3">
        <v>0</v>
      </c>
    </row>
    <row r="220" spans="40:40" x14ac:dyDescent="0.35">
      <c r="AN220" s="3">
        <v>0</v>
      </c>
    </row>
    <row r="221" spans="40:40" x14ac:dyDescent="0.35">
      <c r="AN221" s="3">
        <v>0</v>
      </c>
    </row>
    <row r="222" spans="40:40" x14ac:dyDescent="0.35">
      <c r="AN222" s="3">
        <v>0</v>
      </c>
    </row>
    <row r="223" spans="40:40" x14ac:dyDescent="0.35">
      <c r="AN223" s="3">
        <v>0</v>
      </c>
    </row>
    <row r="224" spans="40:40" x14ac:dyDescent="0.35">
      <c r="AN224" s="3">
        <v>0</v>
      </c>
    </row>
    <row r="225" spans="40:40" x14ac:dyDescent="0.35">
      <c r="AN225" s="3">
        <v>0</v>
      </c>
    </row>
    <row r="226" spans="40:40" x14ac:dyDescent="0.35">
      <c r="AN226" s="3">
        <v>0</v>
      </c>
    </row>
    <row r="227" spans="40:40" x14ac:dyDescent="0.35">
      <c r="AN227" s="3">
        <v>0</v>
      </c>
    </row>
    <row r="228" spans="40:40" x14ac:dyDescent="0.35">
      <c r="AN228" s="3">
        <v>0</v>
      </c>
    </row>
    <row r="229" spans="40:40" x14ac:dyDescent="0.35">
      <c r="AN229" s="3">
        <v>0</v>
      </c>
    </row>
    <row r="230" spans="40:40" x14ac:dyDescent="0.35">
      <c r="AN230" s="3">
        <v>0</v>
      </c>
    </row>
    <row r="231" spans="40:40" x14ac:dyDescent="0.35">
      <c r="AN231" s="3">
        <v>0</v>
      </c>
    </row>
    <row r="232" spans="40:40" x14ac:dyDescent="0.35">
      <c r="AN232" s="3">
        <v>0</v>
      </c>
    </row>
    <row r="233" spans="40:40" x14ac:dyDescent="0.35">
      <c r="AN233" s="3">
        <v>0</v>
      </c>
    </row>
    <row r="234" spans="40:40" x14ac:dyDescent="0.35">
      <c r="AN234" s="3">
        <v>0</v>
      </c>
    </row>
    <row r="235" spans="40:40" x14ac:dyDescent="0.35">
      <c r="AN235" s="3">
        <v>0</v>
      </c>
    </row>
    <row r="236" spans="40:40" x14ac:dyDescent="0.35">
      <c r="AN236" s="3">
        <v>0</v>
      </c>
    </row>
    <row r="237" spans="40:40" x14ac:dyDescent="0.35">
      <c r="AN237" s="3">
        <v>0</v>
      </c>
    </row>
    <row r="238" spans="40:40" x14ac:dyDescent="0.35">
      <c r="AN238" s="3">
        <v>0</v>
      </c>
    </row>
    <row r="239" spans="40:40" x14ac:dyDescent="0.35">
      <c r="AN239" s="3">
        <v>0</v>
      </c>
    </row>
    <row r="240" spans="40:40" x14ac:dyDescent="0.35">
      <c r="AN240" s="3">
        <v>0</v>
      </c>
    </row>
    <row r="241" spans="40:40" x14ac:dyDescent="0.35">
      <c r="AN241" s="3">
        <v>0</v>
      </c>
    </row>
    <row r="242" spans="40:40" x14ac:dyDescent="0.35">
      <c r="AN242" s="3">
        <v>0</v>
      </c>
    </row>
    <row r="243" spans="40:40" x14ac:dyDescent="0.35">
      <c r="AN243" s="3">
        <v>0</v>
      </c>
    </row>
    <row r="244" spans="40:40" x14ac:dyDescent="0.35">
      <c r="AN244" s="3">
        <v>0</v>
      </c>
    </row>
    <row r="245" spans="40:40" x14ac:dyDescent="0.35">
      <c r="AN245" s="3">
        <v>0</v>
      </c>
    </row>
    <row r="246" spans="40:40" x14ac:dyDescent="0.35">
      <c r="AN246" s="3">
        <v>0</v>
      </c>
    </row>
    <row r="247" spans="40:40" x14ac:dyDescent="0.35">
      <c r="AN247" s="3">
        <v>0</v>
      </c>
    </row>
    <row r="248" spans="40:40" x14ac:dyDescent="0.35">
      <c r="AN248" s="3">
        <v>0</v>
      </c>
    </row>
    <row r="249" spans="40:40" x14ac:dyDescent="0.35">
      <c r="AN249" s="3">
        <v>0</v>
      </c>
    </row>
    <row r="250" spans="40:40" x14ac:dyDescent="0.35">
      <c r="AN250" s="3">
        <v>0</v>
      </c>
    </row>
    <row r="251" spans="40:40" x14ac:dyDescent="0.35">
      <c r="AN251" s="3">
        <v>0</v>
      </c>
    </row>
    <row r="252" spans="40:40" x14ac:dyDescent="0.35">
      <c r="AN252" s="3">
        <v>0</v>
      </c>
    </row>
    <row r="253" spans="40:40" x14ac:dyDescent="0.35">
      <c r="AN253" s="3">
        <v>0</v>
      </c>
    </row>
    <row r="254" spans="40:40" x14ac:dyDescent="0.35">
      <c r="AN254" s="3">
        <v>0</v>
      </c>
    </row>
    <row r="255" spans="40:40" x14ac:dyDescent="0.35">
      <c r="AN255" s="3">
        <v>0</v>
      </c>
    </row>
  </sheetData>
  <hyperlinks>
    <hyperlink ref="AD3" location="'Negotiation Savings'!A1" display="Open Negotiation Savings / latest budget" xr:uid="{00000000-0004-0000-1C00-000000000000}"/>
    <hyperlink ref="L6" r:id="rId1" display="https://stena.sharepoint.com/:b:/r/sites/KERRY/Shared Documents/Dry dock 2027/Specification items/3103.01/Qoute/Quotation_7078856.pdf?d=wb457e4885dda4f86b03d64a9b32e5e34&amp;csf=1&amp;web=1&amp;e=AIu7S6" xr:uid="{00000000-0004-0000-1C00-000001000000}"/>
    <hyperlink ref="M6" r:id="rId2" xr:uid="{00000000-0004-0000-1C00-000002000000}"/>
    <hyperlink ref="L7" r:id="rId3" display="C:\Users\mikkelr\Stena\Kerry - Documents\Dry dock 2027\Specification items\1001.02 Corrosion prevention anodes\Quote\6082705 Salg - tilbud 16572.pdf" xr:uid="{00000000-0004-0000-1C00-000003000000}"/>
    <hyperlink ref="M7" r:id="rId4" xr:uid="{00000000-0004-0000-1C00-000004000000}"/>
    <hyperlink ref="L8" r:id="rId5" display="https://stena.sharepoint.com/:b:/r/sites/KERRY/Shared Documents/Dry dock 2027/Specification items/300.01 Paint specification/Revision 2/MV Kerry repair DD 2027 Quotation 2026-09-22.pdf?d=wff191d737943412290bf93fd0606a64c&amp;csf=1&amp;web=1&amp;e=ND5pwC" xr:uid="{00000000-0004-0000-1C00-000005000000}"/>
    <hyperlink ref="M8" r:id="rId6" xr:uid="{00000000-0004-0000-1C00-000006000000}"/>
    <hyperlink ref="L9" r:id="rId7" display="https://stena.sharepoint.com/:b:/r/sites/KERRY/Shared Documents/Dry dock 2027/Specification items/300.01 Paint specification/Kerry IMO 9243447 - Project Quotation - 2026-10-03_053511.pdf?d=w2706cbe4e8dc46d7b66c9c8bc5965345&amp;csf=1&amp;web=1&amp;e=7XwTdX" xr:uid="{00000000-0004-0000-1C00-000007000000}"/>
    <hyperlink ref="M9" r:id="rId8" xr:uid="{00000000-0004-0000-1C00-000008000000}"/>
    <hyperlink ref="L11" r:id="rId9" display="https://stena.sharepoint.com/:b:/r/sites/KERRY/Shared Documents/Dry dock 2027/Specification items/3812.01 Stabilizers/Q3432026 KER.pdf?d=wfae0e3e6b37442c0a41207b07117bb82&amp;csf=1&amp;web=1&amp;e=puS2v6" xr:uid="{00000000-0004-0000-1C00-000009000000}"/>
    <hyperlink ref="M11" r:id="rId10" xr:uid="{00000000-0004-0000-1C00-00000A000000}"/>
    <hyperlink ref="L12" r:id="rId11" display="https://stena.sharepoint.com/:b:/r/sites/KERRY/Shared Documents/Dry dock 2027/Specification items/3149.02 Governor overhaul/75270Q KERRY.pdf?d=w6f4c92a131414b58ab13c768e62aa6e0&amp;csf=1&amp;web=1&amp;e=mX2A5c" xr:uid="{00000000-0004-0000-1C00-00000B000000}"/>
    <hyperlink ref="M12" r:id="rId12" xr:uid="{00000000-0004-0000-1C00-00000C000000}"/>
    <hyperlink ref="L13" r:id="rId13" display="https://stena.sharepoint.com/:b:/r/sites/KERRY/Shared Documents/Dry dock 2027/Specification items/3149.02 Governor overhaul/Quotation - SO11842B TURNER.pdf?d=w7030e7f7fb53426086280bdde72ce8a0&amp;csf=1&amp;web=1&amp;e=kxFlkv" xr:uid="{00000000-0004-0000-1C00-00000D000000}"/>
    <hyperlink ref="M13" r:id="rId14" xr:uid="{00000000-0004-0000-1C00-00000E000000}"/>
    <hyperlink ref="L14" r:id="rId15" display="https://stena.sharepoint.com/:b:/r/sites/KERRY/Shared Documents/Dry dock 2027/Specification items/1500.01 Fire detection system/Q-329241-STENA RORO NAVIGATION LTD (DRC KERRY)--KERRY (1).pdf?d=wdf0630e0ecdb4cc5ba450720d784418e&amp;csf=1&amp;web=1&amp;e=HhQnOK" xr:uid="{00000000-0004-0000-1C00-00000F000000}"/>
    <hyperlink ref="M14" r:id="rId16" xr:uid="{00000000-0004-0000-1C00-000010000000}"/>
    <hyperlink ref="L16" r:id="rId17" display="https://stena.sharepoint.com/:b:/r/sites/KERRY/Shared Documents/Dry dock 2027/Specification items/3811.02 Thruster PLC upgrade/0004258326_0_0.pdf?d=wf56756d737494c3d81d021ab017550da&amp;csf=1&amp;web=1&amp;e=L5J0TD" xr:uid="{00000000-0004-0000-1C00-000011000000}"/>
    <hyperlink ref="M16" r:id="rId18" xr:uid="{00000000-0004-0000-1C00-000012000000}"/>
    <hyperlink ref="L17" r:id="rId19" display="https://stena.sharepoint.com/:b:/r/sites/KERRY/Shared Documents/Dry dock 2027/Specification items/3811.01 Bow thrusters overhaul/Quote service/0004258303_0_0.pdf?d=w7d517b2ab93847399ada98fdb3257796&amp;csf=1&amp;web=1&amp;e=7bNjnt" xr:uid="{00000000-0004-0000-1C00-000013000000}"/>
    <hyperlink ref="M17" r:id="rId20" xr:uid="{00000000-0004-0000-1C00-000014000000}"/>
    <hyperlink ref="L18" r:id="rId21" display="https://stena.sharepoint.com/:b:/r/sites/KERRY/Shared Documents/Dry dock 2027/Specification items/1303.01 Steering gears overhaul/Quotes/Neuver Service Quotation.pdf?d=w1562006030c147e6a4a87bc306e55bbe&amp;csf=1&amp;web=1&amp;e=teFGol" xr:uid="{00000000-0004-0000-1C00-000015000000}"/>
    <hyperlink ref="M18" r:id="rId22" xr:uid="{00000000-0004-0000-1C00-000016000000}"/>
    <hyperlink ref="L19" r:id="rId23" display="https://stena.sharepoint.com/:b:/r/sites/KERRY/Shared Documents/Dry dock 2027/Specification items/1303.01 Steering gears overhaul/Quotes/SalesQuotation.pdf?d=w33d7dd5549e8488b82854196410fb329&amp;csf=1&amp;web=1&amp;e=nx5vKq" xr:uid="{00000000-0004-0000-1C00-000017000000}"/>
    <hyperlink ref="M19" r:id="rId24" xr:uid="{00000000-0004-0000-1C00-000018000000}"/>
    <hyperlink ref="L20" r:id="rId25" display="https://stena.sharepoint.com/:b:/r/sites/KERRY/Shared Documents/Dry dock 2027/Specification items/3811.01 Bow thrusters overhaul/Quote shaft seal including gear housing/0004258302_0_0.pdf?d=we50bc6d8a2e049bc9b4d88e461669632&amp;csf=1&amp;web=1&amp;e=IYkDBR" xr:uid="{00000000-0004-0000-1C00-000019000000}"/>
    <hyperlink ref="M20" r:id="rId26" xr:uid="{00000000-0004-0000-1C00-00001A000000}"/>
    <hyperlink ref="L21" r:id="rId27" display="https://stena.sharepoint.com/:b:/r/sites/KERRY/Shared Documents/Dry dock 2027/Specification items/3802.01 Stern tube seals/0301354849_KERRY.PDF?d=w66263dba612b4284a33d8fe64c77c0eb&amp;csf=1&amp;web=1&amp;e=M2UatT" xr:uid="{00000000-0004-0000-1C00-00001B000000}"/>
    <hyperlink ref="M21" r:id="rId28" xr:uid="{00000000-0004-0000-1C00-00001C000000}"/>
    <hyperlink ref="L22" r:id="rId29" display="https://stena.sharepoint.com/:b:/r/sites/KERRY/Shared Documents/Dry dock 2027/Specification items/3801.01 Propeller hub overhaul/W%C3%A4rtsil%C3%A4 Service Offer - SO-152338 - 1.0KERRY sterntube seals.pdf?d=wf2ebc9c1211944748c18244fed7f0376&amp;csf=1&amp;web=1&amp;e=BnNCMu" xr:uid="{00000000-0004-0000-1C00-00001D000000}"/>
    <hyperlink ref="M22" r:id="rId30" xr:uid="{00000000-0004-0000-1C00-00001E000000}"/>
    <hyperlink ref="L23" r:id="rId31" display="https://stena.sharepoint.com/:b:/r/sites/KERRY/Shared Documents/Dry dock 2027/Specification items/3801.01 Propeller hub overhaul/W%C3%A4rtsil%C3%A4 Service Offer - SO-152313 - 1.0.pdf?d=w4997b397fb5248458334d5c676c222bc&amp;csf=1&amp;web=1&amp;e=UPSSvR" xr:uid="{00000000-0004-0000-1C00-00001F000000}"/>
    <hyperlink ref="M23" r:id="rId32" xr:uid="{00000000-0004-0000-1C00-000020000000}"/>
    <hyperlink ref="L24" r:id="rId33" display="https://stena.sharepoint.com/:b:/r/sites/KERRY/Shared Documents/Dry dock 2027/Specification items/3812.01 Stabilizers/Q3432026 KER.pdf?d=wfae0e3e6b37442c0a41207b07117bb82&amp;csf=1&amp;web=1&amp;e=YYIs4q" xr:uid="{00000000-0004-0000-1C00-000021000000}"/>
    <hyperlink ref="M24" r:id="rId34" xr:uid="{00000000-0004-0000-1C00-000022000000}"/>
    <hyperlink ref="L25" r:id="rId35" display="https://stena.sharepoint.com/:b:/r/sites/KERRY/Shared Documents/Dry dock 2027/Specification items/3812.01 Stabilizers/Q3432026 KER.pdf?d=wfae0e3e6b37442c0a41207b07117bb82&amp;csf=1&amp;web=1&amp;e=YYIs4q" xr:uid="{00000000-0004-0000-1C00-000023000000}"/>
    <hyperlink ref="M25" r:id="rId36" xr:uid="{00000000-0004-0000-1C00-000024000000}"/>
    <hyperlink ref="L26" r:id="rId37" display="https://stena.sharepoint.com/:b:/r/sites/KERRY/Shared Documents/Dry dock 2027/Specification items/300.01 Paint specification/Nippon/DD Paint specification 2610008 - mv KERRY - EU - 2026.pdf?d=w4272d19aef004db3a6b8b5ce16b1f107&amp;csf=1&amp;web=1&amp;e=FElS3K" xr:uid="{00000000-0004-0000-1C00-000025000000}"/>
    <hyperlink ref="M26" r:id="rId38" xr:uid="{00000000-0004-0000-1C00-000026000000}"/>
  </hyperlink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V21"/>
  <sheetViews>
    <sheetView workbookViewId="0"/>
  </sheetViews>
  <sheetFormatPr defaultRowHeight="14.5" x14ac:dyDescent="0.35"/>
  <sheetData>
    <row r="1" spans="1:22" x14ac:dyDescent="0.35">
      <c r="A1" s="1" t="s">
        <v>1024</v>
      </c>
      <c r="D1" s="1" t="s">
        <v>1025</v>
      </c>
      <c r="F1" s="1" t="s">
        <v>1026</v>
      </c>
    </row>
    <row r="2" spans="1:22" x14ac:dyDescent="0.35">
      <c r="A2" s="1" t="s">
        <v>1027</v>
      </c>
    </row>
    <row r="3" spans="1:22" x14ac:dyDescent="0.35">
      <c r="A3" s="1" t="s">
        <v>1028</v>
      </c>
    </row>
    <row r="4" spans="1:22" x14ac:dyDescent="0.35">
      <c r="A4" s="1" t="s">
        <v>1029</v>
      </c>
      <c r="B4" s="1" t="s">
        <v>1029</v>
      </c>
      <c r="C4" s="1" t="s">
        <v>1029</v>
      </c>
      <c r="D4" s="1" t="s">
        <v>1029</v>
      </c>
      <c r="E4" s="1" t="s">
        <v>1029</v>
      </c>
      <c r="F4" s="1" t="s">
        <v>1029</v>
      </c>
      <c r="G4" s="1" t="s">
        <v>1029</v>
      </c>
      <c r="H4" s="1" t="s">
        <v>1029</v>
      </c>
      <c r="I4" s="1" t="s">
        <v>1029</v>
      </c>
      <c r="J4" s="1" t="s">
        <v>898</v>
      </c>
      <c r="K4" s="1" t="s">
        <v>898</v>
      </c>
      <c r="L4" s="1" t="s">
        <v>898</v>
      </c>
      <c r="M4" s="1" t="s">
        <v>898</v>
      </c>
      <c r="N4" s="1" t="s">
        <v>898</v>
      </c>
      <c r="O4" s="1" t="s">
        <v>898</v>
      </c>
      <c r="P4" s="1" t="s">
        <v>898</v>
      </c>
      <c r="Q4" s="1" t="s">
        <v>898</v>
      </c>
      <c r="R4" s="1" t="s">
        <v>898</v>
      </c>
      <c r="S4" s="1" t="s">
        <v>898</v>
      </c>
      <c r="T4" s="1" t="s">
        <v>898</v>
      </c>
    </row>
    <row r="5" spans="1:22" x14ac:dyDescent="0.35">
      <c r="A5" s="1" t="s">
        <v>343</v>
      </c>
      <c r="B5" s="1" t="s">
        <v>931</v>
      </c>
      <c r="C5" s="1" t="s">
        <v>1030</v>
      </c>
      <c r="D5" s="1" t="s">
        <v>347</v>
      </c>
      <c r="E5" s="1" t="s">
        <v>348</v>
      </c>
      <c r="F5" s="1" t="s">
        <v>349</v>
      </c>
      <c r="G5" s="1" t="s">
        <v>1031</v>
      </c>
      <c r="H5" s="1" t="s">
        <v>902</v>
      </c>
      <c r="I5" s="1" t="s">
        <v>69</v>
      </c>
      <c r="J5" s="1" t="s">
        <v>914</v>
      </c>
      <c r="K5" s="1" t="s">
        <v>904</v>
      </c>
      <c r="L5" s="1" t="s">
        <v>906</v>
      </c>
      <c r="M5" s="1" t="s">
        <v>1032</v>
      </c>
      <c r="N5" s="1" t="s">
        <v>502</v>
      </c>
      <c r="O5" s="1" t="s">
        <v>1033</v>
      </c>
      <c r="P5" s="1" t="s">
        <v>1034</v>
      </c>
      <c r="Q5" s="1" t="s">
        <v>1035</v>
      </c>
      <c r="R5" s="1" t="s">
        <v>1036</v>
      </c>
      <c r="S5" s="1" t="s">
        <v>1037</v>
      </c>
      <c r="T5" s="1" t="s">
        <v>1038</v>
      </c>
      <c r="U5" s="1" t="s">
        <v>1039</v>
      </c>
      <c r="V5" s="1" t="s">
        <v>1040</v>
      </c>
    </row>
    <row r="6" spans="1:22" x14ac:dyDescent="0.35">
      <c r="A6" s="1" t="s">
        <v>356</v>
      </c>
      <c r="B6" s="1" t="s">
        <v>357</v>
      </c>
      <c r="C6" s="1" t="s">
        <v>358</v>
      </c>
      <c r="D6" s="1" t="s">
        <v>360</v>
      </c>
      <c r="E6" s="1" t="s">
        <v>361</v>
      </c>
      <c r="H6" s="1" t="s">
        <v>362</v>
      </c>
      <c r="I6" s="1" t="s">
        <v>364</v>
      </c>
      <c r="K6" s="1">
        <v>1</v>
      </c>
      <c r="L6" s="1">
        <v>1</v>
      </c>
      <c r="M6" s="1" t="s">
        <v>1032</v>
      </c>
      <c r="N6" s="4">
        <v>44800</v>
      </c>
      <c r="O6" s="4">
        <v>44800</v>
      </c>
      <c r="P6" s="4">
        <v>0</v>
      </c>
      <c r="Q6" s="1" t="s">
        <v>356</v>
      </c>
      <c r="R6" s="1">
        <v>1</v>
      </c>
      <c r="S6" s="1" t="s">
        <v>961</v>
      </c>
      <c r="T6" s="1">
        <v>1</v>
      </c>
      <c r="U6" s="1" t="s">
        <v>1041</v>
      </c>
      <c r="V6" s="1">
        <v>1</v>
      </c>
    </row>
    <row r="7" spans="1:22" x14ac:dyDescent="0.35">
      <c r="A7" s="1" t="s">
        <v>365</v>
      </c>
      <c r="B7" s="1" t="s">
        <v>366</v>
      </c>
      <c r="C7" s="1" t="s">
        <v>367</v>
      </c>
      <c r="D7" s="1" t="s">
        <v>369</v>
      </c>
      <c r="E7" s="1" t="s">
        <v>370</v>
      </c>
      <c r="F7" s="1">
        <v>70268900</v>
      </c>
      <c r="G7" s="1" t="s">
        <v>371</v>
      </c>
      <c r="H7" s="1" t="s">
        <v>372</v>
      </c>
      <c r="I7" s="1" t="s">
        <v>79</v>
      </c>
      <c r="K7" s="1">
        <v>1</v>
      </c>
      <c r="L7" s="1">
        <v>1</v>
      </c>
      <c r="M7" s="1" t="s">
        <v>1032</v>
      </c>
      <c r="N7" s="4">
        <v>8426.7781419303046</v>
      </c>
      <c r="O7" s="4">
        <v>8426.7781419303046</v>
      </c>
      <c r="P7" s="4">
        <v>0</v>
      </c>
      <c r="Q7" s="1" t="s">
        <v>365</v>
      </c>
      <c r="R7" s="1">
        <v>1</v>
      </c>
      <c r="S7" s="1" t="s">
        <v>964</v>
      </c>
      <c r="T7" s="1">
        <v>1</v>
      </c>
      <c r="U7" s="1" t="s">
        <v>1042</v>
      </c>
      <c r="V7" s="1">
        <v>1</v>
      </c>
    </row>
    <row r="8" spans="1:22" x14ac:dyDescent="0.35">
      <c r="A8" s="1" t="s">
        <v>373</v>
      </c>
      <c r="B8" s="1" t="s">
        <v>374</v>
      </c>
      <c r="C8" s="1" t="s">
        <v>375</v>
      </c>
      <c r="D8" s="1" t="s">
        <v>377</v>
      </c>
      <c r="E8" s="1" t="s">
        <v>378</v>
      </c>
      <c r="F8" s="1">
        <v>709187649</v>
      </c>
      <c r="G8" s="1" t="s">
        <v>379</v>
      </c>
      <c r="H8" s="1" t="s">
        <v>372</v>
      </c>
      <c r="I8" s="1" t="s">
        <v>79</v>
      </c>
      <c r="K8" s="1">
        <v>1</v>
      </c>
      <c r="L8" s="1">
        <v>0</v>
      </c>
      <c r="M8" s="1" t="s">
        <v>1032</v>
      </c>
      <c r="N8" s="4">
        <v>0</v>
      </c>
      <c r="O8" s="4">
        <v>0</v>
      </c>
      <c r="P8" s="4">
        <v>0</v>
      </c>
      <c r="Q8" s="1" t="s">
        <v>373</v>
      </c>
      <c r="R8" s="1">
        <v>1</v>
      </c>
      <c r="S8" s="1" t="s">
        <v>968</v>
      </c>
      <c r="T8" s="1">
        <v>0</v>
      </c>
      <c r="U8" s="1" t="s">
        <v>1043</v>
      </c>
      <c r="V8" s="1">
        <v>1</v>
      </c>
    </row>
    <row r="9" spans="1:22" x14ac:dyDescent="0.35">
      <c r="A9" s="1" t="s">
        <v>380</v>
      </c>
      <c r="B9" s="1" t="s">
        <v>381</v>
      </c>
      <c r="C9" s="1" t="s">
        <v>375</v>
      </c>
      <c r="D9" s="1" t="s">
        <v>383</v>
      </c>
      <c r="E9" s="1" t="s">
        <v>384</v>
      </c>
      <c r="F9" s="1">
        <v>627136325</v>
      </c>
      <c r="G9" s="1" t="s">
        <v>385</v>
      </c>
      <c r="H9" s="1" t="s">
        <v>362</v>
      </c>
      <c r="I9" s="1" t="s">
        <v>79</v>
      </c>
      <c r="K9" s="1">
        <v>1</v>
      </c>
      <c r="L9" s="1">
        <v>0</v>
      </c>
      <c r="M9" s="1" t="s">
        <v>1032</v>
      </c>
      <c r="N9" s="4">
        <v>0</v>
      </c>
      <c r="O9" s="4">
        <v>0</v>
      </c>
      <c r="P9" s="4">
        <v>0</v>
      </c>
      <c r="Q9" s="1" t="s">
        <v>380</v>
      </c>
      <c r="R9" s="1">
        <v>1</v>
      </c>
      <c r="S9" s="1" t="s">
        <v>971</v>
      </c>
      <c r="T9" s="1">
        <v>0</v>
      </c>
      <c r="U9" s="1" t="s">
        <v>1044</v>
      </c>
      <c r="V9" s="1">
        <v>1</v>
      </c>
    </row>
    <row r="10" spans="1:22" x14ac:dyDescent="0.35">
      <c r="A10" s="1" t="s">
        <v>386</v>
      </c>
      <c r="B10" s="1" t="s">
        <v>387</v>
      </c>
      <c r="C10" s="1" t="s">
        <v>388</v>
      </c>
      <c r="D10" s="1" t="s">
        <v>370</v>
      </c>
      <c r="E10" s="1" t="s">
        <v>370</v>
      </c>
      <c r="F10" s="1" t="s">
        <v>370</v>
      </c>
      <c r="G10" s="1" t="s">
        <v>370</v>
      </c>
      <c r="H10" s="1" t="s">
        <v>390</v>
      </c>
      <c r="I10" s="1" t="s">
        <v>79</v>
      </c>
      <c r="K10" s="1">
        <v>1</v>
      </c>
      <c r="L10" s="1">
        <v>0</v>
      </c>
      <c r="M10" s="1" t="s">
        <v>1032</v>
      </c>
      <c r="N10" s="4">
        <v>0</v>
      </c>
      <c r="O10" s="4">
        <v>0</v>
      </c>
      <c r="P10" s="4">
        <v>0</v>
      </c>
      <c r="Q10" s="1" t="s">
        <v>386</v>
      </c>
      <c r="R10" s="1">
        <v>1</v>
      </c>
      <c r="S10" s="1" t="s">
        <v>975</v>
      </c>
      <c r="T10" s="1">
        <v>0</v>
      </c>
      <c r="U10" s="1" t="s">
        <v>1045</v>
      </c>
      <c r="V10" s="1">
        <v>1</v>
      </c>
    </row>
    <row r="11" spans="1:22" x14ac:dyDescent="0.35">
      <c r="A11" s="1" t="s">
        <v>391</v>
      </c>
      <c r="B11" s="1" t="s">
        <v>392</v>
      </c>
      <c r="C11" s="1" t="s">
        <v>393</v>
      </c>
      <c r="D11" s="1" t="s">
        <v>395</v>
      </c>
      <c r="E11" s="1" t="s">
        <v>396</v>
      </c>
      <c r="F11" s="1">
        <v>3470637034</v>
      </c>
      <c r="G11" s="1" t="s">
        <v>397</v>
      </c>
      <c r="H11" s="1" t="s">
        <v>398</v>
      </c>
      <c r="I11" s="1" t="s">
        <v>79</v>
      </c>
      <c r="K11" s="1">
        <v>4</v>
      </c>
      <c r="L11" s="1">
        <v>1</v>
      </c>
      <c r="M11" s="1" t="s">
        <v>1032</v>
      </c>
      <c r="N11" s="4">
        <v>250000</v>
      </c>
      <c r="O11" s="4">
        <v>250000</v>
      </c>
      <c r="P11" s="4">
        <v>0</v>
      </c>
      <c r="Q11" s="1" t="s">
        <v>391</v>
      </c>
      <c r="R11" s="1">
        <v>1</v>
      </c>
      <c r="S11" s="1" t="s">
        <v>978</v>
      </c>
      <c r="T11" s="1">
        <v>1</v>
      </c>
      <c r="U11" s="1" t="s">
        <v>1046</v>
      </c>
      <c r="V11" s="1">
        <v>1</v>
      </c>
    </row>
    <row r="12" spans="1:22" x14ac:dyDescent="0.35">
      <c r="A12" s="1" t="s">
        <v>399</v>
      </c>
      <c r="B12" s="1" t="s">
        <v>400</v>
      </c>
      <c r="C12" s="1" t="s">
        <v>401</v>
      </c>
      <c r="D12" s="1" t="s">
        <v>370</v>
      </c>
      <c r="E12" s="1" t="s">
        <v>370</v>
      </c>
      <c r="F12" s="1" t="s">
        <v>370</v>
      </c>
      <c r="G12" s="1" t="s">
        <v>379</v>
      </c>
      <c r="H12" s="1" t="s">
        <v>403</v>
      </c>
      <c r="I12" s="1" t="s">
        <v>79</v>
      </c>
      <c r="J12" s="1" t="s">
        <v>1047</v>
      </c>
      <c r="K12" s="1">
        <v>3</v>
      </c>
      <c r="L12" s="1">
        <v>0</v>
      </c>
      <c r="M12" s="1" t="s">
        <v>1032</v>
      </c>
      <c r="N12" s="4">
        <v>0</v>
      </c>
      <c r="O12" s="4">
        <v>0</v>
      </c>
      <c r="P12" s="4">
        <v>0</v>
      </c>
      <c r="Q12" s="1" t="s">
        <v>399</v>
      </c>
      <c r="R12" s="1">
        <v>1</v>
      </c>
      <c r="S12" s="1" t="s">
        <v>1008</v>
      </c>
      <c r="T12" s="1">
        <v>0</v>
      </c>
      <c r="U12" s="1" t="s">
        <v>1048</v>
      </c>
      <c r="V12" s="1">
        <v>1</v>
      </c>
    </row>
    <row r="13" spans="1:22" x14ac:dyDescent="0.35">
      <c r="A13" s="1" t="s">
        <v>399</v>
      </c>
      <c r="B13" s="1" t="s">
        <v>400</v>
      </c>
      <c r="C13" s="1" t="s">
        <v>404</v>
      </c>
      <c r="D13" s="1" t="s">
        <v>406</v>
      </c>
      <c r="E13" s="1" t="s">
        <v>407</v>
      </c>
      <c r="F13" s="1" t="s">
        <v>408</v>
      </c>
      <c r="G13" s="1" t="s">
        <v>379</v>
      </c>
      <c r="H13" s="1" t="s">
        <v>409</v>
      </c>
      <c r="I13" s="1" t="s">
        <v>79</v>
      </c>
      <c r="J13" s="1" t="s">
        <v>1047</v>
      </c>
      <c r="K13" s="1">
        <v>3</v>
      </c>
      <c r="L13" s="1">
        <v>0</v>
      </c>
      <c r="M13" s="1" t="s">
        <v>1032</v>
      </c>
      <c r="N13" s="4">
        <v>0</v>
      </c>
      <c r="O13" s="4">
        <v>0</v>
      </c>
      <c r="P13" s="4">
        <v>0</v>
      </c>
      <c r="R13" s="1">
        <v>2</v>
      </c>
      <c r="S13" s="1" t="s">
        <v>1011</v>
      </c>
      <c r="T13" s="1">
        <v>0</v>
      </c>
      <c r="U13" s="1" t="s">
        <v>1048</v>
      </c>
      <c r="V13" s="1">
        <v>2</v>
      </c>
    </row>
    <row r="14" spans="1:22" x14ac:dyDescent="0.35">
      <c r="A14" s="1" t="s">
        <v>410</v>
      </c>
      <c r="B14" s="1" t="s">
        <v>411</v>
      </c>
      <c r="C14" s="1" t="s">
        <v>412</v>
      </c>
      <c r="E14" s="1" t="s">
        <v>414</v>
      </c>
      <c r="F14" s="1" t="s">
        <v>415</v>
      </c>
      <c r="G14" s="1" t="s">
        <v>416</v>
      </c>
      <c r="H14" s="1" t="s">
        <v>417</v>
      </c>
      <c r="I14" s="1" t="s">
        <v>79</v>
      </c>
      <c r="K14" s="1">
        <v>1</v>
      </c>
      <c r="L14" s="1">
        <v>0</v>
      </c>
      <c r="M14" s="1" t="s">
        <v>1032</v>
      </c>
      <c r="N14" s="4">
        <v>0</v>
      </c>
      <c r="O14" s="4">
        <v>0</v>
      </c>
      <c r="P14" s="4">
        <v>0</v>
      </c>
      <c r="Q14" s="1" t="s">
        <v>410</v>
      </c>
      <c r="R14" s="1">
        <v>1</v>
      </c>
      <c r="S14" s="1" t="s">
        <v>981</v>
      </c>
      <c r="T14" s="1">
        <v>0</v>
      </c>
      <c r="U14" s="1" t="s">
        <v>1049</v>
      </c>
      <c r="V14" s="1">
        <v>1</v>
      </c>
    </row>
    <row r="15" spans="1:22" x14ac:dyDescent="0.35">
      <c r="A15" s="1" t="s">
        <v>418</v>
      </c>
      <c r="B15" s="1" t="s">
        <v>419</v>
      </c>
      <c r="C15" s="1" t="s">
        <v>412</v>
      </c>
      <c r="D15" s="1" t="s">
        <v>370</v>
      </c>
      <c r="E15" s="1" t="s">
        <v>421</v>
      </c>
      <c r="F15" s="1" t="s">
        <v>422</v>
      </c>
      <c r="G15" s="1" t="s">
        <v>385</v>
      </c>
      <c r="H15" s="1" t="s">
        <v>423</v>
      </c>
      <c r="I15" s="1" t="s">
        <v>79</v>
      </c>
      <c r="K15" s="1">
        <v>1</v>
      </c>
      <c r="L15" s="1">
        <v>0</v>
      </c>
      <c r="M15" s="1" t="s">
        <v>1032</v>
      </c>
      <c r="N15" s="4">
        <v>0</v>
      </c>
      <c r="O15" s="4">
        <v>0</v>
      </c>
      <c r="P15" s="4">
        <v>0</v>
      </c>
      <c r="Q15" s="1" t="s">
        <v>418</v>
      </c>
      <c r="R15" s="1">
        <v>1</v>
      </c>
      <c r="S15" s="1" t="s">
        <v>984</v>
      </c>
      <c r="T15" s="1">
        <v>0</v>
      </c>
      <c r="U15" s="1" t="s">
        <v>1050</v>
      </c>
      <c r="V15" s="1">
        <v>1</v>
      </c>
    </row>
    <row r="16" spans="1:22" x14ac:dyDescent="0.35">
      <c r="A16" s="1" t="s">
        <v>424</v>
      </c>
      <c r="B16" s="1" t="s">
        <v>425</v>
      </c>
      <c r="C16" s="1" t="s">
        <v>426</v>
      </c>
      <c r="D16" s="1" t="s">
        <v>428</v>
      </c>
      <c r="E16" s="1" t="s">
        <v>429</v>
      </c>
      <c r="F16" s="1">
        <v>91919555</v>
      </c>
      <c r="G16" s="1" t="s">
        <v>430</v>
      </c>
      <c r="H16" s="1" t="s">
        <v>431</v>
      </c>
      <c r="I16" s="1" t="s">
        <v>79</v>
      </c>
      <c r="K16" s="1">
        <v>1</v>
      </c>
      <c r="L16" s="1">
        <v>0</v>
      </c>
      <c r="M16" s="1" t="s">
        <v>1032</v>
      </c>
      <c r="N16" s="4">
        <v>0</v>
      </c>
      <c r="O16" s="4">
        <v>0</v>
      </c>
      <c r="P16" s="4">
        <v>0</v>
      </c>
      <c r="Q16" s="1" t="s">
        <v>424</v>
      </c>
      <c r="R16" s="1">
        <v>1</v>
      </c>
      <c r="S16" s="1" t="s">
        <v>987</v>
      </c>
      <c r="T16" s="1">
        <v>0</v>
      </c>
      <c r="U16" s="1" t="s">
        <v>1051</v>
      </c>
      <c r="V16" s="1">
        <v>1</v>
      </c>
    </row>
    <row r="17" spans="1:22" x14ac:dyDescent="0.35">
      <c r="A17" s="1" t="s">
        <v>432</v>
      </c>
      <c r="B17" s="1" t="s">
        <v>433</v>
      </c>
      <c r="C17" s="1" t="s">
        <v>426</v>
      </c>
      <c r="D17" s="1" t="s">
        <v>435</v>
      </c>
      <c r="E17" s="1" t="s">
        <v>436</v>
      </c>
      <c r="F17" s="1" t="s">
        <v>437</v>
      </c>
      <c r="G17" s="1" t="s">
        <v>416</v>
      </c>
      <c r="H17" s="1" t="s">
        <v>438</v>
      </c>
      <c r="I17" s="1" t="s">
        <v>79</v>
      </c>
      <c r="K17" s="1">
        <v>1</v>
      </c>
      <c r="L17" s="1">
        <v>0</v>
      </c>
      <c r="M17" s="1" t="s">
        <v>1032</v>
      </c>
      <c r="N17" s="4">
        <v>0</v>
      </c>
      <c r="O17" s="4">
        <v>0</v>
      </c>
      <c r="P17" s="4">
        <v>0</v>
      </c>
      <c r="Q17" s="1" t="s">
        <v>432</v>
      </c>
      <c r="R17" s="1">
        <v>1</v>
      </c>
      <c r="S17" s="1" t="s">
        <v>990</v>
      </c>
      <c r="T17" s="1">
        <v>0</v>
      </c>
      <c r="U17" s="1" t="s">
        <v>1052</v>
      </c>
      <c r="V17" s="1">
        <v>1</v>
      </c>
    </row>
    <row r="18" spans="1:22" x14ac:dyDescent="0.35">
      <c r="A18" s="1" t="s">
        <v>439</v>
      </c>
      <c r="B18" s="1" t="s">
        <v>440</v>
      </c>
      <c r="C18" s="1" t="s">
        <v>441</v>
      </c>
      <c r="E18" s="1" t="s">
        <v>443</v>
      </c>
      <c r="F18" s="1" t="s">
        <v>444</v>
      </c>
      <c r="G18" s="1" t="s">
        <v>430</v>
      </c>
      <c r="H18" s="1" t="s">
        <v>445</v>
      </c>
      <c r="I18" s="1" t="s">
        <v>79</v>
      </c>
      <c r="K18" s="1">
        <v>3</v>
      </c>
      <c r="L18" s="1">
        <v>2</v>
      </c>
      <c r="M18" s="1" t="s">
        <v>1032</v>
      </c>
      <c r="N18" s="4">
        <v>144229.4649446494</v>
      </c>
      <c r="O18" s="4">
        <v>144229.4649446494</v>
      </c>
      <c r="P18" s="4">
        <v>0</v>
      </c>
      <c r="Q18" s="1" t="s">
        <v>439</v>
      </c>
      <c r="R18" s="1">
        <v>1</v>
      </c>
      <c r="S18" s="1" t="s">
        <v>993</v>
      </c>
      <c r="T18" s="1">
        <v>1</v>
      </c>
      <c r="U18" s="1" t="s">
        <v>1053</v>
      </c>
      <c r="V18" s="1">
        <v>1</v>
      </c>
    </row>
    <row r="19" spans="1:22" x14ac:dyDescent="0.35">
      <c r="A19" s="1" t="s">
        <v>446</v>
      </c>
      <c r="B19" s="1" t="s">
        <v>447</v>
      </c>
      <c r="C19" s="1" t="s">
        <v>448</v>
      </c>
      <c r="D19" s="1" t="s">
        <v>450</v>
      </c>
      <c r="E19" s="1" t="s">
        <v>451</v>
      </c>
      <c r="F19" s="1" t="s">
        <v>452</v>
      </c>
      <c r="G19" s="1" t="s">
        <v>430</v>
      </c>
      <c r="H19" s="1" t="s">
        <v>453</v>
      </c>
      <c r="I19" s="1" t="s">
        <v>79</v>
      </c>
      <c r="J19" s="1" t="s">
        <v>1047</v>
      </c>
      <c r="K19" s="1">
        <v>2</v>
      </c>
      <c r="L19" s="1">
        <v>1</v>
      </c>
      <c r="M19" s="1" t="s">
        <v>1032</v>
      </c>
      <c r="N19" s="4">
        <v>42681</v>
      </c>
      <c r="O19" s="4">
        <v>42681</v>
      </c>
      <c r="P19" s="4">
        <v>0</v>
      </c>
      <c r="Q19" s="1" t="s">
        <v>446</v>
      </c>
      <c r="R19" s="1">
        <v>1</v>
      </c>
      <c r="S19" s="1" t="s">
        <v>999</v>
      </c>
      <c r="T19" s="1">
        <v>1</v>
      </c>
      <c r="U19" s="1" t="s">
        <v>1054</v>
      </c>
      <c r="V19" s="1">
        <v>1</v>
      </c>
    </row>
    <row r="20" spans="1:22" x14ac:dyDescent="0.35">
      <c r="A20" s="1" t="s">
        <v>446</v>
      </c>
      <c r="B20" s="1" t="s">
        <v>447</v>
      </c>
      <c r="C20" s="1" t="s">
        <v>454</v>
      </c>
      <c r="D20" s="1" t="s">
        <v>450</v>
      </c>
      <c r="E20" s="1" t="s">
        <v>451</v>
      </c>
      <c r="F20" s="1" t="s">
        <v>452</v>
      </c>
      <c r="G20" s="1" t="s">
        <v>430</v>
      </c>
      <c r="H20" s="1" t="s">
        <v>456</v>
      </c>
      <c r="I20" s="1" t="s">
        <v>79</v>
      </c>
      <c r="J20" s="1" t="s">
        <v>1047</v>
      </c>
      <c r="K20" s="1">
        <v>2</v>
      </c>
      <c r="L20" s="1">
        <v>1</v>
      </c>
      <c r="M20" s="1" t="s">
        <v>1032</v>
      </c>
      <c r="N20" s="4">
        <v>42681</v>
      </c>
      <c r="O20" s="4">
        <v>42681</v>
      </c>
      <c r="P20" s="4">
        <v>0</v>
      </c>
      <c r="R20" s="1">
        <v>2</v>
      </c>
      <c r="S20" s="1" t="s">
        <v>1002</v>
      </c>
      <c r="T20" s="1">
        <v>0</v>
      </c>
      <c r="U20" s="1" t="s">
        <v>1054</v>
      </c>
      <c r="V20" s="1">
        <v>2</v>
      </c>
    </row>
    <row r="21" spans="1:22" x14ac:dyDescent="0.35">
      <c r="A21" s="1" t="s">
        <v>457</v>
      </c>
      <c r="B21" s="1" t="s">
        <v>458</v>
      </c>
      <c r="C21" s="1" t="s">
        <v>375</v>
      </c>
      <c r="D21" s="1" t="s">
        <v>460</v>
      </c>
      <c r="E21" s="1" t="s">
        <v>461</v>
      </c>
      <c r="F21" s="1" t="s">
        <v>370</v>
      </c>
      <c r="G21" s="1" t="s">
        <v>462</v>
      </c>
      <c r="H21" s="1" t="s">
        <v>445</v>
      </c>
      <c r="I21" s="1" t="s">
        <v>79</v>
      </c>
      <c r="K21" s="1">
        <v>1</v>
      </c>
      <c r="L21" s="1">
        <v>0</v>
      </c>
      <c r="M21" s="1" t="s">
        <v>1032</v>
      </c>
      <c r="N21" s="4">
        <v>0</v>
      </c>
      <c r="O21" s="4">
        <v>0</v>
      </c>
      <c r="P21" s="4">
        <v>0</v>
      </c>
      <c r="Q21" s="1" t="s">
        <v>457</v>
      </c>
      <c r="R21" s="1">
        <v>1</v>
      </c>
      <c r="S21" s="1" t="s">
        <v>1021</v>
      </c>
      <c r="T21" s="1">
        <v>0</v>
      </c>
      <c r="U21" s="1" t="s">
        <v>1055</v>
      </c>
      <c r="V21" s="1">
        <v>1</v>
      </c>
    </row>
  </sheetData>
  <hyperlinks>
    <hyperlink ref="A6" location="'Suppliers'!A9" display="A1" xr:uid="{00000000-0004-0000-1D00-000000000000}"/>
    <hyperlink ref="B6" location="'Suppliers'!A9" display="RENK" xr:uid="{00000000-0004-0000-1D00-000001000000}"/>
    <hyperlink ref="A7" location="'Suppliers'!A10" display="A2" xr:uid="{00000000-0004-0000-1D00-000002000000}"/>
    <hyperlink ref="B7" location="'Suppliers'!A10" display="BAC IMPALLOY" xr:uid="{00000000-0004-0000-1D00-000003000000}"/>
    <hyperlink ref="A8" location="'Suppliers'!A11" display="A3" xr:uid="{00000000-0004-0000-1D00-000004000000}"/>
    <hyperlink ref="B8" location="'Suppliers'!A11" display="HEMPEL" xr:uid="{00000000-0004-0000-1D00-000005000000}"/>
    <hyperlink ref="A9" location="'Suppliers'!A12" display="A4" xr:uid="{00000000-0004-0000-1D00-000006000000}"/>
    <hyperlink ref="B9" location="'Suppliers'!A12" display="Chugoku paints" xr:uid="{00000000-0004-0000-1D00-000007000000}"/>
    <hyperlink ref="A10" location="'Suppliers'!A13" display="A5" xr:uid="{00000000-0004-0000-1D00-000008000000}"/>
    <hyperlink ref="B10" location="'Suppliers'!A13" display="MAN" xr:uid="{00000000-0004-0000-1D00-000009000000}"/>
    <hyperlink ref="A11" location="'Suppliers'!A14" display="A6" xr:uid="{00000000-0004-0000-1D00-00000A000000}"/>
    <hyperlink ref="B11" location="'Suppliers'!A14" display="PINNFABB" xr:uid="{00000000-0004-0000-1D00-00000B000000}"/>
    <hyperlink ref="A12" location="'Suppliers'!A15" display="A7" xr:uid="{00000000-0004-0000-1D00-00000C000000}"/>
    <hyperlink ref="B12" location="'Suppliers'!A15" display="WÀRTSILA" xr:uid="{00000000-0004-0000-1D00-00000D000000}"/>
    <hyperlink ref="A13" location="'Suppliers'!A16" display="A7" xr:uid="{00000000-0004-0000-1D00-00000E000000}"/>
    <hyperlink ref="B13" location="'Suppliers'!A16" display="WÀRTSILA" xr:uid="{00000000-0004-0000-1D00-00000F000000}"/>
    <hyperlink ref="A14" location="'Suppliers'!A17" display="A8" xr:uid="{00000000-0004-0000-1D00-000010000000}"/>
    <hyperlink ref="B14" location="'Suppliers'!A17" display="PJCircular" xr:uid="{00000000-0004-0000-1D00-000011000000}"/>
    <hyperlink ref="A15" location="'Suppliers'!A18" display="A8.1" xr:uid="{00000000-0004-0000-1D00-000012000000}"/>
    <hyperlink ref="B15" location="'Suppliers'!A18" display="TURNER " xr:uid="{00000000-0004-0000-1D00-000013000000}"/>
    <hyperlink ref="A16" location="'Suppliers'!A19" display="F1" xr:uid="{00000000-0004-0000-1D00-000014000000}"/>
    <hyperlink ref="B16" location="'Suppliers'!A19" display="Autronica Fire and Security AS" xr:uid="{00000000-0004-0000-1D00-000015000000}"/>
    <hyperlink ref="A17" location="'Suppliers'!A20" display="F2" xr:uid="{00000000-0004-0000-1D00-000016000000}"/>
    <hyperlink ref="B17" location="'Suppliers'!A20" display="Consillium" xr:uid="{00000000-0004-0000-1D00-000017000000}"/>
    <hyperlink ref="A18" location="'Suppliers'!A21" display="A9" xr:uid="{00000000-0004-0000-1D00-000018000000}"/>
    <hyperlink ref="B18" location="'Suppliers'!A21" display="BRUNVOLL" xr:uid="{00000000-0004-0000-1D00-000019000000}"/>
    <hyperlink ref="A19" location="'Suppliers'!A22" display="A10" xr:uid="{00000000-0004-0000-1D00-00001A000000}"/>
    <hyperlink ref="B19" location="'Suppliers'!A22" display="Neuver maritime " xr:uid="{00000000-0004-0000-1D00-00001B000000}"/>
    <hyperlink ref="A20" location="'Suppliers'!A23" display="A10" xr:uid="{00000000-0004-0000-1D00-00001C000000}"/>
    <hyperlink ref="B20" location="'Suppliers'!A23" display="Neuver maritime " xr:uid="{00000000-0004-0000-1D00-00001D000000}"/>
    <hyperlink ref="A21" location="'Suppliers'!A24" display="A11" xr:uid="{00000000-0004-0000-1D00-00001E000000}"/>
    <hyperlink ref="B21" location="'Suppliers'!A24" display="NIPPON" xr:uid="{00000000-0004-0000-1D00-00001F000000}"/>
  </hyperlink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D18"/>
  <sheetViews>
    <sheetView workbookViewId="0"/>
  </sheetViews>
  <sheetFormatPr defaultRowHeight="14.5" x14ac:dyDescent="0.35"/>
  <sheetData>
    <row r="1" spans="1:4" x14ac:dyDescent="0.35">
      <c r="A1" s="1" t="s">
        <v>1056</v>
      </c>
    </row>
    <row r="2" spans="1:4" x14ac:dyDescent="0.35">
      <c r="A2" s="1" t="s">
        <v>1057</v>
      </c>
    </row>
    <row r="5" spans="1:4" x14ac:dyDescent="0.35">
      <c r="A5" s="1" t="s">
        <v>1058</v>
      </c>
      <c r="B5" s="1" t="s">
        <v>1059</v>
      </c>
      <c r="C5" s="1" t="s">
        <v>1060</v>
      </c>
      <c r="D5" s="1" t="s">
        <v>902</v>
      </c>
    </row>
    <row r="6" spans="1:4" x14ac:dyDescent="0.35">
      <c r="A6" s="1" t="s">
        <v>899</v>
      </c>
      <c r="B6" s="1" t="s">
        <v>743</v>
      </c>
      <c r="C6" s="1" t="s">
        <v>897</v>
      </c>
      <c r="D6" s="1" t="s">
        <v>1061</v>
      </c>
    </row>
    <row r="7" spans="1:4" x14ac:dyDescent="0.35">
      <c r="A7" s="1" t="s">
        <v>903</v>
      </c>
      <c r="B7" s="1" t="s">
        <v>745</v>
      </c>
      <c r="C7" s="1" t="s">
        <v>897</v>
      </c>
      <c r="D7" s="1" t="s">
        <v>1062</v>
      </c>
    </row>
    <row r="8" spans="1:4" x14ac:dyDescent="0.35">
      <c r="A8" s="1" t="s">
        <v>747</v>
      </c>
      <c r="B8" s="1">
        <v>9243447</v>
      </c>
      <c r="C8" s="1" t="s">
        <v>897</v>
      </c>
      <c r="D8" s="1" t="s">
        <v>1063</v>
      </c>
    </row>
    <row r="9" spans="1:4" x14ac:dyDescent="0.35">
      <c r="A9" s="1" t="s">
        <v>1064</v>
      </c>
      <c r="B9" s="1" t="s">
        <v>749</v>
      </c>
      <c r="C9" s="1" t="s">
        <v>897</v>
      </c>
      <c r="D9" s="1" t="s">
        <v>1065</v>
      </c>
    </row>
    <row r="10" spans="1:4" x14ac:dyDescent="0.35">
      <c r="A10" s="1" t="s">
        <v>751</v>
      </c>
      <c r="B10" s="1" t="s">
        <v>752</v>
      </c>
      <c r="C10" s="1" t="s">
        <v>897</v>
      </c>
      <c r="D10" s="1" t="s">
        <v>1066</v>
      </c>
    </row>
    <row r="11" spans="1:4" x14ac:dyDescent="0.35">
      <c r="A11" s="1" t="s">
        <v>1067</v>
      </c>
      <c r="B11" s="1" t="s">
        <v>754</v>
      </c>
      <c r="C11" s="1" t="s">
        <v>897</v>
      </c>
      <c r="D11" s="1" t="s">
        <v>1068</v>
      </c>
    </row>
    <row r="12" spans="1:4" x14ac:dyDescent="0.35">
      <c r="A12" s="1" t="s">
        <v>1069</v>
      </c>
      <c r="B12" s="1">
        <v>2027</v>
      </c>
      <c r="C12" s="1" t="s">
        <v>897</v>
      </c>
      <c r="D12" s="1" t="s">
        <v>1070</v>
      </c>
    </row>
    <row r="13" spans="1:4" x14ac:dyDescent="0.35">
      <c r="A13" s="1" t="s">
        <v>63</v>
      </c>
      <c r="B13" s="1" t="s">
        <v>77</v>
      </c>
      <c r="C13" s="1" t="s">
        <v>897</v>
      </c>
      <c r="D13" s="1" t="s">
        <v>1071</v>
      </c>
    </row>
    <row r="14" spans="1:4" x14ac:dyDescent="0.35">
      <c r="A14" s="1" t="s">
        <v>902</v>
      </c>
      <c r="C14" s="1" t="s">
        <v>897</v>
      </c>
      <c r="D14" s="1" t="s">
        <v>1072</v>
      </c>
    </row>
    <row r="16" spans="1:4" x14ac:dyDescent="0.35">
      <c r="A16" s="1" t="s">
        <v>1073</v>
      </c>
      <c r="B16" s="1" t="s">
        <v>1074</v>
      </c>
    </row>
    <row r="18" spans="1:1" x14ac:dyDescent="0.35">
      <c r="A18" s="1" t="s">
        <v>1075</v>
      </c>
    </row>
  </sheetData>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Q86"/>
  <sheetViews>
    <sheetView workbookViewId="0"/>
  </sheetViews>
  <sheetFormatPr defaultRowHeight="14.5" x14ac:dyDescent="0.35"/>
  <sheetData>
    <row r="1" spans="1:17" x14ac:dyDescent="0.35">
      <c r="A1" s="1" t="s">
        <v>1076</v>
      </c>
    </row>
    <row r="2" spans="1:17" x14ac:dyDescent="0.35">
      <c r="A2" s="1" t="s">
        <v>1077</v>
      </c>
    </row>
    <row r="4" spans="1:17" x14ac:dyDescent="0.35">
      <c r="A4" s="1" t="s">
        <v>58</v>
      </c>
      <c r="C4" s="1" t="s">
        <v>473</v>
      </c>
      <c r="E4" s="1" t="s">
        <v>476</v>
      </c>
      <c r="J4" s="1" t="s">
        <v>1078</v>
      </c>
      <c r="K4" s="1" t="s">
        <v>748</v>
      </c>
      <c r="M4" s="1" t="s">
        <v>1079</v>
      </c>
      <c r="O4" s="1" t="s">
        <v>1080</v>
      </c>
      <c r="Q4" s="1" t="s">
        <v>57</v>
      </c>
    </row>
    <row r="5" spans="1:17" x14ac:dyDescent="0.35">
      <c r="A5" s="1" t="s">
        <v>901</v>
      </c>
      <c r="C5" s="1" t="s">
        <v>1081</v>
      </c>
      <c r="E5" s="1" t="s">
        <v>476</v>
      </c>
      <c r="F5" s="1" t="s">
        <v>1082</v>
      </c>
      <c r="G5" s="1" t="s">
        <v>906</v>
      </c>
      <c r="H5" s="1" t="s">
        <v>1083</v>
      </c>
      <c r="I5" s="1" t="s">
        <v>1084</v>
      </c>
      <c r="J5" s="1" t="s">
        <v>1085</v>
      </c>
      <c r="K5" s="1" t="s">
        <v>1064</v>
      </c>
      <c r="M5" s="1" t="s">
        <v>1086</v>
      </c>
      <c r="O5" s="1" t="s">
        <v>1087</v>
      </c>
      <c r="Q5" s="1" t="s">
        <v>57</v>
      </c>
    </row>
    <row r="6" spans="1:17" x14ac:dyDescent="0.35">
      <c r="A6" s="1" t="s">
        <v>76</v>
      </c>
      <c r="C6" s="1" t="s">
        <v>87</v>
      </c>
      <c r="E6" s="1" t="s">
        <v>523</v>
      </c>
      <c r="F6" s="2">
        <v>62994.38</v>
      </c>
      <c r="G6" s="1">
        <v>1</v>
      </c>
      <c r="H6" s="1">
        <v>2</v>
      </c>
      <c r="I6" s="1" t="s">
        <v>1088</v>
      </c>
      <c r="J6" s="5">
        <v>7.4755000000000003</v>
      </c>
      <c r="K6" s="1" t="s">
        <v>771</v>
      </c>
      <c r="M6" s="1" t="s">
        <v>79</v>
      </c>
      <c r="O6" s="1" t="s">
        <v>1089</v>
      </c>
      <c r="Q6" s="1" t="s">
        <v>179</v>
      </c>
    </row>
    <row r="7" spans="1:17" x14ac:dyDescent="0.35">
      <c r="A7" s="1" t="s">
        <v>87</v>
      </c>
      <c r="C7" s="1" t="s">
        <v>82</v>
      </c>
      <c r="E7" s="1" t="s">
        <v>516</v>
      </c>
      <c r="F7" s="2">
        <v>337481</v>
      </c>
      <c r="G7" s="1">
        <v>3</v>
      </c>
      <c r="H7" s="1">
        <v>14</v>
      </c>
      <c r="I7" s="1" t="s">
        <v>1090</v>
      </c>
      <c r="J7" s="5">
        <v>1</v>
      </c>
      <c r="K7" s="1" t="s">
        <v>772</v>
      </c>
      <c r="M7" s="1" t="s">
        <v>773</v>
      </c>
      <c r="O7" s="1" t="s">
        <v>526</v>
      </c>
      <c r="Q7" s="1" t="s">
        <v>159</v>
      </c>
    </row>
    <row r="8" spans="1:17" x14ac:dyDescent="0.35">
      <c r="A8" s="1" t="s">
        <v>82</v>
      </c>
      <c r="C8" s="1" t="s">
        <v>557</v>
      </c>
      <c r="E8" s="1" t="s">
        <v>775</v>
      </c>
      <c r="F8" s="2">
        <v>0</v>
      </c>
      <c r="G8" s="1">
        <v>0</v>
      </c>
      <c r="H8" s="1">
        <v>0</v>
      </c>
      <c r="I8" s="1" t="s">
        <v>1091</v>
      </c>
      <c r="J8" s="5">
        <v>1.1403000000000001</v>
      </c>
      <c r="K8" s="1" t="s">
        <v>777</v>
      </c>
      <c r="O8" s="1" t="s">
        <v>530</v>
      </c>
      <c r="Q8" s="1" t="s">
        <v>776</v>
      </c>
    </row>
    <row r="9" spans="1:17" x14ac:dyDescent="0.35">
      <c r="A9" s="1" t="s">
        <v>557</v>
      </c>
      <c r="C9" s="1" t="s">
        <v>515</v>
      </c>
      <c r="E9" s="1" t="s">
        <v>779</v>
      </c>
      <c r="F9" s="2">
        <v>0</v>
      </c>
      <c r="G9" s="1">
        <v>0</v>
      </c>
      <c r="H9" s="1">
        <v>0</v>
      </c>
      <c r="I9" s="1" t="s">
        <v>1092</v>
      </c>
      <c r="J9" s="5">
        <v>11.29</v>
      </c>
      <c r="K9" s="1" t="s">
        <v>780</v>
      </c>
      <c r="O9" s="1" t="s">
        <v>1093</v>
      </c>
      <c r="Q9" s="1" t="s">
        <v>75</v>
      </c>
    </row>
    <row r="10" spans="1:17" x14ac:dyDescent="0.35">
      <c r="A10" s="1" t="s">
        <v>781</v>
      </c>
      <c r="C10" s="1" t="s">
        <v>782</v>
      </c>
      <c r="E10" s="1" t="s">
        <v>560</v>
      </c>
      <c r="F10" s="2">
        <v>1563447.4</v>
      </c>
      <c r="G10" s="1">
        <v>2</v>
      </c>
      <c r="H10" s="1">
        <v>3</v>
      </c>
      <c r="I10" s="1" t="s">
        <v>1094</v>
      </c>
      <c r="J10" s="5">
        <v>10.84</v>
      </c>
      <c r="K10" s="1" t="s">
        <v>783</v>
      </c>
      <c r="O10" s="1" t="s">
        <v>1095</v>
      </c>
      <c r="Q10" s="1" t="s">
        <v>116</v>
      </c>
    </row>
    <row r="11" spans="1:17" x14ac:dyDescent="0.35">
      <c r="A11" s="1" t="s">
        <v>784</v>
      </c>
      <c r="C11" s="1" t="s">
        <v>785</v>
      </c>
      <c r="E11" s="1" t="s">
        <v>786</v>
      </c>
      <c r="F11" s="2">
        <v>0</v>
      </c>
      <c r="G11" s="1">
        <v>0</v>
      </c>
      <c r="H11" s="1">
        <v>0</v>
      </c>
      <c r="I11" s="1" t="s">
        <v>1096</v>
      </c>
      <c r="J11" s="5">
        <v>0.86045000000000005</v>
      </c>
      <c r="K11" s="1" t="s">
        <v>787</v>
      </c>
      <c r="O11" s="1" t="s">
        <v>1097</v>
      </c>
      <c r="Q11" s="1" t="s">
        <v>163</v>
      </c>
    </row>
    <row r="12" spans="1:17" x14ac:dyDescent="0.35">
      <c r="A12" s="1" t="s">
        <v>788</v>
      </c>
      <c r="C12" s="1" t="s">
        <v>789</v>
      </c>
      <c r="K12" s="1" t="s">
        <v>790</v>
      </c>
      <c r="O12" s="1" t="s">
        <v>1098</v>
      </c>
      <c r="Q12" s="1" t="s">
        <v>790</v>
      </c>
    </row>
    <row r="13" spans="1:17" x14ac:dyDescent="0.35">
      <c r="K13" s="1" t="s">
        <v>749</v>
      </c>
      <c r="O13" s="1" t="s">
        <v>1099</v>
      </c>
    </row>
    <row r="14" spans="1:17" x14ac:dyDescent="0.35">
      <c r="O14" s="1" t="s">
        <v>1100</v>
      </c>
    </row>
    <row r="15" spans="1:17" x14ac:dyDescent="0.35">
      <c r="O15" s="1" t="s">
        <v>1101</v>
      </c>
    </row>
    <row r="16" spans="1:17" x14ac:dyDescent="0.35">
      <c r="O16" s="1" t="s">
        <v>1102</v>
      </c>
    </row>
    <row r="17" spans="15:15" x14ac:dyDescent="0.35">
      <c r="O17" s="1" t="s">
        <v>1103</v>
      </c>
    </row>
    <row r="18" spans="15:15" x14ac:dyDescent="0.35">
      <c r="O18" s="1" t="s">
        <v>1104</v>
      </c>
    </row>
    <row r="19" spans="15:15" x14ac:dyDescent="0.35">
      <c r="O19" s="1" t="s">
        <v>1105</v>
      </c>
    </row>
    <row r="20" spans="15:15" x14ac:dyDescent="0.35">
      <c r="O20" s="1" t="s">
        <v>1106</v>
      </c>
    </row>
    <row r="21" spans="15:15" x14ac:dyDescent="0.35">
      <c r="O21" s="1" t="s">
        <v>1107</v>
      </c>
    </row>
    <row r="22" spans="15:15" x14ac:dyDescent="0.35">
      <c r="O22" s="1" t="s">
        <v>1108</v>
      </c>
    </row>
    <row r="23" spans="15:15" x14ac:dyDescent="0.35">
      <c r="O23" s="1" t="s">
        <v>1109</v>
      </c>
    </row>
    <row r="24" spans="15:15" x14ac:dyDescent="0.35">
      <c r="O24" s="1" t="s">
        <v>1110</v>
      </c>
    </row>
    <row r="25" spans="15:15" x14ac:dyDescent="0.35">
      <c r="O25" s="1" t="s">
        <v>1111</v>
      </c>
    </row>
    <row r="26" spans="15:15" x14ac:dyDescent="0.35">
      <c r="O26" s="1" t="s">
        <v>1112</v>
      </c>
    </row>
    <row r="27" spans="15:15" x14ac:dyDescent="0.35">
      <c r="O27" s="1" t="s">
        <v>1113</v>
      </c>
    </row>
    <row r="28" spans="15:15" x14ac:dyDescent="0.35">
      <c r="O28" s="1" t="s">
        <v>1114</v>
      </c>
    </row>
    <row r="29" spans="15:15" x14ac:dyDescent="0.35">
      <c r="O29" s="1" t="s">
        <v>1115</v>
      </c>
    </row>
    <row r="30" spans="15:15" x14ac:dyDescent="0.35">
      <c r="O30" s="1" t="s">
        <v>1116</v>
      </c>
    </row>
    <row r="31" spans="15:15" x14ac:dyDescent="0.35">
      <c r="O31" s="1" t="s">
        <v>1117</v>
      </c>
    </row>
    <row r="32" spans="15:15" x14ac:dyDescent="0.35">
      <c r="O32" s="1" t="s">
        <v>1118</v>
      </c>
    </row>
    <row r="33" spans="15:15" x14ac:dyDescent="0.35">
      <c r="O33" s="1" t="s">
        <v>1119</v>
      </c>
    </row>
    <row r="34" spans="15:15" x14ac:dyDescent="0.35">
      <c r="O34" s="1" t="s">
        <v>1120</v>
      </c>
    </row>
    <row r="35" spans="15:15" x14ac:dyDescent="0.35">
      <c r="O35" s="1" t="s">
        <v>1121</v>
      </c>
    </row>
    <row r="36" spans="15:15" x14ac:dyDescent="0.35">
      <c r="O36" s="1" t="s">
        <v>1122</v>
      </c>
    </row>
    <row r="37" spans="15:15" x14ac:dyDescent="0.35">
      <c r="O37" s="1" t="s">
        <v>576</v>
      </c>
    </row>
    <row r="38" spans="15:15" x14ac:dyDescent="0.35">
      <c r="O38" s="1" t="s">
        <v>1123</v>
      </c>
    </row>
    <row r="39" spans="15:15" x14ac:dyDescent="0.35">
      <c r="O39" s="1" t="s">
        <v>1124</v>
      </c>
    </row>
    <row r="40" spans="15:15" x14ac:dyDescent="0.35">
      <c r="O40" s="1" t="s">
        <v>1125</v>
      </c>
    </row>
    <row r="41" spans="15:15" x14ac:dyDescent="0.35">
      <c r="O41" s="1" t="s">
        <v>1126</v>
      </c>
    </row>
    <row r="42" spans="15:15" x14ac:dyDescent="0.35">
      <c r="O42" s="1" t="s">
        <v>1127</v>
      </c>
    </row>
    <row r="43" spans="15:15" x14ac:dyDescent="0.35">
      <c r="O43" s="1" t="s">
        <v>1128</v>
      </c>
    </row>
    <row r="44" spans="15:15" x14ac:dyDescent="0.35">
      <c r="O44" s="1" t="s">
        <v>1129</v>
      </c>
    </row>
    <row r="45" spans="15:15" x14ac:dyDescent="0.35">
      <c r="O45" s="1" t="s">
        <v>1130</v>
      </c>
    </row>
    <row r="46" spans="15:15" x14ac:dyDescent="0.35">
      <c r="O46" s="1" t="s">
        <v>1131</v>
      </c>
    </row>
    <row r="47" spans="15:15" x14ac:dyDescent="0.35">
      <c r="O47" s="1" t="s">
        <v>1132</v>
      </c>
    </row>
    <row r="48" spans="15:15" x14ac:dyDescent="0.35">
      <c r="O48" s="1" t="s">
        <v>1133</v>
      </c>
    </row>
    <row r="49" spans="15:15" x14ac:dyDescent="0.35">
      <c r="O49" s="1" t="s">
        <v>1134</v>
      </c>
    </row>
    <row r="50" spans="15:15" x14ac:dyDescent="0.35">
      <c r="O50" s="1" t="s">
        <v>1135</v>
      </c>
    </row>
    <row r="51" spans="15:15" x14ac:dyDescent="0.35">
      <c r="O51" s="1" t="s">
        <v>1136</v>
      </c>
    </row>
    <row r="52" spans="15:15" x14ac:dyDescent="0.35">
      <c r="O52" s="1" t="s">
        <v>1137</v>
      </c>
    </row>
    <row r="53" spans="15:15" x14ac:dyDescent="0.35">
      <c r="O53" s="1" t="s">
        <v>555</v>
      </c>
    </row>
    <row r="54" spans="15:15" x14ac:dyDescent="0.35">
      <c r="O54" s="1" t="s">
        <v>1138</v>
      </c>
    </row>
    <row r="55" spans="15:15" x14ac:dyDescent="0.35">
      <c r="O55" s="1" t="s">
        <v>1139</v>
      </c>
    </row>
    <row r="56" spans="15:15" x14ac:dyDescent="0.35">
      <c r="O56" s="1" t="s">
        <v>1140</v>
      </c>
    </row>
    <row r="57" spans="15:15" x14ac:dyDescent="0.35">
      <c r="O57" s="1" t="s">
        <v>1141</v>
      </c>
    </row>
    <row r="58" spans="15:15" x14ac:dyDescent="0.35">
      <c r="O58" s="1" t="s">
        <v>1142</v>
      </c>
    </row>
    <row r="59" spans="15:15" x14ac:dyDescent="0.35">
      <c r="O59" s="1" t="s">
        <v>520</v>
      </c>
    </row>
    <row r="60" spans="15:15" x14ac:dyDescent="0.35">
      <c r="O60" s="1" t="s">
        <v>1143</v>
      </c>
    </row>
    <row r="61" spans="15:15" x14ac:dyDescent="0.35">
      <c r="O61" s="1" t="s">
        <v>1144</v>
      </c>
    </row>
    <row r="62" spans="15:15" x14ac:dyDescent="0.35">
      <c r="O62" s="1" t="s">
        <v>1145</v>
      </c>
    </row>
    <row r="63" spans="15:15" x14ac:dyDescent="0.35">
      <c r="O63" s="1" t="s">
        <v>1146</v>
      </c>
    </row>
    <row r="64" spans="15:15" x14ac:dyDescent="0.35">
      <c r="O64" s="1" t="s">
        <v>1147</v>
      </c>
    </row>
    <row r="65" spans="15:15" x14ac:dyDescent="0.35">
      <c r="O65" s="1" t="s">
        <v>536</v>
      </c>
    </row>
    <row r="66" spans="15:15" x14ac:dyDescent="0.35">
      <c r="O66" s="1" t="s">
        <v>546</v>
      </c>
    </row>
    <row r="67" spans="15:15" x14ac:dyDescent="0.35">
      <c r="O67" s="1" t="s">
        <v>1148</v>
      </c>
    </row>
    <row r="68" spans="15:15" x14ac:dyDescent="0.35">
      <c r="O68" s="1" t="s">
        <v>1149</v>
      </c>
    </row>
    <row r="69" spans="15:15" x14ac:dyDescent="0.35">
      <c r="O69" s="1" t="s">
        <v>1150</v>
      </c>
    </row>
    <row r="70" spans="15:15" x14ac:dyDescent="0.35">
      <c r="O70" s="1" t="s">
        <v>1151</v>
      </c>
    </row>
    <row r="71" spans="15:15" x14ac:dyDescent="0.35">
      <c r="O71" s="1" t="s">
        <v>1152</v>
      </c>
    </row>
    <row r="72" spans="15:15" x14ac:dyDescent="0.35">
      <c r="O72" s="1" t="s">
        <v>1153</v>
      </c>
    </row>
    <row r="73" spans="15:15" x14ac:dyDescent="0.35">
      <c r="O73" s="1" t="s">
        <v>1154</v>
      </c>
    </row>
    <row r="74" spans="15:15" x14ac:dyDescent="0.35">
      <c r="O74" s="1" t="s">
        <v>1155</v>
      </c>
    </row>
    <row r="75" spans="15:15" x14ac:dyDescent="0.35">
      <c r="O75" s="1" t="s">
        <v>1156</v>
      </c>
    </row>
    <row r="76" spans="15:15" x14ac:dyDescent="0.35">
      <c r="O76" s="1" t="s">
        <v>1157</v>
      </c>
    </row>
    <row r="77" spans="15:15" x14ac:dyDescent="0.35">
      <c r="O77" s="1" t="s">
        <v>1158</v>
      </c>
    </row>
    <row r="78" spans="15:15" x14ac:dyDescent="0.35">
      <c r="O78" s="1" t="s">
        <v>1159</v>
      </c>
    </row>
    <row r="79" spans="15:15" x14ac:dyDescent="0.35">
      <c r="O79" s="1" t="s">
        <v>1160</v>
      </c>
    </row>
    <row r="80" spans="15:15" x14ac:dyDescent="0.35">
      <c r="O80" s="1" t="s">
        <v>591</v>
      </c>
    </row>
    <row r="81" spans="15:15" x14ac:dyDescent="0.35">
      <c r="O81" s="1" t="s">
        <v>600</v>
      </c>
    </row>
    <row r="82" spans="15:15" x14ac:dyDescent="0.35">
      <c r="O82" s="1" t="s">
        <v>1161</v>
      </c>
    </row>
    <row r="83" spans="15:15" x14ac:dyDescent="0.35">
      <c r="O83" s="1" t="s">
        <v>570</v>
      </c>
    </row>
    <row r="84" spans="15:15" x14ac:dyDescent="0.35">
      <c r="O84" s="1" t="s">
        <v>564</v>
      </c>
    </row>
    <row r="85" spans="15:15" x14ac:dyDescent="0.35">
      <c r="O85" s="1" t="s">
        <v>541</v>
      </c>
    </row>
    <row r="86" spans="15:15" x14ac:dyDescent="0.35">
      <c r="O86" s="1" t="s">
        <v>1162</v>
      </c>
    </row>
  </sheetData>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E48"/>
  <sheetViews>
    <sheetView workbookViewId="0"/>
  </sheetViews>
  <sheetFormatPr defaultRowHeight="14.5" x14ac:dyDescent="0.35"/>
  <sheetData>
    <row r="1" spans="1:5" x14ac:dyDescent="0.35">
      <c r="A1" s="1" t="s">
        <v>1163</v>
      </c>
    </row>
    <row r="2" spans="1:5" x14ac:dyDescent="0.35">
      <c r="A2" s="1" t="s">
        <v>1164</v>
      </c>
    </row>
    <row r="5" spans="1:5" x14ac:dyDescent="0.35">
      <c r="A5" s="1" t="s">
        <v>1165</v>
      </c>
    </row>
    <row r="6" spans="1:5" x14ac:dyDescent="0.35">
      <c r="A6" s="1" t="s">
        <v>1166</v>
      </c>
      <c r="B6" s="2">
        <v>2000000</v>
      </c>
      <c r="C6" s="1" t="s">
        <v>1167</v>
      </c>
      <c r="D6" s="1" t="s">
        <v>516</v>
      </c>
      <c r="E6" s="1" t="s">
        <v>1168</v>
      </c>
    </row>
    <row r="8" spans="1:5" x14ac:dyDescent="0.35">
      <c r="A8" s="1" t="s">
        <v>1169</v>
      </c>
    </row>
    <row r="9" spans="1:5" x14ac:dyDescent="0.35">
      <c r="A9" s="1" t="s">
        <v>1170</v>
      </c>
      <c r="B9" s="2">
        <v>490137.24308657972</v>
      </c>
      <c r="C9" s="1" t="s">
        <v>516</v>
      </c>
    </row>
    <row r="10" spans="1:5" x14ac:dyDescent="0.35">
      <c r="A10" s="1" t="s">
        <v>1171</v>
      </c>
      <c r="B10" s="2">
        <v>1509862.75691342</v>
      </c>
      <c r="C10" s="1" t="s">
        <v>516</v>
      </c>
    </row>
    <row r="11" spans="1:5" x14ac:dyDescent="0.35">
      <c r="A11" s="1" t="s">
        <v>483</v>
      </c>
      <c r="B11" s="1" t="s">
        <v>1172</v>
      </c>
    </row>
    <row r="12" spans="1:5" x14ac:dyDescent="0.35">
      <c r="A12" s="1" t="s">
        <v>1173</v>
      </c>
      <c r="B12" s="1">
        <v>6</v>
      </c>
    </row>
    <row r="13" spans="1:5" x14ac:dyDescent="0.35">
      <c r="A13" s="1" t="s">
        <v>1174</v>
      </c>
    </row>
    <row r="14" spans="1:5" x14ac:dyDescent="0.35">
      <c r="A14" s="1" t="s">
        <v>1175</v>
      </c>
    </row>
    <row r="15" spans="1:5" x14ac:dyDescent="0.35">
      <c r="A15" s="1" t="s">
        <v>1176</v>
      </c>
    </row>
    <row r="16" spans="1:5" x14ac:dyDescent="0.35">
      <c r="A16" s="1" t="s">
        <v>57</v>
      </c>
      <c r="B16" s="1" t="s">
        <v>1177</v>
      </c>
      <c r="C16" s="1" t="s">
        <v>1178</v>
      </c>
    </row>
    <row r="17" spans="1:3" x14ac:dyDescent="0.35">
      <c r="A17" s="1" t="s">
        <v>179</v>
      </c>
      <c r="B17" s="2">
        <v>481710.46494464937</v>
      </c>
      <c r="C17" s="6">
        <v>0.98280730905314662</v>
      </c>
    </row>
    <row r="18" spans="1:3" x14ac:dyDescent="0.35">
      <c r="A18" s="1" t="s">
        <v>159</v>
      </c>
      <c r="B18" s="2">
        <v>0</v>
      </c>
      <c r="C18" s="6">
        <v>0</v>
      </c>
    </row>
    <row r="19" spans="1:3" x14ac:dyDescent="0.35">
      <c r="A19" s="1" t="s">
        <v>776</v>
      </c>
      <c r="B19" s="2">
        <v>0</v>
      </c>
      <c r="C19" s="6">
        <v>0</v>
      </c>
    </row>
    <row r="20" spans="1:3" x14ac:dyDescent="0.35">
      <c r="A20" s="1" t="s">
        <v>75</v>
      </c>
      <c r="B20" s="2">
        <v>8426.7781419303046</v>
      </c>
      <c r="C20" s="6">
        <v>1.719269094685336E-2</v>
      </c>
    </row>
    <row r="21" spans="1:3" x14ac:dyDescent="0.35">
      <c r="A21" s="1" t="s">
        <v>116</v>
      </c>
      <c r="B21" s="2">
        <v>0</v>
      </c>
      <c r="C21" s="6">
        <v>0</v>
      </c>
    </row>
    <row r="22" spans="1:3" x14ac:dyDescent="0.35">
      <c r="A22" s="1" t="s">
        <v>163</v>
      </c>
      <c r="B22" s="2">
        <v>0</v>
      </c>
      <c r="C22" s="6">
        <v>0</v>
      </c>
    </row>
    <row r="23" spans="1:3" x14ac:dyDescent="0.35">
      <c r="A23" s="1" t="s">
        <v>790</v>
      </c>
      <c r="B23" s="2">
        <v>0</v>
      </c>
      <c r="C23" s="6">
        <v>0</v>
      </c>
    </row>
    <row r="33" spans="1:4" x14ac:dyDescent="0.35">
      <c r="A33" s="1" t="s">
        <v>1179</v>
      </c>
    </row>
    <row r="34" spans="1:4" x14ac:dyDescent="0.35">
      <c r="A34" s="1" t="s">
        <v>1180</v>
      </c>
    </row>
    <row r="36" spans="1:4" x14ac:dyDescent="0.35">
      <c r="A36" s="1" t="s">
        <v>1181</v>
      </c>
    </row>
    <row r="37" spans="1:4" x14ac:dyDescent="0.35">
      <c r="A37" s="1" t="s">
        <v>1182</v>
      </c>
    </row>
    <row r="40" spans="1:4" x14ac:dyDescent="0.35">
      <c r="A40" s="1" t="s">
        <v>1183</v>
      </c>
      <c r="B40" s="3">
        <v>490137.24308657972</v>
      </c>
      <c r="C40" s="1" t="s">
        <v>516</v>
      </c>
      <c r="D40" s="1" t="s">
        <v>1184</v>
      </c>
    </row>
    <row r="41" spans="1:4" x14ac:dyDescent="0.35">
      <c r="A41" s="1" t="s">
        <v>1185</v>
      </c>
      <c r="B41" s="3">
        <v>490137.24308657972</v>
      </c>
      <c r="C41" s="1" t="s">
        <v>516</v>
      </c>
    </row>
    <row r="42" spans="1:4" x14ac:dyDescent="0.35">
      <c r="A42" s="1" t="s">
        <v>1186</v>
      </c>
      <c r="B42" s="3">
        <v>0</v>
      </c>
      <c r="C42" s="1" t="s">
        <v>516</v>
      </c>
    </row>
    <row r="43" spans="1:4" x14ac:dyDescent="0.35">
      <c r="A43" s="1" t="s">
        <v>1187</v>
      </c>
      <c r="B43" s="7">
        <v>0</v>
      </c>
      <c r="C43" s="1" t="s">
        <v>1188</v>
      </c>
      <c r="D43" s="1" t="s">
        <v>1189</v>
      </c>
    </row>
    <row r="44" spans="1:4" x14ac:dyDescent="0.35">
      <c r="A44" s="1" t="s">
        <v>1190</v>
      </c>
      <c r="B44" s="3">
        <v>1509862.75691342</v>
      </c>
      <c r="C44" s="1" t="s">
        <v>516</v>
      </c>
    </row>
    <row r="45" spans="1:4" x14ac:dyDescent="0.35">
      <c r="A45" s="1" t="s">
        <v>1191</v>
      </c>
      <c r="B45" s="1" t="s">
        <v>1192</v>
      </c>
    </row>
    <row r="47" spans="1:4" x14ac:dyDescent="0.35">
      <c r="A47" s="1" t="s">
        <v>1193</v>
      </c>
    </row>
    <row r="48" spans="1:4" x14ac:dyDescent="0.35">
      <c r="A48" s="1" t="s">
        <v>1194</v>
      </c>
    </row>
  </sheetData>
  <hyperlinks>
    <hyperlink ref="A47" location="'Budget'!A1" display="Open professional Budget" xr:uid="{00000000-0004-0000-2000-000000000000}"/>
  </hyperlink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B6"/>
  <sheetViews>
    <sheetView workbookViewId="0"/>
  </sheetViews>
  <sheetFormatPr defaultRowHeight="14.5" x14ac:dyDescent="0.35"/>
  <sheetData>
    <row r="1" spans="1:2" x14ac:dyDescent="0.35">
      <c r="A1" t="s">
        <v>1195</v>
      </c>
      <c r="B1" t="s">
        <v>1196</v>
      </c>
    </row>
    <row r="2" spans="1:2" x14ac:dyDescent="0.35">
      <c r="A2" t="s">
        <v>1197</v>
      </c>
      <c r="B2" t="s">
        <v>1198</v>
      </c>
    </row>
    <row r="3" spans="1:2" x14ac:dyDescent="0.35">
      <c r="A3" t="s">
        <v>1199</v>
      </c>
    </row>
    <row r="4" spans="1:2" x14ac:dyDescent="0.35">
      <c r="A4" t="s">
        <v>1200</v>
      </c>
      <c r="B4" t="s">
        <v>246</v>
      </c>
    </row>
    <row r="5" spans="1:2" x14ac:dyDescent="0.35">
      <c r="A5" t="s">
        <v>1201</v>
      </c>
      <c r="B5" t="s">
        <v>513</v>
      </c>
    </row>
    <row r="6" spans="1:2" x14ac:dyDescent="0.35">
      <c r="A6" t="s">
        <v>1202</v>
      </c>
      <c r="B6" t="s">
        <v>1203</v>
      </c>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R82"/>
  <sheetViews>
    <sheetView workbookViewId="0"/>
  </sheetViews>
  <sheetFormatPr defaultRowHeight="14.5" x14ac:dyDescent="0.35"/>
  <sheetData>
    <row r="1" spans="1:18" x14ac:dyDescent="0.35">
      <c r="A1" t="s">
        <v>470</v>
      </c>
      <c r="B1" t="s">
        <v>347</v>
      </c>
      <c r="C1" t="s">
        <v>471</v>
      </c>
      <c r="D1" t="s">
        <v>465</v>
      </c>
      <c r="E1" t="s">
        <v>84</v>
      </c>
      <c r="F1" t="s">
        <v>89</v>
      </c>
      <c r="G1" t="s">
        <v>181</v>
      </c>
      <c r="H1" t="s">
        <v>230</v>
      </c>
      <c r="I1" t="s">
        <v>249</v>
      </c>
      <c r="J1" t="s">
        <v>268</v>
      </c>
      <c r="K1" t="s">
        <v>272</v>
      </c>
      <c r="L1" t="s">
        <v>315</v>
      </c>
      <c r="M1" t="s">
        <v>319</v>
      </c>
      <c r="N1" t="s">
        <v>326</v>
      </c>
      <c r="O1" t="s">
        <v>330</v>
      </c>
      <c r="P1" t="s">
        <v>334</v>
      </c>
      <c r="R1" t="s">
        <v>1204</v>
      </c>
    </row>
    <row r="2" spans="1:18" x14ac:dyDescent="0.35">
      <c r="A2" t="s">
        <v>1205</v>
      </c>
      <c r="B2" t="s">
        <v>1206</v>
      </c>
      <c r="C2" t="s">
        <v>663</v>
      </c>
      <c r="D2" t="s">
        <v>466</v>
      </c>
      <c r="E2" t="s">
        <v>812</v>
      </c>
      <c r="F2" t="s">
        <v>837</v>
      </c>
      <c r="G2" t="s">
        <v>840</v>
      </c>
      <c r="H2" t="s">
        <v>843</v>
      </c>
      <c r="I2" t="s">
        <v>849</v>
      </c>
      <c r="J2" t="s">
        <v>852</v>
      </c>
      <c r="K2" t="s">
        <v>855</v>
      </c>
      <c r="L2" t="s">
        <v>858</v>
      </c>
      <c r="M2" t="s">
        <v>861</v>
      </c>
      <c r="N2" t="s">
        <v>864</v>
      </c>
      <c r="O2" t="s">
        <v>867</v>
      </c>
      <c r="P2" t="s">
        <v>870</v>
      </c>
    </row>
    <row r="3" spans="1:18" x14ac:dyDescent="0.35">
      <c r="A3" t="s">
        <v>1207</v>
      </c>
      <c r="B3" t="s">
        <v>1208</v>
      </c>
      <c r="C3" t="s">
        <v>1209</v>
      </c>
      <c r="D3" t="s">
        <v>1205</v>
      </c>
      <c r="F3" t="s">
        <v>1210</v>
      </c>
      <c r="G3" t="s">
        <v>1211</v>
      </c>
      <c r="H3" t="s">
        <v>1212</v>
      </c>
      <c r="K3" t="s">
        <v>1213</v>
      </c>
      <c r="L3" t="s">
        <v>1214</v>
      </c>
      <c r="N3" t="s">
        <v>1215</v>
      </c>
      <c r="P3" t="s">
        <v>1216</v>
      </c>
    </row>
    <row r="4" spans="1:18" x14ac:dyDescent="0.35">
      <c r="A4" t="s">
        <v>1217</v>
      </c>
      <c r="B4" t="s">
        <v>1218</v>
      </c>
      <c r="C4" t="s">
        <v>1219</v>
      </c>
      <c r="D4" t="s">
        <v>1207</v>
      </c>
      <c r="F4" t="s">
        <v>1220</v>
      </c>
      <c r="P4" t="s">
        <v>1221</v>
      </c>
    </row>
    <row r="5" spans="1:18" x14ac:dyDescent="0.35">
      <c r="A5" t="s">
        <v>1222</v>
      </c>
      <c r="B5" t="s">
        <v>1223</v>
      </c>
      <c r="C5" t="s">
        <v>1224</v>
      </c>
      <c r="D5" t="s">
        <v>1217</v>
      </c>
      <c r="P5" t="s">
        <v>1225</v>
      </c>
    </row>
    <row r="6" spans="1:18" x14ac:dyDescent="0.35">
      <c r="A6" t="s">
        <v>1226</v>
      </c>
      <c r="B6" t="s">
        <v>1227</v>
      </c>
      <c r="C6" t="s">
        <v>1228</v>
      </c>
      <c r="D6" t="s">
        <v>1222</v>
      </c>
    </row>
    <row r="7" spans="1:18" x14ac:dyDescent="0.35">
      <c r="A7" t="s">
        <v>1229</v>
      </c>
      <c r="B7" t="s">
        <v>1230</v>
      </c>
      <c r="C7" t="s">
        <v>1231</v>
      </c>
      <c r="D7" t="s">
        <v>1226</v>
      </c>
    </row>
    <row r="8" spans="1:18" x14ac:dyDescent="0.35">
      <c r="A8" t="s">
        <v>1232</v>
      </c>
      <c r="B8" t="s">
        <v>1233</v>
      </c>
      <c r="C8" t="s">
        <v>1234</v>
      </c>
      <c r="D8" t="s">
        <v>1229</v>
      </c>
    </row>
    <row r="9" spans="1:18" x14ac:dyDescent="0.35">
      <c r="A9" t="s">
        <v>1235</v>
      </c>
      <c r="B9" t="s">
        <v>1236</v>
      </c>
      <c r="C9" t="s">
        <v>1237</v>
      </c>
      <c r="D9" t="s">
        <v>1232</v>
      </c>
    </row>
    <row r="10" spans="1:18" x14ac:dyDescent="0.35">
      <c r="A10" t="s">
        <v>1238</v>
      </c>
      <c r="B10" t="s">
        <v>1239</v>
      </c>
      <c r="C10" t="s">
        <v>1240</v>
      </c>
      <c r="D10" t="s">
        <v>1235</v>
      </c>
    </row>
    <row r="11" spans="1:18" x14ac:dyDescent="0.35">
      <c r="A11" t="s">
        <v>1241</v>
      </c>
      <c r="B11" t="s">
        <v>1242</v>
      </c>
      <c r="C11" t="s">
        <v>1243</v>
      </c>
      <c r="D11" t="s">
        <v>1238</v>
      </c>
    </row>
    <row r="12" spans="1:18" x14ac:dyDescent="0.35">
      <c r="A12" t="s">
        <v>1244</v>
      </c>
      <c r="B12" t="s">
        <v>1245</v>
      </c>
      <c r="C12" t="s">
        <v>1246</v>
      </c>
      <c r="D12" t="s">
        <v>1241</v>
      </c>
    </row>
    <row r="13" spans="1:18" x14ac:dyDescent="0.35">
      <c r="A13" t="s">
        <v>1247</v>
      </c>
      <c r="B13" t="s">
        <v>1248</v>
      </c>
      <c r="C13" t="s">
        <v>1249</v>
      </c>
      <c r="D13" t="s">
        <v>1244</v>
      </c>
    </row>
    <row r="14" spans="1:18" x14ac:dyDescent="0.35">
      <c r="A14" t="s">
        <v>1250</v>
      </c>
      <c r="B14" t="s">
        <v>1251</v>
      </c>
      <c r="C14" t="s">
        <v>1252</v>
      </c>
      <c r="D14" t="s">
        <v>1247</v>
      </c>
    </row>
    <row r="15" spans="1:18" x14ac:dyDescent="0.35">
      <c r="A15" t="s">
        <v>1253</v>
      </c>
      <c r="B15" t="s">
        <v>1254</v>
      </c>
      <c r="C15" t="s">
        <v>1255</v>
      </c>
      <c r="D15" t="s">
        <v>1250</v>
      </c>
    </row>
    <row r="16" spans="1:18" x14ac:dyDescent="0.35">
      <c r="B16" t="s">
        <v>1256</v>
      </c>
      <c r="C16" t="s">
        <v>1257</v>
      </c>
      <c r="D16" t="s">
        <v>1253</v>
      </c>
    </row>
    <row r="17" spans="2:3" x14ac:dyDescent="0.35">
      <c r="B17" t="s">
        <v>1258</v>
      </c>
      <c r="C17" t="s">
        <v>1259</v>
      </c>
    </row>
    <row r="18" spans="2:3" x14ac:dyDescent="0.35">
      <c r="C18" t="s">
        <v>1260</v>
      </c>
    </row>
    <row r="19" spans="2:3" x14ac:dyDescent="0.35">
      <c r="C19" t="s">
        <v>1261</v>
      </c>
    </row>
    <row r="20" spans="2:3" x14ac:dyDescent="0.35">
      <c r="C20" t="s">
        <v>1262</v>
      </c>
    </row>
    <row r="21" spans="2:3" x14ac:dyDescent="0.35">
      <c r="C21" t="s">
        <v>1263</v>
      </c>
    </row>
    <row r="22" spans="2:3" x14ac:dyDescent="0.35">
      <c r="C22" t="s">
        <v>1264</v>
      </c>
    </row>
    <row r="23" spans="2:3" x14ac:dyDescent="0.35">
      <c r="C23" t="s">
        <v>1265</v>
      </c>
    </row>
    <row r="24" spans="2:3" x14ac:dyDescent="0.35">
      <c r="C24" t="s">
        <v>1266</v>
      </c>
    </row>
    <row r="25" spans="2:3" x14ac:dyDescent="0.35">
      <c r="C25" t="s">
        <v>1267</v>
      </c>
    </row>
    <row r="26" spans="2:3" x14ac:dyDescent="0.35">
      <c r="C26" t="s">
        <v>1268</v>
      </c>
    </row>
    <row r="27" spans="2:3" x14ac:dyDescent="0.35">
      <c r="C27" t="s">
        <v>1269</v>
      </c>
    </row>
    <row r="28" spans="2:3" x14ac:dyDescent="0.35">
      <c r="C28" t="s">
        <v>1270</v>
      </c>
    </row>
    <row r="29" spans="2:3" x14ac:dyDescent="0.35">
      <c r="C29" t="s">
        <v>1271</v>
      </c>
    </row>
    <row r="30" spans="2:3" x14ac:dyDescent="0.35">
      <c r="C30" t="s">
        <v>1272</v>
      </c>
    </row>
    <row r="31" spans="2:3" x14ac:dyDescent="0.35">
      <c r="C31" t="s">
        <v>1273</v>
      </c>
    </row>
    <row r="32" spans="2:3" x14ac:dyDescent="0.35">
      <c r="C32" t="s">
        <v>1274</v>
      </c>
    </row>
    <row r="33" spans="3:3" x14ac:dyDescent="0.35">
      <c r="C33" t="s">
        <v>1275</v>
      </c>
    </row>
    <row r="34" spans="3:3" x14ac:dyDescent="0.35">
      <c r="C34" t="s">
        <v>1276</v>
      </c>
    </row>
    <row r="35" spans="3:3" x14ac:dyDescent="0.35">
      <c r="C35" t="s">
        <v>1277</v>
      </c>
    </row>
    <row r="36" spans="3:3" x14ac:dyDescent="0.35">
      <c r="C36" t="s">
        <v>1278</v>
      </c>
    </row>
    <row r="37" spans="3:3" x14ac:dyDescent="0.35">
      <c r="C37" t="s">
        <v>1279</v>
      </c>
    </row>
    <row r="38" spans="3:3" x14ac:dyDescent="0.35">
      <c r="C38" t="s">
        <v>1280</v>
      </c>
    </row>
    <row r="39" spans="3:3" x14ac:dyDescent="0.35">
      <c r="C39" t="s">
        <v>1281</v>
      </c>
    </row>
    <row r="40" spans="3:3" x14ac:dyDescent="0.35">
      <c r="C40" t="s">
        <v>1282</v>
      </c>
    </row>
    <row r="41" spans="3:3" x14ac:dyDescent="0.35">
      <c r="C41" t="s">
        <v>1283</v>
      </c>
    </row>
    <row r="42" spans="3:3" x14ac:dyDescent="0.35">
      <c r="C42" t="s">
        <v>1284</v>
      </c>
    </row>
    <row r="43" spans="3:3" x14ac:dyDescent="0.35">
      <c r="C43" t="s">
        <v>1285</v>
      </c>
    </row>
    <row r="44" spans="3:3" x14ac:dyDescent="0.35">
      <c r="C44" t="s">
        <v>1286</v>
      </c>
    </row>
    <row r="45" spans="3:3" x14ac:dyDescent="0.35">
      <c r="C45" t="s">
        <v>1287</v>
      </c>
    </row>
    <row r="46" spans="3:3" x14ac:dyDescent="0.35">
      <c r="C46" t="s">
        <v>1288</v>
      </c>
    </row>
    <row r="47" spans="3:3" x14ac:dyDescent="0.35">
      <c r="C47" t="s">
        <v>1289</v>
      </c>
    </row>
    <row r="48" spans="3:3" x14ac:dyDescent="0.35">
      <c r="C48" t="s">
        <v>1290</v>
      </c>
    </row>
    <row r="49" spans="3:3" x14ac:dyDescent="0.35">
      <c r="C49" t="s">
        <v>1291</v>
      </c>
    </row>
    <row r="50" spans="3:3" x14ac:dyDescent="0.35">
      <c r="C50" t="s">
        <v>1292</v>
      </c>
    </row>
    <row r="51" spans="3:3" x14ac:dyDescent="0.35">
      <c r="C51" t="s">
        <v>1293</v>
      </c>
    </row>
    <row r="52" spans="3:3" x14ac:dyDescent="0.35">
      <c r="C52" t="s">
        <v>1294</v>
      </c>
    </row>
    <row r="53" spans="3:3" x14ac:dyDescent="0.35">
      <c r="C53" t="s">
        <v>1295</v>
      </c>
    </row>
    <row r="54" spans="3:3" x14ac:dyDescent="0.35">
      <c r="C54" t="s">
        <v>1296</v>
      </c>
    </row>
    <row r="55" spans="3:3" x14ac:dyDescent="0.35">
      <c r="C55" t="s">
        <v>1297</v>
      </c>
    </row>
    <row r="56" spans="3:3" x14ac:dyDescent="0.35">
      <c r="C56" t="s">
        <v>1298</v>
      </c>
    </row>
    <row r="57" spans="3:3" x14ac:dyDescent="0.35">
      <c r="C57" t="s">
        <v>1299</v>
      </c>
    </row>
    <row r="58" spans="3:3" x14ac:dyDescent="0.35">
      <c r="C58" t="s">
        <v>1300</v>
      </c>
    </row>
    <row r="59" spans="3:3" x14ac:dyDescent="0.35">
      <c r="C59" t="s">
        <v>1301</v>
      </c>
    </row>
    <row r="60" spans="3:3" x14ac:dyDescent="0.35">
      <c r="C60" t="s">
        <v>1302</v>
      </c>
    </row>
    <row r="61" spans="3:3" x14ac:dyDescent="0.35">
      <c r="C61" t="s">
        <v>1303</v>
      </c>
    </row>
    <row r="62" spans="3:3" x14ac:dyDescent="0.35">
      <c r="C62" t="s">
        <v>1304</v>
      </c>
    </row>
    <row r="63" spans="3:3" x14ac:dyDescent="0.35">
      <c r="C63" t="s">
        <v>1305</v>
      </c>
    </row>
    <row r="64" spans="3:3" x14ac:dyDescent="0.35">
      <c r="C64" t="s">
        <v>1306</v>
      </c>
    </row>
    <row r="65" spans="3:3" x14ac:dyDescent="0.35">
      <c r="C65" t="s">
        <v>1307</v>
      </c>
    </row>
    <row r="66" spans="3:3" x14ac:dyDescent="0.35">
      <c r="C66" t="s">
        <v>1308</v>
      </c>
    </row>
    <row r="67" spans="3:3" x14ac:dyDescent="0.35">
      <c r="C67" t="s">
        <v>1309</v>
      </c>
    </row>
    <row r="68" spans="3:3" x14ac:dyDescent="0.35">
      <c r="C68" t="s">
        <v>1310</v>
      </c>
    </row>
    <row r="69" spans="3:3" x14ac:dyDescent="0.35">
      <c r="C69" t="s">
        <v>1311</v>
      </c>
    </row>
    <row r="70" spans="3:3" x14ac:dyDescent="0.35">
      <c r="C70" t="s">
        <v>1312</v>
      </c>
    </row>
    <row r="71" spans="3:3" x14ac:dyDescent="0.35">
      <c r="C71" t="s">
        <v>1313</v>
      </c>
    </row>
    <row r="72" spans="3:3" x14ac:dyDescent="0.35">
      <c r="C72" t="s">
        <v>1314</v>
      </c>
    </row>
    <row r="73" spans="3:3" x14ac:dyDescent="0.35">
      <c r="C73" t="s">
        <v>1315</v>
      </c>
    </row>
    <row r="74" spans="3:3" x14ac:dyDescent="0.35">
      <c r="C74" t="s">
        <v>1316</v>
      </c>
    </row>
    <row r="75" spans="3:3" x14ac:dyDescent="0.35">
      <c r="C75" t="s">
        <v>1317</v>
      </c>
    </row>
    <row r="76" spans="3:3" x14ac:dyDescent="0.35">
      <c r="C76" t="s">
        <v>1318</v>
      </c>
    </row>
    <row r="77" spans="3:3" x14ac:dyDescent="0.35">
      <c r="C77" t="s">
        <v>1319</v>
      </c>
    </row>
    <row r="78" spans="3:3" x14ac:dyDescent="0.35">
      <c r="C78" t="s">
        <v>1320</v>
      </c>
    </row>
    <row r="79" spans="3:3" x14ac:dyDescent="0.35">
      <c r="C79" t="s">
        <v>1321</v>
      </c>
    </row>
    <row r="80" spans="3:3" x14ac:dyDescent="0.35">
      <c r="C80" t="s">
        <v>1322</v>
      </c>
    </row>
    <row r="81" spans="3:3" x14ac:dyDescent="0.35">
      <c r="C81" t="s">
        <v>1323</v>
      </c>
    </row>
    <row r="82" spans="3:3" x14ac:dyDescent="0.35">
      <c r="C82" t="s">
        <v>1324</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8199AA"/>
    <pageSetUpPr fitToPage="1"/>
  </sheetPr>
  <dimension ref="A1:AA93"/>
  <sheetViews>
    <sheetView showGridLines="0" zoomScale="90" workbookViewId="0">
      <pane ySplit="7" topLeftCell="A8" activePane="bottomLeft" state="frozen"/>
      <selection pane="bottomLeft"/>
    </sheetView>
  </sheetViews>
  <sheetFormatPr defaultRowHeight="14.5" x14ac:dyDescent="0.35"/>
  <cols>
    <col min="1" max="11" width="9.26953125" customWidth="1"/>
    <col min="12" max="12" width="3" customWidth="1"/>
    <col min="13" max="22" width="9.26953125" customWidth="1"/>
    <col min="27" max="27" width="13" hidden="1" customWidth="1"/>
  </cols>
  <sheetData>
    <row r="1" spans="1:27" ht="27" customHeight="1" x14ac:dyDescent="0.35">
      <c r="A1" s="50" t="s">
        <v>1325</v>
      </c>
      <c r="B1" s="39"/>
      <c r="C1" s="39"/>
      <c r="D1" s="39"/>
      <c r="E1" s="39"/>
      <c r="F1" s="39"/>
      <c r="G1" s="39"/>
      <c r="H1" s="39"/>
      <c r="I1" s="39"/>
      <c r="J1" s="39"/>
      <c r="K1" s="39"/>
      <c r="L1" s="39"/>
      <c r="M1" s="39"/>
      <c r="N1" s="39"/>
      <c r="O1" s="39"/>
      <c r="P1" s="39"/>
      <c r="Q1" s="39"/>
      <c r="R1" s="55" t="s">
        <v>1</v>
      </c>
      <c r="S1" s="39"/>
      <c r="T1" s="39"/>
      <c r="U1" s="39"/>
      <c r="V1" s="39"/>
      <c r="AA1" t="s">
        <v>797</v>
      </c>
    </row>
    <row r="2" spans="1:27" ht="20" customHeight="1" x14ac:dyDescent="0.35">
      <c r="A2" s="39"/>
      <c r="B2" s="39"/>
      <c r="C2" s="39"/>
      <c r="D2" s="39"/>
      <c r="E2" s="39"/>
      <c r="F2" s="39"/>
      <c r="G2" s="39"/>
      <c r="H2" s="39"/>
      <c r="I2" s="39"/>
      <c r="J2" s="39"/>
      <c r="K2" s="39"/>
      <c r="L2" s="39"/>
      <c r="M2" s="39"/>
      <c r="N2" s="39"/>
      <c r="O2" s="39"/>
      <c r="P2" s="39"/>
      <c r="Q2" s="39"/>
      <c r="R2" s="39"/>
      <c r="S2" s="39"/>
      <c r="T2" s="39"/>
      <c r="U2" s="39"/>
      <c r="V2" s="39"/>
    </row>
    <row r="3" spans="1:27" ht="21" customHeight="1" x14ac:dyDescent="0.35">
      <c r="A3" s="48" t="s">
        <v>798</v>
      </c>
      <c r="B3" s="39"/>
      <c r="C3" s="39"/>
      <c r="D3" s="39"/>
      <c r="E3" s="39"/>
      <c r="F3" s="39"/>
      <c r="G3" s="39"/>
      <c r="H3" s="39"/>
      <c r="I3" s="39"/>
      <c r="J3" s="39"/>
      <c r="K3" s="39"/>
      <c r="L3" s="39"/>
      <c r="M3" s="39"/>
      <c r="N3" s="39"/>
      <c r="O3" s="39"/>
      <c r="P3" s="39"/>
      <c r="Q3" s="39"/>
      <c r="R3" s="39"/>
      <c r="S3" s="39"/>
      <c r="T3" s="39"/>
      <c r="U3" s="39"/>
      <c r="V3" s="39"/>
    </row>
    <row r="4" spans="1:27" ht="29" customHeight="1" x14ac:dyDescent="0.35">
      <c r="A4" s="45" t="s">
        <v>3</v>
      </c>
      <c r="B4" s="39"/>
      <c r="C4" s="39"/>
      <c r="D4" s="45" t="s">
        <v>4</v>
      </c>
      <c r="E4" s="39"/>
      <c r="F4" s="39"/>
      <c r="G4" s="45" t="s">
        <v>5</v>
      </c>
      <c r="H4" s="39"/>
      <c r="I4" s="39"/>
      <c r="J4" s="45" t="s">
        <v>6</v>
      </c>
      <c r="K4" s="39"/>
      <c r="L4" s="39"/>
      <c r="M4" s="45" t="s">
        <v>7</v>
      </c>
      <c r="N4" s="39"/>
      <c r="O4" s="39"/>
      <c r="P4" s="45" t="s">
        <v>8</v>
      </c>
      <c r="Q4" s="39"/>
      <c r="R4" s="39"/>
      <c r="S4" s="45" t="s">
        <v>9</v>
      </c>
      <c r="T4" s="39"/>
      <c r="U4" s="39"/>
      <c r="V4" s="39"/>
      <c r="AA4" t="s">
        <v>845</v>
      </c>
    </row>
    <row r="5" spans="1:27" ht="10" customHeight="1" x14ac:dyDescent="0.35">
      <c r="A5" s="8"/>
      <c r="B5" s="8"/>
      <c r="C5" s="8"/>
      <c r="D5" s="8"/>
      <c r="E5" s="8"/>
      <c r="F5" s="8"/>
      <c r="G5" s="8"/>
      <c r="H5" s="8"/>
      <c r="I5" s="8"/>
      <c r="J5" s="8"/>
      <c r="K5" s="8"/>
      <c r="L5" s="8"/>
      <c r="M5" s="8"/>
      <c r="N5" s="8"/>
      <c r="O5" s="8"/>
      <c r="P5" s="8"/>
      <c r="Q5" s="8"/>
      <c r="R5" s="8"/>
      <c r="S5" s="8"/>
      <c r="T5" s="8"/>
      <c r="U5" s="8"/>
      <c r="V5" s="8"/>
      <c r="AA5">
        <f>IFERROR(MATCH($AA$2,Jobs!$A$9:$A$258,0),0)</f>
        <v>0</v>
      </c>
    </row>
    <row r="6" spans="1:27" ht="30" customHeight="1" x14ac:dyDescent="0.35">
      <c r="A6" s="93" t="s">
        <v>846</v>
      </c>
      <c r="B6" s="39"/>
      <c r="C6" s="39"/>
      <c r="D6" s="39"/>
      <c r="E6" s="39"/>
      <c r="F6" s="39"/>
      <c r="G6" s="8"/>
      <c r="H6" s="45" t="s">
        <v>801</v>
      </c>
      <c r="I6" s="39"/>
      <c r="J6" s="39"/>
      <c r="K6" s="39"/>
      <c r="L6" s="8"/>
      <c r="M6" s="45" t="s">
        <v>802</v>
      </c>
      <c r="N6" s="39"/>
      <c r="O6" s="39"/>
      <c r="P6" s="39"/>
      <c r="Q6" s="39"/>
      <c r="R6" s="8"/>
      <c r="S6" s="111" t="s">
        <v>1326</v>
      </c>
      <c r="T6" s="39"/>
      <c r="U6" s="39"/>
      <c r="V6" s="39"/>
      <c r="AA6">
        <f>IFERROR(MATCH("Q:"&amp;$AA$3,Quotes!$AT$9:$AT$258,0),0)</f>
        <v>0</v>
      </c>
    </row>
    <row r="7" spans="1:27" ht="11" customHeight="1" x14ac:dyDescent="0.35">
      <c r="A7" s="8"/>
      <c r="B7" s="8"/>
      <c r="C7" s="8"/>
      <c r="D7" s="8"/>
      <c r="E7" s="8"/>
      <c r="F7" s="8"/>
      <c r="G7" s="8"/>
      <c r="H7" s="8"/>
      <c r="I7" s="8"/>
      <c r="J7" s="8"/>
      <c r="K7" s="8"/>
      <c r="L7" s="8"/>
      <c r="M7" s="8"/>
      <c r="N7" s="8"/>
      <c r="O7" s="8"/>
      <c r="P7" s="8"/>
      <c r="Q7" s="8"/>
      <c r="R7" s="8"/>
      <c r="S7" s="8"/>
      <c r="T7" s="8"/>
      <c r="U7" s="8"/>
      <c r="V7" s="8"/>
      <c r="AA7">
        <f>IF($AA$6=0,0,IFERROR(MATCH(INDEX(Quotes!$D$9:$D$258,$AA$6),Suppliers!$D$9:$D$508,0),0))</f>
        <v>0</v>
      </c>
    </row>
    <row r="8" spans="1:27" ht="22" customHeight="1" x14ac:dyDescent="0.35">
      <c r="A8" s="8"/>
      <c r="B8" s="8"/>
      <c r="C8" s="8"/>
      <c r="D8" s="8"/>
      <c r="E8" s="8"/>
      <c r="F8" s="8"/>
      <c r="G8" s="8"/>
      <c r="H8" s="8"/>
      <c r="I8" s="8"/>
      <c r="J8" s="8"/>
      <c r="K8" s="8"/>
      <c r="L8" s="8"/>
      <c r="M8" s="8"/>
      <c r="N8" s="8"/>
      <c r="O8" s="8"/>
      <c r="P8" s="8"/>
      <c r="Q8" s="8"/>
      <c r="R8" s="8"/>
      <c r="S8" s="8"/>
      <c r="T8" s="8"/>
      <c r="U8" s="8"/>
      <c r="V8" s="8"/>
      <c r="AA8" t="s">
        <v>1327</v>
      </c>
    </row>
    <row r="9" spans="1:27" ht="22" customHeight="1" x14ac:dyDescent="0.35">
      <c r="A9" s="68" t="s">
        <v>805</v>
      </c>
      <c r="B9" s="39"/>
      <c r="C9" s="39"/>
      <c r="D9" s="39"/>
      <c r="E9" s="39"/>
      <c r="F9" s="39"/>
      <c r="G9" s="39"/>
      <c r="H9" s="68" t="s">
        <v>806</v>
      </c>
      <c r="I9" s="39"/>
      <c r="J9" s="39"/>
      <c r="K9" s="39"/>
      <c r="L9" s="39"/>
      <c r="M9" s="39"/>
      <c r="N9" s="39"/>
      <c r="O9" s="39"/>
      <c r="P9" s="68" t="s">
        <v>807</v>
      </c>
      <c r="Q9" s="39"/>
      <c r="R9" s="39"/>
      <c r="S9" s="39"/>
      <c r="T9" s="39"/>
      <c r="U9" s="39"/>
      <c r="V9" s="39"/>
    </row>
    <row r="10" spans="1:27" ht="22" customHeight="1" x14ac:dyDescent="0.35">
      <c r="A10" s="116">
        <f>SUMIF(Quotes!$B$9:$B$258,$AA$2,Quotes!$AH$9:$AH$258)</f>
        <v>0</v>
      </c>
      <c r="B10" s="39"/>
      <c r="C10" s="39"/>
      <c r="D10" s="39"/>
      <c r="E10" s="39"/>
      <c r="F10" s="39"/>
      <c r="G10" s="39"/>
      <c r="H10" s="116">
        <f>SUMIF(Quotes!$B$9:$B$258,$AA$2,Quotes!$AI$9:$AI$258)</f>
        <v>0</v>
      </c>
      <c r="I10" s="39"/>
      <c r="J10" s="39"/>
      <c r="K10" s="39"/>
      <c r="L10" s="39"/>
      <c r="M10" s="39"/>
      <c r="N10" s="39"/>
      <c r="O10" s="39"/>
      <c r="P10" s="112">
        <f>SUMIF(Quotes!$B$9:$B$258,$AA$2,Quotes!$AJ$9:$AJ$258)</f>
        <v>0</v>
      </c>
      <c r="Q10" s="39"/>
      <c r="R10" s="39"/>
      <c r="S10" s="39"/>
      <c r="T10" s="39"/>
      <c r="U10" s="39"/>
      <c r="V10" s="39"/>
    </row>
    <row r="11" spans="1:27" ht="22" customHeight="1" x14ac:dyDescent="0.35">
      <c r="A11" s="39"/>
      <c r="B11" s="39"/>
      <c r="C11" s="39"/>
      <c r="D11" s="39"/>
      <c r="E11" s="39"/>
      <c r="F11" s="39"/>
      <c r="G11" s="39"/>
      <c r="H11" s="39"/>
      <c r="I11" s="39"/>
      <c r="J11" s="39"/>
      <c r="K11" s="39"/>
      <c r="L11" s="39"/>
      <c r="M11" s="39"/>
      <c r="N11" s="39"/>
      <c r="O11" s="39"/>
      <c r="P11" s="39"/>
      <c r="Q11" s="39"/>
      <c r="R11" s="39"/>
      <c r="S11" s="39"/>
      <c r="T11" s="39"/>
      <c r="U11" s="39"/>
      <c r="V11" s="39"/>
    </row>
    <row r="12" spans="1:27" ht="11" customHeight="1" x14ac:dyDescent="0.35">
      <c r="A12" s="8"/>
      <c r="B12" s="8"/>
      <c r="C12" s="8"/>
      <c r="D12" s="8"/>
      <c r="E12" s="8"/>
      <c r="F12" s="8"/>
      <c r="G12" s="8"/>
      <c r="H12" s="8"/>
      <c r="I12" s="8"/>
      <c r="J12" s="8"/>
      <c r="K12" s="8"/>
      <c r="L12" s="8"/>
      <c r="M12" s="8"/>
      <c r="N12" s="8"/>
      <c r="O12" s="8"/>
      <c r="P12" s="8"/>
      <c r="Q12" s="8"/>
      <c r="R12" s="8"/>
      <c r="S12" s="8"/>
      <c r="T12" s="8"/>
      <c r="U12" s="8"/>
      <c r="V12" s="8"/>
    </row>
    <row r="13" spans="1:27" ht="22" customHeight="1" x14ac:dyDescent="0.35">
      <c r="A13" s="54" t="s">
        <v>808</v>
      </c>
      <c r="B13" s="39"/>
      <c r="C13" s="39"/>
      <c r="D13" s="39"/>
      <c r="E13" s="39"/>
      <c r="F13" s="39"/>
      <c r="G13" s="39"/>
      <c r="H13" s="39"/>
      <c r="I13" s="39"/>
      <c r="J13" s="39"/>
      <c r="K13" s="39"/>
      <c r="L13" s="8"/>
      <c r="M13" s="54" t="s">
        <v>809</v>
      </c>
      <c r="N13" s="39"/>
      <c r="O13" s="39"/>
      <c r="P13" s="39"/>
      <c r="Q13" s="39"/>
      <c r="R13" s="39"/>
      <c r="S13" s="39"/>
      <c r="T13" s="39"/>
      <c r="U13" s="39"/>
      <c r="V13" s="39"/>
    </row>
    <row r="14" spans="1:27" ht="22" customHeight="1" x14ac:dyDescent="0.35">
      <c r="A14" s="48" t="s">
        <v>810</v>
      </c>
      <c r="B14" s="39"/>
      <c r="C14" s="39"/>
      <c r="D14" s="115" t="str">
        <f>IF($AA$2="","",$AA$2)</f>
        <v/>
      </c>
      <c r="E14" s="39"/>
      <c r="F14" s="39"/>
      <c r="G14" s="39"/>
      <c r="H14" s="39"/>
      <c r="I14" s="39"/>
      <c r="J14" s="39"/>
      <c r="K14" s="39"/>
      <c r="L14" s="8"/>
      <c r="M14" s="68" t="s">
        <v>811</v>
      </c>
      <c r="N14" s="39"/>
      <c r="O14" s="39"/>
      <c r="P14" s="73"/>
      <c r="Q14" s="39"/>
      <c r="R14" s="39"/>
      <c r="S14" s="39"/>
      <c r="T14" s="39"/>
      <c r="U14" s="39"/>
      <c r="V14" s="39"/>
    </row>
    <row r="15" spans="1:27" ht="22" customHeight="1" x14ac:dyDescent="0.35">
      <c r="A15" s="68" t="s">
        <v>56</v>
      </c>
      <c r="B15" s="39"/>
      <c r="C15" s="39"/>
      <c r="D15" s="73" t="str">
        <f>IF($AA$5=0,"",IF(LEN(INDEX(Jobs!$B$9:$B$258,$AA$5)&amp;"")=0,"",INDEX(Jobs!$B$9:$B$258,$AA$5)))</f>
        <v/>
      </c>
      <c r="E15" s="39"/>
      <c r="F15" s="39"/>
      <c r="G15" s="39"/>
      <c r="H15" s="39"/>
      <c r="I15" s="39"/>
      <c r="J15" s="39"/>
      <c r="K15" s="39"/>
      <c r="L15" s="8"/>
      <c r="M15" s="39"/>
      <c r="N15" s="39"/>
      <c r="O15" s="39"/>
      <c r="P15" s="74"/>
      <c r="Q15" s="74"/>
      <c r="R15" s="74"/>
      <c r="S15" s="74"/>
      <c r="T15" s="74"/>
      <c r="U15" s="74"/>
      <c r="V15" s="74"/>
    </row>
    <row r="16" spans="1:27" ht="22" customHeight="1" x14ac:dyDescent="0.35">
      <c r="A16" s="39"/>
      <c r="B16" s="39"/>
      <c r="C16" s="39"/>
      <c r="D16" s="74"/>
      <c r="E16" s="74"/>
      <c r="F16" s="74"/>
      <c r="G16" s="74"/>
      <c r="H16" s="74"/>
      <c r="I16" s="74"/>
      <c r="J16" s="74"/>
      <c r="K16" s="74"/>
      <c r="L16" s="8"/>
      <c r="M16" s="8"/>
      <c r="N16" s="8"/>
      <c r="O16" s="8"/>
      <c r="P16" s="8"/>
      <c r="Q16" s="8"/>
      <c r="R16" s="8"/>
      <c r="S16" s="8"/>
      <c r="T16" s="8"/>
      <c r="U16" s="8"/>
      <c r="V16" s="8"/>
    </row>
    <row r="17" spans="1:22" ht="22" customHeight="1" x14ac:dyDescent="0.35">
      <c r="A17" s="8"/>
      <c r="B17" s="8"/>
      <c r="C17" s="8"/>
      <c r="D17" s="8"/>
      <c r="E17" s="8"/>
      <c r="F17" s="8"/>
      <c r="G17" s="8"/>
      <c r="H17" s="8"/>
      <c r="I17" s="8"/>
      <c r="J17" s="8"/>
      <c r="K17" s="8"/>
      <c r="L17" s="8"/>
      <c r="M17" s="68" t="s">
        <v>813</v>
      </c>
      <c r="N17" s="39"/>
      <c r="O17" s="39"/>
      <c r="P17" s="48" t="str">
        <f>IF($AA$7=0,"",IF(LEN(INDEX(Suppliers!$A$9:$A$508,$AA$7)&amp;"")=0,"",INDEX(Suppliers!$A$9:$A$508,$AA$7)))</f>
        <v/>
      </c>
      <c r="Q17" s="39"/>
      <c r="R17" s="39"/>
      <c r="S17" s="39"/>
      <c r="T17" s="39"/>
      <c r="U17" s="39"/>
      <c r="V17" s="39"/>
    </row>
    <row r="18" spans="1:22" ht="22" customHeight="1" x14ac:dyDescent="0.35">
      <c r="A18" s="68" t="s">
        <v>57</v>
      </c>
      <c r="B18" s="39"/>
      <c r="C18" s="39"/>
      <c r="D18" s="73" t="str">
        <f>IF($AA$5=0,"",IF(LEN(INDEX(Jobs!$C$9:$C$258,$AA$5)&amp;"")=0,"",INDEX(Jobs!$C$9:$C$258,$AA$5)))</f>
        <v/>
      </c>
      <c r="E18" s="74"/>
      <c r="F18" s="74"/>
      <c r="G18" s="74"/>
      <c r="H18" s="74"/>
      <c r="I18" s="74"/>
      <c r="J18" s="74"/>
      <c r="K18" s="74"/>
      <c r="L18" s="8"/>
      <c r="M18" s="68" t="s">
        <v>814</v>
      </c>
      <c r="N18" s="39"/>
      <c r="O18" s="39"/>
      <c r="P18" s="73" t="str">
        <f>IF($AA$7=0,"",IF(LEN(INDEX(Suppliers!$B$9:$B$508,$AA$7)&amp;"")=0,"",INDEX(Suppliers!$B$9:$B$508,$AA$7)))</f>
        <v/>
      </c>
      <c r="Q18" s="74"/>
      <c r="R18" s="74"/>
      <c r="S18" s="74"/>
      <c r="T18" s="74"/>
      <c r="U18" s="74"/>
      <c r="V18" s="74"/>
    </row>
    <row r="19" spans="1:22" ht="22" customHeight="1" x14ac:dyDescent="0.35">
      <c r="A19" s="68" t="s">
        <v>58</v>
      </c>
      <c r="B19" s="39"/>
      <c r="C19" s="39"/>
      <c r="D19" s="73" t="str">
        <f>IF($AA$5=0,"",IF(LEN(INDEX(Jobs!$D$9:$D$258,$AA$5)&amp;"")=0,"",INDEX(Jobs!$D$9:$D$258,$AA$5)))</f>
        <v/>
      </c>
      <c r="E19" s="74"/>
      <c r="F19" s="74"/>
      <c r="G19" s="74"/>
      <c r="H19" s="74"/>
      <c r="I19" s="74"/>
      <c r="J19" s="74"/>
      <c r="K19" s="74"/>
      <c r="L19" s="8"/>
      <c r="M19" s="68" t="s">
        <v>345</v>
      </c>
      <c r="N19" s="39"/>
      <c r="O19" s="39"/>
      <c r="P19" s="73" t="str">
        <f>IF($AA$7=0,"",IF(LEN(INDEX(Suppliers!$C$9:$C$508,$AA$7)&amp;"")=0,"",INDEX(Suppliers!$C$9:$C$508,$AA$7)))</f>
        <v/>
      </c>
      <c r="Q19" s="74"/>
      <c r="R19" s="74"/>
      <c r="S19" s="74"/>
      <c r="T19" s="74"/>
      <c r="U19" s="74"/>
      <c r="V19" s="74"/>
    </row>
    <row r="20" spans="1:22" ht="22" customHeight="1" x14ac:dyDescent="0.35">
      <c r="A20" s="68" t="s">
        <v>63</v>
      </c>
      <c r="B20" s="39"/>
      <c r="C20" s="39"/>
      <c r="D20" s="73" t="str">
        <f>IF($AA$5=0,"",IF(LEN(INDEX(Jobs!$I$9:$I$258,$AA$5)&amp;"")=0,"",INDEX(Jobs!$I$9:$I$258,$AA$5)))</f>
        <v/>
      </c>
      <c r="E20" s="74"/>
      <c r="F20" s="74"/>
      <c r="G20" s="74"/>
      <c r="H20" s="74"/>
      <c r="I20" s="74"/>
      <c r="J20" s="74"/>
      <c r="K20" s="74"/>
      <c r="L20" s="8"/>
      <c r="M20" s="68" t="s">
        <v>815</v>
      </c>
      <c r="N20" s="39"/>
      <c r="O20" s="39"/>
      <c r="P20" s="48" t="str">
        <f>IF($AA$7=0,"",IF(LEN(INDEX(Suppliers!$D$9:$D$508,$AA$7)&amp;"")=0,"",INDEX(Suppliers!$D$9:$D$508,$AA$7)))</f>
        <v/>
      </c>
      <c r="Q20" s="39"/>
      <c r="R20" s="39"/>
      <c r="S20" s="39"/>
      <c r="T20" s="39"/>
      <c r="U20" s="39"/>
      <c r="V20" s="39"/>
    </row>
    <row r="21" spans="1:22" ht="22" customHeight="1" x14ac:dyDescent="0.35">
      <c r="A21" s="68" t="s">
        <v>816</v>
      </c>
      <c r="B21" s="39"/>
      <c r="C21" s="39"/>
      <c r="D21" s="94" t="str">
        <f>IF($AA$5=0,"",IF(LEN(INDEX(Jobs!$J$9:$J$258,$AA$5)&amp;"")=0,"",INDEX(Jobs!$J$9:$J$258,$AA$5)))</f>
        <v/>
      </c>
      <c r="E21" s="74"/>
      <c r="F21" s="74"/>
      <c r="G21" s="74"/>
      <c r="H21" s="68" t="s">
        <v>817</v>
      </c>
      <c r="I21" s="39"/>
      <c r="J21" s="94" t="str">
        <f>IF($AA$5=0,"",IF(LEN(INDEX(Jobs!$K$9:$K$258,$AA$5)&amp;"")=0,"",INDEX(Jobs!$K$9:$K$258,$AA$5)))</f>
        <v/>
      </c>
      <c r="K21" s="74"/>
      <c r="L21" s="8"/>
      <c r="M21" s="68" t="s">
        <v>681</v>
      </c>
      <c r="N21" s="39"/>
      <c r="O21" s="39"/>
      <c r="P21" s="73" t="str">
        <f>IF($AA$7=0,"",IF(LEN(INDEX(Suppliers!$E$9:$E$508,$AA$7)&amp;"")=0,"",INDEX(Suppliers!$E$9:$E$508,$AA$7)))</f>
        <v/>
      </c>
      <c r="Q21" s="74"/>
      <c r="R21" s="74"/>
      <c r="S21" s="74"/>
      <c r="T21" s="74"/>
      <c r="U21" s="74"/>
      <c r="V21" s="74"/>
    </row>
    <row r="22" spans="1:22" ht="22" customHeight="1" x14ac:dyDescent="0.35">
      <c r="A22" s="8"/>
      <c r="B22" s="8"/>
      <c r="C22" s="8"/>
      <c r="D22" s="8"/>
      <c r="E22" s="8"/>
      <c r="F22" s="8"/>
      <c r="G22" s="8"/>
      <c r="H22" s="8"/>
      <c r="I22" s="8"/>
      <c r="J22" s="8"/>
      <c r="K22" s="8"/>
      <c r="L22" s="8"/>
      <c r="M22" s="68" t="s">
        <v>348</v>
      </c>
      <c r="N22" s="39"/>
      <c r="O22" s="39"/>
      <c r="P22" s="73" t="str">
        <f>IF($AA$7=0,"",IF(LEN(INDEX(Suppliers!$F$9:$F$508,$AA$7)&amp;"")=0,"",INDEX(Suppliers!$F$9:$F$508,$AA$7)))</f>
        <v/>
      </c>
      <c r="Q22" s="74"/>
      <c r="R22" s="74"/>
      <c r="S22" s="74"/>
      <c r="T22" s="74"/>
      <c r="U22" s="74"/>
      <c r="V22" s="74"/>
    </row>
    <row r="23" spans="1:22" ht="22" customHeight="1" x14ac:dyDescent="0.35">
      <c r="A23" s="114" t="s">
        <v>818</v>
      </c>
      <c r="B23" s="39"/>
      <c r="C23" s="39"/>
      <c r="D23" s="39"/>
      <c r="E23" s="39"/>
      <c r="F23" s="39"/>
      <c r="G23" s="39"/>
      <c r="H23" s="39"/>
      <c r="I23" s="39"/>
      <c r="J23" s="39"/>
      <c r="K23" s="39"/>
      <c r="L23" s="8"/>
      <c r="M23" s="68" t="s">
        <v>682</v>
      </c>
      <c r="N23" s="39"/>
      <c r="O23" s="39"/>
      <c r="P23" s="99" t="str">
        <f>IF($AA$7=0,"",IF(LEN(INDEX(Suppliers!$G$9:$G$508,$AA$7)&amp;"")=0,"",INDEX(Suppliers!$G$9:$G$508,$AA$7)))</f>
        <v/>
      </c>
      <c r="Q23" s="74"/>
      <c r="R23" s="74"/>
      <c r="S23" s="74"/>
      <c r="T23" s="74"/>
      <c r="U23" s="74"/>
      <c r="V23" s="74"/>
    </row>
    <row r="24" spans="1:22" ht="22" customHeight="1" x14ac:dyDescent="0.35">
      <c r="A24" s="96" t="str">
        <f>IF($AA$5=0,"",IF(LEN(INDEX(Jobs!$M$9:$M$258,$AA$5)&amp;"")=0,"",INDEX(Jobs!$M$9:$M$258,$AA$5)))</f>
        <v/>
      </c>
      <c r="B24" s="39"/>
      <c r="C24" s="39"/>
      <c r="D24" s="39"/>
      <c r="E24" s="39"/>
      <c r="F24" s="39"/>
      <c r="G24" s="39"/>
      <c r="H24" s="39"/>
      <c r="I24" s="39"/>
      <c r="J24" s="39"/>
      <c r="K24" s="39"/>
      <c r="L24" s="8"/>
      <c r="M24" s="68" t="s">
        <v>350</v>
      </c>
      <c r="N24" s="39"/>
      <c r="O24" s="39"/>
      <c r="P24" s="73" t="str">
        <f>IF($AA$7=0,"",IF(LEN(INDEX(Suppliers!$H$9:$H$508,$AA$7)&amp;"")=0,"",INDEX(Suppliers!$H$9:$H$508,$AA$7)))</f>
        <v/>
      </c>
      <c r="Q24" s="74"/>
      <c r="R24" s="74"/>
      <c r="S24" s="74"/>
      <c r="T24" s="74"/>
      <c r="U24" s="74"/>
      <c r="V24" s="74"/>
    </row>
    <row r="25" spans="1:22" ht="22" customHeight="1" x14ac:dyDescent="0.35">
      <c r="A25" s="39"/>
      <c r="B25" s="39"/>
      <c r="C25" s="39"/>
      <c r="D25" s="39"/>
      <c r="E25" s="39"/>
      <c r="F25" s="39"/>
      <c r="G25" s="39"/>
      <c r="H25" s="39"/>
      <c r="I25" s="39"/>
      <c r="J25" s="39"/>
      <c r="K25" s="39"/>
      <c r="L25" s="8"/>
      <c r="M25" s="8"/>
      <c r="N25" s="8"/>
      <c r="O25" s="8"/>
      <c r="P25" s="8"/>
      <c r="Q25" s="8"/>
      <c r="R25" s="8"/>
      <c r="S25" s="8"/>
      <c r="T25" s="8"/>
      <c r="U25" s="8"/>
      <c r="V25" s="8"/>
    </row>
    <row r="26" spans="1:22" ht="22" customHeight="1" x14ac:dyDescent="0.35">
      <c r="A26" s="39"/>
      <c r="B26" s="39"/>
      <c r="C26" s="39"/>
      <c r="D26" s="39"/>
      <c r="E26" s="39"/>
      <c r="F26" s="39"/>
      <c r="G26" s="39"/>
      <c r="H26" s="39"/>
      <c r="I26" s="39"/>
      <c r="J26" s="39"/>
      <c r="K26" s="39"/>
      <c r="L26" s="8"/>
      <c r="M26" s="54" t="s">
        <v>819</v>
      </c>
      <c r="N26" s="39"/>
      <c r="O26" s="39"/>
      <c r="P26" s="39"/>
      <c r="Q26" s="39"/>
      <c r="R26" s="39"/>
      <c r="S26" s="39"/>
      <c r="T26" s="39"/>
      <c r="U26" s="39"/>
      <c r="V26" s="39"/>
    </row>
    <row r="27" spans="1:22" ht="22" customHeight="1" x14ac:dyDescent="0.35">
      <c r="A27" s="39"/>
      <c r="B27" s="39"/>
      <c r="C27" s="39"/>
      <c r="D27" s="39"/>
      <c r="E27" s="39"/>
      <c r="F27" s="39"/>
      <c r="G27" s="39"/>
      <c r="H27" s="39"/>
      <c r="I27" s="39"/>
      <c r="J27" s="39"/>
      <c r="K27" s="39"/>
      <c r="L27" s="8"/>
      <c r="M27" s="68" t="s">
        <v>472</v>
      </c>
      <c r="N27" s="39"/>
      <c r="O27" s="39"/>
      <c r="P27" s="73" t="str">
        <f>IF($AA$6=0,"",IF(LEN(INDEX(Quotes!$E$9:$E$258,$AA$6)&amp;"")=0,"",INDEX(Quotes!$E$9:$E$258,$AA$6)))</f>
        <v/>
      </c>
      <c r="Q27" s="74"/>
      <c r="R27" s="74"/>
      <c r="S27" s="74"/>
      <c r="T27" s="74"/>
      <c r="U27" s="74"/>
      <c r="V27" s="74"/>
    </row>
    <row r="28" spans="1:22" ht="22" customHeight="1" x14ac:dyDescent="0.35">
      <c r="A28" s="39"/>
      <c r="B28" s="39"/>
      <c r="C28" s="39"/>
      <c r="D28" s="39"/>
      <c r="E28" s="39"/>
      <c r="F28" s="39"/>
      <c r="G28" s="39"/>
      <c r="H28" s="39"/>
      <c r="I28" s="39"/>
      <c r="J28" s="39"/>
      <c r="K28" s="39"/>
      <c r="L28" s="8"/>
      <c r="M28" s="68" t="s">
        <v>820</v>
      </c>
      <c r="N28" s="39"/>
      <c r="O28" s="39"/>
      <c r="P28" s="73" t="str">
        <f>IF($AA$6=0,"",IF(LEN(INDEX(Quotes!$F$9:$F$258,$AA$6)&amp;"")=0,"",INDEX(Quotes!$F$9:$F$258,$AA$6)))</f>
        <v/>
      </c>
      <c r="Q28" s="74"/>
      <c r="R28" s="74"/>
      <c r="S28" s="74"/>
      <c r="T28" s="74"/>
      <c r="U28" s="74"/>
      <c r="V28" s="74"/>
    </row>
    <row r="29" spans="1:22" ht="22" customHeight="1" x14ac:dyDescent="0.35">
      <c r="A29" s="39"/>
      <c r="B29" s="39"/>
      <c r="C29" s="39"/>
      <c r="D29" s="39"/>
      <c r="E29" s="39"/>
      <c r="F29" s="39"/>
      <c r="G29" s="39"/>
      <c r="H29" s="39"/>
      <c r="I29" s="39"/>
      <c r="J29" s="39"/>
      <c r="K29" s="39"/>
      <c r="L29" s="8"/>
      <c r="M29" s="68" t="s">
        <v>476</v>
      </c>
      <c r="N29" s="39"/>
      <c r="O29" s="39"/>
      <c r="P29" s="73" t="str">
        <f>IF($AA$6=0,"",IF(LEN(INDEX(Quotes!$I$9:$I$258,$AA$6)&amp;"")=0,"",INDEX(Quotes!$I$9:$I$258,$AA$6)))</f>
        <v/>
      </c>
      <c r="Q29" s="74"/>
      <c r="R29" s="74"/>
      <c r="S29" s="74"/>
      <c r="T29" s="74"/>
      <c r="U29" s="74"/>
      <c r="V29" s="74"/>
    </row>
    <row r="30" spans="1:22" ht="22" customHeight="1" x14ac:dyDescent="0.35">
      <c r="A30" s="39"/>
      <c r="B30" s="39"/>
      <c r="C30" s="39"/>
      <c r="D30" s="39"/>
      <c r="E30" s="39"/>
      <c r="F30" s="39"/>
      <c r="G30" s="39"/>
      <c r="H30" s="39"/>
      <c r="I30" s="39"/>
      <c r="J30" s="39"/>
      <c r="K30" s="39"/>
      <c r="L30" s="8"/>
      <c r="M30" s="68" t="s">
        <v>474</v>
      </c>
      <c r="N30" s="39"/>
      <c r="O30" s="39"/>
      <c r="P30" s="97" t="str">
        <f>IF($AA$6=0,"",IF(LEN(INDEX(Quotes!$G$9:$G$258,$AA$6)&amp;"")=0,"",INDEX(Quotes!$G$9:$G$258,$AA$6)))</f>
        <v/>
      </c>
      <c r="Q30" s="74"/>
      <c r="R30" s="74"/>
      <c r="S30" s="74"/>
      <c r="T30" s="74"/>
      <c r="U30" s="74"/>
      <c r="V30" s="74"/>
    </row>
    <row r="31" spans="1:22" ht="22" customHeight="1" x14ac:dyDescent="0.35">
      <c r="A31" s="39"/>
      <c r="B31" s="39"/>
      <c r="C31" s="39"/>
      <c r="D31" s="39"/>
      <c r="E31" s="39"/>
      <c r="F31" s="39"/>
      <c r="G31" s="39"/>
      <c r="H31" s="39"/>
      <c r="I31" s="39"/>
      <c r="J31" s="39"/>
      <c r="K31" s="39"/>
      <c r="L31" s="8"/>
      <c r="M31" s="68" t="s">
        <v>680</v>
      </c>
      <c r="N31" s="39"/>
      <c r="O31" s="39"/>
      <c r="P31" s="97" t="str">
        <f>IF($AA$6=0,"",IF(LEN(INDEX(Quotes!$H$9:$H$258,$AA$6)&amp;"")=0,"",INDEX(Quotes!$H$9:$H$258,$AA$6)))</f>
        <v/>
      </c>
      <c r="Q31" s="74"/>
      <c r="R31" s="74"/>
      <c r="S31" s="74"/>
      <c r="T31" s="74"/>
      <c r="U31" s="74"/>
      <c r="V31" s="74"/>
    </row>
    <row r="32" spans="1:22" ht="22" customHeight="1" x14ac:dyDescent="0.35">
      <c r="A32" s="39"/>
      <c r="B32" s="39"/>
      <c r="C32" s="39"/>
      <c r="D32" s="39"/>
      <c r="E32" s="39"/>
      <c r="F32" s="39"/>
      <c r="G32" s="39"/>
      <c r="H32" s="39"/>
      <c r="I32" s="39"/>
      <c r="J32" s="39"/>
      <c r="K32" s="39"/>
      <c r="L32" s="8"/>
      <c r="M32" s="117" t="s">
        <v>821</v>
      </c>
      <c r="N32" s="39"/>
      <c r="O32" s="39"/>
      <c r="P32" s="39"/>
      <c r="Q32" s="39"/>
      <c r="R32" s="39"/>
      <c r="S32" s="39"/>
      <c r="T32" s="39"/>
      <c r="U32" s="39"/>
      <c r="V32" s="39"/>
    </row>
    <row r="33" spans="1:22" ht="22" customHeight="1" x14ac:dyDescent="0.35">
      <c r="A33" s="39"/>
      <c r="B33" s="39"/>
      <c r="C33" s="39"/>
      <c r="D33" s="39"/>
      <c r="E33" s="39"/>
      <c r="F33" s="39"/>
      <c r="G33" s="39"/>
      <c r="H33" s="39"/>
      <c r="I33" s="39"/>
      <c r="J33" s="39"/>
      <c r="K33" s="39"/>
      <c r="L33" s="8"/>
      <c r="M33" s="68" t="s">
        <v>486</v>
      </c>
      <c r="N33" s="39"/>
      <c r="O33" s="39"/>
      <c r="P33" s="73" t="str">
        <f>IF($AA$6=0,"",IF(LEN(INDEX(Quotes!$M$9:$M$258,$AA$6)&amp;"")=0,"",INDEX(Quotes!$M$9:$M$258,$AA$6)))</f>
        <v/>
      </c>
      <c r="Q33" s="74"/>
      <c r="R33" s="74"/>
      <c r="S33" s="74"/>
      <c r="T33" s="74"/>
      <c r="U33" s="74"/>
      <c r="V33" s="74"/>
    </row>
    <row r="34" spans="1:22" ht="22" customHeight="1" x14ac:dyDescent="0.35">
      <c r="A34" s="39"/>
      <c r="B34" s="39"/>
      <c r="C34" s="39"/>
      <c r="D34" s="39"/>
      <c r="E34" s="39"/>
      <c r="F34" s="39"/>
      <c r="G34" s="39"/>
      <c r="H34" s="39"/>
      <c r="I34" s="39"/>
      <c r="J34" s="39"/>
      <c r="K34" s="39"/>
      <c r="L34" s="8"/>
      <c r="M34" s="68" t="s">
        <v>87</v>
      </c>
      <c r="N34" s="39"/>
      <c r="O34" s="39"/>
      <c r="P34" s="94" t="str">
        <f>IF($AA$6=0,"",IF(LEN(INDEX(Quotes!$J$9:$J$258,$AA$6)&amp;"")=0,"",INDEX(Quotes!$J$9:$J$258,$AA$6)))</f>
        <v/>
      </c>
      <c r="Q34" s="74"/>
      <c r="R34" s="74"/>
      <c r="S34" s="74"/>
      <c r="T34" s="74"/>
      <c r="U34" s="74"/>
      <c r="V34" s="74"/>
    </row>
    <row r="35" spans="1:22" ht="22" customHeight="1" x14ac:dyDescent="0.35">
      <c r="A35" s="39"/>
      <c r="B35" s="39"/>
      <c r="C35" s="39"/>
      <c r="D35" s="39"/>
      <c r="E35" s="39"/>
      <c r="F35" s="39"/>
      <c r="G35" s="39"/>
      <c r="H35" s="39"/>
      <c r="I35" s="39"/>
      <c r="J35" s="39"/>
      <c r="K35" s="39"/>
      <c r="L35" s="8"/>
      <c r="M35" s="68" t="s">
        <v>484</v>
      </c>
      <c r="N35" s="39"/>
      <c r="O35" s="39"/>
      <c r="P35" s="94" t="str">
        <f>IF($AA$6=0,"",IF(LEN(INDEX(Quotes!$K$9:$K$258,$AA$6)&amp;"")=0,"",INDEX(Quotes!$K$9:$K$258,$AA$6)))</f>
        <v/>
      </c>
      <c r="Q35" s="74"/>
      <c r="R35" s="74"/>
      <c r="S35" s="74"/>
      <c r="T35" s="74"/>
      <c r="U35" s="74"/>
      <c r="V35" s="74"/>
    </row>
    <row r="36" spans="1:22" ht="22" customHeight="1" x14ac:dyDescent="0.35">
      <c r="A36" s="39"/>
      <c r="B36" s="39"/>
      <c r="C36" s="39"/>
      <c r="D36" s="39"/>
      <c r="E36" s="39"/>
      <c r="F36" s="39"/>
      <c r="G36" s="39"/>
      <c r="H36" s="39"/>
      <c r="I36" s="39"/>
      <c r="J36" s="39"/>
      <c r="K36" s="39"/>
      <c r="L36" s="8"/>
      <c r="M36" s="68" t="s">
        <v>485</v>
      </c>
      <c r="N36" s="39"/>
      <c r="O36" s="39"/>
      <c r="P36" s="94" t="str">
        <f>IF($AA$6=0,"",IF(LEN(INDEX(Quotes!$L$9:$L$258,$AA$6)&amp;"")=0,"",INDEX(Quotes!$L$9:$L$258,$AA$6)))</f>
        <v/>
      </c>
      <c r="Q36" s="74"/>
      <c r="R36" s="74"/>
      <c r="S36" s="74"/>
      <c r="T36" s="74"/>
      <c r="U36" s="74"/>
      <c r="V36" s="74"/>
    </row>
    <row r="37" spans="1:22" ht="22" customHeight="1" x14ac:dyDescent="0.35">
      <c r="A37" s="39"/>
      <c r="B37" s="39"/>
      <c r="C37" s="39"/>
      <c r="D37" s="39"/>
      <c r="E37" s="39"/>
      <c r="F37" s="39"/>
      <c r="G37" s="39"/>
      <c r="H37" s="39"/>
      <c r="I37" s="39"/>
      <c r="J37" s="39"/>
      <c r="K37" s="39"/>
      <c r="L37" s="8"/>
      <c r="M37" s="68" t="s">
        <v>822</v>
      </c>
      <c r="N37" s="39"/>
      <c r="O37" s="39"/>
      <c r="P37" s="73" t="str">
        <f>IF($AA$6=0,"",IF(LEN(INDEX(Quotes!$R$9:$R$258,$AA$6)&amp;"")=0,"",INDEX(Quotes!$R$9:$R$258,$AA$6)))</f>
        <v/>
      </c>
      <c r="Q37" s="74"/>
      <c r="R37" s="74"/>
      <c r="S37" s="74"/>
      <c r="T37" s="74"/>
      <c r="U37" s="74"/>
      <c r="V37" s="74"/>
    </row>
    <row r="38" spans="1:22" ht="22" customHeight="1" x14ac:dyDescent="0.35">
      <c r="A38" s="39"/>
      <c r="B38" s="39"/>
      <c r="C38" s="39"/>
      <c r="D38" s="39"/>
      <c r="E38" s="39"/>
      <c r="F38" s="39"/>
      <c r="G38" s="39"/>
      <c r="H38" s="39"/>
      <c r="I38" s="39"/>
      <c r="J38" s="39"/>
      <c r="K38" s="39"/>
      <c r="L38" s="8"/>
      <c r="M38" s="8"/>
      <c r="N38" s="8"/>
      <c r="O38" s="8"/>
      <c r="P38" s="8"/>
      <c r="Q38" s="8"/>
      <c r="R38" s="8"/>
      <c r="S38" s="8"/>
      <c r="T38" s="8"/>
      <c r="U38" s="8"/>
      <c r="V38" s="8"/>
    </row>
    <row r="39" spans="1:22" ht="22" customHeight="1" x14ac:dyDescent="0.35">
      <c r="A39" s="39"/>
      <c r="B39" s="39"/>
      <c r="C39" s="39"/>
      <c r="D39" s="39"/>
      <c r="E39" s="39"/>
      <c r="F39" s="39"/>
      <c r="G39" s="39"/>
      <c r="H39" s="39"/>
      <c r="I39" s="39"/>
      <c r="J39" s="39"/>
      <c r="K39" s="39"/>
      <c r="L39" s="8"/>
      <c r="M39" s="98" t="s">
        <v>683</v>
      </c>
      <c r="N39" s="39"/>
      <c r="O39" s="39"/>
      <c r="P39" s="39"/>
      <c r="Q39" s="39"/>
      <c r="R39" s="39"/>
      <c r="S39" s="39"/>
      <c r="T39" s="39"/>
      <c r="U39" s="39"/>
      <c r="V39" s="39"/>
    </row>
    <row r="40" spans="1:22" ht="22" customHeight="1" x14ac:dyDescent="0.35">
      <c r="A40" s="74"/>
      <c r="B40" s="74"/>
      <c r="C40" s="74"/>
      <c r="D40" s="74"/>
      <c r="E40" s="74"/>
      <c r="F40" s="74"/>
      <c r="G40" s="74"/>
      <c r="H40" s="74"/>
      <c r="I40" s="74"/>
      <c r="J40" s="74"/>
      <c r="K40" s="74"/>
      <c r="L40" s="8"/>
      <c r="M40" s="96" t="str">
        <f>IF($AA$6=0,"",IF(LEN(INDEX(Quotes!$N$9:$N$258,$AA$6)&amp;"")=0,"",INDEX(Quotes!$N$9:$N$258,$AA$6)))</f>
        <v/>
      </c>
      <c r="N40" s="39"/>
      <c r="O40" s="39"/>
      <c r="P40" s="39"/>
      <c r="Q40" s="39"/>
      <c r="R40" s="39"/>
      <c r="S40" s="39"/>
      <c r="T40" s="39"/>
      <c r="U40" s="39"/>
      <c r="V40" s="39"/>
    </row>
    <row r="41" spans="1:22" ht="22" customHeight="1" x14ac:dyDescent="0.35">
      <c r="A41" s="8"/>
      <c r="B41" s="8"/>
      <c r="C41" s="8"/>
      <c r="D41" s="8"/>
      <c r="E41" s="8"/>
      <c r="F41" s="8"/>
      <c r="G41" s="8"/>
      <c r="H41" s="8"/>
      <c r="I41" s="8"/>
      <c r="J41" s="8"/>
      <c r="K41" s="8"/>
      <c r="L41" s="8"/>
      <c r="M41" s="74"/>
      <c r="N41" s="74"/>
      <c r="O41" s="74"/>
      <c r="P41" s="74"/>
      <c r="Q41" s="74"/>
      <c r="R41" s="74"/>
      <c r="S41" s="74"/>
      <c r="T41" s="74"/>
      <c r="U41" s="74"/>
      <c r="V41" s="74"/>
    </row>
    <row r="42" spans="1:22" ht="22" customHeight="1" x14ac:dyDescent="0.35">
      <c r="A42" s="114" t="s">
        <v>823</v>
      </c>
      <c r="B42" s="39"/>
      <c r="C42" s="39"/>
      <c r="D42" s="39"/>
      <c r="E42" s="39"/>
      <c r="F42" s="39"/>
      <c r="G42" s="39"/>
      <c r="H42" s="39"/>
      <c r="I42" s="39"/>
      <c r="J42" s="39"/>
      <c r="K42" s="39"/>
      <c r="L42" s="8"/>
      <c r="M42" s="118" t="s">
        <v>824</v>
      </c>
      <c r="N42" s="39"/>
      <c r="O42" s="39"/>
      <c r="P42" s="39"/>
      <c r="Q42" s="39"/>
      <c r="R42" s="39"/>
      <c r="S42" s="39"/>
      <c r="T42" s="39"/>
      <c r="U42" s="39"/>
      <c r="V42" s="39"/>
    </row>
    <row r="43" spans="1:22" ht="22" customHeight="1" x14ac:dyDescent="0.35">
      <c r="A43" s="96" t="str">
        <f>IF($AA$5=0,"",IF(LEN(INDEX(Jobs!$L$9:$L$258,$AA$5)&amp;"")=0,"",INDEX(Jobs!$L$9:$L$258,$AA$5)))</f>
        <v/>
      </c>
      <c r="B43" s="39"/>
      <c r="C43" s="39"/>
      <c r="D43" s="39"/>
      <c r="E43" s="39"/>
      <c r="F43" s="39"/>
      <c r="G43" s="39"/>
      <c r="H43" s="39"/>
      <c r="I43" s="39"/>
      <c r="J43" s="39"/>
      <c r="K43" s="39"/>
      <c r="L43" s="8"/>
      <c r="M43" s="98" t="s">
        <v>685</v>
      </c>
      <c r="N43" s="39"/>
      <c r="O43" s="39"/>
      <c r="P43" s="39"/>
      <c r="Q43" s="39"/>
      <c r="R43" s="39"/>
      <c r="S43" s="39"/>
      <c r="T43" s="39"/>
      <c r="U43" s="39"/>
      <c r="V43" s="39"/>
    </row>
    <row r="44" spans="1:22" ht="22" customHeight="1" x14ac:dyDescent="0.35">
      <c r="A44" s="39"/>
      <c r="B44" s="39"/>
      <c r="C44" s="39"/>
      <c r="D44" s="39"/>
      <c r="E44" s="39"/>
      <c r="F44" s="39"/>
      <c r="G44" s="39"/>
      <c r="H44" s="39"/>
      <c r="I44" s="39"/>
      <c r="J44" s="39"/>
      <c r="K44" s="39"/>
      <c r="L44" s="8"/>
      <c r="M44" s="96" t="str">
        <f>IF($AA$6=0,"",IF(LEN(INDEX(Quotes!$O$9:$O$258,$AA$6)&amp;"")=0,"",INDEX(Quotes!$O$9:$O$258,$AA$6)))</f>
        <v/>
      </c>
      <c r="N44" s="39"/>
      <c r="O44" s="39"/>
      <c r="P44" s="39"/>
      <c r="Q44" s="39"/>
      <c r="R44" s="39"/>
      <c r="S44" s="39"/>
      <c r="T44" s="39"/>
      <c r="U44" s="39"/>
      <c r="V44" s="39"/>
    </row>
    <row r="45" spans="1:22" ht="22" customHeight="1" x14ac:dyDescent="0.35">
      <c r="A45" s="39"/>
      <c r="B45" s="39"/>
      <c r="C45" s="39"/>
      <c r="D45" s="39"/>
      <c r="E45" s="39"/>
      <c r="F45" s="39"/>
      <c r="G45" s="39"/>
      <c r="H45" s="39"/>
      <c r="I45" s="39"/>
      <c r="J45" s="39"/>
      <c r="K45" s="39"/>
      <c r="L45" s="8"/>
      <c r="M45" s="74"/>
      <c r="N45" s="74"/>
      <c r="O45" s="74"/>
      <c r="P45" s="74"/>
      <c r="Q45" s="74"/>
      <c r="R45" s="74"/>
      <c r="S45" s="74"/>
      <c r="T45" s="74"/>
      <c r="U45" s="74"/>
      <c r="V45" s="74"/>
    </row>
    <row r="46" spans="1:22" ht="22" customHeight="1" x14ac:dyDescent="0.35">
      <c r="A46" s="39"/>
      <c r="B46" s="39"/>
      <c r="C46" s="39"/>
      <c r="D46" s="39"/>
      <c r="E46" s="39"/>
      <c r="F46" s="39"/>
      <c r="G46" s="39"/>
      <c r="H46" s="39"/>
      <c r="I46" s="39"/>
      <c r="J46" s="39"/>
      <c r="K46" s="39"/>
      <c r="L46" s="8"/>
      <c r="M46" s="118" t="s">
        <v>825</v>
      </c>
      <c r="N46" s="39"/>
      <c r="O46" s="39"/>
      <c r="P46" s="39"/>
      <c r="Q46" s="39"/>
      <c r="R46" s="39"/>
      <c r="S46" s="39"/>
      <c r="T46" s="39"/>
      <c r="U46" s="39"/>
      <c r="V46" s="39"/>
    </row>
    <row r="47" spans="1:22" ht="22" customHeight="1" x14ac:dyDescent="0.35">
      <c r="A47" s="39"/>
      <c r="B47" s="39"/>
      <c r="C47" s="39"/>
      <c r="D47" s="39"/>
      <c r="E47" s="39"/>
      <c r="F47" s="39"/>
      <c r="G47" s="39"/>
      <c r="H47" s="39"/>
      <c r="I47" s="39"/>
      <c r="J47" s="39"/>
      <c r="K47" s="39"/>
      <c r="L47" s="8"/>
      <c r="M47" s="8"/>
      <c r="N47" s="8"/>
      <c r="O47" s="8"/>
      <c r="P47" s="8"/>
      <c r="Q47" s="8"/>
      <c r="R47" s="8"/>
      <c r="S47" s="8"/>
      <c r="T47" s="8"/>
      <c r="U47" s="8"/>
      <c r="V47" s="8"/>
    </row>
    <row r="48" spans="1:22" ht="22" customHeight="1" x14ac:dyDescent="0.35">
      <c r="A48" s="74"/>
      <c r="B48" s="74"/>
      <c r="C48" s="74"/>
      <c r="D48" s="74"/>
      <c r="E48" s="74"/>
      <c r="F48" s="74"/>
      <c r="G48" s="74"/>
      <c r="H48" s="74"/>
      <c r="I48" s="74"/>
      <c r="J48" s="74"/>
      <c r="K48" s="74"/>
      <c r="L48" s="8"/>
      <c r="M48" s="98" t="s">
        <v>687</v>
      </c>
      <c r="N48" s="39"/>
      <c r="O48" s="39"/>
      <c r="P48" s="39"/>
      <c r="Q48" s="39"/>
      <c r="R48" s="39"/>
      <c r="S48" s="39"/>
      <c r="T48" s="39"/>
      <c r="U48" s="39"/>
      <c r="V48" s="39"/>
    </row>
    <row r="49" spans="1:27" ht="22" customHeight="1" x14ac:dyDescent="0.35">
      <c r="A49" s="8"/>
      <c r="B49" s="8"/>
      <c r="C49" s="8"/>
      <c r="D49" s="8"/>
      <c r="E49" s="8"/>
      <c r="F49" s="8"/>
      <c r="G49" s="8"/>
      <c r="H49" s="8"/>
      <c r="I49" s="8"/>
      <c r="J49" s="8"/>
      <c r="K49" s="8"/>
      <c r="L49" s="8"/>
      <c r="M49" s="96" t="str">
        <f>IF($AA$6=0,"",IF(LEN(INDEX(Quotes!$Q$9:$Q$258,$AA$6)&amp;"")=0,"",INDEX(Quotes!$Q$9:$Q$258,$AA$6)))</f>
        <v/>
      </c>
      <c r="N49" s="39"/>
      <c r="O49" s="39"/>
      <c r="P49" s="39"/>
      <c r="Q49" s="39"/>
      <c r="R49" s="39"/>
      <c r="S49" s="39"/>
      <c r="T49" s="39"/>
      <c r="U49" s="39"/>
      <c r="V49" s="39"/>
    </row>
    <row r="50" spans="1:27" ht="22" customHeight="1" x14ac:dyDescent="0.35">
      <c r="A50" s="114" t="s">
        <v>826</v>
      </c>
      <c r="B50" s="39"/>
      <c r="C50" s="39"/>
      <c r="D50" s="39"/>
      <c r="E50" s="39"/>
      <c r="F50" s="39"/>
      <c r="G50" s="39"/>
      <c r="H50" s="39"/>
      <c r="I50" s="39"/>
      <c r="J50" s="39"/>
      <c r="K50" s="39"/>
      <c r="L50" s="8"/>
      <c r="M50" s="39"/>
      <c r="N50" s="39"/>
      <c r="O50" s="39"/>
      <c r="P50" s="39"/>
      <c r="Q50" s="39"/>
      <c r="R50" s="39"/>
      <c r="S50" s="39"/>
      <c r="T50" s="39"/>
      <c r="U50" s="39"/>
      <c r="V50" s="39"/>
    </row>
    <row r="51" spans="1:27" ht="22" customHeight="1" x14ac:dyDescent="0.35">
      <c r="A51" s="96" t="str">
        <f>IF($AA$5=0,"",IF(LEN(INDEX(Jobs!$N$9:$N$258,$AA$5)&amp;"")=0,"",INDEX(Jobs!$N$9:$N$258,$AA$5)))</f>
        <v/>
      </c>
      <c r="B51" s="39"/>
      <c r="C51" s="39"/>
      <c r="D51" s="39"/>
      <c r="E51" s="39"/>
      <c r="F51" s="39"/>
      <c r="G51" s="39"/>
      <c r="H51" s="39"/>
      <c r="I51" s="39"/>
      <c r="J51" s="39"/>
      <c r="K51" s="39"/>
      <c r="L51" s="8"/>
      <c r="M51" s="74"/>
      <c r="N51" s="74"/>
      <c r="O51" s="74"/>
      <c r="P51" s="74"/>
      <c r="Q51" s="74"/>
      <c r="R51" s="74"/>
      <c r="S51" s="74"/>
      <c r="T51" s="74"/>
      <c r="U51" s="74"/>
      <c r="V51" s="74"/>
    </row>
    <row r="52" spans="1:27" ht="22" customHeight="1" x14ac:dyDescent="0.35">
      <c r="A52" s="74"/>
      <c r="B52" s="74"/>
      <c r="C52" s="74"/>
      <c r="D52" s="74"/>
      <c r="E52" s="74"/>
      <c r="F52" s="74"/>
      <c r="G52" s="74"/>
      <c r="H52" s="74"/>
      <c r="I52" s="74"/>
      <c r="J52" s="74"/>
      <c r="K52" s="74"/>
      <c r="L52" s="8"/>
      <c r="M52" s="8"/>
      <c r="N52" s="8"/>
      <c r="O52" s="8"/>
      <c r="P52" s="8"/>
      <c r="Q52" s="8"/>
      <c r="R52" s="8"/>
      <c r="S52" s="8"/>
      <c r="T52" s="8"/>
      <c r="U52" s="8"/>
      <c r="V52" s="8"/>
    </row>
    <row r="53" spans="1:27" ht="22" customHeight="1" x14ac:dyDescent="0.35">
      <c r="A53" s="118" t="s">
        <v>827</v>
      </c>
      <c r="B53" s="39"/>
      <c r="C53" s="39"/>
      <c r="D53" s="39"/>
      <c r="E53" s="39"/>
      <c r="F53" s="39"/>
      <c r="G53" s="39"/>
      <c r="H53" s="39"/>
      <c r="I53" s="39"/>
      <c r="J53" s="39"/>
      <c r="K53" s="39"/>
      <c r="L53" s="8"/>
      <c r="M53" s="98" t="s">
        <v>686</v>
      </c>
      <c r="N53" s="39"/>
      <c r="O53" s="39"/>
      <c r="P53" s="39"/>
      <c r="Q53" s="39"/>
      <c r="R53" s="39"/>
      <c r="S53" s="39"/>
      <c r="T53" s="39"/>
      <c r="U53" s="39"/>
      <c r="V53" s="39"/>
    </row>
    <row r="54" spans="1:27" ht="22" customHeight="1" x14ac:dyDescent="0.35">
      <c r="A54" s="8"/>
      <c r="B54" s="8"/>
      <c r="C54" s="8"/>
      <c r="D54" s="8"/>
      <c r="E54" s="8"/>
      <c r="F54" s="8"/>
      <c r="G54" s="8"/>
      <c r="H54" s="8"/>
      <c r="I54" s="8"/>
      <c r="J54" s="8"/>
      <c r="K54" s="8"/>
      <c r="L54" s="8"/>
      <c r="M54" s="96" t="str">
        <f>IF($AA$6=0,"",IF(LEN(INDEX(Quotes!$P$9:$P$258,$AA$6)&amp;"")=0,"",INDEX(Quotes!$P$9:$P$258,$AA$6)))</f>
        <v/>
      </c>
      <c r="N54" s="39"/>
      <c r="O54" s="39"/>
      <c r="P54" s="39"/>
      <c r="Q54" s="39"/>
      <c r="R54" s="39"/>
      <c r="S54" s="39"/>
      <c r="T54" s="39"/>
      <c r="U54" s="39"/>
      <c r="V54" s="39"/>
    </row>
    <row r="55" spans="1:27" ht="22" customHeight="1" x14ac:dyDescent="0.35">
      <c r="A55" s="114" t="s">
        <v>828</v>
      </c>
      <c r="B55" s="39"/>
      <c r="C55" s="39"/>
      <c r="D55" s="39"/>
      <c r="E55" s="39"/>
      <c r="F55" s="39"/>
      <c r="G55" s="39"/>
      <c r="H55" s="39"/>
      <c r="I55" s="39"/>
      <c r="J55" s="39"/>
      <c r="K55" s="39"/>
      <c r="L55" s="8"/>
      <c r="M55" s="39"/>
      <c r="N55" s="39"/>
      <c r="O55" s="39"/>
      <c r="P55" s="39"/>
      <c r="Q55" s="39"/>
      <c r="R55" s="39"/>
      <c r="S55" s="39"/>
      <c r="T55" s="39"/>
      <c r="U55" s="39"/>
      <c r="V55" s="39"/>
    </row>
    <row r="56" spans="1:27" ht="22" customHeight="1" x14ac:dyDescent="0.35">
      <c r="A56" s="96" t="str">
        <f>IF($AA$7=0,"",IF(LEN(INDEX(Suppliers!$I$9:$I$508,$AA$7)&amp;"")=0,"",INDEX(Suppliers!$I$9:$I$508,$AA$7)))</f>
        <v/>
      </c>
      <c r="B56" s="39"/>
      <c r="C56" s="39"/>
      <c r="D56" s="39"/>
      <c r="E56" s="39"/>
      <c r="F56" s="39"/>
      <c r="G56" s="39"/>
      <c r="H56" s="39"/>
      <c r="I56" s="39"/>
      <c r="J56" s="39"/>
      <c r="K56" s="39"/>
      <c r="L56" s="8"/>
      <c r="M56" s="74"/>
      <c r="N56" s="74"/>
      <c r="O56" s="74"/>
      <c r="P56" s="74"/>
      <c r="Q56" s="74"/>
      <c r="R56" s="74"/>
      <c r="S56" s="74"/>
      <c r="T56" s="74"/>
      <c r="U56" s="74"/>
      <c r="V56" s="74"/>
    </row>
    <row r="57" spans="1:27" ht="22" customHeight="1" x14ac:dyDescent="0.35">
      <c r="A57" s="39"/>
      <c r="B57" s="39"/>
      <c r="C57" s="39"/>
      <c r="D57" s="39"/>
      <c r="E57" s="39"/>
      <c r="F57" s="39"/>
      <c r="G57" s="39"/>
      <c r="H57" s="39"/>
      <c r="I57" s="39"/>
      <c r="J57" s="39"/>
      <c r="K57" s="39"/>
      <c r="L57" s="8"/>
      <c r="M57" s="8"/>
      <c r="N57" s="8"/>
      <c r="O57" s="8"/>
      <c r="P57" s="8"/>
      <c r="Q57" s="8"/>
      <c r="R57" s="8"/>
      <c r="S57" s="8"/>
      <c r="T57" s="8"/>
      <c r="U57" s="8"/>
      <c r="V57" s="8"/>
    </row>
    <row r="58" spans="1:27" ht="22" customHeight="1" x14ac:dyDescent="0.35">
      <c r="A58" s="39"/>
      <c r="B58" s="39"/>
      <c r="C58" s="39"/>
      <c r="D58" s="39"/>
      <c r="E58" s="39"/>
      <c r="F58" s="39"/>
      <c r="G58" s="39"/>
      <c r="H58" s="39"/>
      <c r="I58" s="39"/>
      <c r="J58" s="39"/>
      <c r="K58" s="39"/>
      <c r="L58" s="8"/>
      <c r="M58" s="61" t="str">
        <f>IF($AA$6=0,"",IF(LEN(INDEX(Quotes!$AM$9:$AM$258,$AA$6)&amp;"")=0,"",INDEX(Quotes!$AM$9:$AM$258,$AA$6)))</f>
        <v/>
      </c>
      <c r="N58" s="39"/>
      <c r="O58" s="39"/>
      <c r="P58" s="39"/>
      <c r="Q58" s="39"/>
      <c r="R58" s="39"/>
      <c r="S58" s="39"/>
      <c r="T58" s="39"/>
      <c r="U58" s="39"/>
      <c r="V58" s="39"/>
    </row>
    <row r="59" spans="1:27" ht="22" customHeight="1" x14ac:dyDescent="0.35">
      <c r="A59" s="74"/>
      <c r="B59" s="74"/>
      <c r="C59" s="74"/>
      <c r="D59" s="74"/>
      <c r="E59" s="74"/>
      <c r="F59" s="74"/>
      <c r="G59" s="74"/>
      <c r="H59" s="74"/>
      <c r="I59" s="74"/>
      <c r="J59" s="74"/>
      <c r="K59" s="74"/>
      <c r="L59" s="8"/>
      <c r="M59" s="39"/>
      <c r="N59" s="39"/>
      <c r="O59" s="39"/>
      <c r="P59" s="39"/>
      <c r="Q59" s="39"/>
      <c r="R59" s="39"/>
      <c r="S59" s="39"/>
      <c r="T59" s="39"/>
      <c r="U59" s="39"/>
      <c r="V59" s="39"/>
    </row>
    <row r="60" spans="1:27" ht="22" customHeight="1" x14ac:dyDescent="0.35">
      <c r="A60" s="8"/>
      <c r="B60" s="8"/>
      <c r="C60" s="8"/>
      <c r="D60" s="8"/>
      <c r="E60" s="8"/>
      <c r="F60" s="8"/>
      <c r="G60" s="8"/>
      <c r="H60" s="8"/>
      <c r="I60" s="8"/>
      <c r="J60" s="8"/>
      <c r="K60" s="8"/>
      <c r="L60" s="8"/>
      <c r="M60" s="8"/>
      <c r="N60" s="8"/>
      <c r="O60" s="8"/>
      <c r="P60" s="8"/>
      <c r="Q60" s="8"/>
      <c r="R60" s="8"/>
      <c r="S60" s="8"/>
      <c r="T60" s="8"/>
      <c r="U60" s="8"/>
      <c r="V60" s="8"/>
    </row>
    <row r="61" spans="1:27" ht="22" customHeight="1" x14ac:dyDescent="0.35">
      <c r="A61" s="54" t="s">
        <v>829</v>
      </c>
      <c r="B61" s="39"/>
      <c r="C61" s="39"/>
      <c r="D61" s="39"/>
      <c r="E61" s="39"/>
      <c r="F61" s="39"/>
      <c r="G61" s="39"/>
      <c r="H61" s="39"/>
      <c r="I61" s="39"/>
      <c r="J61" s="39"/>
      <c r="K61" s="39"/>
      <c r="L61" s="39"/>
      <c r="M61" s="39"/>
      <c r="N61" s="39"/>
      <c r="O61" s="39"/>
      <c r="P61" s="39"/>
      <c r="Q61" s="39"/>
      <c r="R61" s="39"/>
      <c r="S61" s="39"/>
      <c r="T61" s="39"/>
      <c r="U61" s="39"/>
      <c r="V61" s="39"/>
    </row>
    <row r="62" spans="1:27" ht="22" customHeight="1" x14ac:dyDescent="0.35">
      <c r="A62" s="8"/>
      <c r="B62" s="8"/>
      <c r="C62" s="8"/>
      <c r="D62" s="8"/>
      <c r="E62" s="8"/>
      <c r="F62" s="8"/>
      <c r="G62" s="8"/>
      <c r="H62" s="8"/>
      <c r="I62" s="8"/>
      <c r="J62" s="8"/>
      <c r="K62" s="8"/>
      <c r="L62" s="8"/>
      <c r="M62" s="8"/>
      <c r="N62" s="8"/>
      <c r="O62" s="8"/>
      <c r="P62" s="8"/>
      <c r="Q62" s="8"/>
      <c r="R62" s="8"/>
      <c r="S62" s="8"/>
      <c r="T62" s="8"/>
      <c r="U62" s="8"/>
      <c r="V62" s="8"/>
    </row>
    <row r="63" spans="1:27" ht="22" customHeight="1" x14ac:dyDescent="0.35">
      <c r="A63" s="80" t="s">
        <v>624</v>
      </c>
      <c r="B63" s="39"/>
      <c r="C63" s="39"/>
      <c r="D63" s="80" t="s">
        <v>830</v>
      </c>
      <c r="E63" s="39"/>
      <c r="F63" s="39"/>
      <c r="G63" s="39"/>
      <c r="H63" s="39"/>
      <c r="I63" s="80" t="s">
        <v>25</v>
      </c>
      <c r="J63" s="39"/>
      <c r="K63" s="39"/>
      <c r="L63" s="8"/>
      <c r="M63" s="80" t="s">
        <v>831</v>
      </c>
      <c r="N63" s="39"/>
      <c r="O63" s="39"/>
      <c r="P63" s="80" t="s">
        <v>832</v>
      </c>
      <c r="Q63" s="39"/>
      <c r="R63" s="39"/>
      <c r="S63" s="28" t="s">
        <v>833</v>
      </c>
      <c r="T63" s="80" t="s">
        <v>627</v>
      </c>
      <c r="U63" s="39"/>
      <c r="V63" s="28" t="s">
        <v>834</v>
      </c>
    </row>
    <row r="64" spans="1:27" ht="42" customHeight="1" x14ac:dyDescent="0.35">
      <c r="A64" s="77" t="str">
        <f>IF($AA64=0,"",IF(LEN(INDEX(Quotes!$A$9:$A$258,$AA64)&amp;"")=0,"",INDEX(Quotes!$A$9:$A$258,$AA64)))</f>
        <v/>
      </c>
      <c r="B64" s="39"/>
      <c r="C64" s="39"/>
      <c r="D64" s="77" t="str">
        <f>IF($AA64=0,"",INDEX(Quotes!$U$9:$U$258,$AA64)&amp;" | "&amp;INDEX(Quotes!$E$9:$E$258,$AA64))</f>
        <v/>
      </c>
      <c r="E64" s="39"/>
      <c r="F64" s="39"/>
      <c r="G64" s="39"/>
      <c r="H64" s="39"/>
      <c r="I64" s="113" t="str">
        <f>IF($AA64=0,"",IF(LEN(INDEX(Quotes!$F$9:$F$258,$AA64)&amp;"")=0,"",INDEX(Quotes!$F$9:$F$258,$AA64)))</f>
        <v/>
      </c>
      <c r="J64" s="39"/>
      <c r="K64" s="39"/>
      <c r="L64" s="8"/>
      <c r="M64" s="110" t="str">
        <f>IF($AA64=0,"",IF(LEN(INDEX(Quotes!$G$9:$G$258,$AA64)&amp;"")=0,"",INDEX(Quotes!$G$9:$G$258,$AA64)))</f>
        <v/>
      </c>
      <c r="N64" s="39"/>
      <c r="O64" s="39"/>
      <c r="P64" s="110" t="str">
        <f>IF($AA64=0,"",IF(LEN(INDEX(Quotes!$H$9:$H$258,$AA64)&amp;"")=0,"",INDEX(Quotes!$H$9:$H$258,$AA64)))</f>
        <v/>
      </c>
      <c r="Q64" s="39"/>
      <c r="R64" s="39"/>
      <c r="S64" s="32" t="str">
        <f>IF($AA64=0,"",IF(LEN(INDEX(Quotes!$I$9:$I$258,$AA64)&amp;"")=0,"",INDEX(Quotes!$I$9:$I$258,$AA64)))</f>
        <v/>
      </c>
      <c r="T64" s="76" t="str">
        <f>IF($AA64=0,"",IF(LEN(INDEX(Quotes!$AD$9:$AD$258,$AA64)&amp;"")=0,"",INDEX(Quotes!$AD$9:$AD$258,$AA64)))</f>
        <v/>
      </c>
      <c r="U64" s="39"/>
      <c r="V64" s="33" t="str">
        <f t="shared" ref="V64:V93" si="0">IF($AA64=0,"",HYPERLINK("#'Quotes'!A"&amp;($AA64+8),"Quote"))</f>
        <v/>
      </c>
      <c r="AA64">
        <f>IFERROR(MATCH("J:"&amp;$AA$2&amp;"_N:1",Quotes!$AS$9:$AS$258,0),0)</f>
        <v>0</v>
      </c>
    </row>
    <row r="65" spans="1:27" ht="42" customHeight="1" x14ac:dyDescent="0.35">
      <c r="A65" s="77" t="str">
        <f>IF($AA65=0,"",IF(LEN(INDEX(Quotes!$A$9:$A$258,$AA65)&amp;"")=0,"",INDEX(Quotes!$A$9:$A$258,$AA65)))</f>
        <v/>
      </c>
      <c r="B65" s="39"/>
      <c r="C65" s="39"/>
      <c r="D65" s="77" t="str">
        <f>IF($AA65=0,"",INDEX(Quotes!$U$9:$U$258,$AA65)&amp;" | "&amp;INDEX(Quotes!$E$9:$E$258,$AA65))</f>
        <v/>
      </c>
      <c r="E65" s="39"/>
      <c r="F65" s="39"/>
      <c r="G65" s="39"/>
      <c r="H65" s="39"/>
      <c r="I65" s="113" t="str">
        <f>IF($AA65=0,"",IF(LEN(INDEX(Quotes!$F$9:$F$258,$AA65)&amp;"")=0,"",INDEX(Quotes!$F$9:$F$258,$AA65)))</f>
        <v/>
      </c>
      <c r="J65" s="39"/>
      <c r="K65" s="39"/>
      <c r="L65" s="8"/>
      <c r="M65" s="110" t="str">
        <f>IF($AA65=0,"",IF(LEN(INDEX(Quotes!$G$9:$G$258,$AA65)&amp;"")=0,"",INDEX(Quotes!$G$9:$G$258,$AA65)))</f>
        <v/>
      </c>
      <c r="N65" s="39"/>
      <c r="O65" s="39"/>
      <c r="P65" s="110" t="str">
        <f>IF($AA65=0,"",IF(LEN(INDEX(Quotes!$H$9:$H$258,$AA65)&amp;"")=0,"",INDEX(Quotes!$H$9:$H$258,$AA65)))</f>
        <v/>
      </c>
      <c r="Q65" s="39"/>
      <c r="R65" s="39"/>
      <c r="S65" s="32" t="str">
        <f>IF($AA65=0,"",IF(LEN(INDEX(Quotes!$I$9:$I$258,$AA65)&amp;"")=0,"",INDEX(Quotes!$I$9:$I$258,$AA65)))</f>
        <v/>
      </c>
      <c r="T65" s="76" t="str">
        <f>IF($AA65=0,"",IF(LEN(INDEX(Quotes!$AD$9:$AD$258,$AA65)&amp;"")=0,"",INDEX(Quotes!$AD$9:$AD$258,$AA65)))</f>
        <v/>
      </c>
      <c r="U65" s="39"/>
      <c r="V65" s="33" t="str">
        <f t="shared" si="0"/>
        <v/>
      </c>
      <c r="AA65">
        <f>IFERROR(MATCH("J:"&amp;$AA$2&amp;"_N:2",Quotes!$AS$9:$AS$258,0),0)</f>
        <v>0</v>
      </c>
    </row>
    <row r="66" spans="1:27" ht="42" customHeight="1" x14ac:dyDescent="0.35">
      <c r="A66" s="77" t="str">
        <f>IF($AA66=0,"",IF(LEN(INDEX(Quotes!$A$9:$A$258,$AA66)&amp;"")=0,"",INDEX(Quotes!$A$9:$A$258,$AA66)))</f>
        <v/>
      </c>
      <c r="B66" s="39"/>
      <c r="C66" s="39"/>
      <c r="D66" s="77" t="str">
        <f>IF($AA66=0,"",INDEX(Quotes!$U$9:$U$258,$AA66)&amp;" | "&amp;INDEX(Quotes!$E$9:$E$258,$AA66))</f>
        <v/>
      </c>
      <c r="E66" s="39"/>
      <c r="F66" s="39"/>
      <c r="G66" s="39"/>
      <c r="H66" s="39"/>
      <c r="I66" s="113" t="str">
        <f>IF($AA66=0,"",IF(LEN(INDEX(Quotes!$F$9:$F$258,$AA66)&amp;"")=0,"",INDEX(Quotes!$F$9:$F$258,$AA66)))</f>
        <v/>
      </c>
      <c r="J66" s="39"/>
      <c r="K66" s="39"/>
      <c r="L66" s="8"/>
      <c r="M66" s="110" t="str">
        <f>IF($AA66=0,"",IF(LEN(INDEX(Quotes!$G$9:$G$258,$AA66)&amp;"")=0,"",INDEX(Quotes!$G$9:$G$258,$AA66)))</f>
        <v/>
      </c>
      <c r="N66" s="39"/>
      <c r="O66" s="39"/>
      <c r="P66" s="110" t="str">
        <f>IF($AA66=0,"",IF(LEN(INDEX(Quotes!$H$9:$H$258,$AA66)&amp;"")=0,"",INDEX(Quotes!$H$9:$H$258,$AA66)))</f>
        <v/>
      </c>
      <c r="Q66" s="39"/>
      <c r="R66" s="39"/>
      <c r="S66" s="32" t="str">
        <f>IF($AA66=0,"",IF(LEN(INDEX(Quotes!$I$9:$I$258,$AA66)&amp;"")=0,"",INDEX(Quotes!$I$9:$I$258,$AA66)))</f>
        <v/>
      </c>
      <c r="T66" s="76" t="str">
        <f>IF($AA66=0,"",IF(LEN(INDEX(Quotes!$AD$9:$AD$258,$AA66)&amp;"")=0,"",INDEX(Quotes!$AD$9:$AD$258,$AA66)))</f>
        <v/>
      </c>
      <c r="U66" s="39"/>
      <c r="V66" s="33" t="str">
        <f t="shared" si="0"/>
        <v/>
      </c>
      <c r="AA66">
        <f>IFERROR(MATCH("J:"&amp;$AA$2&amp;"_N:3",Quotes!$AS$9:$AS$258,0),0)</f>
        <v>0</v>
      </c>
    </row>
    <row r="67" spans="1:27" ht="42" hidden="1" customHeight="1" x14ac:dyDescent="0.35">
      <c r="A67" s="77" t="str">
        <f>IF($AA67=0,"",IF(LEN(INDEX(Quotes!$A$9:$A$258,$AA67)&amp;"")=0,"",INDEX(Quotes!$A$9:$A$258,$AA67)))</f>
        <v/>
      </c>
      <c r="B67" s="39"/>
      <c r="C67" s="39"/>
      <c r="D67" s="77" t="str">
        <f>IF($AA67=0,"",INDEX(Quotes!$U$9:$U$258,$AA67)&amp;" | "&amp;INDEX(Quotes!$E$9:$E$258,$AA67))</f>
        <v/>
      </c>
      <c r="E67" s="39"/>
      <c r="F67" s="39"/>
      <c r="G67" s="39"/>
      <c r="H67" s="39"/>
      <c r="I67" s="113" t="str">
        <f>IF($AA67=0,"",IF(LEN(INDEX(Quotes!$F$9:$F$258,$AA67)&amp;"")=0,"",INDEX(Quotes!$F$9:$F$258,$AA67)))</f>
        <v/>
      </c>
      <c r="J67" s="39"/>
      <c r="K67" s="39"/>
      <c r="L67" s="8"/>
      <c r="M67" s="110" t="str">
        <f>IF($AA67=0,"",IF(LEN(INDEX(Quotes!$G$9:$G$258,$AA67)&amp;"")=0,"",INDEX(Quotes!$G$9:$G$258,$AA67)))</f>
        <v/>
      </c>
      <c r="N67" s="39"/>
      <c r="O67" s="39"/>
      <c r="P67" s="110" t="str">
        <f>IF($AA67=0,"",IF(LEN(INDEX(Quotes!$H$9:$H$258,$AA67)&amp;"")=0,"",INDEX(Quotes!$H$9:$H$258,$AA67)))</f>
        <v/>
      </c>
      <c r="Q67" s="39"/>
      <c r="R67" s="39"/>
      <c r="S67" s="32" t="str">
        <f>IF($AA67=0,"",IF(LEN(INDEX(Quotes!$I$9:$I$258,$AA67)&amp;"")=0,"",INDEX(Quotes!$I$9:$I$258,$AA67)))</f>
        <v/>
      </c>
      <c r="T67" s="76" t="str">
        <f>IF($AA67=0,"",IF(LEN(INDEX(Quotes!$AD$9:$AD$258,$AA67)&amp;"")=0,"",INDEX(Quotes!$AD$9:$AD$258,$AA67)))</f>
        <v/>
      </c>
      <c r="U67" s="39"/>
      <c r="V67" s="33" t="str">
        <f t="shared" si="0"/>
        <v/>
      </c>
      <c r="AA67">
        <f>IFERROR(MATCH("J:"&amp;$AA$2&amp;"_N:4",Quotes!$AS$9:$AS$258,0),0)</f>
        <v>0</v>
      </c>
    </row>
    <row r="68" spans="1:27" ht="42" hidden="1" customHeight="1" x14ac:dyDescent="0.35">
      <c r="A68" s="77" t="str">
        <f>IF($AA68=0,"",IF(LEN(INDEX(Quotes!$A$9:$A$258,$AA68)&amp;"")=0,"",INDEX(Quotes!$A$9:$A$258,$AA68)))</f>
        <v/>
      </c>
      <c r="B68" s="39"/>
      <c r="C68" s="39"/>
      <c r="D68" s="77" t="str">
        <f>IF($AA68=0,"",INDEX(Quotes!$U$9:$U$258,$AA68)&amp;" | "&amp;INDEX(Quotes!$E$9:$E$258,$AA68))</f>
        <v/>
      </c>
      <c r="E68" s="39"/>
      <c r="F68" s="39"/>
      <c r="G68" s="39"/>
      <c r="H68" s="39"/>
      <c r="I68" s="113" t="str">
        <f>IF($AA68=0,"",IF(LEN(INDEX(Quotes!$F$9:$F$258,$AA68)&amp;"")=0,"",INDEX(Quotes!$F$9:$F$258,$AA68)))</f>
        <v/>
      </c>
      <c r="J68" s="39"/>
      <c r="K68" s="39"/>
      <c r="L68" s="8"/>
      <c r="M68" s="110" t="str">
        <f>IF($AA68=0,"",IF(LEN(INDEX(Quotes!$G$9:$G$258,$AA68)&amp;"")=0,"",INDEX(Quotes!$G$9:$G$258,$AA68)))</f>
        <v/>
      </c>
      <c r="N68" s="39"/>
      <c r="O68" s="39"/>
      <c r="P68" s="110" t="str">
        <f>IF($AA68=0,"",IF(LEN(INDEX(Quotes!$H$9:$H$258,$AA68)&amp;"")=0,"",INDEX(Quotes!$H$9:$H$258,$AA68)))</f>
        <v/>
      </c>
      <c r="Q68" s="39"/>
      <c r="R68" s="39"/>
      <c r="S68" s="32" t="str">
        <f>IF($AA68=0,"",IF(LEN(INDEX(Quotes!$I$9:$I$258,$AA68)&amp;"")=0,"",INDEX(Quotes!$I$9:$I$258,$AA68)))</f>
        <v/>
      </c>
      <c r="T68" s="76" t="str">
        <f>IF($AA68=0,"",IF(LEN(INDEX(Quotes!$AD$9:$AD$258,$AA68)&amp;"")=0,"",INDEX(Quotes!$AD$9:$AD$258,$AA68)))</f>
        <v/>
      </c>
      <c r="U68" s="39"/>
      <c r="V68" s="33" t="str">
        <f t="shared" si="0"/>
        <v/>
      </c>
      <c r="AA68">
        <f>IFERROR(MATCH("J:"&amp;$AA$2&amp;"_N:5",Quotes!$AS$9:$AS$258,0),0)</f>
        <v>0</v>
      </c>
    </row>
    <row r="69" spans="1:27" ht="42" hidden="1" customHeight="1" x14ac:dyDescent="0.35">
      <c r="A69" s="77" t="str">
        <f>IF($AA69=0,"",IF(LEN(INDEX(Quotes!$A$9:$A$258,$AA69)&amp;"")=0,"",INDEX(Quotes!$A$9:$A$258,$AA69)))</f>
        <v/>
      </c>
      <c r="B69" s="39"/>
      <c r="C69" s="39"/>
      <c r="D69" s="77" t="str">
        <f>IF($AA69=0,"",INDEX(Quotes!$U$9:$U$258,$AA69)&amp;" | "&amp;INDEX(Quotes!$E$9:$E$258,$AA69))</f>
        <v/>
      </c>
      <c r="E69" s="39"/>
      <c r="F69" s="39"/>
      <c r="G69" s="39"/>
      <c r="H69" s="39"/>
      <c r="I69" s="113" t="str">
        <f>IF($AA69=0,"",IF(LEN(INDEX(Quotes!$F$9:$F$258,$AA69)&amp;"")=0,"",INDEX(Quotes!$F$9:$F$258,$AA69)))</f>
        <v/>
      </c>
      <c r="J69" s="39"/>
      <c r="K69" s="39"/>
      <c r="L69" s="8"/>
      <c r="M69" s="110" t="str">
        <f>IF($AA69=0,"",IF(LEN(INDEX(Quotes!$G$9:$G$258,$AA69)&amp;"")=0,"",INDEX(Quotes!$G$9:$G$258,$AA69)))</f>
        <v/>
      </c>
      <c r="N69" s="39"/>
      <c r="O69" s="39"/>
      <c r="P69" s="110" t="str">
        <f>IF($AA69=0,"",IF(LEN(INDEX(Quotes!$H$9:$H$258,$AA69)&amp;"")=0,"",INDEX(Quotes!$H$9:$H$258,$AA69)))</f>
        <v/>
      </c>
      <c r="Q69" s="39"/>
      <c r="R69" s="39"/>
      <c r="S69" s="32" t="str">
        <f>IF($AA69=0,"",IF(LEN(INDEX(Quotes!$I$9:$I$258,$AA69)&amp;"")=0,"",INDEX(Quotes!$I$9:$I$258,$AA69)))</f>
        <v/>
      </c>
      <c r="T69" s="76" t="str">
        <f>IF($AA69=0,"",IF(LEN(INDEX(Quotes!$AD$9:$AD$258,$AA69)&amp;"")=0,"",INDEX(Quotes!$AD$9:$AD$258,$AA69)))</f>
        <v/>
      </c>
      <c r="U69" s="39"/>
      <c r="V69" s="33" t="str">
        <f t="shared" si="0"/>
        <v/>
      </c>
      <c r="AA69">
        <f>IFERROR(MATCH("J:"&amp;$AA$2&amp;"_N:6",Quotes!$AS$9:$AS$258,0),0)</f>
        <v>0</v>
      </c>
    </row>
    <row r="70" spans="1:27" ht="42" hidden="1" customHeight="1" x14ac:dyDescent="0.35">
      <c r="A70" s="77" t="str">
        <f>IF($AA70=0,"",IF(LEN(INDEX(Quotes!$A$9:$A$258,$AA70)&amp;"")=0,"",INDEX(Quotes!$A$9:$A$258,$AA70)))</f>
        <v/>
      </c>
      <c r="B70" s="39"/>
      <c r="C70" s="39"/>
      <c r="D70" s="77" t="str">
        <f>IF($AA70=0,"",INDEX(Quotes!$U$9:$U$258,$AA70)&amp;" | "&amp;INDEX(Quotes!$E$9:$E$258,$AA70))</f>
        <v/>
      </c>
      <c r="E70" s="39"/>
      <c r="F70" s="39"/>
      <c r="G70" s="39"/>
      <c r="H70" s="39"/>
      <c r="I70" s="113" t="str">
        <f>IF($AA70=0,"",IF(LEN(INDEX(Quotes!$F$9:$F$258,$AA70)&amp;"")=0,"",INDEX(Quotes!$F$9:$F$258,$AA70)))</f>
        <v/>
      </c>
      <c r="J70" s="39"/>
      <c r="K70" s="39"/>
      <c r="L70" s="8"/>
      <c r="M70" s="110" t="str">
        <f>IF($AA70=0,"",IF(LEN(INDEX(Quotes!$G$9:$G$258,$AA70)&amp;"")=0,"",INDEX(Quotes!$G$9:$G$258,$AA70)))</f>
        <v/>
      </c>
      <c r="N70" s="39"/>
      <c r="O70" s="39"/>
      <c r="P70" s="110" t="str">
        <f>IF($AA70=0,"",IF(LEN(INDEX(Quotes!$H$9:$H$258,$AA70)&amp;"")=0,"",INDEX(Quotes!$H$9:$H$258,$AA70)))</f>
        <v/>
      </c>
      <c r="Q70" s="39"/>
      <c r="R70" s="39"/>
      <c r="S70" s="32" t="str">
        <f>IF($AA70=0,"",IF(LEN(INDEX(Quotes!$I$9:$I$258,$AA70)&amp;"")=0,"",INDEX(Quotes!$I$9:$I$258,$AA70)))</f>
        <v/>
      </c>
      <c r="T70" s="76" t="str">
        <f>IF($AA70=0,"",IF(LEN(INDEX(Quotes!$AD$9:$AD$258,$AA70)&amp;"")=0,"",INDEX(Quotes!$AD$9:$AD$258,$AA70)))</f>
        <v/>
      </c>
      <c r="U70" s="39"/>
      <c r="V70" s="33" t="str">
        <f t="shared" si="0"/>
        <v/>
      </c>
      <c r="AA70">
        <f>IFERROR(MATCH("J:"&amp;$AA$2&amp;"_N:7",Quotes!$AS$9:$AS$258,0),0)</f>
        <v>0</v>
      </c>
    </row>
    <row r="71" spans="1:27" ht="42" hidden="1" customHeight="1" x14ac:dyDescent="0.35">
      <c r="A71" s="77" t="str">
        <f>IF($AA71=0,"",IF(LEN(INDEX(Quotes!$A$9:$A$258,$AA71)&amp;"")=0,"",INDEX(Quotes!$A$9:$A$258,$AA71)))</f>
        <v/>
      </c>
      <c r="B71" s="39"/>
      <c r="C71" s="39"/>
      <c r="D71" s="77" t="str">
        <f>IF($AA71=0,"",INDEX(Quotes!$U$9:$U$258,$AA71)&amp;" | "&amp;INDEX(Quotes!$E$9:$E$258,$AA71))</f>
        <v/>
      </c>
      <c r="E71" s="39"/>
      <c r="F71" s="39"/>
      <c r="G71" s="39"/>
      <c r="H71" s="39"/>
      <c r="I71" s="113" t="str">
        <f>IF($AA71=0,"",IF(LEN(INDEX(Quotes!$F$9:$F$258,$AA71)&amp;"")=0,"",INDEX(Quotes!$F$9:$F$258,$AA71)))</f>
        <v/>
      </c>
      <c r="J71" s="39"/>
      <c r="K71" s="39"/>
      <c r="L71" s="8"/>
      <c r="M71" s="110" t="str">
        <f>IF($AA71=0,"",IF(LEN(INDEX(Quotes!$G$9:$G$258,$AA71)&amp;"")=0,"",INDEX(Quotes!$G$9:$G$258,$AA71)))</f>
        <v/>
      </c>
      <c r="N71" s="39"/>
      <c r="O71" s="39"/>
      <c r="P71" s="110" t="str">
        <f>IF($AA71=0,"",IF(LEN(INDEX(Quotes!$H$9:$H$258,$AA71)&amp;"")=0,"",INDEX(Quotes!$H$9:$H$258,$AA71)))</f>
        <v/>
      </c>
      <c r="Q71" s="39"/>
      <c r="R71" s="39"/>
      <c r="S71" s="32" t="str">
        <f>IF($AA71=0,"",IF(LEN(INDEX(Quotes!$I$9:$I$258,$AA71)&amp;"")=0,"",INDEX(Quotes!$I$9:$I$258,$AA71)))</f>
        <v/>
      </c>
      <c r="T71" s="76" t="str">
        <f>IF($AA71=0,"",IF(LEN(INDEX(Quotes!$AD$9:$AD$258,$AA71)&amp;"")=0,"",INDEX(Quotes!$AD$9:$AD$258,$AA71)))</f>
        <v/>
      </c>
      <c r="U71" s="39"/>
      <c r="V71" s="33" t="str">
        <f t="shared" si="0"/>
        <v/>
      </c>
      <c r="AA71">
        <f>IFERROR(MATCH("J:"&amp;$AA$2&amp;"_N:8",Quotes!$AS$9:$AS$258,0),0)</f>
        <v>0</v>
      </c>
    </row>
    <row r="72" spans="1:27" ht="42" hidden="1" customHeight="1" x14ac:dyDescent="0.35">
      <c r="A72" s="77" t="str">
        <f>IF($AA72=0,"",IF(LEN(INDEX(Quotes!$A$9:$A$258,$AA72)&amp;"")=0,"",INDEX(Quotes!$A$9:$A$258,$AA72)))</f>
        <v/>
      </c>
      <c r="B72" s="39"/>
      <c r="C72" s="39"/>
      <c r="D72" s="77" t="str">
        <f>IF($AA72=0,"",INDEX(Quotes!$U$9:$U$258,$AA72)&amp;" | "&amp;INDEX(Quotes!$E$9:$E$258,$AA72))</f>
        <v/>
      </c>
      <c r="E72" s="39"/>
      <c r="F72" s="39"/>
      <c r="G72" s="39"/>
      <c r="H72" s="39"/>
      <c r="I72" s="113" t="str">
        <f>IF($AA72=0,"",IF(LEN(INDEX(Quotes!$F$9:$F$258,$AA72)&amp;"")=0,"",INDEX(Quotes!$F$9:$F$258,$AA72)))</f>
        <v/>
      </c>
      <c r="J72" s="39"/>
      <c r="K72" s="39"/>
      <c r="L72" s="8"/>
      <c r="M72" s="110" t="str">
        <f>IF($AA72=0,"",IF(LEN(INDEX(Quotes!$G$9:$G$258,$AA72)&amp;"")=0,"",INDEX(Quotes!$G$9:$G$258,$AA72)))</f>
        <v/>
      </c>
      <c r="N72" s="39"/>
      <c r="O72" s="39"/>
      <c r="P72" s="110" t="str">
        <f>IF($AA72=0,"",IF(LEN(INDEX(Quotes!$H$9:$H$258,$AA72)&amp;"")=0,"",INDEX(Quotes!$H$9:$H$258,$AA72)))</f>
        <v/>
      </c>
      <c r="Q72" s="39"/>
      <c r="R72" s="39"/>
      <c r="S72" s="32" t="str">
        <f>IF($AA72=0,"",IF(LEN(INDEX(Quotes!$I$9:$I$258,$AA72)&amp;"")=0,"",INDEX(Quotes!$I$9:$I$258,$AA72)))</f>
        <v/>
      </c>
      <c r="T72" s="76" t="str">
        <f>IF($AA72=0,"",IF(LEN(INDEX(Quotes!$AD$9:$AD$258,$AA72)&amp;"")=0,"",INDEX(Quotes!$AD$9:$AD$258,$AA72)))</f>
        <v/>
      </c>
      <c r="U72" s="39"/>
      <c r="V72" s="33" t="str">
        <f t="shared" si="0"/>
        <v/>
      </c>
      <c r="AA72">
        <f>IFERROR(MATCH("J:"&amp;$AA$2&amp;"_N:9",Quotes!$AS$9:$AS$258,0),0)</f>
        <v>0</v>
      </c>
    </row>
    <row r="73" spans="1:27" ht="42" hidden="1" customHeight="1" x14ac:dyDescent="0.35">
      <c r="A73" s="77" t="str">
        <f>IF($AA73=0,"",IF(LEN(INDEX(Quotes!$A$9:$A$258,$AA73)&amp;"")=0,"",INDEX(Quotes!$A$9:$A$258,$AA73)))</f>
        <v/>
      </c>
      <c r="B73" s="39"/>
      <c r="C73" s="39"/>
      <c r="D73" s="77" t="str">
        <f>IF($AA73=0,"",INDEX(Quotes!$U$9:$U$258,$AA73)&amp;" | "&amp;INDEX(Quotes!$E$9:$E$258,$AA73))</f>
        <v/>
      </c>
      <c r="E73" s="39"/>
      <c r="F73" s="39"/>
      <c r="G73" s="39"/>
      <c r="H73" s="39"/>
      <c r="I73" s="113" t="str">
        <f>IF($AA73=0,"",IF(LEN(INDEX(Quotes!$F$9:$F$258,$AA73)&amp;"")=0,"",INDEX(Quotes!$F$9:$F$258,$AA73)))</f>
        <v/>
      </c>
      <c r="J73" s="39"/>
      <c r="K73" s="39"/>
      <c r="L73" s="8"/>
      <c r="M73" s="110" t="str">
        <f>IF($AA73=0,"",IF(LEN(INDEX(Quotes!$G$9:$G$258,$AA73)&amp;"")=0,"",INDEX(Quotes!$G$9:$G$258,$AA73)))</f>
        <v/>
      </c>
      <c r="N73" s="39"/>
      <c r="O73" s="39"/>
      <c r="P73" s="110" t="str">
        <f>IF($AA73=0,"",IF(LEN(INDEX(Quotes!$H$9:$H$258,$AA73)&amp;"")=0,"",INDEX(Quotes!$H$9:$H$258,$AA73)))</f>
        <v/>
      </c>
      <c r="Q73" s="39"/>
      <c r="R73" s="39"/>
      <c r="S73" s="32" t="str">
        <f>IF($AA73=0,"",IF(LEN(INDEX(Quotes!$I$9:$I$258,$AA73)&amp;"")=0,"",INDEX(Quotes!$I$9:$I$258,$AA73)))</f>
        <v/>
      </c>
      <c r="T73" s="76" t="str">
        <f>IF($AA73=0,"",IF(LEN(INDEX(Quotes!$AD$9:$AD$258,$AA73)&amp;"")=0,"",INDEX(Quotes!$AD$9:$AD$258,$AA73)))</f>
        <v/>
      </c>
      <c r="U73" s="39"/>
      <c r="V73" s="33" t="str">
        <f t="shared" si="0"/>
        <v/>
      </c>
      <c r="AA73">
        <f>IFERROR(MATCH("J:"&amp;$AA$2&amp;"_N:10",Quotes!$AS$9:$AS$258,0),0)</f>
        <v>0</v>
      </c>
    </row>
    <row r="74" spans="1:27" ht="42" hidden="1" customHeight="1" x14ac:dyDescent="0.35">
      <c r="A74" s="77" t="str">
        <f>IF($AA74=0,"",IF(LEN(INDEX(Quotes!$A$9:$A$258,$AA74)&amp;"")=0,"",INDEX(Quotes!$A$9:$A$258,$AA74)))</f>
        <v/>
      </c>
      <c r="B74" s="39"/>
      <c r="C74" s="39"/>
      <c r="D74" s="77" t="str">
        <f>IF($AA74=0,"",INDEX(Quotes!$U$9:$U$258,$AA74)&amp;" | "&amp;INDEX(Quotes!$E$9:$E$258,$AA74))</f>
        <v/>
      </c>
      <c r="E74" s="39"/>
      <c r="F74" s="39"/>
      <c r="G74" s="39"/>
      <c r="H74" s="39"/>
      <c r="I74" s="113" t="str">
        <f>IF($AA74=0,"",IF(LEN(INDEX(Quotes!$F$9:$F$258,$AA74)&amp;"")=0,"",INDEX(Quotes!$F$9:$F$258,$AA74)))</f>
        <v/>
      </c>
      <c r="J74" s="39"/>
      <c r="K74" s="39"/>
      <c r="L74" s="8"/>
      <c r="M74" s="110" t="str">
        <f>IF($AA74=0,"",IF(LEN(INDEX(Quotes!$G$9:$G$258,$AA74)&amp;"")=0,"",INDEX(Quotes!$G$9:$G$258,$AA74)))</f>
        <v/>
      </c>
      <c r="N74" s="39"/>
      <c r="O74" s="39"/>
      <c r="P74" s="110" t="str">
        <f>IF($AA74=0,"",IF(LEN(INDEX(Quotes!$H$9:$H$258,$AA74)&amp;"")=0,"",INDEX(Quotes!$H$9:$H$258,$AA74)))</f>
        <v/>
      </c>
      <c r="Q74" s="39"/>
      <c r="R74" s="39"/>
      <c r="S74" s="32" t="str">
        <f>IF($AA74=0,"",IF(LEN(INDEX(Quotes!$I$9:$I$258,$AA74)&amp;"")=0,"",INDEX(Quotes!$I$9:$I$258,$AA74)))</f>
        <v/>
      </c>
      <c r="T74" s="76" t="str">
        <f>IF($AA74=0,"",IF(LEN(INDEX(Quotes!$AD$9:$AD$258,$AA74)&amp;"")=0,"",INDEX(Quotes!$AD$9:$AD$258,$AA74)))</f>
        <v/>
      </c>
      <c r="U74" s="39"/>
      <c r="V74" s="33" t="str">
        <f t="shared" si="0"/>
        <v/>
      </c>
      <c r="AA74">
        <f>IFERROR(MATCH("J:"&amp;$AA$2&amp;"_N:11",Quotes!$AS$9:$AS$258,0),0)</f>
        <v>0</v>
      </c>
    </row>
    <row r="75" spans="1:27" ht="42" hidden="1" customHeight="1" x14ac:dyDescent="0.35">
      <c r="A75" s="77" t="str">
        <f>IF($AA75=0,"",IF(LEN(INDEX(Quotes!$A$9:$A$258,$AA75)&amp;"")=0,"",INDEX(Quotes!$A$9:$A$258,$AA75)))</f>
        <v/>
      </c>
      <c r="B75" s="39"/>
      <c r="C75" s="39"/>
      <c r="D75" s="77" t="str">
        <f>IF($AA75=0,"",INDEX(Quotes!$U$9:$U$258,$AA75)&amp;" | "&amp;INDEX(Quotes!$E$9:$E$258,$AA75))</f>
        <v/>
      </c>
      <c r="E75" s="39"/>
      <c r="F75" s="39"/>
      <c r="G75" s="39"/>
      <c r="H75" s="39"/>
      <c r="I75" s="113" t="str">
        <f>IF($AA75=0,"",IF(LEN(INDEX(Quotes!$F$9:$F$258,$AA75)&amp;"")=0,"",INDEX(Quotes!$F$9:$F$258,$AA75)))</f>
        <v/>
      </c>
      <c r="J75" s="39"/>
      <c r="K75" s="39"/>
      <c r="L75" s="8"/>
      <c r="M75" s="110" t="str">
        <f>IF($AA75=0,"",IF(LEN(INDEX(Quotes!$G$9:$G$258,$AA75)&amp;"")=0,"",INDEX(Quotes!$G$9:$G$258,$AA75)))</f>
        <v/>
      </c>
      <c r="N75" s="39"/>
      <c r="O75" s="39"/>
      <c r="P75" s="110" t="str">
        <f>IF($AA75=0,"",IF(LEN(INDEX(Quotes!$H$9:$H$258,$AA75)&amp;"")=0,"",INDEX(Quotes!$H$9:$H$258,$AA75)))</f>
        <v/>
      </c>
      <c r="Q75" s="39"/>
      <c r="R75" s="39"/>
      <c r="S75" s="32" t="str">
        <f>IF($AA75=0,"",IF(LEN(INDEX(Quotes!$I$9:$I$258,$AA75)&amp;"")=0,"",INDEX(Quotes!$I$9:$I$258,$AA75)))</f>
        <v/>
      </c>
      <c r="T75" s="76" t="str">
        <f>IF($AA75=0,"",IF(LEN(INDEX(Quotes!$AD$9:$AD$258,$AA75)&amp;"")=0,"",INDEX(Quotes!$AD$9:$AD$258,$AA75)))</f>
        <v/>
      </c>
      <c r="U75" s="39"/>
      <c r="V75" s="33" t="str">
        <f t="shared" si="0"/>
        <v/>
      </c>
      <c r="AA75">
        <f>IFERROR(MATCH("J:"&amp;$AA$2&amp;"_N:12",Quotes!$AS$9:$AS$258,0),0)</f>
        <v>0</v>
      </c>
    </row>
    <row r="76" spans="1:27" ht="42" hidden="1" customHeight="1" x14ac:dyDescent="0.35">
      <c r="A76" s="77" t="str">
        <f>IF($AA76=0,"",IF(LEN(INDEX(Quotes!$A$9:$A$258,$AA76)&amp;"")=0,"",INDEX(Quotes!$A$9:$A$258,$AA76)))</f>
        <v/>
      </c>
      <c r="B76" s="39"/>
      <c r="C76" s="39"/>
      <c r="D76" s="77" t="str">
        <f>IF($AA76=0,"",INDEX(Quotes!$U$9:$U$258,$AA76)&amp;" | "&amp;INDEX(Quotes!$E$9:$E$258,$AA76))</f>
        <v/>
      </c>
      <c r="E76" s="39"/>
      <c r="F76" s="39"/>
      <c r="G76" s="39"/>
      <c r="H76" s="39"/>
      <c r="I76" s="113" t="str">
        <f>IF($AA76=0,"",IF(LEN(INDEX(Quotes!$F$9:$F$258,$AA76)&amp;"")=0,"",INDEX(Quotes!$F$9:$F$258,$AA76)))</f>
        <v/>
      </c>
      <c r="J76" s="39"/>
      <c r="K76" s="39"/>
      <c r="L76" s="8"/>
      <c r="M76" s="110" t="str">
        <f>IF($AA76=0,"",IF(LEN(INDEX(Quotes!$G$9:$G$258,$AA76)&amp;"")=0,"",INDEX(Quotes!$G$9:$G$258,$AA76)))</f>
        <v/>
      </c>
      <c r="N76" s="39"/>
      <c r="O76" s="39"/>
      <c r="P76" s="110" t="str">
        <f>IF($AA76=0,"",IF(LEN(INDEX(Quotes!$H$9:$H$258,$AA76)&amp;"")=0,"",INDEX(Quotes!$H$9:$H$258,$AA76)))</f>
        <v/>
      </c>
      <c r="Q76" s="39"/>
      <c r="R76" s="39"/>
      <c r="S76" s="32" t="str">
        <f>IF($AA76=0,"",IF(LEN(INDEX(Quotes!$I$9:$I$258,$AA76)&amp;"")=0,"",INDEX(Quotes!$I$9:$I$258,$AA76)))</f>
        <v/>
      </c>
      <c r="T76" s="76" t="str">
        <f>IF($AA76=0,"",IF(LEN(INDEX(Quotes!$AD$9:$AD$258,$AA76)&amp;"")=0,"",INDEX(Quotes!$AD$9:$AD$258,$AA76)))</f>
        <v/>
      </c>
      <c r="U76" s="39"/>
      <c r="V76" s="33" t="str">
        <f t="shared" si="0"/>
        <v/>
      </c>
      <c r="AA76">
        <f>IFERROR(MATCH("J:"&amp;$AA$2&amp;"_N:13",Quotes!$AS$9:$AS$258,0),0)</f>
        <v>0</v>
      </c>
    </row>
    <row r="77" spans="1:27" ht="42" hidden="1" customHeight="1" x14ac:dyDescent="0.35">
      <c r="A77" s="77" t="str">
        <f>IF($AA77=0,"",IF(LEN(INDEX(Quotes!$A$9:$A$258,$AA77)&amp;"")=0,"",INDEX(Quotes!$A$9:$A$258,$AA77)))</f>
        <v/>
      </c>
      <c r="B77" s="39"/>
      <c r="C77" s="39"/>
      <c r="D77" s="77" t="str">
        <f>IF($AA77=0,"",INDEX(Quotes!$U$9:$U$258,$AA77)&amp;" | "&amp;INDEX(Quotes!$E$9:$E$258,$AA77))</f>
        <v/>
      </c>
      <c r="E77" s="39"/>
      <c r="F77" s="39"/>
      <c r="G77" s="39"/>
      <c r="H77" s="39"/>
      <c r="I77" s="113" t="str">
        <f>IF($AA77=0,"",IF(LEN(INDEX(Quotes!$F$9:$F$258,$AA77)&amp;"")=0,"",INDEX(Quotes!$F$9:$F$258,$AA77)))</f>
        <v/>
      </c>
      <c r="J77" s="39"/>
      <c r="K77" s="39"/>
      <c r="L77" s="8"/>
      <c r="M77" s="110" t="str">
        <f>IF($AA77=0,"",IF(LEN(INDEX(Quotes!$G$9:$G$258,$AA77)&amp;"")=0,"",INDEX(Quotes!$G$9:$G$258,$AA77)))</f>
        <v/>
      </c>
      <c r="N77" s="39"/>
      <c r="O77" s="39"/>
      <c r="P77" s="110" t="str">
        <f>IF($AA77=0,"",IF(LEN(INDEX(Quotes!$H$9:$H$258,$AA77)&amp;"")=0,"",INDEX(Quotes!$H$9:$H$258,$AA77)))</f>
        <v/>
      </c>
      <c r="Q77" s="39"/>
      <c r="R77" s="39"/>
      <c r="S77" s="32" t="str">
        <f>IF($AA77=0,"",IF(LEN(INDEX(Quotes!$I$9:$I$258,$AA77)&amp;"")=0,"",INDEX(Quotes!$I$9:$I$258,$AA77)))</f>
        <v/>
      </c>
      <c r="T77" s="76" t="str">
        <f>IF($AA77=0,"",IF(LEN(INDEX(Quotes!$AD$9:$AD$258,$AA77)&amp;"")=0,"",INDEX(Quotes!$AD$9:$AD$258,$AA77)))</f>
        <v/>
      </c>
      <c r="U77" s="39"/>
      <c r="V77" s="33" t="str">
        <f t="shared" si="0"/>
        <v/>
      </c>
      <c r="AA77">
        <f>IFERROR(MATCH("J:"&amp;$AA$2&amp;"_N:14",Quotes!$AS$9:$AS$258,0),0)</f>
        <v>0</v>
      </c>
    </row>
    <row r="78" spans="1:27" ht="42" hidden="1" customHeight="1" x14ac:dyDescent="0.35">
      <c r="A78" s="77" t="str">
        <f>IF($AA78=0,"",IF(LEN(INDEX(Quotes!$A$9:$A$258,$AA78)&amp;"")=0,"",INDEX(Quotes!$A$9:$A$258,$AA78)))</f>
        <v/>
      </c>
      <c r="B78" s="39"/>
      <c r="C78" s="39"/>
      <c r="D78" s="77" t="str">
        <f>IF($AA78=0,"",INDEX(Quotes!$U$9:$U$258,$AA78)&amp;" | "&amp;INDEX(Quotes!$E$9:$E$258,$AA78))</f>
        <v/>
      </c>
      <c r="E78" s="39"/>
      <c r="F78" s="39"/>
      <c r="G78" s="39"/>
      <c r="H78" s="39"/>
      <c r="I78" s="113" t="str">
        <f>IF($AA78=0,"",IF(LEN(INDEX(Quotes!$F$9:$F$258,$AA78)&amp;"")=0,"",INDEX(Quotes!$F$9:$F$258,$AA78)))</f>
        <v/>
      </c>
      <c r="J78" s="39"/>
      <c r="K78" s="39"/>
      <c r="L78" s="8"/>
      <c r="M78" s="110" t="str">
        <f>IF($AA78=0,"",IF(LEN(INDEX(Quotes!$G$9:$G$258,$AA78)&amp;"")=0,"",INDEX(Quotes!$G$9:$G$258,$AA78)))</f>
        <v/>
      </c>
      <c r="N78" s="39"/>
      <c r="O78" s="39"/>
      <c r="P78" s="110" t="str">
        <f>IF($AA78=0,"",IF(LEN(INDEX(Quotes!$H$9:$H$258,$AA78)&amp;"")=0,"",INDEX(Quotes!$H$9:$H$258,$AA78)))</f>
        <v/>
      </c>
      <c r="Q78" s="39"/>
      <c r="R78" s="39"/>
      <c r="S78" s="32" t="str">
        <f>IF($AA78=0,"",IF(LEN(INDEX(Quotes!$I$9:$I$258,$AA78)&amp;"")=0,"",INDEX(Quotes!$I$9:$I$258,$AA78)))</f>
        <v/>
      </c>
      <c r="T78" s="76" t="str">
        <f>IF($AA78=0,"",IF(LEN(INDEX(Quotes!$AD$9:$AD$258,$AA78)&amp;"")=0,"",INDEX(Quotes!$AD$9:$AD$258,$AA78)))</f>
        <v/>
      </c>
      <c r="U78" s="39"/>
      <c r="V78" s="33" t="str">
        <f t="shared" si="0"/>
        <v/>
      </c>
      <c r="AA78">
        <f>IFERROR(MATCH("J:"&amp;$AA$2&amp;"_N:15",Quotes!$AS$9:$AS$258,0),0)</f>
        <v>0</v>
      </c>
    </row>
    <row r="79" spans="1:27" ht="42" hidden="1" customHeight="1" x14ac:dyDescent="0.35">
      <c r="A79" s="77" t="str">
        <f>IF($AA79=0,"",IF(LEN(INDEX(Quotes!$A$9:$A$258,$AA79)&amp;"")=0,"",INDEX(Quotes!$A$9:$A$258,$AA79)))</f>
        <v/>
      </c>
      <c r="B79" s="39"/>
      <c r="C79" s="39"/>
      <c r="D79" s="77" t="str">
        <f>IF($AA79=0,"",INDEX(Quotes!$U$9:$U$258,$AA79)&amp;" | "&amp;INDEX(Quotes!$E$9:$E$258,$AA79))</f>
        <v/>
      </c>
      <c r="E79" s="39"/>
      <c r="F79" s="39"/>
      <c r="G79" s="39"/>
      <c r="H79" s="39"/>
      <c r="I79" s="113" t="str">
        <f>IF($AA79=0,"",IF(LEN(INDEX(Quotes!$F$9:$F$258,$AA79)&amp;"")=0,"",INDEX(Quotes!$F$9:$F$258,$AA79)))</f>
        <v/>
      </c>
      <c r="J79" s="39"/>
      <c r="K79" s="39"/>
      <c r="L79" s="8"/>
      <c r="M79" s="110" t="str">
        <f>IF($AA79=0,"",IF(LEN(INDEX(Quotes!$G$9:$G$258,$AA79)&amp;"")=0,"",INDEX(Quotes!$G$9:$G$258,$AA79)))</f>
        <v/>
      </c>
      <c r="N79" s="39"/>
      <c r="O79" s="39"/>
      <c r="P79" s="110" t="str">
        <f>IF($AA79=0,"",IF(LEN(INDEX(Quotes!$H$9:$H$258,$AA79)&amp;"")=0,"",INDEX(Quotes!$H$9:$H$258,$AA79)))</f>
        <v/>
      </c>
      <c r="Q79" s="39"/>
      <c r="R79" s="39"/>
      <c r="S79" s="32" t="str">
        <f>IF($AA79=0,"",IF(LEN(INDEX(Quotes!$I$9:$I$258,$AA79)&amp;"")=0,"",INDEX(Quotes!$I$9:$I$258,$AA79)))</f>
        <v/>
      </c>
      <c r="T79" s="76" t="str">
        <f>IF($AA79=0,"",IF(LEN(INDEX(Quotes!$AD$9:$AD$258,$AA79)&amp;"")=0,"",INDEX(Quotes!$AD$9:$AD$258,$AA79)))</f>
        <v/>
      </c>
      <c r="U79" s="39"/>
      <c r="V79" s="33" t="str">
        <f t="shared" si="0"/>
        <v/>
      </c>
      <c r="AA79">
        <f>IFERROR(MATCH("J:"&amp;$AA$2&amp;"_N:16",Quotes!$AS$9:$AS$258,0),0)</f>
        <v>0</v>
      </c>
    </row>
    <row r="80" spans="1:27" ht="42" hidden="1" customHeight="1" x14ac:dyDescent="0.35">
      <c r="A80" s="77" t="str">
        <f>IF($AA80=0,"",IF(LEN(INDEX(Quotes!$A$9:$A$258,$AA80)&amp;"")=0,"",INDEX(Quotes!$A$9:$A$258,$AA80)))</f>
        <v/>
      </c>
      <c r="B80" s="39"/>
      <c r="C80" s="39"/>
      <c r="D80" s="77" t="str">
        <f>IF($AA80=0,"",INDEX(Quotes!$U$9:$U$258,$AA80)&amp;" | "&amp;INDEX(Quotes!$E$9:$E$258,$AA80))</f>
        <v/>
      </c>
      <c r="E80" s="39"/>
      <c r="F80" s="39"/>
      <c r="G80" s="39"/>
      <c r="H80" s="39"/>
      <c r="I80" s="113" t="str">
        <f>IF($AA80=0,"",IF(LEN(INDEX(Quotes!$F$9:$F$258,$AA80)&amp;"")=0,"",INDEX(Quotes!$F$9:$F$258,$AA80)))</f>
        <v/>
      </c>
      <c r="J80" s="39"/>
      <c r="K80" s="39"/>
      <c r="L80" s="8"/>
      <c r="M80" s="110" t="str">
        <f>IF($AA80=0,"",IF(LEN(INDEX(Quotes!$G$9:$G$258,$AA80)&amp;"")=0,"",INDEX(Quotes!$G$9:$G$258,$AA80)))</f>
        <v/>
      </c>
      <c r="N80" s="39"/>
      <c r="O80" s="39"/>
      <c r="P80" s="110" t="str">
        <f>IF($AA80=0,"",IF(LEN(INDEX(Quotes!$H$9:$H$258,$AA80)&amp;"")=0,"",INDEX(Quotes!$H$9:$H$258,$AA80)))</f>
        <v/>
      </c>
      <c r="Q80" s="39"/>
      <c r="R80" s="39"/>
      <c r="S80" s="32" t="str">
        <f>IF($AA80=0,"",IF(LEN(INDEX(Quotes!$I$9:$I$258,$AA80)&amp;"")=0,"",INDEX(Quotes!$I$9:$I$258,$AA80)))</f>
        <v/>
      </c>
      <c r="T80" s="76" t="str">
        <f>IF($AA80=0,"",IF(LEN(INDEX(Quotes!$AD$9:$AD$258,$AA80)&amp;"")=0,"",INDEX(Quotes!$AD$9:$AD$258,$AA80)))</f>
        <v/>
      </c>
      <c r="U80" s="39"/>
      <c r="V80" s="33" t="str">
        <f t="shared" si="0"/>
        <v/>
      </c>
      <c r="AA80">
        <f>IFERROR(MATCH("J:"&amp;$AA$2&amp;"_N:17",Quotes!$AS$9:$AS$258,0),0)</f>
        <v>0</v>
      </c>
    </row>
    <row r="81" spans="1:27" ht="42" hidden="1" customHeight="1" x14ac:dyDescent="0.35">
      <c r="A81" s="77" t="str">
        <f>IF($AA81=0,"",IF(LEN(INDEX(Quotes!$A$9:$A$258,$AA81)&amp;"")=0,"",INDEX(Quotes!$A$9:$A$258,$AA81)))</f>
        <v/>
      </c>
      <c r="B81" s="39"/>
      <c r="C81" s="39"/>
      <c r="D81" s="77" t="str">
        <f>IF($AA81=0,"",INDEX(Quotes!$U$9:$U$258,$AA81)&amp;" | "&amp;INDEX(Quotes!$E$9:$E$258,$AA81))</f>
        <v/>
      </c>
      <c r="E81" s="39"/>
      <c r="F81" s="39"/>
      <c r="G81" s="39"/>
      <c r="H81" s="39"/>
      <c r="I81" s="113" t="str">
        <f>IF($AA81=0,"",IF(LEN(INDEX(Quotes!$F$9:$F$258,$AA81)&amp;"")=0,"",INDEX(Quotes!$F$9:$F$258,$AA81)))</f>
        <v/>
      </c>
      <c r="J81" s="39"/>
      <c r="K81" s="39"/>
      <c r="L81" s="8"/>
      <c r="M81" s="110" t="str">
        <f>IF($AA81=0,"",IF(LEN(INDEX(Quotes!$G$9:$G$258,$AA81)&amp;"")=0,"",INDEX(Quotes!$G$9:$G$258,$AA81)))</f>
        <v/>
      </c>
      <c r="N81" s="39"/>
      <c r="O81" s="39"/>
      <c r="P81" s="110" t="str">
        <f>IF($AA81=0,"",IF(LEN(INDEX(Quotes!$H$9:$H$258,$AA81)&amp;"")=0,"",INDEX(Quotes!$H$9:$H$258,$AA81)))</f>
        <v/>
      </c>
      <c r="Q81" s="39"/>
      <c r="R81" s="39"/>
      <c r="S81" s="32" t="str">
        <f>IF($AA81=0,"",IF(LEN(INDEX(Quotes!$I$9:$I$258,$AA81)&amp;"")=0,"",INDEX(Quotes!$I$9:$I$258,$AA81)))</f>
        <v/>
      </c>
      <c r="T81" s="76" t="str">
        <f>IF($AA81=0,"",IF(LEN(INDEX(Quotes!$AD$9:$AD$258,$AA81)&amp;"")=0,"",INDEX(Quotes!$AD$9:$AD$258,$AA81)))</f>
        <v/>
      </c>
      <c r="U81" s="39"/>
      <c r="V81" s="33" t="str">
        <f t="shared" si="0"/>
        <v/>
      </c>
      <c r="AA81">
        <f>IFERROR(MATCH("J:"&amp;$AA$2&amp;"_N:18",Quotes!$AS$9:$AS$258,0),0)</f>
        <v>0</v>
      </c>
    </row>
    <row r="82" spans="1:27" ht="42" hidden="1" customHeight="1" x14ac:dyDescent="0.35">
      <c r="A82" s="77" t="str">
        <f>IF($AA82=0,"",IF(LEN(INDEX(Quotes!$A$9:$A$258,$AA82)&amp;"")=0,"",INDEX(Quotes!$A$9:$A$258,$AA82)))</f>
        <v/>
      </c>
      <c r="B82" s="39"/>
      <c r="C82" s="39"/>
      <c r="D82" s="77" t="str">
        <f>IF($AA82=0,"",INDEX(Quotes!$U$9:$U$258,$AA82)&amp;" | "&amp;INDEX(Quotes!$E$9:$E$258,$AA82))</f>
        <v/>
      </c>
      <c r="E82" s="39"/>
      <c r="F82" s="39"/>
      <c r="G82" s="39"/>
      <c r="H82" s="39"/>
      <c r="I82" s="113" t="str">
        <f>IF($AA82=0,"",IF(LEN(INDEX(Quotes!$F$9:$F$258,$AA82)&amp;"")=0,"",INDEX(Quotes!$F$9:$F$258,$AA82)))</f>
        <v/>
      </c>
      <c r="J82" s="39"/>
      <c r="K82" s="39"/>
      <c r="L82" s="8"/>
      <c r="M82" s="110" t="str">
        <f>IF($AA82=0,"",IF(LEN(INDEX(Quotes!$G$9:$G$258,$AA82)&amp;"")=0,"",INDEX(Quotes!$G$9:$G$258,$AA82)))</f>
        <v/>
      </c>
      <c r="N82" s="39"/>
      <c r="O82" s="39"/>
      <c r="P82" s="110" t="str">
        <f>IF($AA82=0,"",IF(LEN(INDEX(Quotes!$H$9:$H$258,$AA82)&amp;"")=0,"",INDEX(Quotes!$H$9:$H$258,$AA82)))</f>
        <v/>
      </c>
      <c r="Q82" s="39"/>
      <c r="R82" s="39"/>
      <c r="S82" s="32" t="str">
        <f>IF($AA82=0,"",IF(LEN(INDEX(Quotes!$I$9:$I$258,$AA82)&amp;"")=0,"",INDEX(Quotes!$I$9:$I$258,$AA82)))</f>
        <v/>
      </c>
      <c r="T82" s="76" t="str">
        <f>IF($AA82=0,"",IF(LEN(INDEX(Quotes!$AD$9:$AD$258,$AA82)&amp;"")=0,"",INDEX(Quotes!$AD$9:$AD$258,$AA82)))</f>
        <v/>
      </c>
      <c r="U82" s="39"/>
      <c r="V82" s="33" t="str">
        <f t="shared" si="0"/>
        <v/>
      </c>
      <c r="AA82">
        <f>IFERROR(MATCH("J:"&amp;$AA$2&amp;"_N:19",Quotes!$AS$9:$AS$258,0),0)</f>
        <v>0</v>
      </c>
    </row>
    <row r="83" spans="1:27" ht="42" hidden="1" customHeight="1" x14ac:dyDescent="0.35">
      <c r="A83" s="77" t="str">
        <f>IF($AA83=0,"",IF(LEN(INDEX(Quotes!$A$9:$A$258,$AA83)&amp;"")=0,"",INDEX(Quotes!$A$9:$A$258,$AA83)))</f>
        <v/>
      </c>
      <c r="B83" s="39"/>
      <c r="C83" s="39"/>
      <c r="D83" s="77" t="str">
        <f>IF($AA83=0,"",INDEX(Quotes!$U$9:$U$258,$AA83)&amp;" | "&amp;INDEX(Quotes!$E$9:$E$258,$AA83))</f>
        <v/>
      </c>
      <c r="E83" s="39"/>
      <c r="F83" s="39"/>
      <c r="G83" s="39"/>
      <c r="H83" s="39"/>
      <c r="I83" s="113" t="str">
        <f>IF($AA83=0,"",IF(LEN(INDEX(Quotes!$F$9:$F$258,$AA83)&amp;"")=0,"",INDEX(Quotes!$F$9:$F$258,$AA83)))</f>
        <v/>
      </c>
      <c r="J83" s="39"/>
      <c r="K83" s="39"/>
      <c r="L83" s="8"/>
      <c r="M83" s="110" t="str">
        <f>IF($AA83=0,"",IF(LEN(INDEX(Quotes!$G$9:$G$258,$AA83)&amp;"")=0,"",INDEX(Quotes!$G$9:$G$258,$AA83)))</f>
        <v/>
      </c>
      <c r="N83" s="39"/>
      <c r="O83" s="39"/>
      <c r="P83" s="110" t="str">
        <f>IF($AA83=0,"",IF(LEN(INDEX(Quotes!$H$9:$H$258,$AA83)&amp;"")=0,"",INDEX(Quotes!$H$9:$H$258,$AA83)))</f>
        <v/>
      </c>
      <c r="Q83" s="39"/>
      <c r="R83" s="39"/>
      <c r="S83" s="32" t="str">
        <f>IF($AA83=0,"",IF(LEN(INDEX(Quotes!$I$9:$I$258,$AA83)&amp;"")=0,"",INDEX(Quotes!$I$9:$I$258,$AA83)))</f>
        <v/>
      </c>
      <c r="T83" s="76" t="str">
        <f>IF($AA83=0,"",IF(LEN(INDEX(Quotes!$AD$9:$AD$258,$AA83)&amp;"")=0,"",INDEX(Quotes!$AD$9:$AD$258,$AA83)))</f>
        <v/>
      </c>
      <c r="U83" s="39"/>
      <c r="V83" s="33" t="str">
        <f t="shared" si="0"/>
        <v/>
      </c>
      <c r="AA83">
        <f>IFERROR(MATCH("J:"&amp;$AA$2&amp;"_N:20",Quotes!$AS$9:$AS$258,0),0)</f>
        <v>0</v>
      </c>
    </row>
    <row r="84" spans="1:27" ht="42" hidden="1" customHeight="1" x14ac:dyDescent="0.35">
      <c r="A84" s="77" t="str">
        <f>IF($AA84=0,"",IF(LEN(INDEX(Quotes!$A$9:$A$258,$AA84)&amp;"")=0,"",INDEX(Quotes!$A$9:$A$258,$AA84)))</f>
        <v/>
      </c>
      <c r="B84" s="39"/>
      <c r="C84" s="39"/>
      <c r="D84" s="77" t="str">
        <f>IF($AA84=0,"",INDEX(Quotes!$U$9:$U$258,$AA84)&amp;" | "&amp;INDEX(Quotes!$E$9:$E$258,$AA84))</f>
        <v/>
      </c>
      <c r="E84" s="39"/>
      <c r="F84" s="39"/>
      <c r="G84" s="39"/>
      <c r="H84" s="39"/>
      <c r="I84" s="113" t="str">
        <f>IF($AA84=0,"",IF(LEN(INDEX(Quotes!$F$9:$F$258,$AA84)&amp;"")=0,"",INDEX(Quotes!$F$9:$F$258,$AA84)))</f>
        <v/>
      </c>
      <c r="J84" s="39"/>
      <c r="K84" s="39"/>
      <c r="L84" s="8"/>
      <c r="M84" s="110" t="str">
        <f>IF($AA84=0,"",IF(LEN(INDEX(Quotes!$G$9:$G$258,$AA84)&amp;"")=0,"",INDEX(Quotes!$G$9:$G$258,$AA84)))</f>
        <v/>
      </c>
      <c r="N84" s="39"/>
      <c r="O84" s="39"/>
      <c r="P84" s="110" t="str">
        <f>IF($AA84=0,"",IF(LEN(INDEX(Quotes!$H$9:$H$258,$AA84)&amp;"")=0,"",INDEX(Quotes!$H$9:$H$258,$AA84)))</f>
        <v/>
      </c>
      <c r="Q84" s="39"/>
      <c r="R84" s="39"/>
      <c r="S84" s="32" t="str">
        <f>IF($AA84=0,"",IF(LEN(INDEX(Quotes!$I$9:$I$258,$AA84)&amp;"")=0,"",INDEX(Quotes!$I$9:$I$258,$AA84)))</f>
        <v/>
      </c>
      <c r="T84" s="76" t="str">
        <f>IF($AA84=0,"",IF(LEN(INDEX(Quotes!$AD$9:$AD$258,$AA84)&amp;"")=0,"",INDEX(Quotes!$AD$9:$AD$258,$AA84)))</f>
        <v/>
      </c>
      <c r="U84" s="39"/>
      <c r="V84" s="33" t="str">
        <f t="shared" si="0"/>
        <v/>
      </c>
      <c r="AA84">
        <f>IFERROR(MATCH("J:"&amp;$AA$2&amp;"_N:21",Quotes!$AS$9:$AS$258,0),0)</f>
        <v>0</v>
      </c>
    </row>
    <row r="85" spans="1:27" ht="42" hidden="1" customHeight="1" x14ac:dyDescent="0.35">
      <c r="A85" s="77" t="str">
        <f>IF($AA85=0,"",IF(LEN(INDEX(Quotes!$A$9:$A$258,$AA85)&amp;"")=0,"",INDEX(Quotes!$A$9:$A$258,$AA85)))</f>
        <v/>
      </c>
      <c r="B85" s="39"/>
      <c r="C85" s="39"/>
      <c r="D85" s="77" t="str">
        <f>IF($AA85=0,"",INDEX(Quotes!$U$9:$U$258,$AA85)&amp;" | "&amp;INDEX(Quotes!$E$9:$E$258,$AA85))</f>
        <v/>
      </c>
      <c r="E85" s="39"/>
      <c r="F85" s="39"/>
      <c r="G85" s="39"/>
      <c r="H85" s="39"/>
      <c r="I85" s="113" t="str">
        <f>IF($AA85=0,"",IF(LEN(INDEX(Quotes!$F$9:$F$258,$AA85)&amp;"")=0,"",INDEX(Quotes!$F$9:$F$258,$AA85)))</f>
        <v/>
      </c>
      <c r="J85" s="39"/>
      <c r="K85" s="39"/>
      <c r="L85" s="8"/>
      <c r="M85" s="110" t="str">
        <f>IF($AA85=0,"",IF(LEN(INDEX(Quotes!$G$9:$G$258,$AA85)&amp;"")=0,"",INDEX(Quotes!$G$9:$G$258,$AA85)))</f>
        <v/>
      </c>
      <c r="N85" s="39"/>
      <c r="O85" s="39"/>
      <c r="P85" s="110" t="str">
        <f>IF($AA85=0,"",IF(LEN(INDEX(Quotes!$H$9:$H$258,$AA85)&amp;"")=0,"",INDEX(Quotes!$H$9:$H$258,$AA85)))</f>
        <v/>
      </c>
      <c r="Q85" s="39"/>
      <c r="R85" s="39"/>
      <c r="S85" s="32" t="str">
        <f>IF($AA85=0,"",IF(LEN(INDEX(Quotes!$I$9:$I$258,$AA85)&amp;"")=0,"",INDEX(Quotes!$I$9:$I$258,$AA85)))</f>
        <v/>
      </c>
      <c r="T85" s="76" t="str">
        <f>IF($AA85=0,"",IF(LEN(INDEX(Quotes!$AD$9:$AD$258,$AA85)&amp;"")=0,"",INDEX(Quotes!$AD$9:$AD$258,$AA85)))</f>
        <v/>
      </c>
      <c r="U85" s="39"/>
      <c r="V85" s="33" t="str">
        <f t="shared" si="0"/>
        <v/>
      </c>
      <c r="AA85">
        <f>IFERROR(MATCH("J:"&amp;$AA$2&amp;"_N:22",Quotes!$AS$9:$AS$258,0),0)</f>
        <v>0</v>
      </c>
    </row>
    <row r="86" spans="1:27" ht="42" hidden="1" customHeight="1" x14ac:dyDescent="0.35">
      <c r="A86" s="77" t="str">
        <f>IF($AA86=0,"",IF(LEN(INDEX(Quotes!$A$9:$A$258,$AA86)&amp;"")=0,"",INDEX(Quotes!$A$9:$A$258,$AA86)))</f>
        <v/>
      </c>
      <c r="B86" s="39"/>
      <c r="C86" s="39"/>
      <c r="D86" s="77" t="str">
        <f>IF($AA86=0,"",INDEX(Quotes!$U$9:$U$258,$AA86)&amp;" | "&amp;INDEX(Quotes!$E$9:$E$258,$AA86))</f>
        <v/>
      </c>
      <c r="E86" s="39"/>
      <c r="F86" s="39"/>
      <c r="G86" s="39"/>
      <c r="H86" s="39"/>
      <c r="I86" s="113" t="str">
        <f>IF($AA86=0,"",IF(LEN(INDEX(Quotes!$F$9:$F$258,$AA86)&amp;"")=0,"",INDEX(Quotes!$F$9:$F$258,$AA86)))</f>
        <v/>
      </c>
      <c r="J86" s="39"/>
      <c r="K86" s="39"/>
      <c r="L86" s="8"/>
      <c r="M86" s="110" t="str">
        <f>IF($AA86=0,"",IF(LEN(INDEX(Quotes!$G$9:$G$258,$AA86)&amp;"")=0,"",INDEX(Quotes!$G$9:$G$258,$AA86)))</f>
        <v/>
      </c>
      <c r="N86" s="39"/>
      <c r="O86" s="39"/>
      <c r="P86" s="110" t="str">
        <f>IF($AA86=0,"",IF(LEN(INDEX(Quotes!$H$9:$H$258,$AA86)&amp;"")=0,"",INDEX(Quotes!$H$9:$H$258,$AA86)))</f>
        <v/>
      </c>
      <c r="Q86" s="39"/>
      <c r="R86" s="39"/>
      <c r="S86" s="32" t="str">
        <f>IF($AA86=0,"",IF(LEN(INDEX(Quotes!$I$9:$I$258,$AA86)&amp;"")=0,"",INDEX(Quotes!$I$9:$I$258,$AA86)))</f>
        <v/>
      </c>
      <c r="T86" s="76" t="str">
        <f>IF($AA86=0,"",IF(LEN(INDEX(Quotes!$AD$9:$AD$258,$AA86)&amp;"")=0,"",INDEX(Quotes!$AD$9:$AD$258,$AA86)))</f>
        <v/>
      </c>
      <c r="U86" s="39"/>
      <c r="V86" s="33" t="str">
        <f t="shared" si="0"/>
        <v/>
      </c>
      <c r="AA86">
        <f>IFERROR(MATCH("J:"&amp;$AA$2&amp;"_N:23",Quotes!$AS$9:$AS$258,0),0)</f>
        <v>0</v>
      </c>
    </row>
    <row r="87" spans="1:27" ht="42" hidden="1" customHeight="1" x14ac:dyDescent="0.35">
      <c r="A87" s="77" t="str">
        <f>IF($AA87=0,"",IF(LEN(INDEX(Quotes!$A$9:$A$258,$AA87)&amp;"")=0,"",INDEX(Quotes!$A$9:$A$258,$AA87)))</f>
        <v/>
      </c>
      <c r="B87" s="39"/>
      <c r="C87" s="39"/>
      <c r="D87" s="77" t="str">
        <f>IF($AA87=0,"",INDEX(Quotes!$U$9:$U$258,$AA87)&amp;" | "&amp;INDEX(Quotes!$E$9:$E$258,$AA87))</f>
        <v/>
      </c>
      <c r="E87" s="39"/>
      <c r="F87" s="39"/>
      <c r="G87" s="39"/>
      <c r="H87" s="39"/>
      <c r="I87" s="113" t="str">
        <f>IF($AA87=0,"",IF(LEN(INDEX(Quotes!$F$9:$F$258,$AA87)&amp;"")=0,"",INDEX(Quotes!$F$9:$F$258,$AA87)))</f>
        <v/>
      </c>
      <c r="J87" s="39"/>
      <c r="K87" s="39"/>
      <c r="L87" s="8"/>
      <c r="M87" s="110" t="str">
        <f>IF($AA87=0,"",IF(LEN(INDEX(Quotes!$G$9:$G$258,$AA87)&amp;"")=0,"",INDEX(Quotes!$G$9:$G$258,$AA87)))</f>
        <v/>
      </c>
      <c r="N87" s="39"/>
      <c r="O87" s="39"/>
      <c r="P87" s="110" t="str">
        <f>IF($AA87=0,"",IF(LEN(INDEX(Quotes!$H$9:$H$258,$AA87)&amp;"")=0,"",INDEX(Quotes!$H$9:$H$258,$AA87)))</f>
        <v/>
      </c>
      <c r="Q87" s="39"/>
      <c r="R87" s="39"/>
      <c r="S87" s="32" t="str">
        <f>IF($AA87=0,"",IF(LEN(INDEX(Quotes!$I$9:$I$258,$AA87)&amp;"")=0,"",INDEX(Quotes!$I$9:$I$258,$AA87)))</f>
        <v/>
      </c>
      <c r="T87" s="76" t="str">
        <f>IF($AA87=0,"",IF(LEN(INDEX(Quotes!$AD$9:$AD$258,$AA87)&amp;"")=0,"",INDEX(Quotes!$AD$9:$AD$258,$AA87)))</f>
        <v/>
      </c>
      <c r="U87" s="39"/>
      <c r="V87" s="33" t="str">
        <f t="shared" si="0"/>
        <v/>
      </c>
      <c r="AA87">
        <f>IFERROR(MATCH("J:"&amp;$AA$2&amp;"_N:24",Quotes!$AS$9:$AS$258,0),0)</f>
        <v>0</v>
      </c>
    </row>
    <row r="88" spans="1:27" ht="42" hidden="1" customHeight="1" x14ac:dyDescent="0.35">
      <c r="A88" s="77" t="str">
        <f>IF($AA88=0,"",IF(LEN(INDEX(Quotes!$A$9:$A$258,$AA88)&amp;"")=0,"",INDEX(Quotes!$A$9:$A$258,$AA88)))</f>
        <v/>
      </c>
      <c r="B88" s="39"/>
      <c r="C88" s="39"/>
      <c r="D88" s="77" t="str">
        <f>IF($AA88=0,"",INDEX(Quotes!$U$9:$U$258,$AA88)&amp;" | "&amp;INDEX(Quotes!$E$9:$E$258,$AA88))</f>
        <v/>
      </c>
      <c r="E88" s="39"/>
      <c r="F88" s="39"/>
      <c r="G88" s="39"/>
      <c r="H88" s="39"/>
      <c r="I88" s="113" t="str">
        <f>IF($AA88=0,"",IF(LEN(INDEX(Quotes!$F$9:$F$258,$AA88)&amp;"")=0,"",INDEX(Quotes!$F$9:$F$258,$AA88)))</f>
        <v/>
      </c>
      <c r="J88" s="39"/>
      <c r="K88" s="39"/>
      <c r="L88" s="8"/>
      <c r="M88" s="110" t="str">
        <f>IF($AA88=0,"",IF(LEN(INDEX(Quotes!$G$9:$G$258,$AA88)&amp;"")=0,"",INDEX(Quotes!$G$9:$G$258,$AA88)))</f>
        <v/>
      </c>
      <c r="N88" s="39"/>
      <c r="O88" s="39"/>
      <c r="P88" s="110" t="str">
        <f>IF($AA88=0,"",IF(LEN(INDEX(Quotes!$H$9:$H$258,$AA88)&amp;"")=0,"",INDEX(Quotes!$H$9:$H$258,$AA88)))</f>
        <v/>
      </c>
      <c r="Q88" s="39"/>
      <c r="R88" s="39"/>
      <c r="S88" s="32" t="str">
        <f>IF($AA88=0,"",IF(LEN(INDEX(Quotes!$I$9:$I$258,$AA88)&amp;"")=0,"",INDEX(Quotes!$I$9:$I$258,$AA88)))</f>
        <v/>
      </c>
      <c r="T88" s="76" t="str">
        <f>IF($AA88=0,"",IF(LEN(INDEX(Quotes!$AD$9:$AD$258,$AA88)&amp;"")=0,"",INDEX(Quotes!$AD$9:$AD$258,$AA88)))</f>
        <v/>
      </c>
      <c r="U88" s="39"/>
      <c r="V88" s="33" t="str">
        <f t="shared" si="0"/>
        <v/>
      </c>
      <c r="AA88">
        <f>IFERROR(MATCH("J:"&amp;$AA$2&amp;"_N:25",Quotes!$AS$9:$AS$258,0),0)</f>
        <v>0</v>
      </c>
    </row>
    <row r="89" spans="1:27" ht="42" hidden="1" customHeight="1" x14ac:dyDescent="0.35">
      <c r="A89" s="77" t="str">
        <f>IF($AA89=0,"",IF(LEN(INDEX(Quotes!$A$9:$A$258,$AA89)&amp;"")=0,"",INDEX(Quotes!$A$9:$A$258,$AA89)))</f>
        <v/>
      </c>
      <c r="B89" s="39"/>
      <c r="C89" s="39"/>
      <c r="D89" s="77" t="str">
        <f>IF($AA89=0,"",INDEX(Quotes!$U$9:$U$258,$AA89)&amp;" | "&amp;INDEX(Quotes!$E$9:$E$258,$AA89))</f>
        <v/>
      </c>
      <c r="E89" s="39"/>
      <c r="F89" s="39"/>
      <c r="G89" s="39"/>
      <c r="H89" s="39"/>
      <c r="I89" s="113" t="str">
        <f>IF($AA89=0,"",IF(LEN(INDEX(Quotes!$F$9:$F$258,$AA89)&amp;"")=0,"",INDEX(Quotes!$F$9:$F$258,$AA89)))</f>
        <v/>
      </c>
      <c r="J89" s="39"/>
      <c r="K89" s="39"/>
      <c r="L89" s="8"/>
      <c r="M89" s="110" t="str">
        <f>IF($AA89=0,"",IF(LEN(INDEX(Quotes!$G$9:$G$258,$AA89)&amp;"")=0,"",INDEX(Quotes!$G$9:$G$258,$AA89)))</f>
        <v/>
      </c>
      <c r="N89" s="39"/>
      <c r="O89" s="39"/>
      <c r="P89" s="110" t="str">
        <f>IF($AA89=0,"",IF(LEN(INDEX(Quotes!$H$9:$H$258,$AA89)&amp;"")=0,"",INDEX(Quotes!$H$9:$H$258,$AA89)))</f>
        <v/>
      </c>
      <c r="Q89" s="39"/>
      <c r="R89" s="39"/>
      <c r="S89" s="32" t="str">
        <f>IF($AA89=0,"",IF(LEN(INDEX(Quotes!$I$9:$I$258,$AA89)&amp;"")=0,"",INDEX(Quotes!$I$9:$I$258,$AA89)))</f>
        <v/>
      </c>
      <c r="T89" s="76" t="str">
        <f>IF($AA89=0,"",IF(LEN(INDEX(Quotes!$AD$9:$AD$258,$AA89)&amp;"")=0,"",INDEX(Quotes!$AD$9:$AD$258,$AA89)))</f>
        <v/>
      </c>
      <c r="U89" s="39"/>
      <c r="V89" s="33" t="str">
        <f t="shared" si="0"/>
        <v/>
      </c>
      <c r="AA89">
        <f>IFERROR(MATCH("J:"&amp;$AA$2&amp;"_N:26",Quotes!$AS$9:$AS$258,0),0)</f>
        <v>0</v>
      </c>
    </row>
    <row r="90" spans="1:27" ht="42" hidden="1" customHeight="1" x14ac:dyDescent="0.35">
      <c r="A90" s="77" t="str">
        <f>IF($AA90=0,"",IF(LEN(INDEX(Quotes!$A$9:$A$258,$AA90)&amp;"")=0,"",INDEX(Quotes!$A$9:$A$258,$AA90)))</f>
        <v/>
      </c>
      <c r="B90" s="39"/>
      <c r="C90" s="39"/>
      <c r="D90" s="77" t="str">
        <f>IF($AA90=0,"",INDEX(Quotes!$U$9:$U$258,$AA90)&amp;" | "&amp;INDEX(Quotes!$E$9:$E$258,$AA90))</f>
        <v/>
      </c>
      <c r="E90" s="39"/>
      <c r="F90" s="39"/>
      <c r="G90" s="39"/>
      <c r="H90" s="39"/>
      <c r="I90" s="113" t="str">
        <f>IF($AA90=0,"",IF(LEN(INDEX(Quotes!$F$9:$F$258,$AA90)&amp;"")=0,"",INDEX(Quotes!$F$9:$F$258,$AA90)))</f>
        <v/>
      </c>
      <c r="J90" s="39"/>
      <c r="K90" s="39"/>
      <c r="L90" s="8"/>
      <c r="M90" s="110" t="str">
        <f>IF($AA90=0,"",IF(LEN(INDEX(Quotes!$G$9:$G$258,$AA90)&amp;"")=0,"",INDEX(Quotes!$G$9:$G$258,$AA90)))</f>
        <v/>
      </c>
      <c r="N90" s="39"/>
      <c r="O90" s="39"/>
      <c r="P90" s="110" t="str">
        <f>IF($AA90=0,"",IF(LEN(INDEX(Quotes!$H$9:$H$258,$AA90)&amp;"")=0,"",INDEX(Quotes!$H$9:$H$258,$AA90)))</f>
        <v/>
      </c>
      <c r="Q90" s="39"/>
      <c r="R90" s="39"/>
      <c r="S90" s="32" t="str">
        <f>IF($AA90=0,"",IF(LEN(INDEX(Quotes!$I$9:$I$258,$AA90)&amp;"")=0,"",INDEX(Quotes!$I$9:$I$258,$AA90)))</f>
        <v/>
      </c>
      <c r="T90" s="76" t="str">
        <f>IF($AA90=0,"",IF(LEN(INDEX(Quotes!$AD$9:$AD$258,$AA90)&amp;"")=0,"",INDEX(Quotes!$AD$9:$AD$258,$AA90)))</f>
        <v/>
      </c>
      <c r="U90" s="39"/>
      <c r="V90" s="33" t="str">
        <f t="shared" si="0"/>
        <v/>
      </c>
      <c r="AA90">
        <f>IFERROR(MATCH("J:"&amp;$AA$2&amp;"_N:27",Quotes!$AS$9:$AS$258,0),0)</f>
        <v>0</v>
      </c>
    </row>
    <row r="91" spans="1:27" ht="42" hidden="1" customHeight="1" x14ac:dyDescent="0.35">
      <c r="A91" s="77" t="str">
        <f>IF($AA91=0,"",IF(LEN(INDEX(Quotes!$A$9:$A$258,$AA91)&amp;"")=0,"",INDEX(Quotes!$A$9:$A$258,$AA91)))</f>
        <v/>
      </c>
      <c r="B91" s="39"/>
      <c r="C91" s="39"/>
      <c r="D91" s="77" t="str">
        <f>IF($AA91=0,"",INDEX(Quotes!$U$9:$U$258,$AA91)&amp;" | "&amp;INDEX(Quotes!$E$9:$E$258,$AA91))</f>
        <v/>
      </c>
      <c r="E91" s="39"/>
      <c r="F91" s="39"/>
      <c r="G91" s="39"/>
      <c r="H91" s="39"/>
      <c r="I91" s="113" t="str">
        <f>IF($AA91=0,"",IF(LEN(INDEX(Quotes!$F$9:$F$258,$AA91)&amp;"")=0,"",INDEX(Quotes!$F$9:$F$258,$AA91)))</f>
        <v/>
      </c>
      <c r="J91" s="39"/>
      <c r="K91" s="39"/>
      <c r="M91" s="110" t="str">
        <f>IF($AA91=0,"",IF(LEN(INDEX(Quotes!$G$9:$G$258,$AA91)&amp;"")=0,"",INDEX(Quotes!$G$9:$G$258,$AA91)))</f>
        <v/>
      </c>
      <c r="N91" s="39"/>
      <c r="O91" s="39"/>
      <c r="P91" s="110" t="str">
        <f>IF($AA91=0,"",IF(LEN(INDEX(Quotes!$H$9:$H$258,$AA91)&amp;"")=0,"",INDEX(Quotes!$H$9:$H$258,$AA91)))</f>
        <v/>
      </c>
      <c r="Q91" s="39"/>
      <c r="R91" s="39"/>
      <c r="S91" s="32" t="str">
        <f>IF($AA91=0,"",IF(LEN(INDEX(Quotes!$I$9:$I$258,$AA91)&amp;"")=0,"",INDEX(Quotes!$I$9:$I$258,$AA91)))</f>
        <v/>
      </c>
      <c r="T91" s="76" t="str">
        <f>IF($AA91=0,"",IF(LEN(INDEX(Quotes!$AD$9:$AD$258,$AA91)&amp;"")=0,"",INDEX(Quotes!$AD$9:$AD$258,$AA91)))</f>
        <v/>
      </c>
      <c r="U91" s="39"/>
      <c r="V91" s="33" t="str">
        <f t="shared" si="0"/>
        <v/>
      </c>
      <c r="AA91">
        <f>IFERROR(MATCH("J:"&amp;$AA$2&amp;"_N:28",Quotes!$AS$9:$AS$258,0),0)</f>
        <v>0</v>
      </c>
    </row>
    <row r="92" spans="1:27" ht="42" hidden="1" customHeight="1" x14ac:dyDescent="0.35">
      <c r="A92" s="77" t="str">
        <f>IF($AA92=0,"",IF(LEN(INDEX(Quotes!$A$9:$A$258,$AA92)&amp;"")=0,"",INDEX(Quotes!$A$9:$A$258,$AA92)))</f>
        <v/>
      </c>
      <c r="B92" s="39"/>
      <c r="C92" s="39"/>
      <c r="D92" s="77" t="str">
        <f>IF($AA92=0,"",INDEX(Quotes!$U$9:$U$258,$AA92)&amp;" | "&amp;INDEX(Quotes!$E$9:$E$258,$AA92))</f>
        <v/>
      </c>
      <c r="E92" s="39"/>
      <c r="F92" s="39"/>
      <c r="G92" s="39"/>
      <c r="H92" s="39"/>
      <c r="I92" s="113" t="str">
        <f>IF($AA92=0,"",IF(LEN(INDEX(Quotes!$F$9:$F$258,$AA92)&amp;"")=0,"",INDEX(Quotes!$F$9:$F$258,$AA92)))</f>
        <v/>
      </c>
      <c r="J92" s="39"/>
      <c r="K92" s="39"/>
      <c r="M92" s="110" t="str">
        <f>IF($AA92=0,"",IF(LEN(INDEX(Quotes!$G$9:$G$258,$AA92)&amp;"")=0,"",INDEX(Quotes!$G$9:$G$258,$AA92)))</f>
        <v/>
      </c>
      <c r="N92" s="39"/>
      <c r="O92" s="39"/>
      <c r="P92" s="110" t="str">
        <f>IF($AA92=0,"",IF(LEN(INDEX(Quotes!$H$9:$H$258,$AA92)&amp;"")=0,"",INDEX(Quotes!$H$9:$H$258,$AA92)))</f>
        <v/>
      </c>
      <c r="Q92" s="39"/>
      <c r="R92" s="39"/>
      <c r="S92" s="32" t="str">
        <f>IF($AA92=0,"",IF(LEN(INDEX(Quotes!$I$9:$I$258,$AA92)&amp;"")=0,"",INDEX(Quotes!$I$9:$I$258,$AA92)))</f>
        <v/>
      </c>
      <c r="T92" s="76" t="str">
        <f>IF($AA92=0,"",IF(LEN(INDEX(Quotes!$AD$9:$AD$258,$AA92)&amp;"")=0,"",INDEX(Quotes!$AD$9:$AD$258,$AA92)))</f>
        <v/>
      </c>
      <c r="U92" s="39"/>
      <c r="V92" s="33" t="str">
        <f t="shared" si="0"/>
        <v/>
      </c>
      <c r="AA92">
        <f>IFERROR(MATCH("J:"&amp;$AA$2&amp;"_N:29",Quotes!$AS$9:$AS$258,0),0)</f>
        <v>0</v>
      </c>
    </row>
    <row r="93" spans="1:27" ht="42" hidden="1" customHeight="1" x14ac:dyDescent="0.35">
      <c r="A93" s="77" t="str">
        <f>IF($AA93=0,"",IF(LEN(INDEX(Quotes!$A$9:$A$258,$AA93)&amp;"")=0,"",INDEX(Quotes!$A$9:$A$258,$AA93)))</f>
        <v/>
      </c>
      <c r="B93" s="39"/>
      <c r="C93" s="39"/>
      <c r="D93" s="77" t="str">
        <f>IF($AA93=0,"",INDEX(Quotes!$U$9:$U$258,$AA93)&amp;" | "&amp;INDEX(Quotes!$E$9:$E$258,$AA93))</f>
        <v/>
      </c>
      <c r="E93" s="39"/>
      <c r="F93" s="39"/>
      <c r="G93" s="39"/>
      <c r="H93" s="39"/>
      <c r="I93" s="113" t="str">
        <f>IF($AA93=0,"",IF(LEN(INDEX(Quotes!$F$9:$F$258,$AA93)&amp;"")=0,"",INDEX(Quotes!$F$9:$F$258,$AA93)))</f>
        <v/>
      </c>
      <c r="J93" s="39"/>
      <c r="K93" s="39"/>
      <c r="M93" s="110" t="str">
        <f>IF($AA93=0,"",IF(LEN(INDEX(Quotes!$G$9:$G$258,$AA93)&amp;"")=0,"",INDEX(Quotes!$G$9:$G$258,$AA93)))</f>
        <v/>
      </c>
      <c r="N93" s="39"/>
      <c r="O93" s="39"/>
      <c r="P93" s="110" t="str">
        <f>IF($AA93=0,"",IF(LEN(INDEX(Quotes!$H$9:$H$258,$AA93)&amp;"")=0,"",INDEX(Quotes!$H$9:$H$258,$AA93)))</f>
        <v/>
      </c>
      <c r="Q93" s="39"/>
      <c r="R93" s="39"/>
      <c r="S93" s="32" t="str">
        <f>IF($AA93=0,"",IF(LEN(INDEX(Quotes!$I$9:$I$258,$AA93)&amp;"")=0,"",INDEX(Quotes!$I$9:$I$258,$AA93)))</f>
        <v/>
      </c>
      <c r="T93" s="76" t="str">
        <f>IF($AA93=0,"",IF(LEN(INDEX(Quotes!$AD$9:$AD$258,$AA93)&amp;"")=0,"",INDEX(Quotes!$AD$9:$AD$258,$AA93)))</f>
        <v/>
      </c>
      <c r="U93" s="39"/>
      <c r="V93" s="33" t="str">
        <f t="shared" si="0"/>
        <v/>
      </c>
      <c r="AA93">
        <f>IFERROR(MATCH("J:"&amp;$AA$2&amp;"_N:30",Quotes!$AS$9:$AS$258,0),0)</f>
        <v>0</v>
      </c>
    </row>
  </sheetData>
  <sheetProtection password="8651" sheet="1" autoFilter="0"/>
  <mergeCells count="283">
    <mergeCell ref="A56:K59"/>
    <mergeCell ref="I89:K89"/>
    <mergeCell ref="A88:C88"/>
    <mergeCell ref="A21:C21"/>
    <mergeCell ref="I87:K87"/>
    <mergeCell ref="P77:R77"/>
    <mergeCell ref="M81:O81"/>
    <mergeCell ref="A82:C82"/>
    <mergeCell ref="M90:O90"/>
    <mergeCell ref="A85:C85"/>
    <mergeCell ref="A87:C87"/>
    <mergeCell ref="M36:O36"/>
    <mergeCell ref="D86:H86"/>
    <mergeCell ref="I88:K88"/>
    <mergeCell ref="A90:C90"/>
    <mergeCell ref="M89:O89"/>
    <mergeCell ref="M87:O87"/>
    <mergeCell ref="D89:H89"/>
    <mergeCell ref="D88:H88"/>
    <mergeCell ref="A93:C93"/>
    <mergeCell ref="M39:V39"/>
    <mergeCell ref="M66:O66"/>
    <mergeCell ref="A43:K48"/>
    <mergeCell ref="P34:V34"/>
    <mergeCell ref="P9:V9"/>
    <mergeCell ref="M48:V48"/>
    <mergeCell ref="D21:G21"/>
    <mergeCell ref="I65:K65"/>
    <mergeCell ref="A42:K42"/>
    <mergeCell ref="H10:O11"/>
    <mergeCell ref="T70:U70"/>
    <mergeCell ref="I74:K74"/>
    <mergeCell ref="A77:C77"/>
    <mergeCell ref="T91:U91"/>
    <mergeCell ref="M84:O84"/>
    <mergeCell ref="M22:O22"/>
    <mergeCell ref="D63:H63"/>
    <mergeCell ref="M26:V26"/>
    <mergeCell ref="M31:O31"/>
    <mergeCell ref="P67:R67"/>
    <mergeCell ref="M75:O75"/>
    <mergeCell ref="D80:H80"/>
    <mergeCell ref="P30:V30"/>
    <mergeCell ref="M20:O20"/>
    <mergeCell ref="T67:U67"/>
    <mergeCell ref="P81:R81"/>
    <mergeCell ref="M69:O69"/>
    <mergeCell ref="P90:R90"/>
    <mergeCell ref="D20:K20"/>
    <mergeCell ref="P28:V28"/>
    <mergeCell ref="A66:C66"/>
    <mergeCell ref="P37:V37"/>
    <mergeCell ref="P65:R65"/>
    <mergeCell ref="A75:C75"/>
    <mergeCell ref="T82:U82"/>
    <mergeCell ref="M21:O21"/>
    <mergeCell ref="P24:V24"/>
    <mergeCell ref="A71:C71"/>
    <mergeCell ref="T80:U80"/>
    <mergeCell ref="I82:K82"/>
    <mergeCell ref="M24:O24"/>
    <mergeCell ref="D66:H66"/>
    <mergeCell ref="M76:O76"/>
    <mergeCell ref="D75:H75"/>
    <mergeCell ref="I63:K63"/>
    <mergeCell ref="A63:C63"/>
    <mergeCell ref="T64:U64"/>
    <mergeCell ref="A24:K40"/>
    <mergeCell ref="P84:R84"/>
    <mergeCell ref="D67:H67"/>
    <mergeCell ref="D92:H92"/>
    <mergeCell ref="A53:K53"/>
    <mergeCell ref="J21:K21"/>
    <mergeCell ref="P36:V36"/>
    <mergeCell ref="T81:U81"/>
    <mergeCell ref="T90:U90"/>
    <mergeCell ref="M67:O67"/>
    <mergeCell ref="A69:C69"/>
    <mergeCell ref="P91:R91"/>
    <mergeCell ref="A91:C91"/>
    <mergeCell ref="T77:U77"/>
    <mergeCell ref="I72:K72"/>
    <mergeCell ref="A80:C80"/>
    <mergeCell ref="D81:H81"/>
    <mergeCell ref="A89:C89"/>
    <mergeCell ref="D90:H90"/>
    <mergeCell ref="I91:K91"/>
    <mergeCell ref="M46:V46"/>
    <mergeCell ref="P72:R72"/>
    <mergeCell ref="I85:K85"/>
    <mergeCell ref="M42:V42"/>
    <mergeCell ref="A15:C16"/>
    <mergeCell ref="D15:K16"/>
    <mergeCell ref="T78:U78"/>
    <mergeCell ref="A9:G9"/>
    <mergeCell ref="P75:R75"/>
    <mergeCell ref="I92:K92"/>
    <mergeCell ref="H9:O9"/>
    <mergeCell ref="T93:U93"/>
    <mergeCell ref="D65:H65"/>
    <mergeCell ref="M28:O28"/>
    <mergeCell ref="P82:R82"/>
    <mergeCell ref="M86:O86"/>
    <mergeCell ref="M80:O80"/>
    <mergeCell ref="M37:O37"/>
    <mergeCell ref="T92:U92"/>
    <mergeCell ref="D91:H91"/>
    <mergeCell ref="P92:R92"/>
    <mergeCell ref="D93:H93"/>
    <mergeCell ref="I90:K90"/>
    <mergeCell ref="D74:H74"/>
    <mergeCell ref="D68:H68"/>
    <mergeCell ref="D83:H83"/>
    <mergeCell ref="A51:K52"/>
    <mergeCell ref="P27:V27"/>
    <mergeCell ref="I64:K64"/>
    <mergeCell ref="A83:C83"/>
    <mergeCell ref="M27:O27"/>
    <mergeCell ref="D77:H77"/>
    <mergeCell ref="D79:H79"/>
    <mergeCell ref="M64:O64"/>
    <mergeCell ref="M78:O78"/>
    <mergeCell ref="A4:C4"/>
    <mergeCell ref="I78:K78"/>
    <mergeCell ref="A81:C81"/>
    <mergeCell ref="M72:O72"/>
    <mergeCell ref="M29:O29"/>
    <mergeCell ref="M23:O23"/>
    <mergeCell ref="M4:O4"/>
    <mergeCell ref="A61:V61"/>
    <mergeCell ref="M71:O71"/>
    <mergeCell ref="A67:C67"/>
    <mergeCell ref="I81:K81"/>
    <mergeCell ref="T66:U66"/>
    <mergeCell ref="A73:C73"/>
    <mergeCell ref="T75:U75"/>
    <mergeCell ref="D18:K18"/>
    <mergeCell ref="P4:R4"/>
    <mergeCell ref="M49:V51"/>
    <mergeCell ref="I93:K93"/>
    <mergeCell ref="J4:L4"/>
    <mergeCell ref="M30:O30"/>
    <mergeCell ref="I68:K68"/>
    <mergeCell ref="A86:C86"/>
    <mergeCell ref="M32:V32"/>
    <mergeCell ref="M77:O77"/>
    <mergeCell ref="H21:I21"/>
    <mergeCell ref="M33:O33"/>
    <mergeCell ref="M85:O85"/>
    <mergeCell ref="I67:K67"/>
    <mergeCell ref="T63:U63"/>
    <mergeCell ref="M17:O17"/>
    <mergeCell ref="P29:V29"/>
    <mergeCell ref="T74:U74"/>
    <mergeCell ref="A20:C20"/>
    <mergeCell ref="T71:U71"/>
    <mergeCell ref="T83:U83"/>
    <mergeCell ref="A72:C72"/>
    <mergeCell ref="M40:V41"/>
    <mergeCell ref="M19:O19"/>
    <mergeCell ref="P93:R93"/>
    <mergeCell ref="D87:H87"/>
    <mergeCell ref="P31:V31"/>
    <mergeCell ref="A10:G11"/>
    <mergeCell ref="A23:K23"/>
    <mergeCell ref="T69:U69"/>
    <mergeCell ref="T84:U84"/>
    <mergeCell ref="A64:C64"/>
    <mergeCell ref="I86:K86"/>
    <mergeCell ref="I80:K80"/>
    <mergeCell ref="P76:R76"/>
    <mergeCell ref="P85:R85"/>
    <mergeCell ref="D73:H73"/>
    <mergeCell ref="M13:V13"/>
    <mergeCell ref="P23:V23"/>
    <mergeCell ref="A79:C79"/>
    <mergeCell ref="I70:K70"/>
    <mergeCell ref="D82:H82"/>
    <mergeCell ref="P17:V17"/>
    <mergeCell ref="M70:O70"/>
    <mergeCell ref="M35:O35"/>
    <mergeCell ref="D85:H85"/>
    <mergeCell ref="I76:K76"/>
    <mergeCell ref="A18:C18"/>
    <mergeCell ref="A14:C14"/>
    <mergeCell ref="M53:V53"/>
    <mergeCell ref="T65:U65"/>
    <mergeCell ref="M6:Q6"/>
    <mergeCell ref="T76:U76"/>
    <mergeCell ref="P74:R74"/>
    <mergeCell ref="T85:U85"/>
    <mergeCell ref="P83:R83"/>
    <mergeCell ref="R1:V2"/>
    <mergeCell ref="D71:H71"/>
    <mergeCell ref="P21:V21"/>
    <mergeCell ref="S4:V4"/>
    <mergeCell ref="G4:I4"/>
    <mergeCell ref="D76:H76"/>
    <mergeCell ref="I79:K79"/>
    <mergeCell ref="I73:K73"/>
    <mergeCell ref="A1:Q2"/>
    <mergeCell ref="I77:K77"/>
    <mergeCell ref="A3:V3"/>
    <mergeCell ref="P14:V15"/>
    <mergeCell ref="P63:R63"/>
    <mergeCell ref="M44:V45"/>
    <mergeCell ref="D64:H64"/>
    <mergeCell ref="A6:F6"/>
    <mergeCell ref="D14:K14"/>
    <mergeCell ref="A78:C78"/>
    <mergeCell ref="A13:K13"/>
    <mergeCell ref="M14:O15"/>
    <mergeCell ref="P69:R69"/>
    <mergeCell ref="M79:O79"/>
    <mergeCell ref="M54:V56"/>
    <mergeCell ref="M73:O73"/>
    <mergeCell ref="M88:O88"/>
    <mergeCell ref="M82:O82"/>
    <mergeCell ref="M58:V59"/>
    <mergeCell ref="P18:V18"/>
    <mergeCell ref="M65:O65"/>
    <mergeCell ref="P86:R86"/>
    <mergeCell ref="M74:O74"/>
    <mergeCell ref="P33:V33"/>
    <mergeCell ref="T87:U87"/>
    <mergeCell ref="P19:V19"/>
    <mergeCell ref="P80:R80"/>
    <mergeCell ref="P70:R70"/>
    <mergeCell ref="T68:U68"/>
    <mergeCell ref="P66:R66"/>
    <mergeCell ref="M43:V43"/>
    <mergeCell ref="P68:R68"/>
    <mergeCell ref="M68:O68"/>
    <mergeCell ref="T72:U72"/>
    <mergeCell ref="T86:U86"/>
    <mergeCell ref="P71:R71"/>
    <mergeCell ref="A55:K55"/>
    <mergeCell ref="D72:H72"/>
    <mergeCell ref="D78:H78"/>
    <mergeCell ref="P22:V22"/>
    <mergeCell ref="M18:O18"/>
    <mergeCell ref="P35:V35"/>
    <mergeCell ref="I83:K83"/>
    <mergeCell ref="M91:O91"/>
    <mergeCell ref="P20:V20"/>
    <mergeCell ref="P87:R87"/>
    <mergeCell ref="D70:H70"/>
    <mergeCell ref="T79:U79"/>
    <mergeCell ref="T73:U73"/>
    <mergeCell ref="T88:U88"/>
    <mergeCell ref="P89:R89"/>
    <mergeCell ref="I71:K71"/>
    <mergeCell ref="D84:H84"/>
    <mergeCell ref="D69:H69"/>
    <mergeCell ref="I66:K66"/>
    <mergeCell ref="A84:C84"/>
    <mergeCell ref="D19:K19"/>
    <mergeCell ref="I75:K75"/>
    <mergeCell ref="I84:K84"/>
    <mergeCell ref="D4:F4"/>
    <mergeCell ref="P78:R78"/>
    <mergeCell ref="T89:U89"/>
    <mergeCell ref="A70:C70"/>
    <mergeCell ref="S6:V6"/>
    <mergeCell ref="P10:V11"/>
    <mergeCell ref="A74:C74"/>
    <mergeCell ref="A76:C76"/>
    <mergeCell ref="M93:O93"/>
    <mergeCell ref="I69:K69"/>
    <mergeCell ref="H6:K6"/>
    <mergeCell ref="A65:C65"/>
    <mergeCell ref="A92:C92"/>
    <mergeCell ref="P64:R64"/>
    <mergeCell ref="P79:R79"/>
    <mergeCell ref="M34:O34"/>
    <mergeCell ref="P73:R73"/>
    <mergeCell ref="M83:O83"/>
    <mergeCell ref="P88:R88"/>
    <mergeCell ref="M92:O92"/>
    <mergeCell ref="A19:C19"/>
    <mergeCell ref="A50:K50"/>
    <mergeCell ref="A68:C68"/>
    <mergeCell ref="M63:O63"/>
  </mergeCells>
  <conditionalFormatting sqref="P28">
    <cfRule type="cellIs" dxfId="0" priority="1" operator="equal">
      <formula>"Selected"</formula>
    </cfRule>
  </conditionalFormatting>
  <dataValidations count="8">
    <dataValidation type="list" allowBlank="1" showErrorMessage="1" errorTitle="Check this entry" error="Use a value from the shared list." sqref="D18" xr:uid="{00000000-0002-0000-2300-000000000000}">
      <formula1>lstDepartment</formula1>
    </dataValidation>
    <dataValidation type="list" allowBlank="1" showErrorMessage="1" errorTitle="Check this entry" error="Use a value from the shared list." sqref="D19" xr:uid="{00000000-0002-0000-2300-000001000000}">
      <formula1>lstJobStatus</formula1>
    </dataValidation>
    <dataValidation type="date" allowBlank="1" showErrorMessage="1" errorTitle="Check this entry" error="Enter a valid date or a non-negative number, as applicable." sqref="D21 P34:P36 J21" xr:uid="{00000000-0002-0000-2300-000002000000}">
      <formula1>DATE(2000,1,1)</formula1>
      <formula2>DATE(2100,12,31)</formula2>
    </dataValidation>
    <dataValidation type="list" allowBlank="1" showErrorMessage="1" errorTitle="Check this entry" error="Use a value from the shared list." sqref="P14" xr:uid="{00000000-0002-0000-2300-000004000000}">
      <formula1>PilotOffer0018</formula1>
    </dataValidation>
    <dataValidation type="list" allowBlank="1" showErrorMessage="1" errorTitle="Check this entry" error="Use a value from the shared list." sqref="P28 I64:I93" xr:uid="{00000000-0002-0000-2300-000005000000}">
      <formula1>lstQuoteStatus</formula1>
    </dataValidation>
    <dataValidation type="list" allowBlank="1" showErrorMessage="1" errorTitle="Check this entry" error="Use a value from the shared list." sqref="P29 S64:S93" xr:uid="{00000000-0002-0000-2300-000006000000}">
      <formula1>lstCurrency</formula1>
    </dataValidation>
    <dataValidation type="list" allowBlank="1" showErrorMessage="1" errorTitle="Check this entry" error="Use a value from the shared list." sqref="P37" xr:uid="{00000000-0002-0000-2300-000007000000}">
      <formula1>lstYesNo</formula1>
    </dataValidation>
    <dataValidation type="decimal" operator="greaterThanOrEqual" allowBlank="1" showErrorMessage="1" errorTitle="Check this entry" error="Enter a valid date or a non-negative number, as applicable." sqref="P30:P31 P64:P93 M64:M93" xr:uid="{00000000-0002-0000-2300-000008000000}">
      <formula1>0</formula1>
    </dataValidation>
  </dataValidations>
  <hyperlinks>
    <hyperlink ref="A4" location="'Overview'!A1" display="Overview" xr:uid="{00000000-0004-0000-2300-000000000000}"/>
    <hyperlink ref="D4" location="'Jobs'!A1" display="Jobs" xr:uid="{00000000-0004-0000-2300-000001000000}"/>
    <hyperlink ref="G4" location="'Suppliers'!A1" display="Suppliers" xr:uid="{00000000-0004-0000-2300-000002000000}"/>
    <hyperlink ref="J4" location="'Budget'!A1" display="Budget" xr:uid="{00000000-0004-0000-2300-000003000000}"/>
    <hyperlink ref="M4" location="'Quotes'!A1" display="Quotes" xr:uid="{00000000-0004-0000-2300-000004000000}"/>
    <hyperlink ref="P4" location="'Print Summary'!A1" display="Print summary" xr:uid="{00000000-0004-0000-2300-000005000000}"/>
    <hyperlink ref="S4" location="'Read Me'!A1" display="Guide / setup" xr:uid="{00000000-0004-0000-2300-000006000000}"/>
    <hyperlink ref="H6" location="'Jobs'!A1" display="BACK TO JOBS" xr:uid="{00000000-0004-0000-2300-000007000000}"/>
    <hyperlink ref="M6" location="'Supplier Jobs'!A1" display="SUPPLIER JOBS" xr:uid="{00000000-0004-0000-2300-000008000000}"/>
  </hyperlinks>
  <printOptions horizontalCentered="1"/>
  <pageMargins left="0.25" right="0.25" top="0.35" bottom="0.35" header="0.5" footer="0.5"/>
  <pageSetup paperSize="9" fitToHeight="0" orientation="landscape"/>
  <headerFooter>
    <oddFooter>&amp;LKERRY | DRYDOCK 2027&amp;CCONTROLLED PILOT COPY&amp;RPage &amp;P of &amp;N</oddFooter>
  </headerFooter>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206cfbc-e016-4c9a-8207-7c55f8f4f758">
      <Terms xmlns="http://schemas.microsoft.com/office/infopath/2007/PartnerControls"/>
    </lcf76f155ced4ddcb4097134ff3c332f>
    <TaxCatchAll xmlns="d5fa4cca-0154-498f-8436-240304666b9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4A9E5506EBE14292A1B6CC54144C4C" ma:contentTypeVersion="11" ma:contentTypeDescription="Create a new document." ma:contentTypeScope="" ma:versionID="6d9370b96d98076fb3e6aa2495749ab0">
  <xsd:schema xmlns:xsd="http://www.w3.org/2001/XMLSchema" xmlns:xs="http://www.w3.org/2001/XMLSchema" xmlns:p="http://schemas.microsoft.com/office/2006/metadata/properties" xmlns:ns2="f206cfbc-e016-4c9a-8207-7c55f8f4f758" xmlns:ns3="d5fa4cca-0154-498f-8436-240304666b96" targetNamespace="http://schemas.microsoft.com/office/2006/metadata/properties" ma:root="true" ma:fieldsID="3a2f95ad79ecffff19a77736fffc741a" ns2:_="" ns3:_="">
    <xsd:import namespace="f206cfbc-e016-4c9a-8207-7c55f8f4f758"/>
    <xsd:import namespace="d5fa4cca-0154-498f-8436-240304666b9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06cfbc-e016-4c9a-8207-7c55f8f4f7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97f4a7a-2832-4f65-8d0d-16d70c0f63da"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18"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5fa4cca-0154-498f-8436-240304666b9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24f114d-37b6-4cc2-a345-74fbae29fb32}" ma:internalName="TaxCatchAll" ma:showField="CatchAllData" ma:web="d5fa4cca-0154-498f-8436-240304666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E3C996-FE5F-45D9-9FB4-7A4B89FB8DB9}">
  <ds:schemaRefs>
    <ds:schemaRef ds:uri="http://schemas.microsoft.com/office/2006/metadata/properties"/>
    <ds:schemaRef ds:uri="http://schemas.microsoft.com/office/infopath/2007/PartnerControls"/>
    <ds:schemaRef ds:uri="f206cfbc-e016-4c9a-8207-7c55f8f4f758"/>
    <ds:schemaRef ds:uri="d5fa4cca-0154-498f-8436-240304666b96"/>
  </ds:schemaRefs>
</ds:datastoreItem>
</file>

<file path=customXml/itemProps2.xml><?xml version="1.0" encoding="utf-8"?>
<ds:datastoreItem xmlns:ds="http://schemas.openxmlformats.org/officeDocument/2006/customXml" ds:itemID="{38CE0D40-F79C-4187-BFD9-668B2C3308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06cfbc-e016-4c9a-8207-7c55f8f4f758"/>
    <ds:schemaRef ds:uri="d5fa4cca-0154-498f-8436-240304666b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02A6BC-21E6-4A60-88D7-EDF69FFAA33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62</vt:i4>
      </vt:variant>
    </vt:vector>
  </HeadingPairs>
  <TitlesOfParts>
    <vt:vector size="95" baseType="lpstr">
      <vt:lpstr>Overview</vt:lpstr>
      <vt:lpstr>Budget</vt:lpstr>
      <vt:lpstr>Jobs</vt:lpstr>
      <vt:lpstr>Suppliers</vt:lpstr>
      <vt:lpstr>Supplier Jobs</vt:lpstr>
      <vt:lpstr>Quotes</vt:lpstr>
      <vt:lpstr>Negotiation Savings</vt:lpstr>
      <vt:lpstr>Print Summary</vt:lpstr>
      <vt:lpstr>Create Job</vt:lpstr>
      <vt:lpstr>Add Supplier</vt:lpstr>
      <vt:lpstr>Read Me</vt:lpstr>
      <vt:lpstr>Test Results</vt:lpstr>
      <vt:lpstr>Vessel</vt:lpstr>
      <vt:lpstr>Lists</vt:lpstr>
      <vt:lpstr>JOB 1001.02</vt:lpstr>
      <vt:lpstr>JOB 1001.03</vt:lpstr>
      <vt:lpstr>JOB 1303.01</vt:lpstr>
      <vt:lpstr>JOB 1500.01</vt:lpstr>
      <vt:lpstr>JOB 3103.01</vt:lpstr>
      <vt:lpstr>JOB 3149.01</vt:lpstr>
      <vt:lpstr>JOB 3149.02</vt:lpstr>
      <vt:lpstr>JOB 3802.01</vt:lpstr>
      <vt:lpstr>JOB 3805.02</vt:lpstr>
      <vt:lpstr>JOB 3811.01</vt:lpstr>
      <vt:lpstr>JOB 3811.02</vt:lpstr>
      <vt:lpstr>JOB 3812.01</vt:lpstr>
      <vt:lpstr>_Control</vt:lpstr>
      <vt:lpstr>Archive Jobs</vt:lpstr>
      <vt:lpstr>Archive Quotes</vt:lpstr>
      <vt:lpstr>Archive Suppliers</vt:lpstr>
      <vt:lpstr>Archive Vessel</vt:lpstr>
      <vt:lpstr>Archive Lists</vt:lpstr>
      <vt:lpstr>Archive Budget</vt:lpstr>
      <vt:lpstr>Allowance</vt:lpstr>
      <vt:lpstr>AllowanceCurrency</vt:lpstr>
      <vt:lpstr>lstContactID</vt:lpstr>
      <vt:lpstr>lstCurrency</vt:lpstr>
      <vt:lpstr>lstDepartment</vt:lpstr>
      <vt:lpstr>lstJobID</vt:lpstr>
      <vt:lpstr>lstJobStatus</vt:lpstr>
      <vt:lpstr>lstPilotContacts</vt:lpstr>
      <vt:lpstr>lstPilotJobs</vt:lpstr>
      <vt:lpstr>lstPilotModes</vt:lpstr>
      <vt:lpstr>lstPilotSupplierFilter</vt:lpstr>
      <vt:lpstr>lstPilotSuppliers</vt:lpstr>
      <vt:lpstr>lstQuoteStatus</vt:lpstr>
      <vt:lpstr>lstSupplierID</vt:lpstr>
      <vt:lpstr>lstVesselType</vt:lpstr>
      <vt:lpstr>lstYesNo</vt:lpstr>
      <vt:lpstr>PilotOffer0005</vt:lpstr>
      <vt:lpstr>PilotOffer0006</vt:lpstr>
      <vt:lpstr>PilotOffer0007</vt:lpstr>
      <vt:lpstr>PilotOffer0008</vt:lpstr>
      <vt:lpstr>PilotOffer0009</vt:lpstr>
      <vt:lpstr>PilotOffer0010</vt:lpstr>
      <vt:lpstr>PilotOffer0011</vt:lpstr>
      <vt:lpstr>PilotOffer0012</vt:lpstr>
      <vt:lpstr>PilotOffer0013</vt:lpstr>
      <vt:lpstr>PilotOffer0014</vt:lpstr>
      <vt:lpstr>PilotOffer0015</vt:lpstr>
      <vt:lpstr>PilotOffer0016</vt:lpstr>
      <vt:lpstr>PilotOffer0018</vt:lpstr>
      <vt:lpstr>_JobTemplate!Print_Area</vt:lpstr>
      <vt:lpstr>'Add Supplier'!Print_Area</vt:lpstr>
      <vt:lpstr>Budget!Print_Area</vt:lpstr>
      <vt:lpstr>'Create Job'!Print_Area</vt:lpstr>
      <vt:lpstr>'JOB 1001.02'!Print_Area</vt:lpstr>
      <vt:lpstr>'JOB 1001.03'!Print_Area</vt:lpstr>
      <vt:lpstr>'JOB 1303.01'!Print_Area</vt:lpstr>
      <vt:lpstr>'JOB 1500.01'!Print_Area</vt:lpstr>
      <vt:lpstr>'JOB 3103.01'!Print_Area</vt:lpstr>
      <vt:lpstr>'JOB 3149.01'!Print_Area</vt:lpstr>
      <vt:lpstr>'JOB 3149.02'!Print_Area</vt:lpstr>
      <vt:lpstr>'JOB 3802.01'!Print_Area</vt:lpstr>
      <vt:lpstr>'JOB 3805.02'!Print_Area</vt:lpstr>
      <vt:lpstr>'JOB 3811.01'!Print_Area</vt:lpstr>
      <vt:lpstr>'JOB 3811.02'!Print_Area</vt:lpstr>
      <vt:lpstr>'JOB 3812.01'!Print_Area</vt:lpstr>
      <vt:lpstr>Jobs!Print_Area</vt:lpstr>
      <vt:lpstr>Lists!Print_Area</vt:lpstr>
      <vt:lpstr>'Negotiation Savings'!Print_Area</vt:lpstr>
      <vt:lpstr>Overview!Print_Area</vt:lpstr>
      <vt:lpstr>'Print Summary'!Print_Area</vt:lpstr>
      <vt:lpstr>Quotes!Print_Area</vt:lpstr>
      <vt:lpstr>'Read Me'!Print_Area</vt:lpstr>
      <vt:lpstr>'Supplier Jobs'!Print_Area</vt:lpstr>
      <vt:lpstr>Suppliers!Print_Area</vt:lpstr>
      <vt:lpstr>'Test Results'!Print_Area</vt:lpstr>
      <vt:lpstr>Vessel!Print_Area</vt:lpstr>
      <vt:lpstr>Jobs!Print_Titles</vt:lpstr>
      <vt:lpstr>Quotes!Print_Titles</vt:lpstr>
      <vt:lpstr>'Supplier Jobs'!Print_Titles</vt:lpstr>
      <vt:lpstr>Suppliers!Print_Titles</vt:lpstr>
      <vt:lpstr>StatusDate</vt:lpstr>
      <vt:lpstr>VesselName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KERRY - Drydock 2027 - Clean data baseline</dc:title>
  <dc:subject>New workbook structure; preserved jobs, suppliers, quotes and document links</dc:subject>
  <dc:creator>STENA - Technical Department</dc:creator>
  <dc:description>Macro-free clean rebuild. Edit central registers; job pages are linked read-only reports, not two-way editors.</dc:description>
  <cp:lastModifiedBy>Rosdahl, Mikkel</cp:lastModifiedBy>
  <dcterms:created xsi:type="dcterms:W3CDTF">2026-10-15T15:44:07Z</dcterms:created>
  <dcterms:modified xsi:type="dcterms:W3CDTF">2026-10-16T06:56:22Z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50a657a-da37-4a16-8212-03583872c43a_ContentBits">
    <vt:lpwstr>0</vt:lpwstr>
  </property>
  <property fmtid="{D5CDD505-2E9C-101B-9397-08002B2CF9AE}" pid="3" name="MediaServiceImageTags">
    <vt:lpwstr/>
  </property>
  <property fmtid="{D5CDD505-2E9C-101B-9397-08002B2CF9AE}" pid="4" name="MSIP_Label_750a657a-da37-4a16-8212-03583872c43a_Name">
    <vt:lpwstr>Restricted</vt:lpwstr>
  </property>
  <property fmtid="{D5CDD505-2E9C-101B-9397-08002B2CF9AE}" pid="5" name="MSIP_Label_750a657a-da37-4a16-8212-03583872c43a_Method">
    <vt:lpwstr>Standard</vt:lpwstr>
  </property>
  <property fmtid="{D5CDD505-2E9C-101B-9397-08002B2CF9AE}" pid="6" name="MSIP_Label_750a657a-da37-4a16-8212-03583872c43a_SiteId">
    <vt:lpwstr>5d0501ba-8bc1-464e-b3ad-9e2c8779c55c</vt:lpwstr>
  </property>
  <property fmtid="{D5CDD505-2E9C-101B-9397-08002B2CF9AE}" pid="7" name="ContentTypeId">
    <vt:lpwstr>0x010100F34A9E5506EBE14292A1B6CC54144C4C</vt:lpwstr>
  </property>
  <property fmtid="{D5CDD505-2E9C-101B-9397-08002B2CF9AE}" pid="8" name="MSIP_Label_750a657a-da37-4a16-8212-03583872c43a_Tag">
    <vt:lpwstr>10, 3, 0, 1</vt:lpwstr>
  </property>
  <property fmtid="{D5CDD505-2E9C-101B-9397-08002B2CF9AE}" pid="9" name="MSIP_Label_750a657a-da37-4a16-8212-03583872c43a_SetDate">
    <vt:lpwstr>2026-10-16T04:54:22Z</vt:lpwstr>
  </property>
  <property fmtid="{D5CDD505-2E9C-101B-9397-08002B2CF9AE}" pid="10" name="MSIP_Label_750a657a-da37-4a16-8212-03583872c43a_ActionId">
    <vt:lpwstr>3f272199-7197-4b27-be75-eb445b145d41</vt:lpwstr>
  </property>
  <property fmtid="{D5CDD505-2E9C-101B-9397-08002B2CF9AE}" pid="11" name="MSIP_Label_750a657a-da37-4a16-8212-03583872c43a_Enabled">
    <vt:lpwstr>true</vt:lpwstr>
  </property>
</Properties>
</file>